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X:\Desktop\Attendence\mass update GTN\"/>
    </mc:Choice>
  </mc:AlternateContent>
  <xr:revisionPtr revIDLastSave="0" documentId="8_{20103CF3-B5E3-48EB-8F6E-FAA325672F12}" xr6:coauthVersionLast="47" xr6:coauthVersionMax="47" xr10:uidLastSave="{00000000-0000-0000-0000-000000000000}"/>
  <bookViews>
    <workbookView xWindow="-120" yWindow="-120" windowWidth="29040" windowHeight="16440" xr2:uid="{00000000-000D-0000-FFFF-FFFF00000000}"/>
  </bookViews>
  <sheets>
    <sheet name="LLL Load Plan - 16 June 25" sheetId="1" r:id="rId1"/>
    <sheet name="LLL Pivot Table - 16 June 25" sheetId="2" r:id="rId2"/>
    <sheet name="CMB Bookings" sheetId="3" r:id="rId3"/>
  </sheets>
  <definedNames>
    <definedName name="_xlnm._FilterDatabase" localSheetId="2" hidden="1">'CMB Bookings'!$C$1:$AO$421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 l="1"/>
  <c r="B1" i="3"/>
  <c r="C1" i="3"/>
  <c r="D1" i="3"/>
  <c r="E1" i="3"/>
  <c r="F1" i="3"/>
  <c r="G1" i="3"/>
  <c r="H1" i="3"/>
  <c r="I1" i="3"/>
  <c r="J1" i="3"/>
  <c r="K1" i="3"/>
  <c r="L1" i="3"/>
  <c r="M1" i="3"/>
  <c r="N1" i="3"/>
  <c r="O1" i="3"/>
  <c r="P1" i="3"/>
  <c r="Q1" i="3"/>
  <c r="R1" i="3"/>
  <c r="S1" i="3"/>
  <c r="T1" i="3"/>
  <c r="U1" i="3"/>
  <c r="V1" i="3"/>
  <c r="W1" i="3"/>
  <c r="X1" i="3"/>
  <c r="Y1" i="3"/>
  <c r="Z1" i="3"/>
  <c r="AA1" i="3"/>
  <c r="AB1" i="3"/>
  <c r="AC1" i="3"/>
  <c r="AD1" i="3"/>
  <c r="AE1" i="3"/>
  <c r="AF1" i="3"/>
  <c r="A2" i="3"/>
  <c r="C2" i="3"/>
  <c r="E2" i="3"/>
  <c r="F2" i="3"/>
  <c r="G2" i="3"/>
  <c r="H2" i="3"/>
  <c r="I2" i="3"/>
  <c r="J2" i="3"/>
  <c r="AH2" i="3" s="1"/>
  <c r="K2" i="3"/>
  <c r="L2" i="3"/>
  <c r="M2" i="3"/>
  <c r="N2" i="3"/>
  <c r="O2" i="3"/>
  <c r="P2" i="3"/>
  <c r="Q2" i="3"/>
  <c r="R2" i="3"/>
  <c r="S2" i="3"/>
  <c r="T2" i="3"/>
  <c r="Y2" i="3"/>
  <c r="Z2" i="3"/>
  <c r="AA2" i="3"/>
  <c r="AB2" i="3"/>
  <c r="AD2" i="3"/>
  <c r="AE2" i="3"/>
  <c r="AG2" i="3"/>
  <c r="A3" i="3"/>
  <c r="C3" i="3"/>
  <c r="E3" i="3"/>
  <c r="F3" i="3"/>
  <c r="G3" i="3"/>
  <c r="H3" i="3"/>
  <c r="I3" i="3"/>
  <c r="J3" i="3"/>
  <c r="AH3" i="3" s="1"/>
  <c r="K3" i="3"/>
  <c r="L3" i="3"/>
  <c r="M3" i="3"/>
  <c r="N3" i="3"/>
  <c r="O3" i="3"/>
  <c r="P3" i="3"/>
  <c r="Q3" i="3"/>
  <c r="R3" i="3"/>
  <c r="S3" i="3"/>
  <c r="T3" i="3"/>
  <c r="Y3" i="3"/>
  <c r="Z3" i="3"/>
  <c r="AA3" i="3"/>
  <c r="AB3" i="3"/>
  <c r="AD3" i="3"/>
  <c r="AE3" i="3"/>
  <c r="AG3" i="3"/>
  <c r="A4" i="3"/>
  <c r="C4" i="3"/>
  <c r="E4" i="3"/>
  <c r="F4" i="3"/>
  <c r="G4" i="3"/>
  <c r="H4" i="3"/>
  <c r="I4" i="3"/>
  <c r="J4" i="3"/>
  <c r="K4" i="3"/>
  <c r="L4" i="3"/>
  <c r="M4" i="3"/>
  <c r="N4" i="3"/>
  <c r="O4" i="3"/>
  <c r="P4" i="3"/>
  <c r="Q4" i="3"/>
  <c r="R4" i="3"/>
  <c r="S4" i="3"/>
  <c r="T4" i="3"/>
  <c r="Y4" i="3"/>
  <c r="Z4" i="3"/>
  <c r="AA4" i="3"/>
  <c r="AB4" i="3"/>
  <c r="AD4" i="3"/>
  <c r="AE4" i="3"/>
  <c r="AG4" i="3"/>
  <c r="AH4" i="3"/>
  <c r="A5" i="3"/>
  <c r="C5" i="3"/>
  <c r="E5" i="3"/>
  <c r="F5" i="3"/>
  <c r="G5" i="3"/>
  <c r="H5" i="3"/>
  <c r="I5" i="3"/>
  <c r="J5" i="3"/>
  <c r="AH5" i="3" s="1"/>
  <c r="K5" i="3"/>
  <c r="L5" i="3"/>
  <c r="M5" i="3"/>
  <c r="N5" i="3"/>
  <c r="O5" i="3"/>
  <c r="P5" i="3"/>
  <c r="Q5" i="3"/>
  <c r="R5" i="3"/>
  <c r="S5" i="3"/>
  <c r="T5" i="3"/>
  <c r="Y5" i="3"/>
  <c r="Z5" i="3"/>
  <c r="AA5" i="3"/>
  <c r="AB5" i="3"/>
  <c r="AD5" i="3"/>
  <c r="AE5" i="3"/>
  <c r="AG5" i="3"/>
  <c r="A6" i="3"/>
  <c r="C6" i="3"/>
  <c r="E6" i="3"/>
  <c r="F6" i="3"/>
  <c r="G6" i="3"/>
  <c r="H6" i="3"/>
  <c r="I6" i="3"/>
  <c r="J6" i="3"/>
  <c r="AH6" i="3" s="1"/>
  <c r="K6" i="3"/>
  <c r="L6" i="3"/>
  <c r="M6" i="3"/>
  <c r="N6" i="3"/>
  <c r="O6" i="3"/>
  <c r="P6" i="3"/>
  <c r="Q6" i="3"/>
  <c r="R6" i="3"/>
  <c r="S6" i="3"/>
  <c r="T6" i="3"/>
  <c r="Y6" i="3"/>
  <c r="Z6" i="3"/>
  <c r="AA6" i="3"/>
  <c r="AB6" i="3"/>
  <c r="AD6" i="3"/>
  <c r="AE6" i="3"/>
  <c r="AG6" i="3"/>
  <c r="A7" i="3"/>
  <c r="C7" i="3"/>
  <c r="E7" i="3"/>
  <c r="F7" i="3"/>
  <c r="G7" i="3"/>
  <c r="H7" i="3"/>
  <c r="I7" i="3"/>
  <c r="J7" i="3"/>
  <c r="AH7" i="3" s="1"/>
  <c r="K7" i="3"/>
  <c r="L7" i="3"/>
  <c r="M7" i="3"/>
  <c r="N7" i="3"/>
  <c r="O7" i="3"/>
  <c r="P7" i="3"/>
  <c r="Q7" i="3"/>
  <c r="R7" i="3"/>
  <c r="S7" i="3"/>
  <c r="T7" i="3"/>
  <c r="Y7" i="3"/>
  <c r="Z7" i="3"/>
  <c r="AA7" i="3"/>
  <c r="AB7" i="3"/>
  <c r="AD7" i="3"/>
  <c r="AE7" i="3"/>
  <c r="AG7" i="3"/>
  <c r="A8" i="3"/>
  <c r="C8" i="3"/>
  <c r="E8" i="3"/>
  <c r="F8" i="3"/>
  <c r="G8" i="3"/>
  <c r="H8" i="3"/>
  <c r="I8" i="3"/>
  <c r="J8" i="3"/>
  <c r="AH8" i="3" s="1"/>
  <c r="K8" i="3"/>
  <c r="L8" i="3"/>
  <c r="M8" i="3"/>
  <c r="N8" i="3"/>
  <c r="O8" i="3"/>
  <c r="P8" i="3"/>
  <c r="Q8" i="3"/>
  <c r="R8" i="3"/>
  <c r="S8" i="3"/>
  <c r="T8" i="3"/>
  <c r="Y8" i="3"/>
  <c r="Z8" i="3"/>
  <c r="AA8" i="3"/>
  <c r="AB8" i="3"/>
  <c r="AD8" i="3"/>
  <c r="AE8" i="3"/>
  <c r="AG8" i="3"/>
  <c r="A9" i="3"/>
  <c r="C9" i="3"/>
  <c r="E9" i="3"/>
  <c r="F9" i="3"/>
  <c r="G9" i="3"/>
  <c r="H9" i="3"/>
  <c r="I9" i="3"/>
  <c r="J9" i="3"/>
  <c r="AH9" i="3" s="1"/>
  <c r="K9" i="3"/>
  <c r="L9" i="3"/>
  <c r="M9" i="3"/>
  <c r="N9" i="3"/>
  <c r="O9" i="3"/>
  <c r="P9" i="3"/>
  <c r="Q9" i="3"/>
  <c r="R9" i="3"/>
  <c r="S9" i="3"/>
  <c r="T9" i="3"/>
  <c r="Y9" i="3"/>
  <c r="Z9" i="3"/>
  <c r="AA9" i="3"/>
  <c r="AB9" i="3"/>
  <c r="AD9" i="3"/>
  <c r="AE9" i="3"/>
  <c r="AG9" i="3"/>
  <c r="A10" i="3"/>
  <c r="C10" i="3"/>
  <c r="E10" i="3"/>
  <c r="F10" i="3"/>
  <c r="G10" i="3"/>
  <c r="H10" i="3"/>
  <c r="I10" i="3"/>
  <c r="J10" i="3"/>
  <c r="AH10" i="3" s="1"/>
  <c r="K10" i="3"/>
  <c r="L10" i="3"/>
  <c r="M10" i="3"/>
  <c r="N10" i="3"/>
  <c r="O10" i="3"/>
  <c r="P10" i="3"/>
  <c r="Q10" i="3"/>
  <c r="R10" i="3"/>
  <c r="S10" i="3"/>
  <c r="T10" i="3"/>
  <c r="Y10" i="3"/>
  <c r="Z10" i="3"/>
  <c r="AA10" i="3"/>
  <c r="AB10" i="3"/>
  <c r="AD10" i="3"/>
  <c r="AE10" i="3"/>
  <c r="AG10" i="3"/>
  <c r="A11" i="3"/>
  <c r="C11" i="3"/>
  <c r="E11" i="3"/>
  <c r="F11" i="3"/>
  <c r="G11" i="3"/>
  <c r="H11" i="3"/>
  <c r="I11" i="3"/>
  <c r="J11" i="3"/>
  <c r="AH11" i="3" s="1"/>
  <c r="K11" i="3"/>
  <c r="L11" i="3"/>
  <c r="M11" i="3"/>
  <c r="N11" i="3"/>
  <c r="O11" i="3"/>
  <c r="P11" i="3"/>
  <c r="Q11" i="3"/>
  <c r="R11" i="3"/>
  <c r="S11" i="3"/>
  <c r="T11" i="3"/>
  <c r="Y11" i="3"/>
  <c r="Z11" i="3"/>
  <c r="AA11" i="3"/>
  <c r="AB11" i="3"/>
  <c r="AD11" i="3"/>
  <c r="AE11" i="3"/>
  <c r="AG11" i="3"/>
  <c r="A12" i="3"/>
  <c r="C12" i="3"/>
  <c r="E12" i="3"/>
  <c r="F12" i="3"/>
  <c r="G12" i="3"/>
  <c r="H12" i="3"/>
  <c r="I12" i="3"/>
  <c r="J12" i="3"/>
  <c r="AH12" i="3" s="1"/>
  <c r="K12" i="3"/>
  <c r="L12" i="3"/>
  <c r="M12" i="3"/>
  <c r="N12" i="3"/>
  <c r="O12" i="3"/>
  <c r="P12" i="3"/>
  <c r="Q12" i="3"/>
  <c r="R12" i="3"/>
  <c r="S12" i="3"/>
  <c r="T12" i="3"/>
  <c r="Y12" i="3"/>
  <c r="Z12" i="3"/>
  <c r="AA12" i="3"/>
  <c r="AB12" i="3"/>
  <c r="AD12" i="3"/>
  <c r="AE12" i="3"/>
  <c r="AG12" i="3"/>
  <c r="A13" i="3"/>
  <c r="C13" i="3"/>
  <c r="E13" i="3"/>
  <c r="F13" i="3"/>
  <c r="G13" i="3"/>
  <c r="H13" i="3"/>
  <c r="I13" i="3"/>
  <c r="J13" i="3"/>
  <c r="AH13" i="3" s="1"/>
  <c r="K13" i="3"/>
  <c r="L13" i="3"/>
  <c r="M13" i="3"/>
  <c r="N13" i="3"/>
  <c r="O13" i="3"/>
  <c r="P13" i="3"/>
  <c r="Q13" i="3"/>
  <c r="R13" i="3"/>
  <c r="S13" i="3"/>
  <c r="T13" i="3"/>
  <c r="Y13" i="3"/>
  <c r="Z13" i="3"/>
  <c r="AA13" i="3"/>
  <c r="AB13" i="3"/>
  <c r="AD13" i="3"/>
  <c r="AE13" i="3"/>
  <c r="AG13" i="3"/>
  <c r="A14" i="3"/>
  <c r="C14" i="3"/>
  <c r="E14" i="3"/>
  <c r="F14" i="3"/>
  <c r="G14" i="3"/>
  <c r="H14" i="3"/>
  <c r="I14" i="3"/>
  <c r="J14" i="3"/>
  <c r="AH14" i="3" s="1"/>
  <c r="K14" i="3"/>
  <c r="L14" i="3"/>
  <c r="M14" i="3"/>
  <c r="N14" i="3"/>
  <c r="O14" i="3"/>
  <c r="P14" i="3"/>
  <c r="Q14" i="3"/>
  <c r="R14" i="3"/>
  <c r="S14" i="3"/>
  <c r="T14" i="3"/>
  <c r="Y14" i="3"/>
  <c r="Z14" i="3"/>
  <c r="AA14" i="3"/>
  <c r="AB14" i="3"/>
  <c r="AD14" i="3"/>
  <c r="AE14" i="3"/>
  <c r="AG14" i="3"/>
  <c r="A15" i="3"/>
  <c r="C15" i="3"/>
  <c r="E15" i="3"/>
  <c r="F15" i="3"/>
  <c r="G15" i="3"/>
  <c r="H15" i="3"/>
  <c r="I15" i="3"/>
  <c r="J15" i="3"/>
  <c r="AH15" i="3" s="1"/>
  <c r="K15" i="3"/>
  <c r="L15" i="3"/>
  <c r="M15" i="3"/>
  <c r="N15" i="3"/>
  <c r="O15" i="3"/>
  <c r="P15" i="3"/>
  <c r="Q15" i="3"/>
  <c r="R15" i="3"/>
  <c r="S15" i="3"/>
  <c r="T15" i="3"/>
  <c r="Y15" i="3"/>
  <c r="Z15" i="3"/>
  <c r="AA15" i="3"/>
  <c r="AB15" i="3"/>
  <c r="AD15" i="3"/>
  <c r="AE15" i="3"/>
  <c r="AG15" i="3"/>
  <c r="A16" i="3"/>
  <c r="C16" i="3"/>
  <c r="E16" i="3"/>
  <c r="F16" i="3"/>
  <c r="G16" i="3"/>
  <c r="H16" i="3"/>
  <c r="I16" i="3"/>
  <c r="J16" i="3"/>
  <c r="AH16" i="3" s="1"/>
  <c r="K16" i="3"/>
  <c r="L16" i="3"/>
  <c r="M16" i="3"/>
  <c r="N16" i="3"/>
  <c r="O16" i="3"/>
  <c r="P16" i="3"/>
  <c r="Q16" i="3"/>
  <c r="R16" i="3"/>
  <c r="S16" i="3"/>
  <c r="T16" i="3"/>
  <c r="Y16" i="3"/>
  <c r="Z16" i="3"/>
  <c r="AA16" i="3"/>
  <c r="AB16" i="3"/>
  <c r="AD16" i="3"/>
  <c r="AE16" i="3"/>
  <c r="AG16" i="3"/>
  <c r="A17" i="3"/>
  <c r="C17" i="3"/>
  <c r="E17" i="3"/>
  <c r="F17" i="3"/>
  <c r="G17" i="3"/>
  <c r="H17" i="3"/>
  <c r="I17" i="3"/>
  <c r="J17" i="3"/>
  <c r="K17" i="3"/>
  <c r="L17" i="3"/>
  <c r="M17" i="3"/>
  <c r="N17" i="3"/>
  <c r="O17" i="3"/>
  <c r="P17" i="3"/>
  <c r="Q17" i="3"/>
  <c r="R17" i="3"/>
  <c r="S17" i="3"/>
  <c r="T17" i="3"/>
  <c r="Y17" i="3"/>
  <c r="Z17" i="3"/>
  <c r="AA17" i="3"/>
  <c r="AB17" i="3"/>
  <c r="AD17" i="3"/>
  <c r="AE17" i="3"/>
  <c r="AG17" i="3"/>
  <c r="AH17" i="3"/>
  <c r="A18" i="3"/>
  <c r="C18" i="3"/>
  <c r="E18" i="3"/>
  <c r="F18" i="3"/>
  <c r="G18" i="3"/>
  <c r="H18" i="3"/>
  <c r="I18" i="3"/>
  <c r="J18" i="3"/>
  <c r="AH18" i="3" s="1"/>
  <c r="K18" i="3"/>
  <c r="L18" i="3"/>
  <c r="M18" i="3"/>
  <c r="N18" i="3"/>
  <c r="O18" i="3"/>
  <c r="P18" i="3"/>
  <c r="Q18" i="3"/>
  <c r="R18" i="3"/>
  <c r="S18" i="3"/>
  <c r="T18" i="3"/>
  <c r="Y18" i="3"/>
  <c r="Z18" i="3"/>
  <c r="AA18" i="3"/>
  <c r="AB18" i="3"/>
  <c r="AD18" i="3"/>
  <c r="AE18" i="3"/>
  <c r="AG18" i="3"/>
  <c r="A19" i="3"/>
  <c r="C19" i="3"/>
  <c r="E19" i="3"/>
  <c r="F19" i="3"/>
  <c r="G19" i="3"/>
  <c r="H19" i="3"/>
  <c r="I19" i="3"/>
  <c r="J19" i="3"/>
  <c r="AH19" i="3" s="1"/>
  <c r="K19" i="3"/>
  <c r="L19" i="3"/>
  <c r="M19" i="3"/>
  <c r="N19" i="3"/>
  <c r="O19" i="3"/>
  <c r="P19" i="3"/>
  <c r="Q19" i="3"/>
  <c r="R19" i="3"/>
  <c r="S19" i="3"/>
  <c r="T19" i="3"/>
  <c r="Y19" i="3"/>
  <c r="Z19" i="3"/>
  <c r="AA19" i="3"/>
  <c r="AB19" i="3"/>
  <c r="AD19" i="3"/>
  <c r="AE19" i="3"/>
  <c r="AG19" i="3"/>
  <c r="A20" i="3"/>
  <c r="C20" i="3"/>
  <c r="E20" i="3"/>
  <c r="F20" i="3"/>
  <c r="G20" i="3"/>
  <c r="H20" i="3"/>
  <c r="I20" i="3"/>
  <c r="J20" i="3"/>
  <c r="K20" i="3"/>
  <c r="L20" i="3"/>
  <c r="M20" i="3"/>
  <c r="N20" i="3"/>
  <c r="O20" i="3"/>
  <c r="P20" i="3"/>
  <c r="Q20" i="3"/>
  <c r="R20" i="3"/>
  <c r="S20" i="3"/>
  <c r="T20" i="3"/>
  <c r="Y20" i="3"/>
  <c r="Z20" i="3"/>
  <c r="AA20" i="3"/>
  <c r="AB20" i="3"/>
  <c r="AD20" i="3"/>
  <c r="AE20" i="3"/>
  <c r="AG20" i="3"/>
  <c r="AH20" i="3"/>
  <c r="A21" i="3"/>
  <c r="C21" i="3"/>
  <c r="E21" i="3"/>
  <c r="F21" i="3"/>
  <c r="G21" i="3"/>
  <c r="H21" i="3"/>
  <c r="I21" i="3"/>
  <c r="J21" i="3"/>
  <c r="AH21" i="3" s="1"/>
  <c r="K21" i="3"/>
  <c r="L21" i="3"/>
  <c r="M21" i="3"/>
  <c r="N21" i="3"/>
  <c r="O21" i="3"/>
  <c r="P21" i="3"/>
  <c r="Q21" i="3"/>
  <c r="R21" i="3"/>
  <c r="S21" i="3"/>
  <c r="T21" i="3"/>
  <c r="Y21" i="3"/>
  <c r="Z21" i="3"/>
  <c r="AA21" i="3"/>
  <c r="AB21" i="3"/>
  <c r="AD21" i="3"/>
  <c r="AE21" i="3"/>
  <c r="AG21" i="3"/>
  <c r="A22" i="3"/>
  <c r="C22" i="3"/>
  <c r="E22" i="3"/>
  <c r="F22" i="3"/>
  <c r="G22" i="3"/>
  <c r="H22" i="3"/>
  <c r="I22" i="3"/>
  <c r="J22" i="3"/>
  <c r="AH22" i="3" s="1"/>
  <c r="K22" i="3"/>
  <c r="L22" i="3"/>
  <c r="M22" i="3"/>
  <c r="N22" i="3"/>
  <c r="O22" i="3"/>
  <c r="P22" i="3"/>
  <c r="Q22" i="3"/>
  <c r="R22" i="3"/>
  <c r="S22" i="3"/>
  <c r="T22" i="3"/>
  <c r="Y22" i="3"/>
  <c r="Z22" i="3"/>
  <c r="AA22" i="3"/>
  <c r="AB22" i="3"/>
  <c r="AD22" i="3"/>
  <c r="AE22" i="3"/>
  <c r="AG22" i="3"/>
  <c r="A23" i="3"/>
  <c r="C23" i="3"/>
  <c r="E23" i="3"/>
  <c r="F23" i="3"/>
  <c r="G23" i="3"/>
  <c r="H23" i="3"/>
  <c r="I23" i="3"/>
  <c r="J23" i="3"/>
  <c r="K23" i="3"/>
  <c r="L23" i="3"/>
  <c r="M23" i="3"/>
  <c r="N23" i="3"/>
  <c r="O23" i="3"/>
  <c r="P23" i="3"/>
  <c r="Q23" i="3"/>
  <c r="R23" i="3"/>
  <c r="S23" i="3"/>
  <c r="T23" i="3"/>
  <c r="Y23" i="3"/>
  <c r="Z23" i="3"/>
  <c r="AA23" i="3"/>
  <c r="AB23" i="3"/>
  <c r="AD23" i="3"/>
  <c r="AE23" i="3"/>
  <c r="AG23" i="3"/>
  <c r="AH23" i="3"/>
  <c r="A24" i="3"/>
  <c r="C24" i="3"/>
  <c r="E24" i="3"/>
  <c r="F24" i="3"/>
  <c r="G24" i="3"/>
  <c r="H24" i="3"/>
  <c r="I24" i="3"/>
  <c r="J24" i="3"/>
  <c r="AH24" i="3" s="1"/>
  <c r="K24" i="3"/>
  <c r="L24" i="3"/>
  <c r="M24" i="3"/>
  <c r="N24" i="3"/>
  <c r="O24" i="3"/>
  <c r="P24" i="3"/>
  <c r="Q24" i="3"/>
  <c r="R24" i="3"/>
  <c r="S24" i="3"/>
  <c r="T24" i="3"/>
  <c r="Y24" i="3"/>
  <c r="Z24" i="3"/>
  <c r="AA24" i="3"/>
  <c r="AB24" i="3"/>
  <c r="AD24" i="3"/>
  <c r="AE24" i="3"/>
  <c r="AG24" i="3"/>
  <c r="A25" i="3"/>
  <c r="C25" i="3"/>
  <c r="E25" i="3"/>
  <c r="F25" i="3"/>
  <c r="G25" i="3"/>
  <c r="H25" i="3"/>
  <c r="I25" i="3"/>
  <c r="J25" i="3"/>
  <c r="AH25" i="3" s="1"/>
  <c r="K25" i="3"/>
  <c r="L25" i="3"/>
  <c r="M25" i="3"/>
  <c r="N25" i="3"/>
  <c r="O25" i="3"/>
  <c r="P25" i="3"/>
  <c r="Q25" i="3"/>
  <c r="R25" i="3"/>
  <c r="S25" i="3"/>
  <c r="T25" i="3"/>
  <c r="Y25" i="3"/>
  <c r="Z25" i="3"/>
  <c r="AA25" i="3"/>
  <c r="AB25" i="3"/>
  <c r="AD25" i="3"/>
  <c r="AE25" i="3"/>
  <c r="AG25" i="3"/>
  <c r="A26" i="3"/>
  <c r="C26" i="3"/>
  <c r="E26" i="3"/>
  <c r="F26" i="3"/>
  <c r="G26" i="3"/>
  <c r="H26" i="3"/>
  <c r="I26" i="3"/>
  <c r="J26" i="3"/>
  <c r="AH26" i="3" s="1"/>
  <c r="K26" i="3"/>
  <c r="L26" i="3"/>
  <c r="M26" i="3"/>
  <c r="N26" i="3"/>
  <c r="O26" i="3"/>
  <c r="P26" i="3"/>
  <c r="Q26" i="3"/>
  <c r="R26" i="3"/>
  <c r="S26" i="3"/>
  <c r="T26" i="3"/>
  <c r="Y26" i="3"/>
  <c r="Z26" i="3"/>
  <c r="AA26" i="3"/>
  <c r="AB26" i="3"/>
  <c r="AD26" i="3"/>
  <c r="AE26" i="3"/>
  <c r="AG26" i="3"/>
  <c r="A27" i="3"/>
  <c r="C27" i="3"/>
  <c r="E27" i="3"/>
  <c r="F27" i="3"/>
  <c r="G27" i="3"/>
  <c r="H27" i="3"/>
  <c r="I27" i="3"/>
  <c r="J27" i="3"/>
  <c r="AH27" i="3" s="1"/>
  <c r="K27" i="3"/>
  <c r="L27" i="3"/>
  <c r="M27" i="3"/>
  <c r="N27" i="3"/>
  <c r="O27" i="3"/>
  <c r="P27" i="3"/>
  <c r="Q27" i="3"/>
  <c r="R27" i="3"/>
  <c r="S27" i="3"/>
  <c r="T27" i="3"/>
  <c r="Y27" i="3"/>
  <c r="Z27" i="3"/>
  <c r="AA27" i="3"/>
  <c r="AB27" i="3"/>
  <c r="AD27" i="3"/>
  <c r="AE27" i="3"/>
  <c r="AG27" i="3"/>
  <c r="A28" i="3"/>
  <c r="C28" i="3"/>
  <c r="E28" i="3"/>
  <c r="F28" i="3"/>
  <c r="G28" i="3"/>
  <c r="H28" i="3"/>
  <c r="I28" i="3"/>
  <c r="J28" i="3"/>
  <c r="AH28" i="3" s="1"/>
  <c r="K28" i="3"/>
  <c r="L28" i="3"/>
  <c r="M28" i="3"/>
  <c r="N28" i="3"/>
  <c r="O28" i="3"/>
  <c r="P28" i="3"/>
  <c r="Q28" i="3"/>
  <c r="R28" i="3"/>
  <c r="S28" i="3"/>
  <c r="T28" i="3"/>
  <c r="Y28" i="3"/>
  <c r="Z28" i="3"/>
  <c r="AA28" i="3"/>
  <c r="AB28" i="3"/>
  <c r="AD28" i="3"/>
  <c r="AE28" i="3"/>
  <c r="AG28" i="3"/>
  <c r="A29" i="3"/>
  <c r="C29" i="3"/>
  <c r="E29" i="3"/>
  <c r="F29" i="3"/>
  <c r="G29" i="3"/>
  <c r="H29" i="3"/>
  <c r="I29" i="3"/>
  <c r="J29" i="3"/>
  <c r="AH29" i="3" s="1"/>
  <c r="K29" i="3"/>
  <c r="L29" i="3"/>
  <c r="M29" i="3"/>
  <c r="N29" i="3"/>
  <c r="O29" i="3"/>
  <c r="P29" i="3"/>
  <c r="Q29" i="3"/>
  <c r="R29" i="3"/>
  <c r="S29" i="3"/>
  <c r="T29" i="3"/>
  <c r="Y29" i="3"/>
  <c r="Z29" i="3"/>
  <c r="AA29" i="3"/>
  <c r="AB29" i="3"/>
  <c r="AD29" i="3"/>
  <c r="AE29" i="3"/>
  <c r="AG29" i="3"/>
  <c r="A30" i="3"/>
  <c r="C30" i="3"/>
  <c r="E30" i="3"/>
  <c r="F30" i="3"/>
  <c r="G30" i="3"/>
  <c r="H30" i="3"/>
  <c r="I30" i="3"/>
  <c r="J30" i="3"/>
  <c r="AH30" i="3" s="1"/>
  <c r="K30" i="3"/>
  <c r="L30" i="3"/>
  <c r="M30" i="3"/>
  <c r="N30" i="3"/>
  <c r="O30" i="3"/>
  <c r="P30" i="3"/>
  <c r="Q30" i="3"/>
  <c r="R30" i="3"/>
  <c r="S30" i="3"/>
  <c r="T30" i="3"/>
  <c r="Y30" i="3"/>
  <c r="Z30" i="3"/>
  <c r="AA30" i="3"/>
  <c r="AB30" i="3"/>
  <c r="AD30" i="3"/>
  <c r="AE30" i="3"/>
  <c r="AG30" i="3"/>
  <c r="A31" i="3"/>
  <c r="C31" i="3"/>
  <c r="E31" i="3"/>
  <c r="F31" i="3"/>
  <c r="G31" i="3"/>
  <c r="H31" i="3"/>
  <c r="I31" i="3"/>
  <c r="J31" i="3"/>
  <c r="AH31" i="3" s="1"/>
  <c r="K31" i="3"/>
  <c r="L31" i="3"/>
  <c r="M31" i="3"/>
  <c r="N31" i="3"/>
  <c r="O31" i="3"/>
  <c r="P31" i="3"/>
  <c r="Q31" i="3"/>
  <c r="R31" i="3"/>
  <c r="S31" i="3"/>
  <c r="T31" i="3"/>
  <c r="Y31" i="3"/>
  <c r="Z31" i="3"/>
  <c r="AA31" i="3"/>
  <c r="AB31" i="3"/>
  <c r="AD31" i="3"/>
  <c r="AE31" i="3"/>
  <c r="AG31" i="3"/>
  <c r="A32" i="3"/>
  <c r="C32" i="3"/>
  <c r="E32" i="3"/>
  <c r="F32" i="3"/>
  <c r="G32" i="3"/>
  <c r="H32" i="3"/>
  <c r="I32" i="3"/>
  <c r="J32" i="3"/>
  <c r="AH32" i="3" s="1"/>
  <c r="K32" i="3"/>
  <c r="L32" i="3"/>
  <c r="M32" i="3"/>
  <c r="N32" i="3"/>
  <c r="O32" i="3"/>
  <c r="P32" i="3"/>
  <c r="Q32" i="3"/>
  <c r="R32" i="3"/>
  <c r="S32" i="3"/>
  <c r="T32" i="3"/>
  <c r="Y32" i="3"/>
  <c r="Z32" i="3"/>
  <c r="AA32" i="3"/>
  <c r="AB32" i="3"/>
  <c r="AD32" i="3"/>
  <c r="AE32" i="3"/>
  <c r="AG32" i="3"/>
  <c r="A33" i="3"/>
  <c r="C33" i="3"/>
  <c r="E33" i="3"/>
  <c r="F33" i="3"/>
  <c r="G33" i="3"/>
  <c r="H33" i="3"/>
  <c r="I33" i="3"/>
  <c r="J33" i="3"/>
  <c r="K33" i="3"/>
  <c r="L33" i="3"/>
  <c r="M33" i="3"/>
  <c r="N33" i="3"/>
  <c r="O33" i="3"/>
  <c r="P33" i="3"/>
  <c r="Q33" i="3"/>
  <c r="R33" i="3"/>
  <c r="S33" i="3"/>
  <c r="T33" i="3"/>
  <c r="Y33" i="3"/>
  <c r="Z33" i="3"/>
  <c r="AA33" i="3"/>
  <c r="AB33" i="3"/>
  <c r="AD33" i="3"/>
  <c r="AE33" i="3"/>
  <c r="AG33" i="3"/>
  <c r="AH33" i="3"/>
  <c r="A34" i="3"/>
  <c r="C34" i="3"/>
  <c r="E34" i="3"/>
  <c r="F34" i="3"/>
  <c r="G34" i="3"/>
  <c r="H34" i="3"/>
  <c r="I34" i="3"/>
  <c r="J34" i="3"/>
  <c r="AH34" i="3" s="1"/>
  <c r="K34" i="3"/>
  <c r="L34" i="3"/>
  <c r="M34" i="3"/>
  <c r="N34" i="3"/>
  <c r="O34" i="3"/>
  <c r="P34" i="3"/>
  <c r="Q34" i="3"/>
  <c r="R34" i="3"/>
  <c r="S34" i="3"/>
  <c r="T34" i="3"/>
  <c r="Y34" i="3"/>
  <c r="Z34" i="3"/>
  <c r="AA34" i="3"/>
  <c r="AB34" i="3"/>
  <c r="AD34" i="3"/>
  <c r="AE34" i="3"/>
  <c r="AG34" i="3"/>
  <c r="A35" i="3"/>
  <c r="C35" i="3"/>
  <c r="E35" i="3"/>
  <c r="F35" i="3"/>
  <c r="G35" i="3"/>
  <c r="H35" i="3"/>
  <c r="I35" i="3"/>
  <c r="J35" i="3"/>
  <c r="AH35" i="3" s="1"/>
  <c r="K35" i="3"/>
  <c r="L35" i="3"/>
  <c r="M35" i="3"/>
  <c r="N35" i="3"/>
  <c r="O35" i="3"/>
  <c r="P35" i="3"/>
  <c r="Q35" i="3"/>
  <c r="R35" i="3"/>
  <c r="S35" i="3"/>
  <c r="T35" i="3"/>
  <c r="Y35" i="3"/>
  <c r="Z35" i="3"/>
  <c r="AA35" i="3"/>
  <c r="AB35" i="3"/>
  <c r="AD35" i="3"/>
  <c r="AE35" i="3"/>
  <c r="AG35" i="3"/>
  <c r="A36" i="3"/>
  <c r="C36" i="3"/>
  <c r="E36" i="3"/>
  <c r="F36" i="3"/>
  <c r="G36" i="3"/>
  <c r="H36" i="3"/>
  <c r="I36" i="3"/>
  <c r="J36" i="3"/>
  <c r="AH36" i="3" s="1"/>
  <c r="K36" i="3"/>
  <c r="L36" i="3"/>
  <c r="M36" i="3"/>
  <c r="N36" i="3"/>
  <c r="O36" i="3"/>
  <c r="P36" i="3"/>
  <c r="Q36" i="3"/>
  <c r="R36" i="3"/>
  <c r="S36" i="3"/>
  <c r="T36" i="3"/>
  <c r="Y36" i="3"/>
  <c r="Z36" i="3"/>
  <c r="AA36" i="3"/>
  <c r="AB36" i="3"/>
  <c r="AD36" i="3"/>
  <c r="AE36" i="3"/>
  <c r="AG36" i="3"/>
  <c r="A37" i="3"/>
  <c r="C37" i="3"/>
  <c r="E37" i="3"/>
  <c r="F37" i="3"/>
  <c r="G37" i="3"/>
  <c r="H37" i="3"/>
  <c r="I37" i="3"/>
  <c r="J37" i="3"/>
  <c r="AH37" i="3" s="1"/>
  <c r="K37" i="3"/>
  <c r="L37" i="3"/>
  <c r="M37" i="3"/>
  <c r="N37" i="3"/>
  <c r="O37" i="3"/>
  <c r="P37" i="3"/>
  <c r="Q37" i="3"/>
  <c r="R37" i="3"/>
  <c r="S37" i="3"/>
  <c r="T37" i="3"/>
  <c r="Y37" i="3"/>
  <c r="Z37" i="3"/>
  <c r="AA37" i="3"/>
  <c r="AB37" i="3"/>
  <c r="AD37" i="3"/>
  <c r="AE37" i="3"/>
  <c r="AG37" i="3"/>
  <c r="A38" i="3"/>
  <c r="C38" i="3"/>
  <c r="E38" i="3"/>
  <c r="F38" i="3"/>
  <c r="G38" i="3"/>
  <c r="H38" i="3"/>
  <c r="I38" i="3"/>
  <c r="J38" i="3"/>
  <c r="AH38" i="3" s="1"/>
  <c r="K38" i="3"/>
  <c r="L38" i="3"/>
  <c r="M38" i="3"/>
  <c r="N38" i="3"/>
  <c r="O38" i="3"/>
  <c r="P38" i="3"/>
  <c r="Q38" i="3"/>
  <c r="R38" i="3"/>
  <c r="S38" i="3"/>
  <c r="T38" i="3"/>
  <c r="Y38" i="3"/>
  <c r="Z38" i="3"/>
  <c r="AA38" i="3"/>
  <c r="AB38" i="3"/>
  <c r="AD38" i="3"/>
  <c r="AE38" i="3"/>
  <c r="AG38" i="3"/>
  <c r="A39" i="3"/>
  <c r="C39" i="3"/>
  <c r="E39" i="3"/>
  <c r="F39" i="3"/>
  <c r="G39" i="3"/>
  <c r="H39" i="3"/>
  <c r="I39" i="3"/>
  <c r="J39" i="3"/>
  <c r="K39" i="3"/>
  <c r="L39" i="3"/>
  <c r="M39" i="3"/>
  <c r="N39" i="3"/>
  <c r="O39" i="3"/>
  <c r="P39" i="3"/>
  <c r="Q39" i="3"/>
  <c r="R39" i="3"/>
  <c r="S39" i="3"/>
  <c r="T39" i="3"/>
  <c r="Y39" i="3"/>
  <c r="Z39" i="3"/>
  <c r="AA39" i="3"/>
  <c r="AB39" i="3"/>
  <c r="AD39" i="3"/>
  <c r="AE39" i="3"/>
  <c r="AG39" i="3"/>
  <c r="AH39" i="3"/>
  <c r="A40" i="3"/>
  <c r="C40" i="3"/>
  <c r="E40" i="3"/>
  <c r="F40" i="3"/>
  <c r="G40" i="3"/>
  <c r="H40" i="3"/>
  <c r="I40" i="3"/>
  <c r="J40" i="3"/>
  <c r="AH40" i="3" s="1"/>
  <c r="K40" i="3"/>
  <c r="L40" i="3"/>
  <c r="M40" i="3"/>
  <c r="N40" i="3"/>
  <c r="O40" i="3"/>
  <c r="P40" i="3"/>
  <c r="Q40" i="3"/>
  <c r="R40" i="3"/>
  <c r="S40" i="3"/>
  <c r="T40" i="3"/>
  <c r="Y40" i="3"/>
  <c r="Z40" i="3"/>
  <c r="AA40" i="3"/>
  <c r="AB40" i="3"/>
  <c r="AD40" i="3"/>
  <c r="AE40" i="3"/>
  <c r="AG40" i="3"/>
  <c r="A41" i="3"/>
  <c r="C41" i="3"/>
  <c r="E41" i="3"/>
  <c r="F41" i="3"/>
  <c r="G41" i="3"/>
  <c r="H41" i="3"/>
  <c r="I41" i="3"/>
  <c r="J41" i="3"/>
  <c r="AH41" i="3" s="1"/>
  <c r="K41" i="3"/>
  <c r="L41" i="3"/>
  <c r="M41" i="3"/>
  <c r="N41" i="3"/>
  <c r="O41" i="3"/>
  <c r="P41" i="3"/>
  <c r="Q41" i="3"/>
  <c r="R41" i="3"/>
  <c r="S41" i="3"/>
  <c r="T41" i="3"/>
  <c r="Y41" i="3"/>
  <c r="Z41" i="3"/>
  <c r="AA41" i="3"/>
  <c r="AB41" i="3"/>
  <c r="AD41" i="3"/>
  <c r="AE41" i="3"/>
  <c r="AG41" i="3"/>
  <c r="A42" i="3"/>
  <c r="C42" i="3"/>
  <c r="E42" i="3"/>
  <c r="F42" i="3"/>
  <c r="G42" i="3"/>
  <c r="H42" i="3"/>
  <c r="I42" i="3"/>
  <c r="J42" i="3"/>
  <c r="AH42" i="3" s="1"/>
  <c r="K42" i="3"/>
  <c r="L42" i="3"/>
  <c r="M42" i="3"/>
  <c r="N42" i="3"/>
  <c r="O42" i="3"/>
  <c r="P42" i="3"/>
  <c r="Q42" i="3"/>
  <c r="R42" i="3"/>
  <c r="S42" i="3"/>
  <c r="T42" i="3"/>
  <c r="Y42" i="3"/>
  <c r="Z42" i="3"/>
  <c r="AA42" i="3"/>
  <c r="AB42" i="3"/>
  <c r="AD42" i="3"/>
  <c r="AE42" i="3"/>
  <c r="AG42" i="3"/>
  <c r="A43" i="3"/>
  <c r="C43" i="3"/>
  <c r="E43" i="3"/>
  <c r="F43" i="3"/>
  <c r="G43" i="3"/>
  <c r="H43" i="3"/>
  <c r="I43" i="3"/>
  <c r="J43" i="3"/>
  <c r="AH43" i="3" s="1"/>
  <c r="K43" i="3"/>
  <c r="L43" i="3"/>
  <c r="M43" i="3"/>
  <c r="N43" i="3"/>
  <c r="O43" i="3"/>
  <c r="P43" i="3"/>
  <c r="Q43" i="3"/>
  <c r="R43" i="3"/>
  <c r="S43" i="3"/>
  <c r="T43" i="3"/>
  <c r="Y43" i="3"/>
  <c r="Z43" i="3"/>
  <c r="AA43" i="3"/>
  <c r="AB43" i="3"/>
  <c r="AD43" i="3"/>
  <c r="AE43" i="3"/>
  <c r="AG43" i="3"/>
  <c r="A44" i="3"/>
  <c r="C44" i="3"/>
  <c r="E44" i="3"/>
  <c r="F44" i="3"/>
  <c r="G44" i="3"/>
  <c r="H44" i="3"/>
  <c r="I44" i="3"/>
  <c r="J44" i="3"/>
  <c r="AH44" i="3" s="1"/>
  <c r="K44" i="3"/>
  <c r="L44" i="3"/>
  <c r="M44" i="3"/>
  <c r="N44" i="3"/>
  <c r="O44" i="3"/>
  <c r="P44" i="3"/>
  <c r="Q44" i="3"/>
  <c r="R44" i="3"/>
  <c r="S44" i="3"/>
  <c r="T44" i="3"/>
  <c r="Y44" i="3"/>
  <c r="Z44" i="3"/>
  <c r="AA44" i="3"/>
  <c r="AB44" i="3"/>
  <c r="AD44" i="3"/>
  <c r="AE44" i="3"/>
  <c r="AG44" i="3"/>
  <c r="A45" i="3"/>
  <c r="C45" i="3"/>
  <c r="E45" i="3"/>
  <c r="F45" i="3"/>
  <c r="G45" i="3"/>
  <c r="H45" i="3"/>
  <c r="I45" i="3"/>
  <c r="J45" i="3"/>
  <c r="AH45" i="3" s="1"/>
  <c r="K45" i="3"/>
  <c r="L45" i="3"/>
  <c r="M45" i="3"/>
  <c r="N45" i="3"/>
  <c r="O45" i="3"/>
  <c r="P45" i="3"/>
  <c r="Q45" i="3"/>
  <c r="R45" i="3"/>
  <c r="S45" i="3"/>
  <c r="T45" i="3"/>
  <c r="Y45" i="3"/>
  <c r="Z45" i="3"/>
  <c r="AA45" i="3"/>
  <c r="AB45" i="3"/>
  <c r="AD45" i="3"/>
  <c r="AE45" i="3"/>
  <c r="AG45" i="3"/>
  <c r="A46" i="3"/>
  <c r="C46" i="3"/>
  <c r="E46" i="3"/>
  <c r="F46" i="3"/>
  <c r="G46" i="3"/>
  <c r="H46" i="3"/>
  <c r="I46" i="3"/>
  <c r="J46" i="3"/>
  <c r="AH46" i="3" s="1"/>
  <c r="K46" i="3"/>
  <c r="L46" i="3"/>
  <c r="M46" i="3"/>
  <c r="N46" i="3"/>
  <c r="O46" i="3"/>
  <c r="P46" i="3"/>
  <c r="Q46" i="3"/>
  <c r="R46" i="3"/>
  <c r="S46" i="3"/>
  <c r="T46" i="3"/>
  <c r="Y46" i="3"/>
  <c r="Z46" i="3"/>
  <c r="AA46" i="3"/>
  <c r="AB46" i="3"/>
  <c r="AD46" i="3"/>
  <c r="AE46" i="3"/>
  <c r="AG46" i="3"/>
  <c r="A47" i="3"/>
  <c r="C47" i="3"/>
  <c r="E47" i="3"/>
  <c r="F47" i="3"/>
  <c r="G47" i="3"/>
  <c r="H47" i="3"/>
  <c r="I47" i="3"/>
  <c r="J47" i="3"/>
  <c r="AH47" i="3" s="1"/>
  <c r="K47" i="3"/>
  <c r="L47" i="3"/>
  <c r="M47" i="3"/>
  <c r="N47" i="3"/>
  <c r="O47" i="3"/>
  <c r="P47" i="3"/>
  <c r="Q47" i="3"/>
  <c r="R47" i="3"/>
  <c r="S47" i="3"/>
  <c r="T47" i="3"/>
  <c r="Y47" i="3"/>
  <c r="Z47" i="3"/>
  <c r="AA47" i="3"/>
  <c r="AB47" i="3"/>
  <c r="AD47" i="3"/>
  <c r="AE47" i="3"/>
  <c r="AF47" i="3"/>
  <c r="AG47" i="3"/>
  <c r="A48" i="3"/>
  <c r="C48" i="3"/>
  <c r="E48" i="3"/>
  <c r="F48" i="3"/>
  <c r="G48" i="3"/>
  <c r="H48" i="3"/>
  <c r="I48" i="3"/>
  <c r="J48" i="3"/>
  <c r="AH48" i="3" s="1"/>
  <c r="K48" i="3"/>
  <c r="L48" i="3"/>
  <c r="M48" i="3"/>
  <c r="N48" i="3"/>
  <c r="O48" i="3"/>
  <c r="P48" i="3"/>
  <c r="Q48" i="3"/>
  <c r="R48" i="3"/>
  <c r="S48" i="3"/>
  <c r="T48" i="3"/>
  <c r="Y48" i="3"/>
  <c r="Z48" i="3"/>
  <c r="AA48" i="3"/>
  <c r="AB48" i="3"/>
  <c r="AD48" i="3"/>
  <c r="AE48" i="3"/>
  <c r="AG48" i="3"/>
  <c r="A49" i="3"/>
  <c r="C49" i="3"/>
  <c r="E49" i="3"/>
  <c r="F49" i="3"/>
  <c r="G49" i="3"/>
  <c r="H49" i="3"/>
  <c r="I49" i="3"/>
  <c r="J49" i="3"/>
  <c r="AH49" i="3" s="1"/>
  <c r="K49" i="3"/>
  <c r="L49" i="3"/>
  <c r="M49" i="3"/>
  <c r="N49" i="3"/>
  <c r="O49" i="3"/>
  <c r="P49" i="3"/>
  <c r="Q49" i="3"/>
  <c r="R49" i="3"/>
  <c r="S49" i="3"/>
  <c r="T49" i="3"/>
  <c r="Y49" i="3"/>
  <c r="Z49" i="3"/>
  <c r="AA49" i="3"/>
  <c r="AB49" i="3"/>
  <c r="AD49" i="3"/>
  <c r="AE49" i="3"/>
  <c r="AG49" i="3"/>
  <c r="A50" i="3"/>
  <c r="C50" i="3"/>
  <c r="E50" i="3"/>
  <c r="F50" i="3"/>
  <c r="G50" i="3"/>
  <c r="H50" i="3"/>
  <c r="I50" i="3"/>
  <c r="J50" i="3"/>
  <c r="AH50" i="3" s="1"/>
  <c r="K50" i="3"/>
  <c r="L50" i="3"/>
  <c r="M50" i="3"/>
  <c r="N50" i="3"/>
  <c r="O50" i="3"/>
  <c r="P50" i="3"/>
  <c r="Q50" i="3"/>
  <c r="R50" i="3"/>
  <c r="S50" i="3"/>
  <c r="T50" i="3"/>
  <c r="Y50" i="3"/>
  <c r="Z50" i="3"/>
  <c r="AA50" i="3"/>
  <c r="AB50" i="3"/>
  <c r="AD50" i="3"/>
  <c r="AE50" i="3"/>
  <c r="AG50" i="3"/>
  <c r="A51" i="3"/>
  <c r="C51" i="3"/>
  <c r="E51" i="3"/>
  <c r="F51" i="3"/>
  <c r="G51" i="3"/>
  <c r="H51" i="3"/>
  <c r="I51" i="3"/>
  <c r="J51" i="3"/>
  <c r="AH51" i="3" s="1"/>
  <c r="K51" i="3"/>
  <c r="L51" i="3"/>
  <c r="M51" i="3"/>
  <c r="N51" i="3"/>
  <c r="O51" i="3"/>
  <c r="P51" i="3"/>
  <c r="Q51" i="3"/>
  <c r="R51" i="3"/>
  <c r="S51" i="3"/>
  <c r="T51" i="3"/>
  <c r="Y51" i="3"/>
  <c r="Z51" i="3"/>
  <c r="AA51" i="3"/>
  <c r="AB51" i="3"/>
  <c r="AD51" i="3"/>
  <c r="AE51" i="3"/>
  <c r="AG51" i="3"/>
  <c r="A52" i="3"/>
  <c r="C52" i="3"/>
  <c r="E52" i="3"/>
  <c r="F52" i="3"/>
  <c r="G52" i="3"/>
  <c r="H52" i="3"/>
  <c r="I52" i="3"/>
  <c r="J52" i="3"/>
  <c r="K52" i="3"/>
  <c r="L52" i="3"/>
  <c r="M52" i="3"/>
  <c r="N52" i="3"/>
  <c r="O52" i="3"/>
  <c r="P52" i="3"/>
  <c r="Q52" i="3"/>
  <c r="R52" i="3"/>
  <c r="S52" i="3"/>
  <c r="T52" i="3"/>
  <c r="Y52" i="3"/>
  <c r="Z52" i="3"/>
  <c r="AA52" i="3"/>
  <c r="AB52" i="3"/>
  <c r="AD52" i="3"/>
  <c r="AE52" i="3"/>
  <c r="AG52" i="3"/>
  <c r="AH52" i="3"/>
  <c r="A53" i="3"/>
  <c r="C53" i="3"/>
  <c r="E53" i="3"/>
  <c r="F53" i="3"/>
  <c r="G53" i="3"/>
  <c r="H53" i="3"/>
  <c r="I53" i="3"/>
  <c r="J53" i="3"/>
  <c r="AH53" i="3" s="1"/>
  <c r="K53" i="3"/>
  <c r="L53" i="3"/>
  <c r="M53" i="3"/>
  <c r="N53" i="3"/>
  <c r="O53" i="3"/>
  <c r="P53" i="3"/>
  <c r="Q53" i="3"/>
  <c r="R53" i="3"/>
  <c r="S53" i="3"/>
  <c r="T53" i="3"/>
  <c r="Y53" i="3"/>
  <c r="Z53" i="3"/>
  <c r="AA53" i="3"/>
  <c r="AB53" i="3"/>
  <c r="AD53" i="3"/>
  <c r="AE53" i="3"/>
  <c r="AG53" i="3"/>
  <c r="A54" i="3"/>
  <c r="C54" i="3"/>
  <c r="E54" i="3"/>
  <c r="F54" i="3"/>
  <c r="G54" i="3"/>
  <c r="H54" i="3"/>
  <c r="I54" i="3"/>
  <c r="J54" i="3"/>
  <c r="AH54" i="3" s="1"/>
  <c r="K54" i="3"/>
  <c r="L54" i="3"/>
  <c r="M54" i="3"/>
  <c r="N54" i="3"/>
  <c r="O54" i="3"/>
  <c r="P54" i="3"/>
  <c r="Q54" i="3"/>
  <c r="R54" i="3"/>
  <c r="S54" i="3"/>
  <c r="T54" i="3"/>
  <c r="Y54" i="3"/>
  <c r="Z54" i="3"/>
  <c r="AA54" i="3"/>
  <c r="AB54" i="3"/>
  <c r="AD54" i="3"/>
  <c r="AE54" i="3"/>
  <c r="AG54" i="3"/>
  <c r="A55" i="3"/>
  <c r="C55" i="3"/>
  <c r="E55" i="3"/>
  <c r="F55" i="3"/>
  <c r="G55" i="3"/>
  <c r="H55" i="3"/>
  <c r="I55" i="3"/>
  <c r="J55" i="3"/>
  <c r="AH55" i="3" s="1"/>
  <c r="K55" i="3"/>
  <c r="L55" i="3"/>
  <c r="M55" i="3"/>
  <c r="N55" i="3"/>
  <c r="O55" i="3"/>
  <c r="P55" i="3"/>
  <c r="Q55" i="3"/>
  <c r="R55" i="3"/>
  <c r="S55" i="3"/>
  <c r="T55" i="3"/>
  <c r="Y55" i="3"/>
  <c r="Z55" i="3"/>
  <c r="AA55" i="3"/>
  <c r="AB55" i="3"/>
  <c r="AD55" i="3"/>
  <c r="AE55" i="3"/>
  <c r="AG55" i="3"/>
  <c r="A56" i="3"/>
  <c r="C56" i="3"/>
  <c r="E56" i="3"/>
  <c r="F56" i="3"/>
  <c r="G56" i="3"/>
  <c r="H56" i="3"/>
  <c r="I56" i="3"/>
  <c r="J56" i="3"/>
  <c r="AH56" i="3" s="1"/>
  <c r="K56" i="3"/>
  <c r="L56" i="3"/>
  <c r="M56" i="3"/>
  <c r="N56" i="3"/>
  <c r="O56" i="3"/>
  <c r="P56" i="3"/>
  <c r="Q56" i="3"/>
  <c r="R56" i="3"/>
  <c r="S56" i="3"/>
  <c r="T56" i="3"/>
  <c r="Y56" i="3"/>
  <c r="Z56" i="3"/>
  <c r="AA56" i="3"/>
  <c r="AB56" i="3"/>
  <c r="AD56" i="3"/>
  <c r="AE56" i="3"/>
  <c r="AG56" i="3"/>
  <c r="A57" i="3"/>
  <c r="C57" i="3"/>
  <c r="E57" i="3"/>
  <c r="F57" i="3"/>
  <c r="G57" i="3"/>
  <c r="H57" i="3"/>
  <c r="I57" i="3"/>
  <c r="J57" i="3"/>
  <c r="AH57" i="3" s="1"/>
  <c r="K57" i="3"/>
  <c r="L57" i="3"/>
  <c r="M57" i="3"/>
  <c r="N57" i="3"/>
  <c r="O57" i="3"/>
  <c r="P57" i="3"/>
  <c r="Q57" i="3"/>
  <c r="R57" i="3"/>
  <c r="S57" i="3"/>
  <c r="T57" i="3"/>
  <c r="Y57" i="3"/>
  <c r="Z57" i="3"/>
  <c r="AA57" i="3"/>
  <c r="AB57" i="3"/>
  <c r="AD57" i="3"/>
  <c r="AE57" i="3"/>
  <c r="AG57" i="3"/>
  <c r="A58" i="3"/>
  <c r="C58" i="3"/>
  <c r="E58" i="3"/>
  <c r="F58" i="3"/>
  <c r="G58" i="3"/>
  <c r="H58" i="3"/>
  <c r="I58" i="3"/>
  <c r="J58" i="3"/>
  <c r="K58" i="3"/>
  <c r="L58" i="3"/>
  <c r="M58" i="3"/>
  <c r="N58" i="3"/>
  <c r="O58" i="3"/>
  <c r="P58" i="3"/>
  <c r="Q58" i="3"/>
  <c r="R58" i="3"/>
  <c r="S58" i="3"/>
  <c r="T58" i="3"/>
  <c r="Y58" i="3"/>
  <c r="Z58" i="3"/>
  <c r="AA58" i="3"/>
  <c r="AB58" i="3"/>
  <c r="AD58" i="3"/>
  <c r="AE58" i="3"/>
  <c r="AG58" i="3"/>
  <c r="AH58" i="3"/>
  <c r="A59" i="3"/>
  <c r="C59" i="3"/>
  <c r="E59" i="3"/>
  <c r="F59" i="3"/>
  <c r="G59" i="3"/>
  <c r="H59" i="3"/>
  <c r="I59" i="3"/>
  <c r="J59" i="3"/>
  <c r="AH59" i="3" s="1"/>
  <c r="K59" i="3"/>
  <c r="L59" i="3"/>
  <c r="M59" i="3"/>
  <c r="N59" i="3"/>
  <c r="O59" i="3"/>
  <c r="P59" i="3"/>
  <c r="Q59" i="3"/>
  <c r="R59" i="3"/>
  <c r="S59" i="3"/>
  <c r="T59" i="3"/>
  <c r="Y59" i="3"/>
  <c r="Z59" i="3"/>
  <c r="AA59" i="3"/>
  <c r="AB59" i="3"/>
  <c r="AD59" i="3"/>
  <c r="AE59" i="3"/>
  <c r="AG59" i="3"/>
  <c r="A60" i="3"/>
  <c r="C60" i="3"/>
  <c r="E60" i="3"/>
  <c r="F60" i="3"/>
  <c r="G60" i="3"/>
  <c r="H60" i="3"/>
  <c r="I60" i="3"/>
  <c r="J60" i="3"/>
  <c r="AH60" i="3" s="1"/>
  <c r="K60" i="3"/>
  <c r="L60" i="3"/>
  <c r="M60" i="3"/>
  <c r="N60" i="3"/>
  <c r="O60" i="3"/>
  <c r="P60" i="3"/>
  <c r="Q60" i="3"/>
  <c r="R60" i="3"/>
  <c r="S60" i="3"/>
  <c r="T60" i="3"/>
  <c r="Y60" i="3"/>
  <c r="Z60" i="3"/>
  <c r="AA60" i="3"/>
  <c r="AB60" i="3"/>
  <c r="AD60" i="3"/>
  <c r="AE60" i="3"/>
  <c r="AG60" i="3"/>
  <c r="A61" i="3"/>
  <c r="C61" i="3"/>
  <c r="E61" i="3"/>
  <c r="F61" i="3"/>
  <c r="G61" i="3"/>
  <c r="H61" i="3"/>
  <c r="I61" i="3"/>
  <c r="J61" i="3"/>
  <c r="AH61" i="3" s="1"/>
  <c r="K61" i="3"/>
  <c r="L61" i="3"/>
  <c r="M61" i="3"/>
  <c r="N61" i="3"/>
  <c r="O61" i="3"/>
  <c r="P61" i="3"/>
  <c r="Q61" i="3"/>
  <c r="R61" i="3"/>
  <c r="S61" i="3"/>
  <c r="T61" i="3"/>
  <c r="Y61" i="3"/>
  <c r="Z61" i="3"/>
  <c r="AA61" i="3"/>
  <c r="AB61" i="3"/>
  <c r="AD61" i="3"/>
  <c r="AE61" i="3"/>
  <c r="AG61" i="3"/>
  <c r="A62" i="3"/>
  <c r="C62" i="3"/>
  <c r="E62" i="3"/>
  <c r="F62" i="3"/>
  <c r="G62" i="3"/>
  <c r="H62" i="3"/>
  <c r="I62" i="3"/>
  <c r="J62" i="3"/>
  <c r="AH62" i="3" s="1"/>
  <c r="K62" i="3"/>
  <c r="L62" i="3"/>
  <c r="M62" i="3"/>
  <c r="N62" i="3"/>
  <c r="O62" i="3"/>
  <c r="P62" i="3"/>
  <c r="Q62" i="3"/>
  <c r="R62" i="3"/>
  <c r="S62" i="3"/>
  <c r="T62" i="3"/>
  <c r="Y62" i="3"/>
  <c r="Z62" i="3"/>
  <c r="AA62" i="3"/>
  <c r="AB62" i="3"/>
  <c r="AD62" i="3"/>
  <c r="AE62" i="3"/>
  <c r="AG62" i="3"/>
  <c r="A63" i="3"/>
  <c r="C63" i="3"/>
  <c r="E63" i="3"/>
  <c r="F63" i="3"/>
  <c r="G63" i="3"/>
  <c r="H63" i="3"/>
  <c r="I63" i="3"/>
  <c r="J63" i="3"/>
  <c r="AH63" i="3" s="1"/>
  <c r="K63" i="3"/>
  <c r="L63" i="3"/>
  <c r="M63" i="3"/>
  <c r="N63" i="3"/>
  <c r="O63" i="3"/>
  <c r="P63" i="3"/>
  <c r="Q63" i="3"/>
  <c r="R63" i="3"/>
  <c r="S63" i="3"/>
  <c r="T63" i="3"/>
  <c r="Y63" i="3"/>
  <c r="Z63" i="3"/>
  <c r="AA63" i="3"/>
  <c r="AB63" i="3"/>
  <c r="AD63" i="3"/>
  <c r="AE63" i="3"/>
  <c r="AG63" i="3"/>
  <c r="A64" i="3"/>
  <c r="C64" i="3"/>
  <c r="E64" i="3"/>
  <c r="F64" i="3"/>
  <c r="G64" i="3"/>
  <c r="H64" i="3"/>
  <c r="I64" i="3"/>
  <c r="J64" i="3"/>
  <c r="AH64" i="3" s="1"/>
  <c r="K64" i="3"/>
  <c r="L64" i="3"/>
  <c r="M64" i="3"/>
  <c r="N64" i="3"/>
  <c r="O64" i="3"/>
  <c r="P64" i="3"/>
  <c r="Q64" i="3"/>
  <c r="R64" i="3"/>
  <c r="S64" i="3"/>
  <c r="T64" i="3"/>
  <c r="Y64" i="3"/>
  <c r="Z64" i="3"/>
  <c r="AA64" i="3"/>
  <c r="AB64" i="3"/>
  <c r="AD64" i="3"/>
  <c r="AE64" i="3"/>
  <c r="AG64" i="3"/>
  <c r="A65" i="3"/>
  <c r="C65" i="3"/>
  <c r="E65" i="3"/>
  <c r="F65" i="3"/>
  <c r="G65" i="3"/>
  <c r="H65" i="3"/>
  <c r="I65" i="3"/>
  <c r="J65" i="3"/>
  <c r="AH65" i="3" s="1"/>
  <c r="K65" i="3"/>
  <c r="L65" i="3"/>
  <c r="M65" i="3"/>
  <c r="N65" i="3"/>
  <c r="O65" i="3"/>
  <c r="P65" i="3"/>
  <c r="Q65" i="3"/>
  <c r="R65" i="3"/>
  <c r="S65" i="3"/>
  <c r="T65" i="3"/>
  <c r="Y65" i="3"/>
  <c r="Z65" i="3"/>
  <c r="AA65" i="3"/>
  <c r="AB65" i="3"/>
  <c r="AD65" i="3"/>
  <c r="AE65" i="3"/>
  <c r="AG65" i="3"/>
  <c r="A66" i="3"/>
  <c r="C66" i="3"/>
  <c r="E66" i="3"/>
  <c r="F66" i="3"/>
  <c r="G66" i="3"/>
  <c r="H66" i="3"/>
  <c r="I66" i="3"/>
  <c r="J66" i="3"/>
  <c r="AH66" i="3" s="1"/>
  <c r="K66" i="3"/>
  <c r="L66" i="3"/>
  <c r="M66" i="3"/>
  <c r="N66" i="3"/>
  <c r="O66" i="3"/>
  <c r="P66" i="3"/>
  <c r="Q66" i="3"/>
  <c r="R66" i="3"/>
  <c r="S66" i="3"/>
  <c r="T66" i="3"/>
  <c r="Y66" i="3"/>
  <c r="Z66" i="3"/>
  <c r="AA66" i="3"/>
  <c r="AB66" i="3"/>
  <c r="AD66" i="3"/>
  <c r="AE66" i="3"/>
  <c r="AG66" i="3"/>
  <c r="A67" i="3"/>
  <c r="C67" i="3"/>
  <c r="E67" i="3"/>
  <c r="F67" i="3"/>
  <c r="G67" i="3"/>
  <c r="H67" i="3"/>
  <c r="I67" i="3"/>
  <c r="J67" i="3"/>
  <c r="AH67" i="3" s="1"/>
  <c r="K67" i="3"/>
  <c r="L67" i="3"/>
  <c r="M67" i="3"/>
  <c r="N67" i="3"/>
  <c r="O67" i="3"/>
  <c r="P67" i="3"/>
  <c r="Q67" i="3"/>
  <c r="R67" i="3"/>
  <c r="S67" i="3"/>
  <c r="T67" i="3"/>
  <c r="Y67" i="3"/>
  <c r="Z67" i="3"/>
  <c r="AA67" i="3"/>
  <c r="AB67" i="3"/>
  <c r="AD67" i="3"/>
  <c r="AE67" i="3"/>
  <c r="AG67" i="3"/>
  <c r="A68" i="3"/>
  <c r="C68" i="3"/>
  <c r="E68" i="3"/>
  <c r="F68" i="3"/>
  <c r="G68" i="3"/>
  <c r="H68" i="3"/>
  <c r="I68" i="3"/>
  <c r="J68" i="3"/>
  <c r="AH68" i="3" s="1"/>
  <c r="K68" i="3"/>
  <c r="L68" i="3"/>
  <c r="M68" i="3"/>
  <c r="N68" i="3"/>
  <c r="O68" i="3"/>
  <c r="P68" i="3"/>
  <c r="Q68" i="3"/>
  <c r="R68" i="3"/>
  <c r="S68" i="3"/>
  <c r="T68" i="3"/>
  <c r="Y68" i="3"/>
  <c r="Z68" i="3"/>
  <c r="AA68" i="3"/>
  <c r="AB68" i="3"/>
  <c r="AD68" i="3"/>
  <c r="AE68" i="3"/>
  <c r="AG68" i="3"/>
  <c r="A69" i="3"/>
  <c r="C69" i="3"/>
  <c r="E69" i="3"/>
  <c r="F69" i="3"/>
  <c r="G69" i="3"/>
  <c r="H69" i="3"/>
  <c r="I69" i="3"/>
  <c r="J69" i="3"/>
  <c r="AH69" i="3" s="1"/>
  <c r="K69" i="3"/>
  <c r="L69" i="3"/>
  <c r="M69" i="3"/>
  <c r="N69" i="3"/>
  <c r="O69" i="3"/>
  <c r="P69" i="3"/>
  <c r="Q69" i="3"/>
  <c r="R69" i="3"/>
  <c r="S69" i="3"/>
  <c r="T69" i="3"/>
  <c r="Y69" i="3"/>
  <c r="Z69" i="3"/>
  <c r="AA69" i="3"/>
  <c r="AB69" i="3"/>
  <c r="AD69" i="3"/>
  <c r="AE69" i="3"/>
  <c r="AG69" i="3"/>
  <c r="A70" i="3"/>
  <c r="C70" i="3"/>
  <c r="E70" i="3"/>
  <c r="F70" i="3"/>
  <c r="G70" i="3"/>
  <c r="H70" i="3"/>
  <c r="I70" i="3"/>
  <c r="J70" i="3"/>
  <c r="AH70" i="3" s="1"/>
  <c r="K70" i="3"/>
  <c r="L70" i="3"/>
  <c r="M70" i="3"/>
  <c r="N70" i="3"/>
  <c r="O70" i="3"/>
  <c r="P70" i="3"/>
  <c r="Q70" i="3"/>
  <c r="R70" i="3"/>
  <c r="S70" i="3"/>
  <c r="T70" i="3"/>
  <c r="Y70" i="3"/>
  <c r="Z70" i="3"/>
  <c r="AA70" i="3"/>
  <c r="AB70" i="3"/>
  <c r="AD70" i="3"/>
  <c r="AE70" i="3"/>
  <c r="AG70" i="3"/>
  <c r="A71" i="3"/>
  <c r="C71" i="3"/>
  <c r="E71" i="3"/>
  <c r="F71" i="3"/>
  <c r="G71" i="3"/>
  <c r="H71" i="3"/>
  <c r="I71" i="3"/>
  <c r="J71" i="3"/>
  <c r="AH71" i="3" s="1"/>
  <c r="K71" i="3"/>
  <c r="L71" i="3"/>
  <c r="M71" i="3"/>
  <c r="N71" i="3"/>
  <c r="O71" i="3"/>
  <c r="P71" i="3"/>
  <c r="Q71" i="3"/>
  <c r="R71" i="3"/>
  <c r="S71" i="3"/>
  <c r="T71" i="3"/>
  <c r="Y71" i="3"/>
  <c r="Z71" i="3"/>
  <c r="AA71" i="3"/>
  <c r="AB71" i="3"/>
  <c r="AD71" i="3"/>
  <c r="AE71" i="3"/>
  <c r="AG71" i="3"/>
  <c r="A72" i="3"/>
  <c r="C72" i="3"/>
  <c r="E72" i="3"/>
  <c r="F72" i="3"/>
  <c r="G72" i="3"/>
  <c r="H72" i="3"/>
  <c r="I72" i="3"/>
  <c r="J72" i="3"/>
  <c r="AH72" i="3" s="1"/>
  <c r="K72" i="3"/>
  <c r="L72" i="3"/>
  <c r="M72" i="3"/>
  <c r="N72" i="3"/>
  <c r="O72" i="3"/>
  <c r="P72" i="3"/>
  <c r="Q72" i="3"/>
  <c r="R72" i="3"/>
  <c r="S72" i="3"/>
  <c r="T72" i="3"/>
  <c r="Y72" i="3"/>
  <c r="Z72" i="3"/>
  <c r="AA72" i="3"/>
  <c r="AB72" i="3"/>
  <c r="AD72" i="3"/>
  <c r="AE72" i="3"/>
  <c r="AG72" i="3"/>
  <c r="A73" i="3"/>
  <c r="C73" i="3"/>
  <c r="E73" i="3"/>
  <c r="F73" i="3"/>
  <c r="G73" i="3"/>
  <c r="H73" i="3"/>
  <c r="I73" i="3"/>
  <c r="J73" i="3"/>
  <c r="AH73" i="3" s="1"/>
  <c r="K73" i="3"/>
  <c r="L73" i="3"/>
  <c r="M73" i="3"/>
  <c r="N73" i="3"/>
  <c r="O73" i="3"/>
  <c r="P73" i="3"/>
  <c r="Q73" i="3"/>
  <c r="R73" i="3"/>
  <c r="S73" i="3"/>
  <c r="T73" i="3"/>
  <c r="Y73" i="3"/>
  <c r="Z73" i="3"/>
  <c r="AA73" i="3"/>
  <c r="AB73" i="3"/>
  <c r="AD73" i="3"/>
  <c r="AE73" i="3"/>
  <c r="AG73" i="3"/>
  <c r="A74" i="3"/>
  <c r="C74" i="3"/>
  <c r="E74" i="3"/>
  <c r="F74" i="3"/>
  <c r="G74" i="3"/>
  <c r="H74" i="3"/>
  <c r="I74" i="3"/>
  <c r="J74" i="3"/>
  <c r="K74" i="3"/>
  <c r="L74" i="3"/>
  <c r="M74" i="3"/>
  <c r="N74" i="3"/>
  <c r="O74" i="3"/>
  <c r="P74" i="3"/>
  <c r="Q74" i="3"/>
  <c r="R74" i="3"/>
  <c r="S74" i="3"/>
  <c r="T74" i="3"/>
  <c r="Y74" i="3"/>
  <c r="Z74" i="3"/>
  <c r="AA74" i="3"/>
  <c r="AB74" i="3"/>
  <c r="AD74" i="3"/>
  <c r="AE74" i="3"/>
  <c r="AG74" i="3"/>
  <c r="AH74" i="3"/>
  <c r="A75" i="3"/>
  <c r="C75" i="3"/>
  <c r="E75" i="3"/>
  <c r="F75" i="3"/>
  <c r="G75" i="3"/>
  <c r="H75" i="3"/>
  <c r="I75" i="3"/>
  <c r="J75" i="3"/>
  <c r="AH75" i="3" s="1"/>
  <c r="K75" i="3"/>
  <c r="L75" i="3"/>
  <c r="M75" i="3"/>
  <c r="N75" i="3"/>
  <c r="O75" i="3"/>
  <c r="P75" i="3"/>
  <c r="Q75" i="3"/>
  <c r="R75" i="3"/>
  <c r="S75" i="3"/>
  <c r="T75" i="3"/>
  <c r="Y75" i="3"/>
  <c r="Z75" i="3"/>
  <c r="AA75" i="3"/>
  <c r="AB75" i="3"/>
  <c r="AD75" i="3"/>
  <c r="AE75" i="3"/>
  <c r="AG75" i="3"/>
  <c r="A76" i="3"/>
  <c r="C76" i="3"/>
  <c r="E76" i="3"/>
  <c r="F76" i="3"/>
  <c r="G76" i="3"/>
  <c r="H76" i="3"/>
  <c r="I76" i="3"/>
  <c r="J76" i="3"/>
  <c r="AH76" i="3" s="1"/>
  <c r="K76" i="3"/>
  <c r="L76" i="3"/>
  <c r="M76" i="3"/>
  <c r="N76" i="3"/>
  <c r="O76" i="3"/>
  <c r="P76" i="3"/>
  <c r="Q76" i="3"/>
  <c r="R76" i="3"/>
  <c r="S76" i="3"/>
  <c r="T76" i="3"/>
  <c r="Y76" i="3"/>
  <c r="Z76" i="3"/>
  <c r="AA76" i="3"/>
  <c r="AB76" i="3"/>
  <c r="AD76" i="3"/>
  <c r="AE76" i="3"/>
  <c r="AG76" i="3"/>
  <c r="A77" i="3"/>
  <c r="C77" i="3"/>
  <c r="E77" i="3"/>
  <c r="F77" i="3"/>
  <c r="G77" i="3"/>
  <c r="H77" i="3"/>
  <c r="I77" i="3"/>
  <c r="J77" i="3"/>
  <c r="AH77" i="3" s="1"/>
  <c r="K77" i="3"/>
  <c r="L77" i="3"/>
  <c r="M77" i="3"/>
  <c r="N77" i="3"/>
  <c r="O77" i="3"/>
  <c r="P77" i="3"/>
  <c r="Q77" i="3"/>
  <c r="R77" i="3"/>
  <c r="S77" i="3"/>
  <c r="T77" i="3"/>
  <c r="Y77" i="3"/>
  <c r="Z77" i="3"/>
  <c r="AA77" i="3"/>
  <c r="AB77" i="3"/>
  <c r="AD77" i="3"/>
  <c r="AE77" i="3"/>
  <c r="AG77" i="3"/>
  <c r="A78" i="3"/>
  <c r="C78" i="3"/>
  <c r="E78" i="3"/>
  <c r="F78" i="3"/>
  <c r="G78" i="3"/>
  <c r="H78" i="3"/>
  <c r="I78" i="3"/>
  <c r="J78" i="3"/>
  <c r="K78" i="3"/>
  <c r="L78" i="3"/>
  <c r="M78" i="3"/>
  <c r="N78" i="3"/>
  <c r="O78" i="3"/>
  <c r="P78" i="3"/>
  <c r="Q78" i="3"/>
  <c r="R78" i="3"/>
  <c r="S78" i="3"/>
  <c r="T78" i="3"/>
  <c r="Y78" i="3"/>
  <c r="Z78" i="3"/>
  <c r="AA78" i="3"/>
  <c r="AB78" i="3"/>
  <c r="AD78" i="3"/>
  <c r="AE78" i="3"/>
  <c r="AG78" i="3"/>
  <c r="AH78" i="3"/>
  <c r="A79" i="3"/>
  <c r="C79" i="3"/>
  <c r="E79" i="3"/>
  <c r="F79" i="3"/>
  <c r="G79" i="3"/>
  <c r="H79" i="3"/>
  <c r="I79" i="3"/>
  <c r="J79" i="3"/>
  <c r="AH79" i="3" s="1"/>
  <c r="K79" i="3"/>
  <c r="L79" i="3"/>
  <c r="M79" i="3"/>
  <c r="N79" i="3"/>
  <c r="O79" i="3"/>
  <c r="P79" i="3"/>
  <c r="Q79" i="3"/>
  <c r="R79" i="3"/>
  <c r="S79" i="3"/>
  <c r="T79" i="3"/>
  <c r="Y79" i="3"/>
  <c r="Z79" i="3"/>
  <c r="AA79" i="3"/>
  <c r="AB79" i="3"/>
  <c r="AD79" i="3"/>
  <c r="AE79" i="3"/>
  <c r="AG79" i="3"/>
  <c r="A80" i="3"/>
  <c r="C80" i="3"/>
  <c r="E80" i="3"/>
  <c r="F80" i="3"/>
  <c r="G80" i="3"/>
  <c r="H80" i="3"/>
  <c r="I80" i="3"/>
  <c r="J80" i="3"/>
  <c r="AH80" i="3" s="1"/>
  <c r="K80" i="3"/>
  <c r="L80" i="3"/>
  <c r="M80" i="3"/>
  <c r="N80" i="3"/>
  <c r="O80" i="3"/>
  <c r="P80" i="3"/>
  <c r="Q80" i="3"/>
  <c r="R80" i="3"/>
  <c r="S80" i="3"/>
  <c r="T80" i="3"/>
  <c r="Y80" i="3"/>
  <c r="Z80" i="3"/>
  <c r="AA80" i="3"/>
  <c r="AB80" i="3"/>
  <c r="AD80" i="3"/>
  <c r="AE80" i="3"/>
  <c r="AG80" i="3"/>
  <c r="A81" i="3"/>
  <c r="C81" i="3"/>
  <c r="E81" i="3"/>
  <c r="F81" i="3"/>
  <c r="G81" i="3"/>
  <c r="H81" i="3"/>
  <c r="I81" i="3"/>
  <c r="J81" i="3"/>
  <c r="AH81" i="3" s="1"/>
  <c r="K81" i="3"/>
  <c r="L81" i="3"/>
  <c r="M81" i="3"/>
  <c r="N81" i="3"/>
  <c r="O81" i="3"/>
  <c r="P81" i="3"/>
  <c r="Q81" i="3"/>
  <c r="R81" i="3"/>
  <c r="S81" i="3"/>
  <c r="T81" i="3"/>
  <c r="Y81" i="3"/>
  <c r="Z81" i="3"/>
  <c r="AA81" i="3"/>
  <c r="AB81" i="3"/>
  <c r="AD81" i="3"/>
  <c r="AE81" i="3"/>
  <c r="AG81" i="3"/>
  <c r="A82" i="3"/>
  <c r="C82" i="3"/>
  <c r="E82" i="3"/>
  <c r="F82" i="3"/>
  <c r="G82" i="3"/>
  <c r="H82" i="3"/>
  <c r="I82" i="3"/>
  <c r="J82" i="3"/>
  <c r="AH82" i="3" s="1"/>
  <c r="K82" i="3"/>
  <c r="L82" i="3"/>
  <c r="M82" i="3"/>
  <c r="N82" i="3"/>
  <c r="O82" i="3"/>
  <c r="P82" i="3"/>
  <c r="Q82" i="3"/>
  <c r="R82" i="3"/>
  <c r="S82" i="3"/>
  <c r="T82" i="3"/>
  <c r="Y82" i="3"/>
  <c r="Z82" i="3"/>
  <c r="AA82" i="3"/>
  <c r="AB82" i="3"/>
  <c r="AD82" i="3"/>
  <c r="AE82" i="3"/>
  <c r="AG82" i="3"/>
  <c r="A83" i="3"/>
  <c r="C83" i="3"/>
  <c r="E83" i="3"/>
  <c r="F83" i="3"/>
  <c r="G83" i="3"/>
  <c r="H83" i="3"/>
  <c r="I83" i="3"/>
  <c r="J83" i="3"/>
  <c r="AH83" i="3" s="1"/>
  <c r="K83" i="3"/>
  <c r="L83" i="3"/>
  <c r="M83" i="3"/>
  <c r="N83" i="3"/>
  <c r="O83" i="3"/>
  <c r="P83" i="3"/>
  <c r="Q83" i="3"/>
  <c r="R83" i="3"/>
  <c r="S83" i="3"/>
  <c r="T83" i="3"/>
  <c r="Y83" i="3"/>
  <c r="Z83" i="3"/>
  <c r="AA83" i="3"/>
  <c r="AB83" i="3"/>
  <c r="AD83" i="3"/>
  <c r="AE83" i="3"/>
  <c r="AG83" i="3"/>
  <c r="A84" i="3"/>
  <c r="C84" i="3"/>
  <c r="E84" i="3"/>
  <c r="F84" i="3"/>
  <c r="G84" i="3"/>
  <c r="H84" i="3"/>
  <c r="I84" i="3"/>
  <c r="J84" i="3"/>
  <c r="AH84" i="3" s="1"/>
  <c r="K84" i="3"/>
  <c r="L84" i="3"/>
  <c r="M84" i="3"/>
  <c r="N84" i="3"/>
  <c r="O84" i="3"/>
  <c r="P84" i="3"/>
  <c r="Q84" i="3"/>
  <c r="R84" i="3"/>
  <c r="S84" i="3"/>
  <c r="T84" i="3"/>
  <c r="Y84" i="3"/>
  <c r="Z84" i="3"/>
  <c r="AA84" i="3"/>
  <c r="AB84" i="3"/>
  <c r="AD84" i="3"/>
  <c r="AE84" i="3"/>
  <c r="AF84" i="3"/>
  <c r="AG84" i="3"/>
  <c r="A85" i="3"/>
  <c r="C85" i="3"/>
  <c r="E85" i="3"/>
  <c r="F85" i="3"/>
  <c r="G85" i="3"/>
  <c r="H85" i="3"/>
  <c r="I85" i="3"/>
  <c r="J85" i="3"/>
  <c r="AH85" i="3" s="1"/>
  <c r="K85" i="3"/>
  <c r="L85" i="3"/>
  <c r="M85" i="3"/>
  <c r="N85" i="3"/>
  <c r="O85" i="3"/>
  <c r="P85" i="3"/>
  <c r="Q85" i="3"/>
  <c r="R85" i="3"/>
  <c r="S85" i="3"/>
  <c r="T85" i="3"/>
  <c r="Y85" i="3"/>
  <c r="Z85" i="3"/>
  <c r="AA85" i="3"/>
  <c r="AB85" i="3"/>
  <c r="AD85" i="3"/>
  <c r="AE85" i="3"/>
  <c r="AG85" i="3"/>
  <c r="A86" i="3"/>
  <c r="C86" i="3"/>
  <c r="E86" i="3"/>
  <c r="F86" i="3"/>
  <c r="G86" i="3"/>
  <c r="H86" i="3"/>
  <c r="I86" i="3"/>
  <c r="J86" i="3"/>
  <c r="AH86" i="3" s="1"/>
  <c r="K86" i="3"/>
  <c r="L86" i="3"/>
  <c r="M86" i="3"/>
  <c r="N86" i="3"/>
  <c r="O86" i="3"/>
  <c r="P86" i="3"/>
  <c r="Q86" i="3"/>
  <c r="R86" i="3"/>
  <c r="S86" i="3"/>
  <c r="T86" i="3"/>
  <c r="Y86" i="3"/>
  <c r="Z86" i="3"/>
  <c r="AA86" i="3"/>
  <c r="AB86" i="3"/>
  <c r="AD86" i="3"/>
  <c r="AE86" i="3"/>
  <c r="AG86" i="3"/>
  <c r="A87" i="3"/>
  <c r="C87" i="3"/>
  <c r="E87" i="3"/>
  <c r="F87" i="3"/>
  <c r="G87" i="3"/>
  <c r="H87" i="3"/>
  <c r="I87" i="3"/>
  <c r="J87" i="3"/>
  <c r="AH87" i="3" s="1"/>
  <c r="K87" i="3"/>
  <c r="L87" i="3"/>
  <c r="M87" i="3"/>
  <c r="N87" i="3"/>
  <c r="O87" i="3"/>
  <c r="P87" i="3"/>
  <c r="Q87" i="3"/>
  <c r="R87" i="3"/>
  <c r="S87" i="3"/>
  <c r="T87" i="3"/>
  <c r="Y87" i="3"/>
  <c r="Z87" i="3"/>
  <c r="AA87" i="3"/>
  <c r="AB87" i="3"/>
  <c r="AD87" i="3"/>
  <c r="AE87" i="3"/>
  <c r="AG87" i="3"/>
  <c r="A88" i="3"/>
  <c r="C88" i="3"/>
  <c r="E88" i="3"/>
  <c r="F88" i="3"/>
  <c r="G88" i="3"/>
  <c r="H88" i="3"/>
  <c r="I88" i="3"/>
  <c r="J88" i="3"/>
  <c r="AH88" i="3" s="1"/>
  <c r="K88" i="3"/>
  <c r="L88" i="3"/>
  <c r="M88" i="3"/>
  <c r="N88" i="3"/>
  <c r="O88" i="3"/>
  <c r="P88" i="3"/>
  <c r="Q88" i="3"/>
  <c r="R88" i="3"/>
  <c r="S88" i="3"/>
  <c r="T88" i="3"/>
  <c r="Y88" i="3"/>
  <c r="Z88" i="3"/>
  <c r="AA88" i="3"/>
  <c r="AB88" i="3"/>
  <c r="AD88" i="3"/>
  <c r="AE88" i="3"/>
  <c r="AG88" i="3"/>
  <c r="A89" i="3"/>
  <c r="C89" i="3"/>
  <c r="E89" i="3"/>
  <c r="F89" i="3"/>
  <c r="G89" i="3"/>
  <c r="H89" i="3"/>
  <c r="I89" i="3"/>
  <c r="J89" i="3"/>
  <c r="AH89" i="3" s="1"/>
  <c r="K89" i="3"/>
  <c r="L89" i="3"/>
  <c r="M89" i="3"/>
  <c r="N89" i="3"/>
  <c r="O89" i="3"/>
  <c r="P89" i="3"/>
  <c r="Q89" i="3"/>
  <c r="R89" i="3"/>
  <c r="S89" i="3"/>
  <c r="T89" i="3"/>
  <c r="Y89" i="3"/>
  <c r="Z89" i="3"/>
  <c r="AA89" i="3"/>
  <c r="AB89" i="3"/>
  <c r="AD89" i="3"/>
  <c r="AE89" i="3"/>
  <c r="AG89" i="3"/>
  <c r="A90" i="3"/>
  <c r="C90" i="3"/>
  <c r="E90" i="3"/>
  <c r="F90" i="3"/>
  <c r="G90" i="3"/>
  <c r="H90" i="3"/>
  <c r="I90" i="3"/>
  <c r="J90" i="3"/>
  <c r="AH90" i="3" s="1"/>
  <c r="K90" i="3"/>
  <c r="L90" i="3"/>
  <c r="M90" i="3"/>
  <c r="N90" i="3"/>
  <c r="O90" i="3"/>
  <c r="P90" i="3"/>
  <c r="Q90" i="3"/>
  <c r="R90" i="3"/>
  <c r="S90" i="3"/>
  <c r="T90" i="3"/>
  <c r="Y90" i="3"/>
  <c r="Z90" i="3"/>
  <c r="AA90" i="3"/>
  <c r="AB90" i="3"/>
  <c r="AD90" i="3"/>
  <c r="AE90" i="3"/>
  <c r="AG90" i="3"/>
  <c r="A91" i="3"/>
  <c r="C91" i="3"/>
  <c r="E91" i="3"/>
  <c r="F91" i="3"/>
  <c r="G91" i="3"/>
  <c r="H91" i="3"/>
  <c r="I91" i="3"/>
  <c r="J91" i="3"/>
  <c r="AH91" i="3" s="1"/>
  <c r="K91" i="3"/>
  <c r="L91" i="3"/>
  <c r="M91" i="3"/>
  <c r="N91" i="3"/>
  <c r="O91" i="3"/>
  <c r="P91" i="3"/>
  <c r="Q91" i="3"/>
  <c r="R91" i="3"/>
  <c r="S91" i="3"/>
  <c r="T91" i="3"/>
  <c r="Y91" i="3"/>
  <c r="Z91" i="3"/>
  <c r="AA91" i="3"/>
  <c r="AB91" i="3"/>
  <c r="AD91" i="3"/>
  <c r="AE91" i="3"/>
  <c r="AG91" i="3"/>
  <c r="A92" i="3"/>
  <c r="C92" i="3"/>
  <c r="E92" i="3"/>
  <c r="F92" i="3"/>
  <c r="G92" i="3"/>
  <c r="H92" i="3"/>
  <c r="I92" i="3"/>
  <c r="J92" i="3"/>
  <c r="AH92" i="3" s="1"/>
  <c r="K92" i="3"/>
  <c r="L92" i="3"/>
  <c r="M92" i="3"/>
  <c r="N92" i="3"/>
  <c r="O92" i="3"/>
  <c r="P92" i="3"/>
  <c r="Q92" i="3"/>
  <c r="R92" i="3"/>
  <c r="S92" i="3"/>
  <c r="T92" i="3"/>
  <c r="Y92" i="3"/>
  <c r="Z92" i="3"/>
  <c r="AA92" i="3"/>
  <c r="AB92" i="3"/>
  <c r="AD92" i="3"/>
  <c r="AE92" i="3"/>
  <c r="AG92" i="3"/>
  <c r="A93" i="3"/>
  <c r="C93" i="3"/>
  <c r="E93" i="3"/>
  <c r="F93" i="3"/>
  <c r="G93" i="3"/>
  <c r="H93" i="3"/>
  <c r="I93" i="3"/>
  <c r="J93" i="3"/>
  <c r="K93" i="3"/>
  <c r="L93" i="3"/>
  <c r="M93" i="3"/>
  <c r="N93" i="3"/>
  <c r="O93" i="3"/>
  <c r="P93" i="3"/>
  <c r="Q93" i="3"/>
  <c r="R93" i="3"/>
  <c r="S93" i="3"/>
  <c r="T93" i="3"/>
  <c r="Y93" i="3"/>
  <c r="Z93" i="3"/>
  <c r="AA93" i="3"/>
  <c r="AB93" i="3"/>
  <c r="AD93" i="3"/>
  <c r="AE93" i="3"/>
  <c r="AG93" i="3"/>
  <c r="AH93" i="3"/>
  <c r="A94" i="3"/>
  <c r="C94" i="3"/>
  <c r="E94" i="3"/>
  <c r="F94" i="3"/>
  <c r="G94" i="3"/>
  <c r="H94" i="3"/>
  <c r="I94" i="3"/>
  <c r="J94" i="3"/>
  <c r="AH94" i="3" s="1"/>
  <c r="K94" i="3"/>
  <c r="L94" i="3"/>
  <c r="M94" i="3"/>
  <c r="N94" i="3"/>
  <c r="O94" i="3"/>
  <c r="P94" i="3"/>
  <c r="Q94" i="3"/>
  <c r="R94" i="3"/>
  <c r="S94" i="3"/>
  <c r="T94" i="3"/>
  <c r="Y94" i="3"/>
  <c r="Z94" i="3"/>
  <c r="AA94" i="3"/>
  <c r="AB94" i="3"/>
  <c r="AD94" i="3"/>
  <c r="AE94" i="3"/>
  <c r="AG94" i="3"/>
  <c r="A95" i="3"/>
  <c r="C95" i="3"/>
  <c r="E95" i="3"/>
  <c r="F95" i="3"/>
  <c r="G95" i="3"/>
  <c r="H95" i="3"/>
  <c r="I95" i="3"/>
  <c r="J95" i="3"/>
  <c r="AH95" i="3" s="1"/>
  <c r="K95" i="3"/>
  <c r="L95" i="3"/>
  <c r="M95" i="3"/>
  <c r="N95" i="3"/>
  <c r="O95" i="3"/>
  <c r="P95" i="3"/>
  <c r="Q95" i="3"/>
  <c r="R95" i="3"/>
  <c r="S95" i="3"/>
  <c r="T95" i="3"/>
  <c r="Y95" i="3"/>
  <c r="Z95" i="3"/>
  <c r="AA95" i="3"/>
  <c r="AB95" i="3"/>
  <c r="AD95" i="3"/>
  <c r="AE95" i="3"/>
  <c r="AG95" i="3"/>
  <c r="A96" i="3"/>
  <c r="C96" i="3"/>
  <c r="E96" i="3"/>
  <c r="F96" i="3"/>
  <c r="G96" i="3"/>
  <c r="H96" i="3"/>
  <c r="I96" i="3"/>
  <c r="J96" i="3"/>
  <c r="AH96" i="3" s="1"/>
  <c r="K96" i="3"/>
  <c r="L96" i="3"/>
  <c r="M96" i="3"/>
  <c r="N96" i="3"/>
  <c r="O96" i="3"/>
  <c r="P96" i="3"/>
  <c r="Q96" i="3"/>
  <c r="R96" i="3"/>
  <c r="S96" i="3"/>
  <c r="T96" i="3"/>
  <c r="Y96" i="3"/>
  <c r="Z96" i="3"/>
  <c r="AA96" i="3"/>
  <c r="AB96" i="3"/>
  <c r="AD96" i="3"/>
  <c r="AE96" i="3"/>
  <c r="AG96" i="3"/>
  <c r="A97" i="3"/>
  <c r="C97" i="3"/>
  <c r="E97" i="3"/>
  <c r="F97" i="3"/>
  <c r="G97" i="3"/>
  <c r="H97" i="3"/>
  <c r="I97" i="3"/>
  <c r="J97" i="3"/>
  <c r="K97" i="3"/>
  <c r="L97" i="3"/>
  <c r="M97" i="3"/>
  <c r="N97" i="3"/>
  <c r="O97" i="3"/>
  <c r="P97" i="3"/>
  <c r="Q97" i="3"/>
  <c r="R97" i="3"/>
  <c r="S97" i="3"/>
  <c r="T97" i="3"/>
  <c r="Y97" i="3"/>
  <c r="Z97" i="3"/>
  <c r="AA97" i="3"/>
  <c r="AB97" i="3"/>
  <c r="AD97" i="3"/>
  <c r="AE97" i="3"/>
  <c r="AG97" i="3"/>
  <c r="AH97" i="3"/>
  <c r="A98" i="3"/>
  <c r="C98" i="3"/>
  <c r="E98" i="3"/>
  <c r="F98" i="3"/>
  <c r="G98" i="3"/>
  <c r="H98" i="3"/>
  <c r="I98" i="3"/>
  <c r="J98" i="3"/>
  <c r="AH98" i="3" s="1"/>
  <c r="K98" i="3"/>
  <c r="L98" i="3"/>
  <c r="M98" i="3"/>
  <c r="N98" i="3"/>
  <c r="O98" i="3"/>
  <c r="P98" i="3"/>
  <c r="Q98" i="3"/>
  <c r="R98" i="3"/>
  <c r="S98" i="3"/>
  <c r="T98" i="3"/>
  <c r="Y98" i="3"/>
  <c r="Z98" i="3"/>
  <c r="AA98" i="3"/>
  <c r="AB98" i="3"/>
  <c r="AD98" i="3"/>
  <c r="AE98" i="3"/>
  <c r="AG98" i="3"/>
  <c r="A99" i="3"/>
  <c r="C99" i="3"/>
  <c r="E99" i="3"/>
  <c r="F99" i="3"/>
  <c r="G99" i="3"/>
  <c r="H99" i="3"/>
  <c r="I99" i="3"/>
  <c r="J99" i="3"/>
  <c r="AH99" i="3" s="1"/>
  <c r="K99" i="3"/>
  <c r="L99" i="3"/>
  <c r="M99" i="3"/>
  <c r="N99" i="3"/>
  <c r="O99" i="3"/>
  <c r="P99" i="3"/>
  <c r="Q99" i="3"/>
  <c r="R99" i="3"/>
  <c r="S99" i="3"/>
  <c r="T99" i="3"/>
  <c r="Y99" i="3"/>
  <c r="Z99" i="3"/>
  <c r="AA99" i="3"/>
  <c r="AB99" i="3"/>
  <c r="AD99" i="3"/>
  <c r="AE99" i="3"/>
  <c r="AG99" i="3"/>
  <c r="A100" i="3"/>
  <c r="C100" i="3"/>
  <c r="E100" i="3"/>
  <c r="F100" i="3"/>
  <c r="G100" i="3"/>
  <c r="H100" i="3"/>
  <c r="I100" i="3"/>
  <c r="J100" i="3"/>
  <c r="AH100" i="3" s="1"/>
  <c r="K100" i="3"/>
  <c r="L100" i="3"/>
  <c r="M100" i="3"/>
  <c r="N100" i="3"/>
  <c r="O100" i="3"/>
  <c r="P100" i="3"/>
  <c r="Q100" i="3"/>
  <c r="R100" i="3"/>
  <c r="S100" i="3"/>
  <c r="T100" i="3"/>
  <c r="Y100" i="3"/>
  <c r="Z100" i="3"/>
  <c r="AA100" i="3"/>
  <c r="AB100" i="3"/>
  <c r="AD100" i="3"/>
  <c r="AE100" i="3"/>
  <c r="AG100" i="3"/>
  <c r="A101" i="3"/>
  <c r="C101" i="3"/>
  <c r="E101" i="3"/>
  <c r="F101" i="3"/>
  <c r="G101" i="3"/>
  <c r="H101" i="3"/>
  <c r="I101" i="3"/>
  <c r="J101" i="3"/>
  <c r="AH101" i="3" s="1"/>
  <c r="K101" i="3"/>
  <c r="L101" i="3"/>
  <c r="M101" i="3"/>
  <c r="N101" i="3"/>
  <c r="O101" i="3"/>
  <c r="P101" i="3"/>
  <c r="Q101" i="3"/>
  <c r="R101" i="3"/>
  <c r="S101" i="3"/>
  <c r="T101" i="3"/>
  <c r="Y101" i="3"/>
  <c r="Z101" i="3"/>
  <c r="AA101" i="3"/>
  <c r="AB101" i="3"/>
  <c r="AD101" i="3"/>
  <c r="AE101" i="3"/>
  <c r="AG101" i="3"/>
  <c r="A102" i="3"/>
  <c r="C102" i="3"/>
  <c r="E102" i="3"/>
  <c r="F102" i="3"/>
  <c r="G102" i="3"/>
  <c r="H102" i="3"/>
  <c r="I102" i="3"/>
  <c r="J102" i="3"/>
  <c r="AH102" i="3" s="1"/>
  <c r="K102" i="3"/>
  <c r="L102" i="3"/>
  <c r="M102" i="3"/>
  <c r="N102" i="3"/>
  <c r="O102" i="3"/>
  <c r="P102" i="3"/>
  <c r="Q102" i="3"/>
  <c r="R102" i="3"/>
  <c r="S102" i="3"/>
  <c r="T102" i="3"/>
  <c r="Y102" i="3"/>
  <c r="Z102" i="3"/>
  <c r="AA102" i="3"/>
  <c r="AB102" i="3"/>
  <c r="AD102" i="3"/>
  <c r="AE102" i="3"/>
  <c r="AG102" i="3"/>
  <c r="A103" i="3"/>
  <c r="C103" i="3"/>
  <c r="E103" i="3"/>
  <c r="F103" i="3"/>
  <c r="G103" i="3"/>
  <c r="H103" i="3"/>
  <c r="I103" i="3"/>
  <c r="J103" i="3"/>
  <c r="AH103" i="3" s="1"/>
  <c r="K103" i="3"/>
  <c r="L103" i="3"/>
  <c r="M103" i="3"/>
  <c r="N103" i="3"/>
  <c r="O103" i="3"/>
  <c r="P103" i="3"/>
  <c r="Q103" i="3"/>
  <c r="R103" i="3"/>
  <c r="S103" i="3"/>
  <c r="T103" i="3"/>
  <c r="Y103" i="3"/>
  <c r="Z103" i="3"/>
  <c r="AA103" i="3"/>
  <c r="AB103" i="3"/>
  <c r="AD103" i="3"/>
  <c r="AE103" i="3"/>
  <c r="AG103" i="3"/>
  <c r="A104" i="3"/>
  <c r="C104" i="3"/>
  <c r="E104" i="3"/>
  <c r="F104" i="3"/>
  <c r="G104" i="3"/>
  <c r="H104" i="3"/>
  <c r="I104" i="3"/>
  <c r="J104" i="3"/>
  <c r="AH104" i="3" s="1"/>
  <c r="K104" i="3"/>
  <c r="L104" i="3"/>
  <c r="M104" i="3"/>
  <c r="N104" i="3"/>
  <c r="O104" i="3"/>
  <c r="P104" i="3"/>
  <c r="Q104" i="3"/>
  <c r="R104" i="3"/>
  <c r="S104" i="3"/>
  <c r="T104" i="3"/>
  <c r="Y104" i="3"/>
  <c r="Z104" i="3"/>
  <c r="AA104" i="3"/>
  <c r="AB104" i="3"/>
  <c r="AD104" i="3"/>
  <c r="AE104" i="3"/>
  <c r="AG104" i="3"/>
  <c r="A105" i="3"/>
  <c r="C105" i="3"/>
  <c r="E105" i="3"/>
  <c r="F105" i="3"/>
  <c r="G105" i="3"/>
  <c r="H105" i="3"/>
  <c r="I105" i="3"/>
  <c r="J105" i="3"/>
  <c r="AH105" i="3" s="1"/>
  <c r="K105" i="3"/>
  <c r="L105" i="3"/>
  <c r="M105" i="3"/>
  <c r="N105" i="3"/>
  <c r="O105" i="3"/>
  <c r="P105" i="3"/>
  <c r="Q105" i="3"/>
  <c r="R105" i="3"/>
  <c r="S105" i="3"/>
  <c r="T105" i="3"/>
  <c r="Y105" i="3"/>
  <c r="Z105" i="3"/>
  <c r="AA105" i="3"/>
  <c r="AB105" i="3"/>
  <c r="AD105" i="3"/>
  <c r="AE105" i="3"/>
  <c r="AG105" i="3"/>
  <c r="A106" i="3"/>
  <c r="C106" i="3"/>
  <c r="E106" i="3"/>
  <c r="F106" i="3"/>
  <c r="G106" i="3"/>
  <c r="H106" i="3"/>
  <c r="I106" i="3"/>
  <c r="J106" i="3"/>
  <c r="AH106" i="3" s="1"/>
  <c r="K106" i="3"/>
  <c r="L106" i="3"/>
  <c r="M106" i="3"/>
  <c r="N106" i="3"/>
  <c r="O106" i="3"/>
  <c r="P106" i="3"/>
  <c r="Q106" i="3"/>
  <c r="R106" i="3"/>
  <c r="S106" i="3"/>
  <c r="T106" i="3"/>
  <c r="Y106" i="3"/>
  <c r="Z106" i="3"/>
  <c r="AA106" i="3"/>
  <c r="AB106" i="3"/>
  <c r="AD106" i="3"/>
  <c r="AE106" i="3"/>
  <c r="AG106" i="3"/>
  <c r="A107" i="3"/>
  <c r="C107" i="3"/>
  <c r="E107" i="3"/>
  <c r="F107" i="3"/>
  <c r="G107" i="3"/>
  <c r="H107" i="3"/>
  <c r="I107" i="3"/>
  <c r="J107" i="3"/>
  <c r="AH107" i="3" s="1"/>
  <c r="K107" i="3"/>
  <c r="L107" i="3"/>
  <c r="M107" i="3"/>
  <c r="N107" i="3"/>
  <c r="O107" i="3"/>
  <c r="P107" i="3"/>
  <c r="Q107" i="3"/>
  <c r="R107" i="3"/>
  <c r="S107" i="3"/>
  <c r="T107" i="3"/>
  <c r="Y107" i="3"/>
  <c r="Z107" i="3"/>
  <c r="AA107" i="3"/>
  <c r="AB107" i="3"/>
  <c r="AD107" i="3"/>
  <c r="AE107" i="3"/>
  <c r="AG107" i="3"/>
  <c r="A108" i="3"/>
  <c r="C108" i="3"/>
  <c r="E108" i="3"/>
  <c r="F108" i="3"/>
  <c r="G108" i="3"/>
  <c r="H108" i="3"/>
  <c r="I108" i="3"/>
  <c r="J108" i="3"/>
  <c r="AH108" i="3" s="1"/>
  <c r="K108" i="3"/>
  <c r="L108" i="3"/>
  <c r="M108" i="3"/>
  <c r="N108" i="3"/>
  <c r="O108" i="3"/>
  <c r="P108" i="3"/>
  <c r="Q108" i="3"/>
  <c r="R108" i="3"/>
  <c r="S108" i="3"/>
  <c r="T108" i="3"/>
  <c r="Y108" i="3"/>
  <c r="Z108" i="3"/>
  <c r="AA108" i="3"/>
  <c r="AB108" i="3"/>
  <c r="AD108" i="3"/>
  <c r="AE108" i="3"/>
  <c r="AG108" i="3"/>
  <c r="A109" i="3"/>
  <c r="C109" i="3"/>
  <c r="E109" i="3"/>
  <c r="F109" i="3"/>
  <c r="G109" i="3"/>
  <c r="H109" i="3"/>
  <c r="I109" i="3"/>
  <c r="J109" i="3"/>
  <c r="AH109" i="3" s="1"/>
  <c r="K109" i="3"/>
  <c r="L109" i="3"/>
  <c r="M109" i="3"/>
  <c r="N109" i="3"/>
  <c r="O109" i="3"/>
  <c r="P109" i="3"/>
  <c r="Q109" i="3"/>
  <c r="R109" i="3"/>
  <c r="S109" i="3"/>
  <c r="T109" i="3"/>
  <c r="Y109" i="3"/>
  <c r="Z109" i="3"/>
  <c r="AA109" i="3"/>
  <c r="AB109" i="3"/>
  <c r="AD109" i="3"/>
  <c r="AE109" i="3"/>
  <c r="AG109" i="3"/>
  <c r="A110" i="3"/>
  <c r="C110" i="3"/>
  <c r="E110" i="3"/>
  <c r="F110" i="3"/>
  <c r="G110" i="3"/>
  <c r="H110" i="3"/>
  <c r="I110" i="3"/>
  <c r="J110" i="3"/>
  <c r="AH110" i="3" s="1"/>
  <c r="K110" i="3"/>
  <c r="L110" i="3"/>
  <c r="M110" i="3"/>
  <c r="N110" i="3"/>
  <c r="O110" i="3"/>
  <c r="P110" i="3"/>
  <c r="Q110" i="3"/>
  <c r="R110" i="3"/>
  <c r="S110" i="3"/>
  <c r="T110" i="3"/>
  <c r="Y110" i="3"/>
  <c r="Z110" i="3"/>
  <c r="AA110" i="3"/>
  <c r="AB110" i="3"/>
  <c r="AD110" i="3"/>
  <c r="AE110" i="3"/>
  <c r="AG110" i="3"/>
  <c r="A111" i="3"/>
  <c r="C111" i="3"/>
  <c r="E111" i="3"/>
  <c r="F111" i="3"/>
  <c r="G111" i="3"/>
  <c r="H111" i="3"/>
  <c r="I111" i="3"/>
  <c r="J111" i="3"/>
  <c r="AH111" i="3" s="1"/>
  <c r="K111" i="3"/>
  <c r="L111" i="3"/>
  <c r="M111" i="3"/>
  <c r="N111" i="3"/>
  <c r="O111" i="3"/>
  <c r="P111" i="3"/>
  <c r="Q111" i="3"/>
  <c r="R111" i="3"/>
  <c r="S111" i="3"/>
  <c r="T111" i="3"/>
  <c r="Y111" i="3"/>
  <c r="Z111" i="3"/>
  <c r="AA111" i="3"/>
  <c r="AB111" i="3"/>
  <c r="AD111" i="3"/>
  <c r="AE111" i="3"/>
  <c r="AG111" i="3"/>
  <c r="A112" i="3"/>
  <c r="C112" i="3"/>
  <c r="E112" i="3"/>
  <c r="F112" i="3"/>
  <c r="G112" i="3"/>
  <c r="H112" i="3"/>
  <c r="I112" i="3"/>
  <c r="J112" i="3"/>
  <c r="AH112" i="3" s="1"/>
  <c r="K112" i="3"/>
  <c r="L112" i="3"/>
  <c r="M112" i="3"/>
  <c r="N112" i="3"/>
  <c r="O112" i="3"/>
  <c r="P112" i="3"/>
  <c r="Q112" i="3"/>
  <c r="R112" i="3"/>
  <c r="S112" i="3"/>
  <c r="T112" i="3"/>
  <c r="Y112" i="3"/>
  <c r="Z112" i="3"/>
  <c r="AA112" i="3"/>
  <c r="AB112" i="3"/>
  <c r="AD112" i="3"/>
  <c r="AE112" i="3"/>
  <c r="AG112" i="3"/>
  <c r="A113" i="3"/>
  <c r="C113" i="3"/>
  <c r="E113" i="3"/>
  <c r="F113" i="3"/>
  <c r="G113" i="3"/>
  <c r="H113" i="3"/>
  <c r="I113" i="3"/>
  <c r="J113" i="3"/>
  <c r="K113" i="3"/>
  <c r="L113" i="3"/>
  <c r="M113" i="3"/>
  <c r="N113" i="3"/>
  <c r="O113" i="3"/>
  <c r="P113" i="3"/>
  <c r="Q113" i="3"/>
  <c r="R113" i="3"/>
  <c r="S113" i="3"/>
  <c r="T113" i="3"/>
  <c r="Y113" i="3"/>
  <c r="Z113" i="3"/>
  <c r="AA113" i="3"/>
  <c r="AB113" i="3"/>
  <c r="AD113" i="3"/>
  <c r="AE113" i="3"/>
  <c r="AG113" i="3"/>
  <c r="AH113" i="3"/>
  <c r="A114" i="3"/>
  <c r="C114" i="3"/>
  <c r="E114" i="3"/>
  <c r="F114" i="3"/>
  <c r="G114" i="3"/>
  <c r="H114" i="3"/>
  <c r="I114" i="3"/>
  <c r="J114" i="3"/>
  <c r="AH114" i="3" s="1"/>
  <c r="K114" i="3"/>
  <c r="L114" i="3"/>
  <c r="M114" i="3"/>
  <c r="N114" i="3"/>
  <c r="O114" i="3"/>
  <c r="P114" i="3"/>
  <c r="Q114" i="3"/>
  <c r="R114" i="3"/>
  <c r="S114" i="3"/>
  <c r="T114" i="3"/>
  <c r="Y114" i="3"/>
  <c r="Z114" i="3"/>
  <c r="AA114" i="3"/>
  <c r="AB114" i="3"/>
  <c r="AD114" i="3"/>
  <c r="AE114" i="3"/>
  <c r="AG114" i="3"/>
  <c r="A115" i="3"/>
  <c r="C115" i="3"/>
  <c r="E115" i="3"/>
  <c r="F115" i="3"/>
  <c r="G115" i="3"/>
  <c r="H115" i="3"/>
  <c r="I115" i="3"/>
  <c r="J115" i="3"/>
  <c r="AH115" i="3" s="1"/>
  <c r="K115" i="3"/>
  <c r="L115" i="3"/>
  <c r="M115" i="3"/>
  <c r="N115" i="3"/>
  <c r="O115" i="3"/>
  <c r="P115" i="3"/>
  <c r="Q115" i="3"/>
  <c r="R115" i="3"/>
  <c r="S115" i="3"/>
  <c r="T115" i="3"/>
  <c r="Y115" i="3"/>
  <c r="Z115" i="3"/>
  <c r="AA115" i="3"/>
  <c r="AB115" i="3"/>
  <c r="AC115" i="3"/>
  <c r="AD115" i="3"/>
  <c r="AE115" i="3"/>
  <c r="AG115" i="3"/>
  <c r="A116" i="3"/>
  <c r="C116" i="3"/>
  <c r="E116" i="3"/>
  <c r="F116" i="3"/>
  <c r="G116" i="3"/>
  <c r="H116" i="3"/>
  <c r="I116" i="3"/>
  <c r="J116" i="3"/>
  <c r="AH116" i="3" s="1"/>
  <c r="K116" i="3"/>
  <c r="L116" i="3"/>
  <c r="M116" i="3"/>
  <c r="N116" i="3"/>
  <c r="O116" i="3"/>
  <c r="P116" i="3"/>
  <c r="Q116" i="3"/>
  <c r="R116" i="3"/>
  <c r="S116" i="3"/>
  <c r="T116" i="3"/>
  <c r="Y116" i="3"/>
  <c r="Z116" i="3"/>
  <c r="AA116" i="3"/>
  <c r="AB116" i="3"/>
  <c r="AC116" i="3"/>
  <c r="AD116" i="3"/>
  <c r="AE116" i="3"/>
  <c r="AG116" i="3"/>
  <c r="A117" i="3"/>
  <c r="C117" i="3"/>
  <c r="E117" i="3"/>
  <c r="F117" i="3"/>
  <c r="G117" i="3"/>
  <c r="H117" i="3"/>
  <c r="I117" i="3"/>
  <c r="J117" i="3"/>
  <c r="AH117" i="3" s="1"/>
  <c r="K117" i="3"/>
  <c r="L117" i="3"/>
  <c r="M117" i="3"/>
  <c r="N117" i="3"/>
  <c r="O117" i="3"/>
  <c r="P117" i="3"/>
  <c r="Q117" i="3"/>
  <c r="R117" i="3"/>
  <c r="S117" i="3"/>
  <c r="T117" i="3"/>
  <c r="Y117" i="3"/>
  <c r="Z117" i="3"/>
  <c r="AA117" i="3"/>
  <c r="AB117" i="3"/>
  <c r="AC117" i="3"/>
  <c r="AD117" i="3"/>
  <c r="AE117" i="3"/>
  <c r="AG117" i="3"/>
  <c r="A118" i="3"/>
  <c r="C118" i="3"/>
  <c r="E118" i="3"/>
  <c r="F118" i="3"/>
  <c r="G118" i="3"/>
  <c r="H118" i="3"/>
  <c r="I118" i="3"/>
  <c r="J118" i="3"/>
  <c r="K118" i="3"/>
  <c r="L118" i="3"/>
  <c r="M118" i="3"/>
  <c r="N118" i="3"/>
  <c r="O118" i="3"/>
  <c r="P118" i="3"/>
  <c r="Q118" i="3"/>
  <c r="R118" i="3"/>
  <c r="S118" i="3"/>
  <c r="T118" i="3"/>
  <c r="Y118" i="3"/>
  <c r="Z118" i="3"/>
  <c r="AA118" i="3"/>
  <c r="AB118" i="3"/>
  <c r="AC118" i="3"/>
  <c r="AD118" i="3"/>
  <c r="AE118" i="3"/>
  <c r="AG118" i="3"/>
  <c r="AH118" i="3"/>
  <c r="A119" i="3"/>
  <c r="C119" i="3"/>
  <c r="E119" i="3"/>
  <c r="F119" i="3"/>
  <c r="G119" i="3"/>
  <c r="H119" i="3"/>
  <c r="I119" i="3"/>
  <c r="J119" i="3"/>
  <c r="AH119" i="3" s="1"/>
  <c r="K119" i="3"/>
  <c r="L119" i="3"/>
  <c r="M119" i="3"/>
  <c r="N119" i="3"/>
  <c r="O119" i="3"/>
  <c r="P119" i="3"/>
  <c r="Q119" i="3"/>
  <c r="R119" i="3"/>
  <c r="S119" i="3"/>
  <c r="T119" i="3"/>
  <c r="Y119" i="3"/>
  <c r="Z119" i="3"/>
  <c r="AA119" i="3"/>
  <c r="AB119" i="3"/>
  <c r="AC119" i="3"/>
  <c r="AD119" i="3"/>
  <c r="AE119" i="3"/>
  <c r="AG119" i="3"/>
  <c r="A120" i="3"/>
  <c r="C120" i="3"/>
  <c r="E120" i="3"/>
  <c r="F120" i="3"/>
  <c r="G120" i="3"/>
  <c r="H120" i="3"/>
  <c r="I120" i="3"/>
  <c r="J120" i="3"/>
  <c r="AH120" i="3" s="1"/>
  <c r="K120" i="3"/>
  <c r="L120" i="3"/>
  <c r="M120" i="3"/>
  <c r="N120" i="3"/>
  <c r="O120" i="3"/>
  <c r="P120" i="3"/>
  <c r="Q120" i="3"/>
  <c r="R120" i="3"/>
  <c r="S120" i="3"/>
  <c r="T120" i="3"/>
  <c r="Y120" i="3"/>
  <c r="Z120" i="3"/>
  <c r="AA120" i="3"/>
  <c r="AB120" i="3"/>
  <c r="AC120" i="3"/>
  <c r="AD120" i="3"/>
  <c r="AE120" i="3"/>
  <c r="AG120" i="3"/>
  <c r="A121" i="3"/>
  <c r="C121" i="3"/>
  <c r="E121" i="3"/>
  <c r="F121" i="3"/>
  <c r="G121" i="3"/>
  <c r="H121" i="3"/>
  <c r="I121" i="3"/>
  <c r="J121" i="3"/>
  <c r="AH121" i="3" s="1"/>
  <c r="K121" i="3"/>
  <c r="L121" i="3"/>
  <c r="M121" i="3"/>
  <c r="N121" i="3"/>
  <c r="O121" i="3"/>
  <c r="P121" i="3"/>
  <c r="Q121" i="3"/>
  <c r="R121" i="3"/>
  <c r="S121" i="3"/>
  <c r="T121" i="3"/>
  <c r="Y121" i="3"/>
  <c r="Z121" i="3"/>
  <c r="AA121" i="3"/>
  <c r="AB121" i="3"/>
  <c r="AC121" i="3"/>
  <c r="AD121" i="3"/>
  <c r="AE121" i="3"/>
  <c r="AF121" i="3"/>
  <c r="AG121" i="3"/>
  <c r="A122" i="3"/>
  <c r="C122" i="3"/>
  <c r="E122" i="3"/>
  <c r="F122" i="3"/>
  <c r="G122" i="3"/>
  <c r="H122" i="3"/>
  <c r="I122" i="3"/>
  <c r="J122" i="3"/>
  <c r="AH122" i="3" s="1"/>
  <c r="K122" i="3"/>
  <c r="L122" i="3"/>
  <c r="M122" i="3"/>
  <c r="N122" i="3"/>
  <c r="O122" i="3"/>
  <c r="P122" i="3"/>
  <c r="Q122" i="3"/>
  <c r="R122" i="3"/>
  <c r="S122" i="3"/>
  <c r="T122" i="3"/>
  <c r="Y122" i="3"/>
  <c r="Z122" i="3"/>
  <c r="AA122" i="3"/>
  <c r="AB122" i="3"/>
  <c r="AC122" i="3"/>
  <c r="AD122" i="3"/>
  <c r="AE122" i="3"/>
  <c r="AG122" i="3"/>
  <c r="A123" i="3"/>
  <c r="C123" i="3"/>
  <c r="E123" i="3"/>
  <c r="F123" i="3"/>
  <c r="G123" i="3"/>
  <c r="H123" i="3"/>
  <c r="I123" i="3"/>
  <c r="J123" i="3"/>
  <c r="AH123" i="3" s="1"/>
  <c r="K123" i="3"/>
  <c r="L123" i="3"/>
  <c r="M123" i="3"/>
  <c r="N123" i="3"/>
  <c r="O123" i="3"/>
  <c r="P123" i="3"/>
  <c r="Q123" i="3"/>
  <c r="R123" i="3"/>
  <c r="S123" i="3"/>
  <c r="T123" i="3"/>
  <c r="Y123" i="3"/>
  <c r="Z123" i="3"/>
  <c r="AA123" i="3"/>
  <c r="AB123" i="3"/>
  <c r="AC123" i="3"/>
  <c r="AD123" i="3"/>
  <c r="AE123" i="3"/>
  <c r="AG123" i="3"/>
  <c r="A124" i="3"/>
  <c r="C124" i="3"/>
  <c r="E124" i="3"/>
  <c r="F124" i="3"/>
  <c r="G124" i="3"/>
  <c r="H124" i="3"/>
  <c r="I124" i="3"/>
  <c r="J124" i="3"/>
  <c r="AH124" i="3" s="1"/>
  <c r="K124" i="3"/>
  <c r="L124" i="3"/>
  <c r="M124" i="3"/>
  <c r="N124" i="3"/>
  <c r="O124" i="3"/>
  <c r="P124" i="3"/>
  <c r="Q124" i="3"/>
  <c r="R124" i="3"/>
  <c r="S124" i="3"/>
  <c r="T124" i="3"/>
  <c r="Y124" i="3"/>
  <c r="Z124" i="3"/>
  <c r="AA124" i="3"/>
  <c r="AB124" i="3"/>
  <c r="AC124" i="3"/>
  <c r="AD124" i="3"/>
  <c r="AE124" i="3"/>
  <c r="AG124" i="3"/>
  <c r="A125" i="3"/>
  <c r="C125" i="3"/>
  <c r="E125" i="3"/>
  <c r="F125" i="3"/>
  <c r="G125" i="3"/>
  <c r="H125" i="3"/>
  <c r="I125" i="3"/>
  <c r="J125" i="3"/>
  <c r="AH125" i="3" s="1"/>
  <c r="K125" i="3"/>
  <c r="L125" i="3"/>
  <c r="M125" i="3"/>
  <c r="N125" i="3"/>
  <c r="O125" i="3"/>
  <c r="P125" i="3"/>
  <c r="Q125" i="3"/>
  <c r="R125" i="3"/>
  <c r="S125" i="3"/>
  <c r="T125" i="3"/>
  <c r="Y125" i="3"/>
  <c r="Z125" i="3"/>
  <c r="AA125" i="3"/>
  <c r="AB125" i="3"/>
  <c r="AC125" i="3"/>
  <c r="AD125" i="3"/>
  <c r="AE125" i="3"/>
  <c r="AG125" i="3"/>
  <c r="A126" i="3"/>
  <c r="C126" i="3"/>
  <c r="E126" i="3"/>
  <c r="F126" i="3"/>
  <c r="G126" i="3"/>
  <c r="H126" i="3"/>
  <c r="I126" i="3"/>
  <c r="J126" i="3"/>
  <c r="AH126" i="3" s="1"/>
  <c r="K126" i="3"/>
  <c r="L126" i="3"/>
  <c r="M126" i="3"/>
  <c r="N126" i="3"/>
  <c r="O126" i="3"/>
  <c r="P126" i="3"/>
  <c r="Q126" i="3"/>
  <c r="R126" i="3"/>
  <c r="S126" i="3"/>
  <c r="T126" i="3"/>
  <c r="Y126" i="3"/>
  <c r="Z126" i="3"/>
  <c r="AA126" i="3"/>
  <c r="AB126" i="3"/>
  <c r="AC126" i="3"/>
  <c r="AD126" i="3"/>
  <c r="AE126" i="3"/>
  <c r="AG126" i="3"/>
  <c r="A127" i="3"/>
  <c r="C127" i="3"/>
  <c r="E127" i="3"/>
  <c r="F127" i="3"/>
  <c r="G127" i="3"/>
  <c r="H127" i="3"/>
  <c r="I127" i="3"/>
  <c r="J127" i="3"/>
  <c r="AH127" i="3" s="1"/>
  <c r="K127" i="3"/>
  <c r="L127" i="3"/>
  <c r="M127" i="3"/>
  <c r="N127" i="3"/>
  <c r="O127" i="3"/>
  <c r="P127" i="3"/>
  <c r="Q127" i="3"/>
  <c r="R127" i="3"/>
  <c r="S127" i="3"/>
  <c r="T127" i="3"/>
  <c r="Y127" i="3"/>
  <c r="Z127" i="3"/>
  <c r="AA127" i="3"/>
  <c r="AB127" i="3"/>
  <c r="AC127" i="3"/>
  <c r="AD127" i="3"/>
  <c r="AE127" i="3"/>
  <c r="AG127" i="3"/>
  <c r="A128" i="3"/>
  <c r="C128" i="3"/>
  <c r="E128" i="3"/>
  <c r="F128" i="3"/>
  <c r="G128" i="3"/>
  <c r="H128" i="3"/>
  <c r="I128" i="3"/>
  <c r="J128" i="3"/>
  <c r="AH128" i="3" s="1"/>
  <c r="K128" i="3"/>
  <c r="L128" i="3"/>
  <c r="M128" i="3"/>
  <c r="N128" i="3"/>
  <c r="O128" i="3"/>
  <c r="P128" i="3"/>
  <c r="Q128" i="3"/>
  <c r="R128" i="3"/>
  <c r="S128" i="3"/>
  <c r="T128" i="3"/>
  <c r="Y128" i="3"/>
  <c r="Z128" i="3"/>
  <c r="AA128" i="3"/>
  <c r="AB128" i="3"/>
  <c r="AC128" i="3"/>
  <c r="AD128" i="3"/>
  <c r="AE128" i="3"/>
  <c r="AG128" i="3"/>
  <c r="A129" i="3"/>
  <c r="C129" i="3"/>
  <c r="E129" i="3"/>
  <c r="F129" i="3"/>
  <c r="G129" i="3"/>
  <c r="H129" i="3"/>
  <c r="I129" i="3"/>
  <c r="J129" i="3"/>
  <c r="AH129" i="3" s="1"/>
  <c r="K129" i="3"/>
  <c r="L129" i="3"/>
  <c r="M129" i="3"/>
  <c r="N129" i="3"/>
  <c r="O129" i="3"/>
  <c r="P129" i="3"/>
  <c r="Q129" i="3"/>
  <c r="R129" i="3"/>
  <c r="S129" i="3"/>
  <c r="T129" i="3"/>
  <c r="Y129" i="3"/>
  <c r="Z129" i="3"/>
  <c r="AA129" i="3"/>
  <c r="AB129" i="3"/>
  <c r="AC129" i="3"/>
  <c r="AD129" i="3"/>
  <c r="AE129" i="3"/>
  <c r="AG129" i="3"/>
  <c r="A130" i="3"/>
  <c r="C130" i="3"/>
  <c r="E130" i="3"/>
  <c r="F130" i="3"/>
  <c r="G130" i="3"/>
  <c r="H130" i="3"/>
  <c r="I130" i="3"/>
  <c r="J130" i="3"/>
  <c r="AH130" i="3" s="1"/>
  <c r="K130" i="3"/>
  <c r="L130" i="3"/>
  <c r="M130" i="3"/>
  <c r="N130" i="3"/>
  <c r="O130" i="3"/>
  <c r="P130" i="3"/>
  <c r="Q130" i="3"/>
  <c r="R130" i="3"/>
  <c r="S130" i="3"/>
  <c r="T130" i="3"/>
  <c r="Y130" i="3"/>
  <c r="Z130" i="3"/>
  <c r="AA130" i="3"/>
  <c r="AB130" i="3"/>
  <c r="AC130" i="3"/>
  <c r="AD130" i="3"/>
  <c r="AE130" i="3"/>
  <c r="AG130" i="3"/>
  <c r="A131" i="3"/>
  <c r="C131" i="3"/>
  <c r="E131" i="3"/>
  <c r="F131" i="3"/>
  <c r="G131" i="3"/>
  <c r="H131" i="3"/>
  <c r="I131" i="3"/>
  <c r="J131" i="3"/>
  <c r="AH131" i="3" s="1"/>
  <c r="K131" i="3"/>
  <c r="L131" i="3"/>
  <c r="M131" i="3"/>
  <c r="N131" i="3"/>
  <c r="O131" i="3"/>
  <c r="P131" i="3"/>
  <c r="Q131" i="3"/>
  <c r="R131" i="3"/>
  <c r="S131" i="3"/>
  <c r="T131" i="3"/>
  <c r="Y131" i="3"/>
  <c r="Z131" i="3"/>
  <c r="AA131" i="3"/>
  <c r="AB131" i="3"/>
  <c r="AC131" i="3"/>
  <c r="AD131" i="3"/>
  <c r="AE131" i="3"/>
  <c r="AG131" i="3"/>
  <c r="A132" i="3"/>
  <c r="C132" i="3"/>
  <c r="E132" i="3"/>
  <c r="F132" i="3"/>
  <c r="G132" i="3"/>
  <c r="H132" i="3"/>
  <c r="I132" i="3"/>
  <c r="J132" i="3"/>
  <c r="AH132" i="3" s="1"/>
  <c r="K132" i="3"/>
  <c r="L132" i="3"/>
  <c r="M132" i="3"/>
  <c r="N132" i="3"/>
  <c r="O132" i="3"/>
  <c r="P132" i="3"/>
  <c r="Q132" i="3"/>
  <c r="R132" i="3"/>
  <c r="S132" i="3"/>
  <c r="T132" i="3"/>
  <c r="Y132" i="3"/>
  <c r="Z132" i="3"/>
  <c r="AA132" i="3"/>
  <c r="AB132" i="3"/>
  <c r="AC132" i="3"/>
  <c r="AD132" i="3"/>
  <c r="AE132" i="3"/>
  <c r="AG132" i="3"/>
  <c r="A133" i="3"/>
  <c r="C133" i="3"/>
  <c r="E133" i="3"/>
  <c r="F133" i="3"/>
  <c r="G133" i="3"/>
  <c r="H133" i="3"/>
  <c r="I133" i="3"/>
  <c r="J133" i="3"/>
  <c r="K133" i="3"/>
  <c r="L133" i="3"/>
  <c r="M133" i="3"/>
  <c r="N133" i="3"/>
  <c r="O133" i="3"/>
  <c r="P133" i="3"/>
  <c r="Q133" i="3"/>
  <c r="R133" i="3"/>
  <c r="S133" i="3"/>
  <c r="T133" i="3"/>
  <c r="Y133" i="3"/>
  <c r="Z133" i="3"/>
  <c r="AA133" i="3"/>
  <c r="AB133" i="3"/>
  <c r="AC133" i="3"/>
  <c r="AD133" i="3"/>
  <c r="AE133" i="3"/>
  <c r="AG133" i="3"/>
  <c r="AH133" i="3"/>
  <c r="A134" i="3"/>
  <c r="C134" i="3"/>
  <c r="E134" i="3"/>
  <c r="F134" i="3"/>
  <c r="G134" i="3"/>
  <c r="H134" i="3"/>
  <c r="I134" i="3"/>
  <c r="J134" i="3"/>
  <c r="AH134" i="3" s="1"/>
  <c r="K134" i="3"/>
  <c r="L134" i="3"/>
  <c r="M134" i="3"/>
  <c r="N134" i="3"/>
  <c r="O134" i="3"/>
  <c r="P134" i="3"/>
  <c r="Q134" i="3"/>
  <c r="R134" i="3"/>
  <c r="S134" i="3"/>
  <c r="T134" i="3"/>
  <c r="Y134" i="3"/>
  <c r="Z134" i="3"/>
  <c r="AA134" i="3"/>
  <c r="AB134" i="3"/>
  <c r="AC134" i="3"/>
  <c r="AD134" i="3"/>
  <c r="AE134" i="3"/>
  <c r="AG134" i="3"/>
  <c r="A135" i="3"/>
  <c r="C135" i="3"/>
  <c r="E135" i="3"/>
  <c r="F135" i="3"/>
  <c r="G135" i="3"/>
  <c r="H135" i="3"/>
  <c r="I135" i="3"/>
  <c r="J135" i="3"/>
  <c r="K135" i="3"/>
  <c r="L135" i="3"/>
  <c r="M135" i="3"/>
  <c r="N135" i="3"/>
  <c r="O135" i="3"/>
  <c r="P135" i="3"/>
  <c r="Q135" i="3"/>
  <c r="R135" i="3"/>
  <c r="S135" i="3"/>
  <c r="T135" i="3"/>
  <c r="Y135" i="3"/>
  <c r="Z135" i="3"/>
  <c r="AA135" i="3"/>
  <c r="AB135" i="3"/>
  <c r="AC135" i="3"/>
  <c r="AD135" i="3"/>
  <c r="AE135" i="3"/>
  <c r="AG135" i="3"/>
  <c r="AH135" i="3"/>
  <c r="A136" i="3"/>
  <c r="C136" i="3"/>
  <c r="E136" i="3"/>
  <c r="F136" i="3"/>
  <c r="G136" i="3"/>
  <c r="H136" i="3"/>
  <c r="I136" i="3"/>
  <c r="J136" i="3"/>
  <c r="AH136" i="3" s="1"/>
  <c r="K136" i="3"/>
  <c r="L136" i="3"/>
  <c r="M136" i="3"/>
  <c r="N136" i="3"/>
  <c r="O136" i="3"/>
  <c r="P136" i="3"/>
  <c r="Q136" i="3"/>
  <c r="R136" i="3"/>
  <c r="S136" i="3"/>
  <c r="T136" i="3"/>
  <c r="Y136" i="3"/>
  <c r="Z136" i="3"/>
  <c r="AA136" i="3"/>
  <c r="AB136" i="3"/>
  <c r="AC136" i="3"/>
  <c r="AD136" i="3"/>
  <c r="AE136" i="3"/>
  <c r="AG136" i="3"/>
  <c r="A137" i="3"/>
  <c r="C137" i="3"/>
  <c r="E137" i="3"/>
  <c r="F137" i="3"/>
  <c r="G137" i="3"/>
  <c r="H137" i="3"/>
  <c r="I137" i="3"/>
  <c r="J137" i="3"/>
  <c r="AH137" i="3" s="1"/>
  <c r="K137" i="3"/>
  <c r="L137" i="3"/>
  <c r="M137" i="3"/>
  <c r="N137" i="3"/>
  <c r="O137" i="3"/>
  <c r="P137" i="3"/>
  <c r="Q137" i="3"/>
  <c r="R137" i="3"/>
  <c r="S137" i="3"/>
  <c r="T137" i="3"/>
  <c r="Y137" i="3"/>
  <c r="Z137" i="3"/>
  <c r="AA137" i="3"/>
  <c r="AB137" i="3"/>
  <c r="AC137" i="3"/>
  <c r="AD137" i="3"/>
  <c r="AE137" i="3"/>
  <c r="AG137" i="3"/>
  <c r="A138" i="3"/>
  <c r="C138" i="3"/>
  <c r="E138" i="3"/>
  <c r="F138" i="3"/>
  <c r="G138" i="3"/>
  <c r="H138" i="3"/>
  <c r="I138" i="3"/>
  <c r="J138" i="3"/>
  <c r="AH138" i="3" s="1"/>
  <c r="K138" i="3"/>
  <c r="L138" i="3"/>
  <c r="M138" i="3"/>
  <c r="N138" i="3"/>
  <c r="O138" i="3"/>
  <c r="P138" i="3"/>
  <c r="Q138" i="3"/>
  <c r="R138" i="3"/>
  <c r="S138" i="3"/>
  <c r="T138" i="3"/>
  <c r="Y138" i="3"/>
  <c r="Z138" i="3"/>
  <c r="AA138" i="3"/>
  <c r="AB138" i="3"/>
  <c r="AD138" i="3"/>
  <c r="AE138" i="3"/>
  <c r="AG138" i="3"/>
  <c r="A139" i="3"/>
  <c r="C139" i="3"/>
  <c r="E139" i="3"/>
  <c r="F139" i="3"/>
  <c r="G139" i="3"/>
  <c r="H139" i="3"/>
  <c r="I139" i="3"/>
  <c r="J139" i="3"/>
  <c r="AH139" i="3" s="1"/>
  <c r="K139" i="3"/>
  <c r="L139" i="3"/>
  <c r="M139" i="3"/>
  <c r="N139" i="3"/>
  <c r="O139" i="3"/>
  <c r="P139" i="3"/>
  <c r="Q139" i="3"/>
  <c r="R139" i="3"/>
  <c r="S139" i="3"/>
  <c r="T139" i="3"/>
  <c r="Y139" i="3"/>
  <c r="Z139" i="3"/>
  <c r="AA139" i="3"/>
  <c r="AB139" i="3"/>
  <c r="AD139" i="3"/>
  <c r="AE139" i="3"/>
  <c r="AG139" i="3"/>
  <c r="A140" i="3"/>
  <c r="C140" i="3"/>
  <c r="E140" i="3"/>
  <c r="F140" i="3"/>
  <c r="G140" i="3"/>
  <c r="H140" i="3"/>
  <c r="I140" i="3"/>
  <c r="J140" i="3"/>
  <c r="AH140" i="3" s="1"/>
  <c r="K140" i="3"/>
  <c r="L140" i="3"/>
  <c r="M140" i="3"/>
  <c r="N140" i="3"/>
  <c r="O140" i="3"/>
  <c r="P140" i="3"/>
  <c r="Q140" i="3"/>
  <c r="R140" i="3"/>
  <c r="S140" i="3"/>
  <c r="T140" i="3"/>
  <c r="Y140" i="3"/>
  <c r="Z140" i="3"/>
  <c r="AA140" i="3"/>
  <c r="AB140" i="3"/>
  <c r="AD140" i="3"/>
  <c r="AE140" i="3"/>
  <c r="AG140" i="3"/>
  <c r="A141" i="3"/>
  <c r="C141" i="3"/>
  <c r="E141" i="3"/>
  <c r="F141" i="3"/>
  <c r="G141" i="3"/>
  <c r="H141" i="3"/>
  <c r="I141" i="3"/>
  <c r="J141" i="3"/>
  <c r="AH141" i="3" s="1"/>
  <c r="K141" i="3"/>
  <c r="L141" i="3"/>
  <c r="M141" i="3"/>
  <c r="N141" i="3"/>
  <c r="O141" i="3"/>
  <c r="P141" i="3"/>
  <c r="Q141" i="3"/>
  <c r="R141" i="3"/>
  <c r="S141" i="3"/>
  <c r="T141" i="3"/>
  <c r="Y141" i="3"/>
  <c r="Z141" i="3"/>
  <c r="AA141" i="3"/>
  <c r="AB141" i="3"/>
  <c r="AD141" i="3"/>
  <c r="AE141" i="3"/>
  <c r="AG141" i="3"/>
  <c r="A142" i="3"/>
  <c r="C142" i="3"/>
  <c r="E142" i="3"/>
  <c r="F142" i="3"/>
  <c r="G142" i="3"/>
  <c r="H142" i="3"/>
  <c r="I142" i="3"/>
  <c r="J142" i="3"/>
  <c r="AH142" i="3" s="1"/>
  <c r="K142" i="3"/>
  <c r="L142" i="3"/>
  <c r="M142" i="3"/>
  <c r="N142" i="3"/>
  <c r="O142" i="3"/>
  <c r="P142" i="3"/>
  <c r="Q142" i="3"/>
  <c r="R142" i="3"/>
  <c r="S142" i="3"/>
  <c r="T142" i="3"/>
  <c r="Y142" i="3"/>
  <c r="Z142" i="3"/>
  <c r="AA142" i="3"/>
  <c r="AB142" i="3"/>
  <c r="AD142" i="3"/>
  <c r="AE142" i="3"/>
  <c r="AF142" i="3"/>
  <c r="AG142" i="3"/>
  <c r="A143" i="3"/>
  <c r="C143" i="3"/>
  <c r="E143" i="3"/>
  <c r="F143" i="3"/>
  <c r="G143" i="3"/>
  <c r="H143" i="3"/>
  <c r="I143" i="3"/>
  <c r="J143" i="3"/>
  <c r="AH143" i="3" s="1"/>
  <c r="K143" i="3"/>
  <c r="L143" i="3"/>
  <c r="M143" i="3"/>
  <c r="N143" i="3"/>
  <c r="O143" i="3"/>
  <c r="P143" i="3"/>
  <c r="Q143" i="3"/>
  <c r="R143" i="3"/>
  <c r="S143" i="3"/>
  <c r="T143" i="3"/>
  <c r="Y143" i="3"/>
  <c r="Z143" i="3"/>
  <c r="AA143" i="3"/>
  <c r="AB143" i="3"/>
  <c r="AD143" i="3"/>
  <c r="AE143" i="3"/>
  <c r="AG143" i="3"/>
  <c r="A144" i="3"/>
  <c r="C144" i="3"/>
  <c r="E144" i="3"/>
  <c r="F144" i="3"/>
  <c r="G144" i="3"/>
  <c r="H144" i="3"/>
  <c r="I144" i="3"/>
  <c r="J144" i="3"/>
  <c r="AH144" i="3" s="1"/>
  <c r="K144" i="3"/>
  <c r="L144" i="3"/>
  <c r="M144" i="3"/>
  <c r="N144" i="3"/>
  <c r="O144" i="3"/>
  <c r="P144" i="3"/>
  <c r="Q144" i="3"/>
  <c r="R144" i="3"/>
  <c r="S144" i="3"/>
  <c r="T144" i="3"/>
  <c r="Y144" i="3"/>
  <c r="Z144" i="3"/>
  <c r="AA144" i="3"/>
  <c r="AB144" i="3"/>
  <c r="AD144" i="3"/>
  <c r="AE144" i="3"/>
  <c r="AG144" i="3"/>
  <c r="A145" i="3"/>
  <c r="C145" i="3"/>
  <c r="E145" i="3"/>
  <c r="F145" i="3"/>
  <c r="G145" i="3"/>
  <c r="H145" i="3"/>
  <c r="I145" i="3"/>
  <c r="J145" i="3"/>
  <c r="AH145" i="3" s="1"/>
  <c r="K145" i="3"/>
  <c r="L145" i="3"/>
  <c r="M145" i="3"/>
  <c r="N145" i="3"/>
  <c r="O145" i="3"/>
  <c r="P145" i="3"/>
  <c r="Q145" i="3"/>
  <c r="R145" i="3"/>
  <c r="S145" i="3"/>
  <c r="T145" i="3"/>
  <c r="Y145" i="3"/>
  <c r="Z145" i="3"/>
  <c r="AA145" i="3"/>
  <c r="AB145" i="3"/>
  <c r="AD145" i="3"/>
  <c r="AE145" i="3"/>
  <c r="AG145" i="3"/>
  <c r="A146" i="3"/>
  <c r="C146" i="3"/>
  <c r="E146" i="3"/>
  <c r="F146" i="3"/>
  <c r="G146" i="3"/>
  <c r="H146" i="3"/>
  <c r="I146" i="3"/>
  <c r="J146" i="3"/>
  <c r="AH146" i="3" s="1"/>
  <c r="K146" i="3"/>
  <c r="L146" i="3"/>
  <c r="M146" i="3"/>
  <c r="N146" i="3"/>
  <c r="O146" i="3"/>
  <c r="P146" i="3"/>
  <c r="Q146" i="3"/>
  <c r="R146" i="3"/>
  <c r="S146" i="3"/>
  <c r="T146" i="3"/>
  <c r="Y146" i="3"/>
  <c r="Z146" i="3"/>
  <c r="AA146" i="3"/>
  <c r="AB146" i="3"/>
  <c r="AD146" i="3"/>
  <c r="AE146" i="3"/>
  <c r="AG146" i="3"/>
  <c r="A147" i="3"/>
  <c r="C147" i="3"/>
  <c r="E147" i="3"/>
  <c r="F147" i="3"/>
  <c r="G147" i="3"/>
  <c r="H147" i="3"/>
  <c r="I147" i="3"/>
  <c r="J147" i="3"/>
  <c r="AH147" i="3" s="1"/>
  <c r="K147" i="3"/>
  <c r="L147" i="3"/>
  <c r="M147" i="3"/>
  <c r="N147" i="3"/>
  <c r="O147" i="3"/>
  <c r="P147" i="3"/>
  <c r="Q147" i="3"/>
  <c r="R147" i="3"/>
  <c r="S147" i="3"/>
  <c r="T147" i="3"/>
  <c r="Y147" i="3"/>
  <c r="Z147" i="3"/>
  <c r="AA147" i="3"/>
  <c r="AB147" i="3"/>
  <c r="AD147" i="3"/>
  <c r="AE147" i="3"/>
  <c r="AG147" i="3"/>
  <c r="A148" i="3"/>
  <c r="C148" i="3"/>
  <c r="E148" i="3"/>
  <c r="F148" i="3"/>
  <c r="G148" i="3"/>
  <c r="H148" i="3"/>
  <c r="I148" i="3"/>
  <c r="J148" i="3"/>
  <c r="AH148" i="3" s="1"/>
  <c r="K148" i="3"/>
  <c r="L148" i="3"/>
  <c r="M148" i="3"/>
  <c r="N148" i="3"/>
  <c r="O148" i="3"/>
  <c r="P148" i="3"/>
  <c r="Q148" i="3"/>
  <c r="R148" i="3"/>
  <c r="S148" i="3"/>
  <c r="T148" i="3"/>
  <c r="Y148" i="3"/>
  <c r="Z148" i="3"/>
  <c r="AA148" i="3"/>
  <c r="AB148" i="3"/>
  <c r="AD148" i="3"/>
  <c r="AE148" i="3"/>
  <c r="AG148" i="3"/>
  <c r="A149" i="3"/>
  <c r="C149" i="3"/>
  <c r="E149" i="3"/>
  <c r="F149" i="3"/>
  <c r="G149" i="3"/>
  <c r="H149" i="3"/>
  <c r="I149" i="3"/>
  <c r="J149" i="3"/>
  <c r="AH149" i="3" s="1"/>
  <c r="K149" i="3"/>
  <c r="L149" i="3"/>
  <c r="M149" i="3"/>
  <c r="N149" i="3"/>
  <c r="O149" i="3"/>
  <c r="P149" i="3"/>
  <c r="Q149" i="3"/>
  <c r="R149" i="3"/>
  <c r="S149" i="3"/>
  <c r="T149" i="3"/>
  <c r="Y149" i="3"/>
  <c r="Z149" i="3"/>
  <c r="AA149" i="3"/>
  <c r="AB149" i="3"/>
  <c r="AD149" i="3"/>
  <c r="AE149" i="3"/>
  <c r="AG149" i="3"/>
  <c r="A150" i="3"/>
  <c r="C150" i="3"/>
  <c r="E150" i="3"/>
  <c r="F150" i="3"/>
  <c r="G150" i="3"/>
  <c r="H150" i="3"/>
  <c r="I150" i="3"/>
  <c r="J150" i="3"/>
  <c r="K150" i="3"/>
  <c r="L150" i="3"/>
  <c r="M150" i="3"/>
  <c r="N150" i="3"/>
  <c r="O150" i="3"/>
  <c r="P150" i="3"/>
  <c r="Q150" i="3"/>
  <c r="R150" i="3"/>
  <c r="S150" i="3"/>
  <c r="T150" i="3"/>
  <c r="Y150" i="3"/>
  <c r="Z150" i="3"/>
  <c r="AA150" i="3"/>
  <c r="AB150" i="3"/>
  <c r="AD150" i="3"/>
  <c r="AE150" i="3"/>
  <c r="AG150" i="3"/>
  <c r="AH150" i="3"/>
  <c r="A151" i="3"/>
  <c r="C151" i="3"/>
  <c r="E151" i="3"/>
  <c r="F151" i="3"/>
  <c r="G151" i="3"/>
  <c r="H151" i="3"/>
  <c r="I151" i="3"/>
  <c r="J151" i="3"/>
  <c r="AH151" i="3" s="1"/>
  <c r="K151" i="3"/>
  <c r="L151" i="3"/>
  <c r="M151" i="3"/>
  <c r="N151" i="3"/>
  <c r="O151" i="3"/>
  <c r="P151" i="3"/>
  <c r="Q151" i="3"/>
  <c r="R151" i="3"/>
  <c r="S151" i="3"/>
  <c r="T151" i="3"/>
  <c r="Y151" i="3"/>
  <c r="Z151" i="3"/>
  <c r="AA151" i="3"/>
  <c r="AB151" i="3"/>
  <c r="AD151" i="3"/>
  <c r="AE151" i="3"/>
  <c r="AG151" i="3"/>
  <c r="A152" i="3"/>
  <c r="C152" i="3"/>
  <c r="E152" i="3"/>
  <c r="F152" i="3"/>
  <c r="G152" i="3"/>
  <c r="H152" i="3"/>
  <c r="I152" i="3"/>
  <c r="J152" i="3"/>
  <c r="AH152" i="3" s="1"/>
  <c r="K152" i="3"/>
  <c r="L152" i="3"/>
  <c r="M152" i="3"/>
  <c r="N152" i="3"/>
  <c r="O152" i="3"/>
  <c r="P152" i="3"/>
  <c r="Q152" i="3"/>
  <c r="R152" i="3"/>
  <c r="S152" i="3"/>
  <c r="T152" i="3"/>
  <c r="Y152" i="3"/>
  <c r="Z152" i="3"/>
  <c r="AA152" i="3"/>
  <c r="AB152" i="3"/>
  <c r="AD152" i="3"/>
  <c r="AE152" i="3"/>
  <c r="AG152" i="3"/>
  <c r="A153" i="3"/>
  <c r="C153" i="3"/>
  <c r="E153" i="3"/>
  <c r="F153" i="3"/>
  <c r="G153" i="3"/>
  <c r="H153" i="3"/>
  <c r="I153" i="3"/>
  <c r="J153" i="3"/>
  <c r="AH153" i="3" s="1"/>
  <c r="K153" i="3"/>
  <c r="L153" i="3"/>
  <c r="M153" i="3"/>
  <c r="N153" i="3"/>
  <c r="O153" i="3"/>
  <c r="P153" i="3"/>
  <c r="Q153" i="3"/>
  <c r="R153" i="3"/>
  <c r="S153" i="3"/>
  <c r="T153" i="3"/>
  <c r="Y153" i="3"/>
  <c r="Z153" i="3"/>
  <c r="AA153" i="3"/>
  <c r="AB153" i="3"/>
  <c r="AD153" i="3"/>
  <c r="AE153" i="3"/>
  <c r="AG153" i="3"/>
  <c r="A154" i="3"/>
  <c r="C154" i="3"/>
  <c r="E154" i="3"/>
  <c r="F154" i="3"/>
  <c r="G154" i="3"/>
  <c r="H154" i="3"/>
  <c r="I154" i="3"/>
  <c r="J154" i="3"/>
  <c r="K154" i="3"/>
  <c r="L154" i="3"/>
  <c r="M154" i="3"/>
  <c r="N154" i="3"/>
  <c r="O154" i="3"/>
  <c r="P154" i="3"/>
  <c r="Q154" i="3"/>
  <c r="R154" i="3"/>
  <c r="S154" i="3"/>
  <c r="T154" i="3"/>
  <c r="Y154" i="3"/>
  <c r="Z154" i="3"/>
  <c r="AA154" i="3"/>
  <c r="AB154" i="3"/>
  <c r="AD154" i="3"/>
  <c r="AE154" i="3"/>
  <c r="AG154" i="3"/>
  <c r="AH154" i="3"/>
  <c r="A155" i="3"/>
  <c r="C155" i="3"/>
  <c r="E155" i="3"/>
  <c r="F155" i="3"/>
  <c r="G155" i="3"/>
  <c r="H155" i="3"/>
  <c r="I155" i="3"/>
  <c r="J155" i="3"/>
  <c r="AH155" i="3" s="1"/>
  <c r="K155" i="3"/>
  <c r="L155" i="3"/>
  <c r="M155" i="3"/>
  <c r="N155" i="3"/>
  <c r="O155" i="3"/>
  <c r="P155" i="3"/>
  <c r="Q155" i="3"/>
  <c r="R155" i="3"/>
  <c r="S155" i="3"/>
  <c r="T155" i="3"/>
  <c r="Y155" i="3"/>
  <c r="Z155" i="3"/>
  <c r="AA155" i="3"/>
  <c r="AB155" i="3"/>
  <c r="AD155" i="3"/>
  <c r="AE155" i="3"/>
  <c r="AG155" i="3"/>
  <c r="A156" i="3"/>
  <c r="C156" i="3"/>
  <c r="E156" i="3"/>
  <c r="F156" i="3"/>
  <c r="G156" i="3"/>
  <c r="H156" i="3"/>
  <c r="I156" i="3"/>
  <c r="J156" i="3"/>
  <c r="AH156" i="3" s="1"/>
  <c r="K156" i="3"/>
  <c r="L156" i="3"/>
  <c r="M156" i="3"/>
  <c r="N156" i="3"/>
  <c r="O156" i="3"/>
  <c r="P156" i="3"/>
  <c r="Q156" i="3"/>
  <c r="R156" i="3"/>
  <c r="S156" i="3"/>
  <c r="T156" i="3"/>
  <c r="Y156" i="3"/>
  <c r="Z156" i="3"/>
  <c r="AA156" i="3"/>
  <c r="AB156" i="3"/>
  <c r="AD156" i="3"/>
  <c r="AE156" i="3"/>
  <c r="AG156" i="3"/>
  <c r="A157" i="3"/>
  <c r="C157" i="3"/>
  <c r="E157" i="3"/>
  <c r="F157" i="3"/>
  <c r="G157" i="3"/>
  <c r="H157" i="3"/>
  <c r="I157" i="3"/>
  <c r="J157" i="3"/>
  <c r="AH157" i="3" s="1"/>
  <c r="K157" i="3"/>
  <c r="L157" i="3"/>
  <c r="M157" i="3"/>
  <c r="N157" i="3"/>
  <c r="O157" i="3"/>
  <c r="P157" i="3"/>
  <c r="Q157" i="3"/>
  <c r="R157" i="3"/>
  <c r="S157" i="3"/>
  <c r="T157" i="3"/>
  <c r="Y157" i="3"/>
  <c r="Z157" i="3"/>
  <c r="AA157" i="3"/>
  <c r="AB157" i="3"/>
  <c r="AD157" i="3"/>
  <c r="AE157" i="3"/>
  <c r="AG157" i="3"/>
  <c r="A158" i="3"/>
  <c r="C158" i="3"/>
  <c r="E158" i="3"/>
  <c r="F158" i="3"/>
  <c r="G158" i="3"/>
  <c r="H158" i="3"/>
  <c r="I158" i="3"/>
  <c r="J158" i="3"/>
  <c r="AH158" i="3" s="1"/>
  <c r="K158" i="3"/>
  <c r="L158" i="3"/>
  <c r="M158" i="3"/>
  <c r="N158" i="3"/>
  <c r="O158" i="3"/>
  <c r="P158" i="3"/>
  <c r="Q158" i="3"/>
  <c r="R158" i="3"/>
  <c r="S158" i="3"/>
  <c r="T158" i="3"/>
  <c r="Y158" i="3"/>
  <c r="Z158" i="3"/>
  <c r="AA158" i="3"/>
  <c r="AB158" i="3"/>
  <c r="AD158" i="3"/>
  <c r="AE158" i="3"/>
  <c r="AG158" i="3"/>
  <c r="A159" i="3"/>
  <c r="C159" i="3"/>
  <c r="E159" i="3"/>
  <c r="F159" i="3"/>
  <c r="G159" i="3"/>
  <c r="H159" i="3"/>
  <c r="I159" i="3"/>
  <c r="J159" i="3"/>
  <c r="AH159" i="3" s="1"/>
  <c r="K159" i="3"/>
  <c r="L159" i="3"/>
  <c r="M159" i="3"/>
  <c r="N159" i="3"/>
  <c r="O159" i="3"/>
  <c r="P159" i="3"/>
  <c r="Q159" i="3"/>
  <c r="R159" i="3"/>
  <c r="S159" i="3"/>
  <c r="T159" i="3"/>
  <c r="Y159" i="3"/>
  <c r="Z159" i="3"/>
  <c r="AA159" i="3"/>
  <c r="AB159" i="3"/>
  <c r="AD159" i="3"/>
  <c r="AE159" i="3"/>
  <c r="AG159" i="3"/>
  <c r="A160" i="3"/>
  <c r="C160" i="3"/>
  <c r="E160" i="3"/>
  <c r="F160" i="3"/>
  <c r="G160" i="3"/>
  <c r="H160" i="3"/>
  <c r="I160" i="3"/>
  <c r="J160" i="3"/>
  <c r="AH160" i="3" s="1"/>
  <c r="K160" i="3"/>
  <c r="L160" i="3"/>
  <c r="M160" i="3"/>
  <c r="N160" i="3"/>
  <c r="O160" i="3"/>
  <c r="P160" i="3"/>
  <c r="Q160" i="3"/>
  <c r="R160" i="3"/>
  <c r="S160" i="3"/>
  <c r="T160" i="3"/>
  <c r="Y160" i="3"/>
  <c r="Z160" i="3"/>
  <c r="AA160" i="3"/>
  <c r="AB160" i="3"/>
  <c r="AD160" i="3"/>
  <c r="AE160" i="3"/>
  <c r="AG160" i="3"/>
  <c r="A161" i="3"/>
  <c r="C161" i="3"/>
  <c r="E161" i="3"/>
  <c r="F161" i="3"/>
  <c r="G161" i="3"/>
  <c r="H161" i="3"/>
  <c r="I161" i="3"/>
  <c r="J161" i="3"/>
  <c r="AH161" i="3" s="1"/>
  <c r="K161" i="3"/>
  <c r="L161" i="3"/>
  <c r="M161" i="3"/>
  <c r="N161" i="3"/>
  <c r="O161" i="3"/>
  <c r="P161" i="3"/>
  <c r="Q161" i="3"/>
  <c r="R161" i="3"/>
  <c r="S161" i="3"/>
  <c r="T161" i="3"/>
  <c r="Y161" i="3"/>
  <c r="Z161" i="3"/>
  <c r="AA161" i="3"/>
  <c r="AB161" i="3"/>
  <c r="AD161" i="3"/>
  <c r="AE161" i="3"/>
  <c r="AG161" i="3"/>
  <c r="A162" i="3"/>
  <c r="C162" i="3"/>
  <c r="E162" i="3"/>
  <c r="F162" i="3"/>
  <c r="G162" i="3"/>
  <c r="H162" i="3"/>
  <c r="I162" i="3"/>
  <c r="J162" i="3"/>
  <c r="AH162" i="3" s="1"/>
  <c r="K162" i="3"/>
  <c r="L162" i="3"/>
  <c r="M162" i="3"/>
  <c r="N162" i="3"/>
  <c r="O162" i="3"/>
  <c r="P162" i="3"/>
  <c r="Q162" i="3"/>
  <c r="R162" i="3"/>
  <c r="S162" i="3"/>
  <c r="T162" i="3"/>
  <c r="Y162" i="3"/>
  <c r="Z162" i="3"/>
  <c r="AA162" i="3"/>
  <c r="AB162" i="3"/>
  <c r="AD162" i="3"/>
  <c r="AE162" i="3"/>
  <c r="AG162" i="3"/>
  <c r="A163" i="3"/>
  <c r="C163" i="3"/>
  <c r="E163" i="3"/>
  <c r="F163" i="3"/>
  <c r="G163" i="3"/>
  <c r="H163" i="3"/>
  <c r="I163" i="3"/>
  <c r="J163" i="3"/>
  <c r="AH163" i="3" s="1"/>
  <c r="K163" i="3"/>
  <c r="L163" i="3"/>
  <c r="M163" i="3"/>
  <c r="N163" i="3"/>
  <c r="O163" i="3"/>
  <c r="P163" i="3"/>
  <c r="Q163" i="3"/>
  <c r="R163" i="3"/>
  <c r="S163" i="3"/>
  <c r="T163" i="3"/>
  <c r="Y163" i="3"/>
  <c r="Z163" i="3"/>
  <c r="AA163" i="3"/>
  <c r="AB163" i="3"/>
  <c r="AD163" i="3"/>
  <c r="AE163" i="3"/>
  <c r="AG163" i="3"/>
  <c r="A164" i="3"/>
  <c r="C164" i="3"/>
  <c r="E164" i="3"/>
  <c r="F164" i="3"/>
  <c r="G164" i="3"/>
  <c r="H164" i="3"/>
  <c r="I164" i="3"/>
  <c r="J164" i="3"/>
  <c r="AH164" i="3" s="1"/>
  <c r="K164" i="3"/>
  <c r="L164" i="3"/>
  <c r="M164" i="3"/>
  <c r="N164" i="3"/>
  <c r="O164" i="3"/>
  <c r="P164" i="3"/>
  <c r="Q164" i="3"/>
  <c r="R164" i="3"/>
  <c r="S164" i="3"/>
  <c r="T164" i="3"/>
  <c r="Y164" i="3"/>
  <c r="Z164" i="3"/>
  <c r="AA164" i="3"/>
  <c r="AB164" i="3"/>
  <c r="AD164" i="3"/>
  <c r="AE164" i="3"/>
  <c r="AG164" i="3"/>
  <c r="A165" i="3"/>
  <c r="C165" i="3"/>
  <c r="E165" i="3"/>
  <c r="F165" i="3"/>
  <c r="G165" i="3"/>
  <c r="H165" i="3"/>
  <c r="I165" i="3"/>
  <c r="J165" i="3"/>
  <c r="AH165" i="3" s="1"/>
  <c r="K165" i="3"/>
  <c r="L165" i="3"/>
  <c r="M165" i="3"/>
  <c r="N165" i="3"/>
  <c r="O165" i="3"/>
  <c r="P165" i="3"/>
  <c r="Q165" i="3"/>
  <c r="R165" i="3"/>
  <c r="S165" i="3"/>
  <c r="T165" i="3"/>
  <c r="Y165" i="3"/>
  <c r="Z165" i="3"/>
  <c r="AA165" i="3"/>
  <c r="AB165" i="3"/>
  <c r="AC165" i="3"/>
  <c r="AD165" i="3"/>
  <c r="AE165" i="3"/>
  <c r="AG165" i="3"/>
  <c r="A166" i="3"/>
  <c r="C166" i="3"/>
  <c r="E166" i="3"/>
  <c r="F166" i="3"/>
  <c r="G166" i="3"/>
  <c r="H166" i="3"/>
  <c r="I166" i="3"/>
  <c r="J166" i="3"/>
  <c r="K166" i="3"/>
  <c r="L166" i="3"/>
  <c r="M166" i="3"/>
  <c r="N166" i="3"/>
  <c r="O166" i="3"/>
  <c r="P166" i="3"/>
  <c r="Q166" i="3"/>
  <c r="R166" i="3"/>
  <c r="S166" i="3"/>
  <c r="T166" i="3"/>
  <c r="Y166" i="3"/>
  <c r="Z166" i="3"/>
  <c r="AA166" i="3"/>
  <c r="AB166" i="3"/>
  <c r="AC166" i="3"/>
  <c r="AD166" i="3"/>
  <c r="AE166" i="3"/>
  <c r="AG166" i="3"/>
  <c r="AH166" i="3"/>
  <c r="A167" i="3"/>
  <c r="C167" i="3"/>
  <c r="E167" i="3"/>
  <c r="F167" i="3"/>
  <c r="G167" i="3"/>
  <c r="H167" i="3"/>
  <c r="I167" i="3"/>
  <c r="J167" i="3"/>
  <c r="AH167" i="3" s="1"/>
  <c r="K167" i="3"/>
  <c r="L167" i="3"/>
  <c r="M167" i="3"/>
  <c r="N167" i="3"/>
  <c r="O167" i="3"/>
  <c r="P167" i="3"/>
  <c r="Q167" i="3"/>
  <c r="R167" i="3"/>
  <c r="S167" i="3"/>
  <c r="T167" i="3"/>
  <c r="Y167" i="3"/>
  <c r="Z167" i="3"/>
  <c r="AA167" i="3"/>
  <c r="AB167" i="3"/>
  <c r="AC167" i="3"/>
  <c r="AD167" i="3"/>
  <c r="AE167" i="3"/>
  <c r="AG167" i="3"/>
  <c r="A168" i="3"/>
  <c r="C168" i="3"/>
  <c r="E168" i="3"/>
  <c r="F168" i="3"/>
  <c r="G168" i="3"/>
  <c r="H168" i="3"/>
  <c r="I168" i="3"/>
  <c r="J168" i="3"/>
  <c r="AH168" i="3" s="1"/>
  <c r="K168" i="3"/>
  <c r="L168" i="3"/>
  <c r="M168" i="3"/>
  <c r="N168" i="3"/>
  <c r="O168" i="3"/>
  <c r="P168" i="3"/>
  <c r="Q168" i="3"/>
  <c r="R168" i="3"/>
  <c r="S168" i="3"/>
  <c r="T168" i="3"/>
  <c r="Y168" i="3"/>
  <c r="Z168" i="3"/>
  <c r="AA168" i="3"/>
  <c r="AB168" i="3"/>
  <c r="AC168" i="3"/>
  <c r="AD168" i="3"/>
  <c r="AE168" i="3"/>
  <c r="AG168" i="3"/>
  <c r="A169" i="3"/>
  <c r="C169" i="3"/>
  <c r="E169" i="3"/>
  <c r="F169" i="3"/>
  <c r="G169" i="3"/>
  <c r="H169" i="3"/>
  <c r="I169" i="3"/>
  <c r="J169" i="3"/>
  <c r="AH169" i="3" s="1"/>
  <c r="K169" i="3"/>
  <c r="L169" i="3"/>
  <c r="M169" i="3"/>
  <c r="N169" i="3"/>
  <c r="O169" i="3"/>
  <c r="P169" i="3"/>
  <c r="Q169" i="3"/>
  <c r="R169" i="3"/>
  <c r="S169" i="3"/>
  <c r="T169" i="3"/>
  <c r="Y169" i="3"/>
  <c r="Z169" i="3"/>
  <c r="AA169" i="3"/>
  <c r="AB169" i="3"/>
  <c r="AC169" i="3"/>
  <c r="AD169" i="3"/>
  <c r="AE169" i="3"/>
  <c r="AG169" i="3"/>
  <c r="A170" i="3"/>
  <c r="C170" i="3"/>
  <c r="E170" i="3"/>
  <c r="F170" i="3"/>
  <c r="G170" i="3"/>
  <c r="H170" i="3"/>
  <c r="I170" i="3"/>
  <c r="J170" i="3"/>
  <c r="AH170" i="3" s="1"/>
  <c r="K170" i="3"/>
  <c r="L170" i="3"/>
  <c r="M170" i="3"/>
  <c r="N170" i="3"/>
  <c r="O170" i="3"/>
  <c r="P170" i="3"/>
  <c r="Q170" i="3"/>
  <c r="R170" i="3"/>
  <c r="S170" i="3"/>
  <c r="T170" i="3"/>
  <c r="Y170" i="3"/>
  <c r="Z170" i="3"/>
  <c r="AA170" i="3"/>
  <c r="AB170" i="3"/>
  <c r="AC170" i="3"/>
  <c r="AD170" i="3"/>
  <c r="AE170" i="3"/>
  <c r="AG170" i="3"/>
  <c r="A171" i="3"/>
  <c r="C171" i="3"/>
  <c r="E171" i="3"/>
  <c r="F171" i="3"/>
  <c r="G171" i="3"/>
  <c r="H171" i="3"/>
  <c r="I171" i="3"/>
  <c r="J171" i="3"/>
  <c r="K171" i="3"/>
  <c r="L171" i="3"/>
  <c r="M171" i="3"/>
  <c r="N171" i="3"/>
  <c r="O171" i="3"/>
  <c r="P171" i="3"/>
  <c r="Q171" i="3"/>
  <c r="R171" i="3"/>
  <c r="S171" i="3"/>
  <c r="T171" i="3"/>
  <c r="Y171" i="3"/>
  <c r="Z171" i="3"/>
  <c r="AA171" i="3"/>
  <c r="AB171" i="3"/>
  <c r="AC171" i="3"/>
  <c r="AD171" i="3"/>
  <c r="AE171" i="3"/>
  <c r="AG171" i="3"/>
  <c r="AH171" i="3"/>
  <c r="A172" i="3"/>
  <c r="C172" i="3"/>
  <c r="E172" i="3"/>
  <c r="F172" i="3"/>
  <c r="G172" i="3"/>
  <c r="H172" i="3"/>
  <c r="I172" i="3"/>
  <c r="J172" i="3"/>
  <c r="AH172" i="3" s="1"/>
  <c r="K172" i="3"/>
  <c r="L172" i="3"/>
  <c r="M172" i="3"/>
  <c r="N172" i="3"/>
  <c r="O172" i="3"/>
  <c r="P172" i="3"/>
  <c r="Q172" i="3"/>
  <c r="R172" i="3"/>
  <c r="S172" i="3"/>
  <c r="T172" i="3"/>
  <c r="Y172" i="3"/>
  <c r="Z172" i="3"/>
  <c r="AA172" i="3"/>
  <c r="AB172" i="3"/>
  <c r="AC172" i="3"/>
  <c r="AD172" i="3"/>
  <c r="AE172" i="3"/>
  <c r="AG172" i="3"/>
  <c r="A173" i="3"/>
  <c r="C173" i="3"/>
  <c r="E173" i="3"/>
  <c r="F173" i="3"/>
  <c r="G173" i="3"/>
  <c r="H173" i="3"/>
  <c r="I173" i="3"/>
  <c r="J173" i="3"/>
  <c r="K173" i="3"/>
  <c r="L173" i="3"/>
  <c r="M173" i="3"/>
  <c r="N173" i="3"/>
  <c r="O173" i="3"/>
  <c r="P173" i="3"/>
  <c r="Q173" i="3"/>
  <c r="R173" i="3"/>
  <c r="S173" i="3"/>
  <c r="T173" i="3"/>
  <c r="Y173" i="3"/>
  <c r="Z173" i="3"/>
  <c r="AA173" i="3"/>
  <c r="AB173" i="3"/>
  <c r="AC173" i="3"/>
  <c r="AD173" i="3"/>
  <c r="AE173" i="3"/>
  <c r="AG173" i="3"/>
  <c r="AH173" i="3"/>
  <c r="A174" i="3"/>
  <c r="C174" i="3"/>
  <c r="E174" i="3"/>
  <c r="F174" i="3"/>
  <c r="G174" i="3"/>
  <c r="H174" i="3"/>
  <c r="I174" i="3"/>
  <c r="J174" i="3"/>
  <c r="AH174" i="3" s="1"/>
  <c r="K174" i="3"/>
  <c r="L174" i="3"/>
  <c r="M174" i="3"/>
  <c r="N174" i="3"/>
  <c r="O174" i="3"/>
  <c r="P174" i="3"/>
  <c r="Q174" i="3"/>
  <c r="R174" i="3"/>
  <c r="S174" i="3"/>
  <c r="T174" i="3"/>
  <c r="Y174" i="3"/>
  <c r="Z174" i="3"/>
  <c r="AA174" i="3"/>
  <c r="AB174" i="3"/>
  <c r="AC174" i="3"/>
  <c r="AD174" i="3"/>
  <c r="AE174" i="3"/>
  <c r="AG174" i="3"/>
  <c r="A175" i="3"/>
  <c r="C175" i="3"/>
  <c r="E175" i="3"/>
  <c r="F175" i="3"/>
  <c r="G175" i="3"/>
  <c r="H175" i="3"/>
  <c r="I175" i="3"/>
  <c r="J175" i="3"/>
  <c r="AH175" i="3" s="1"/>
  <c r="K175" i="3"/>
  <c r="L175" i="3"/>
  <c r="M175" i="3"/>
  <c r="N175" i="3"/>
  <c r="O175" i="3"/>
  <c r="P175" i="3"/>
  <c r="Q175" i="3"/>
  <c r="R175" i="3"/>
  <c r="S175" i="3"/>
  <c r="T175" i="3"/>
  <c r="Y175" i="3"/>
  <c r="Z175" i="3"/>
  <c r="AA175" i="3"/>
  <c r="AB175" i="3"/>
  <c r="AC175" i="3"/>
  <c r="AD175" i="3"/>
  <c r="AE175" i="3"/>
  <c r="AG175" i="3"/>
  <c r="A176" i="3"/>
  <c r="C176" i="3"/>
  <c r="E176" i="3"/>
  <c r="F176" i="3"/>
  <c r="G176" i="3"/>
  <c r="H176" i="3"/>
  <c r="I176" i="3"/>
  <c r="J176" i="3"/>
  <c r="AH176" i="3" s="1"/>
  <c r="K176" i="3"/>
  <c r="L176" i="3"/>
  <c r="M176" i="3"/>
  <c r="N176" i="3"/>
  <c r="O176" i="3"/>
  <c r="P176" i="3"/>
  <c r="Q176" i="3"/>
  <c r="R176" i="3"/>
  <c r="S176" i="3"/>
  <c r="T176" i="3"/>
  <c r="Y176" i="3"/>
  <c r="Z176" i="3"/>
  <c r="AA176" i="3"/>
  <c r="AB176" i="3"/>
  <c r="AC176" i="3"/>
  <c r="AD176" i="3"/>
  <c r="AE176" i="3"/>
  <c r="AG176" i="3"/>
  <c r="A177" i="3"/>
  <c r="C177" i="3"/>
  <c r="E177" i="3"/>
  <c r="F177" i="3"/>
  <c r="G177" i="3"/>
  <c r="H177" i="3"/>
  <c r="I177" i="3"/>
  <c r="J177" i="3"/>
  <c r="AH177" i="3" s="1"/>
  <c r="K177" i="3"/>
  <c r="L177" i="3"/>
  <c r="M177" i="3"/>
  <c r="N177" i="3"/>
  <c r="O177" i="3"/>
  <c r="P177" i="3"/>
  <c r="Q177" i="3"/>
  <c r="R177" i="3"/>
  <c r="S177" i="3"/>
  <c r="T177" i="3"/>
  <c r="Y177" i="3"/>
  <c r="Z177" i="3"/>
  <c r="AA177" i="3"/>
  <c r="AB177" i="3"/>
  <c r="AC177" i="3"/>
  <c r="AD177" i="3"/>
  <c r="AE177" i="3"/>
  <c r="AG177" i="3"/>
  <c r="A178" i="3"/>
  <c r="C178" i="3"/>
  <c r="E178" i="3"/>
  <c r="F178" i="3"/>
  <c r="G178" i="3"/>
  <c r="H178" i="3"/>
  <c r="I178" i="3"/>
  <c r="J178" i="3"/>
  <c r="AH178" i="3" s="1"/>
  <c r="K178" i="3"/>
  <c r="L178" i="3"/>
  <c r="M178" i="3"/>
  <c r="N178" i="3"/>
  <c r="O178" i="3"/>
  <c r="P178" i="3"/>
  <c r="Q178" i="3"/>
  <c r="R178" i="3"/>
  <c r="S178" i="3"/>
  <c r="T178" i="3"/>
  <c r="Y178" i="3"/>
  <c r="Z178" i="3"/>
  <c r="AA178" i="3"/>
  <c r="AB178" i="3"/>
  <c r="AC178" i="3"/>
  <c r="AD178" i="3"/>
  <c r="AE178" i="3"/>
  <c r="AF178" i="3"/>
  <c r="AG178" i="3"/>
  <c r="A179" i="3"/>
  <c r="C179" i="3"/>
  <c r="E179" i="3"/>
  <c r="F179" i="3"/>
  <c r="G179" i="3"/>
  <c r="H179" i="3"/>
  <c r="I179" i="3"/>
  <c r="J179" i="3"/>
  <c r="AH179" i="3" s="1"/>
  <c r="K179" i="3"/>
  <c r="L179" i="3"/>
  <c r="M179" i="3"/>
  <c r="N179" i="3"/>
  <c r="O179" i="3"/>
  <c r="P179" i="3"/>
  <c r="Q179" i="3"/>
  <c r="R179" i="3"/>
  <c r="S179" i="3"/>
  <c r="T179" i="3"/>
  <c r="Y179" i="3"/>
  <c r="Z179" i="3"/>
  <c r="AA179" i="3"/>
  <c r="AB179" i="3"/>
  <c r="AC179" i="3"/>
  <c r="AD179" i="3"/>
  <c r="AE179" i="3"/>
  <c r="AG179" i="3"/>
  <c r="A180" i="3"/>
  <c r="C180" i="3"/>
  <c r="E180" i="3"/>
  <c r="F180" i="3"/>
  <c r="G180" i="3"/>
  <c r="H180" i="3"/>
  <c r="I180" i="3"/>
  <c r="J180" i="3"/>
  <c r="AH180" i="3" s="1"/>
  <c r="K180" i="3"/>
  <c r="L180" i="3"/>
  <c r="M180" i="3"/>
  <c r="N180" i="3"/>
  <c r="O180" i="3"/>
  <c r="P180" i="3"/>
  <c r="Q180" i="3"/>
  <c r="R180" i="3"/>
  <c r="S180" i="3"/>
  <c r="T180" i="3"/>
  <c r="Y180" i="3"/>
  <c r="Z180" i="3"/>
  <c r="AA180" i="3"/>
  <c r="AB180" i="3"/>
  <c r="AC180" i="3"/>
  <c r="AD180" i="3"/>
  <c r="AE180" i="3"/>
  <c r="AG180" i="3"/>
  <c r="A181" i="3"/>
  <c r="C181" i="3"/>
  <c r="E181" i="3"/>
  <c r="F181" i="3"/>
  <c r="G181" i="3"/>
  <c r="H181" i="3"/>
  <c r="I181" i="3"/>
  <c r="J181" i="3"/>
  <c r="AH181" i="3" s="1"/>
  <c r="K181" i="3"/>
  <c r="L181" i="3"/>
  <c r="M181" i="3"/>
  <c r="N181" i="3"/>
  <c r="O181" i="3"/>
  <c r="P181" i="3"/>
  <c r="Q181" i="3"/>
  <c r="R181" i="3"/>
  <c r="S181" i="3"/>
  <c r="T181" i="3"/>
  <c r="Y181" i="3"/>
  <c r="Z181" i="3"/>
  <c r="AA181" i="3"/>
  <c r="AB181" i="3"/>
  <c r="AC181" i="3"/>
  <c r="AD181" i="3"/>
  <c r="AE181" i="3"/>
  <c r="AG181" i="3"/>
  <c r="A182" i="3"/>
  <c r="C182" i="3"/>
  <c r="E182" i="3"/>
  <c r="F182" i="3"/>
  <c r="G182" i="3"/>
  <c r="H182" i="3"/>
  <c r="I182" i="3"/>
  <c r="J182" i="3"/>
  <c r="K182" i="3"/>
  <c r="L182" i="3"/>
  <c r="M182" i="3"/>
  <c r="N182" i="3"/>
  <c r="O182" i="3"/>
  <c r="P182" i="3"/>
  <c r="Q182" i="3"/>
  <c r="R182" i="3"/>
  <c r="S182" i="3"/>
  <c r="T182" i="3"/>
  <c r="Y182" i="3"/>
  <c r="Z182" i="3"/>
  <c r="AA182" i="3"/>
  <c r="AB182" i="3"/>
  <c r="AC182" i="3"/>
  <c r="AD182" i="3"/>
  <c r="AE182" i="3"/>
  <c r="AG182" i="3"/>
  <c r="AH182" i="3"/>
  <c r="A183" i="3"/>
  <c r="C183" i="3"/>
  <c r="E183" i="3"/>
  <c r="F183" i="3"/>
  <c r="G183" i="3"/>
  <c r="H183" i="3"/>
  <c r="I183" i="3"/>
  <c r="J183" i="3"/>
  <c r="AH183" i="3" s="1"/>
  <c r="K183" i="3"/>
  <c r="L183" i="3"/>
  <c r="M183" i="3"/>
  <c r="N183" i="3"/>
  <c r="O183" i="3"/>
  <c r="P183" i="3"/>
  <c r="Q183" i="3"/>
  <c r="R183" i="3"/>
  <c r="S183" i="3"/>
  <c r="T183" i="3"/>
  <c r="Y183" i="3"/>
  <c r="Z183" i="3"/>
  <c r="AA183" i="3"/>
  <c r="AB183" i="3"/>
  <c r="AC183" i="3"/>
  <c r="AD183" i="3"/>
  <c r="AE183" i="3"/>
  <c r="AG183" i="3"/>
  <c r="A184" i="3"/>
  <c r="C184" i="3"/>
  <c r="E184" i="3"/>
  <c r="F184" i="3"/>
  <c r="G184" i="3"/>
  <c r="H184" i="3"/>
  <c r="I184" i="3"/>
  <c r="J184" i="3"/>
  <c r="AH184" i="3" s="1"/>
  <c r="K184" i="3"/>
  <c r="L184" i="3"/>
  <c r="M184" i="3"/>
  <c r="N184" i="3"/>
  <c r="O184" i="3"/>
  <c r="P184" i="3"/>
  <c r="Q184" i="3"/>
  <c r="R184" i="3"/>
  <c r="S184" i="3"/>
  <c r="T184" i="3"/>
  <c r="Y184" i="3"/>
  <c r="Z184" i="3"/>
  <c r="AA184" i="3"/>
  <c r="AB184" i="3"/>
  <c r="AC184" i="3"/>
  <c r="AD184" i="3"/>
  <c r="AE184" i="3"/>
  <c r="AG184" i="3"/>
  <c r="A185" i="3"/>
  <c r="C185" i="3"/>
  <c r="E185" i="3"/>
  <c r="F185" i="3"/>
  <c r="G185" i="3"/>
  <c r="H185" i="3"/>
  <c r="I185" i="3"/>
  <c r="J185" i="3"/>
  <c r="AH185" i="3" s="1"/>
  <c r="K185" i="3"/>
  <c r="L185" i="3"/>
  <c r="M185" i="3"/>
  <c r="N185" i="3"/>
  <c r="O185" i="3"/>
  <c r="P185" i="3"/>
  <c r="Q185" i="3"/>
  <c r="R185" i="3"/>
  <c r="S185" i="3"/>
  <c r="T185" i="3"/>
  <c r="Y185" i="3"/>
  <c r="Z185" i="3"/>
  <c r="AA185" i="3"/>
  <c r="AB185" i="3"/>
  <c r="AC185" i="3"/>
  <c r="AD185" i="3"/>
  <c r="AE185" i="3"/>
  <c r="AG185" i="3"/>
  <c r="A186" i="3"/>
  <c r="C186" i="3"/>
  <c r="E186" i="3"/>
  <c r="F186" i="3"/>
  <c r="G186" i="3"/>
  <c r="H186" i="3"/>
  <c r="I186" i="3"/>
  <c r="J186" i="3"/>
  <c r="AH186" i="3" s="1"/>
  <c r="K186" i="3"/>
  <c r="L186" i="3"/>
  <c r="M186" i="3"/>
  <c r="N186" i="3"/>
  <c r="O186" i="3"/>
  <c r="P186" i="3"/>
  <c r="Q186" i="3"/>
  <c r="R186" i="3"/>
  <c r="S186" i="3"/>
  <c r="T186" i="3"/>
  <c r="Y186" i="3"/>
  <c r="Z186" i="3"/>
  <c r="AA186" i="3"/>
  <c r="AB186" i="3"/>
  <c r="AC186" i="3"/>
  <c r="AD186" i="3"/>
  <c r="AE186" i="3"/>
  <c r="AG186" i="3"/>
  <c r="A187" i="3"/>
  <c r="C187" i="3"/>
  <c r="E187" i="3"/>
  <c r="F187" i="3"/>
  <c r="G187" i="3"/>
  <c r="H187" i="3"/>
  <c r="I187" i="3"/>
  <c r="J187" i="3"/>
  <c r="AH187" i="3" s="1"/>
  <c r="K187" i="3"/>
  <c r="L187" i="3"/>
  <c r="M187" i="3"/>
  <c r="N187" i="3"/>
  <c r="O187" i="3"/>
  <c r="P187" i="3"/>
  <c r="Q187" i="3"/>
  <c r="R187" i="3"/>
  <c r="S187" i="3"/>
  <c r="T187" i="3"/>
  <c r="Y187" i="3"/>
  <c r="Z187" i="3"/>
  <c r="AA187" i="3"/>
  <c r="AB187" i="3"/>
  <c r="AC187" i="3"/>
  <c r="AD187" i="3"/>
  <c r="AE187" i="3"/>
  <c r="AG187" i="3"/>
  <c r="A188" i="3"/>
  <c r="C188" i="3"/>
  <c r="E188" i="3"/>
  <c r="F188" i="3"/>
  <c r="G188" i="3"/>
  <c r="H188" i="3"/>
  <c r="I188" i="3"/>
  <c r="J188" i="3"/>
  <c r="AH188" i="3" s="1"/>
  <c r="K188" i="3"/>
  <c r="L188" i="3"/>
  <c r="M188" i="3"/>
  <c r="N188" i="3"/>
  <c r="O188" i="3"/>
  <c r="P188" i="3"/>
  <c r="Q188" i="3"/>
  <c r="R188" i="3"/>
  <c r="S188" i="3"/>
  <c r="T188" i="3"/>
  <c r="Y188" i="3"/>
  <c r="Z188" i="3"/>
  <c r="AA188" i="3"/>
  <c r="AB188" i="3"/>
  <c r="AC188" i="3"/>
  <c r="AD188" i="3"/>
  <c r="AE188" i="3"/>
  <c r="AG188" i="3"/>
  <c r="A189" i="3"/>
  <c r="C189" i="3"/>
  <c r="E189" i="3"/>
  <c r="F189" i="3"/>
  <c r="G189" i="3"/>
  <c r="H189" i="3"/>
  <c r="I189" i="3"/>
  <c r="J189" i="3"/>
  <c r="AH189" i="3" s="1"/>
  <c r="K189" i="3"/>
  <c r="L189" i="3"/>
  <c r="M189" i="3"/>
  <c r="N189" i="3"/>
  <c r="O189" i="3"/>
  <c r="P189" i="3"/>
  <c r="Q189" i="3"/>
  <c r="R189" i="3"/>
  <c r="S189" i="3"/>
  <c r="T189" i="3"/>
  <c r="Y189" i="3"/>
  <c r="Z189" i="3"/>
  <c r="AA189" i="3"/>
  <c r="AB189" i="3"/>
  <c r="AC189" i="3"/>
  <c r="AD189" i="3"/>
  <c r="AE189" i="3"/>
  <c r="AG189" i="3"/>
  <c r="A190" i="3"/>
  <c r="C190" i="3"/>
  <c r="E190" i="3"/>
  <c r="F190" i="3"/>
  <c r="G190" i="3"/>
  <c r="H190" i="3"/>
  <c r="I190" i="3"/>
  <c r="J190" i="3"/>
  <c r="AH190" i="3" s="1"/>
  <c r="K190" i="3"/>
  <c r="L190" i="3"/>
  <c r="M190" i="3"/>
  <c r="N190" i="3"/>
  <c r="O190" i="3"/>
  <c r="P190" i="3"/>
  <c r="Q190" i="3"/>
  <c r="R190" i="3"/>
  <c r="S190" i="3"/>
  <c r="T190" i="3"/>
  <c r="Y190" i="3"/>
  <c r="Z190" i="3"/>
  <c r="AA190" i="3"/>
  <c r="AB190" i="3"/>
  <c r="AC190" i="3"/>
  <c r="AD190" i="3"/>
  <c r="AE190" i="3"/>
  <c r="AG190" i="3"/>
  <c r="A191" i="3"/>
  <c r="C191" i="3"/>
  <c r="E191" i="3"/>
  <c r="F191" i="3"/>
  <c r="G191" i="3"/>
  <c r="H191" i="3"/>
  <c r="I191" i="3"/>
  <c r="J191" i="3"/>
  <c r="AH191" i="3" s="1"/>
  <c r="K191" i="3"/>
  <c r="L191" i="3"/>
  <c r="M191" i="3"/>
  <c r="N191" i="3"/>
  <c r="O191" i="3"/>
  <c r="P191" i="3"/>
  <c r="Q191" i="3"/>
  <c r="R191" i="3"/>
  <c r="S191" i="3"/>
  <c r="T191" i="3"/>
  <c r="Y191" i="3"/>
  <c r="Z191" i="3"/>
  <c r="AA191" i="3"/>
  <c r="AB191" i="3"/>
  <c r="AC191" i="3"/>
  <c r="AD191" i="3"/>
  <c r="AE191" i="3"/>
  <c r="AG191" i="3"/>
  <c r="A192" i="3"/>
  <c r="C192" i="3"/>
  <c r="E192" i="3"/>
  <c r="F192" i="3"/>
  <c r="G192" i="3"/>
  <c r="H192" i="3"/>
  <c r="I192" i="3"/>
  <c r="J192" i="3"/>
  <c r="AH192" i="3" s="1"/>
  <c r="K192" i="3"/>
  <c r="L192" i="3"/>
  <c r="M192" i="3"/>
  <c r="N192" i="3"/>
  <c r="O192" i="3"/>
  <c r="P192" i="3"/>
  <c r="Q192" i="3"/>
  <c r="R192" i="3"/>
  <c r="S192" i="3"/>
  <c r="T192" i="3"/>
  <c r="Y192" i="3"/>
  <c r="Z192" i="3"/>
  <c r="AA192" i="3"/>
  <c r="AB192" i="3"/>
  <c r="AC192" i="3"/>
  <c r="AD192" i="3"/>
  <c r="AE192" i="3"/>
  <c r="AG192" i="3"/>
  <c r="A193" i="3"/>
  <c r="C193" i="3"/>
  <c r="E193" i="3"/>
  <c r="F193" i="3"/>
  <c r="G193" i="3"/>
  <c r="H193" i="3"/>
  <c r="I193" i="3"/>
  <c r="J193" i="3"/>
  <c r="K193" i="3"/>
  <c r="L193" i="3"/>
  <c r="M193" i="3"/>
  <c r="N193" i="3"/>
  <c r="O193" i="3"/>
  <c r="P193" i="3"/>
  <c r="Q193" i="3"/>
  <c r="R193" i="3"/>
  <c r="S193" i="3"/>
  <c r="T193" i="3"/>
  <c r="Y193" i="3"/>
  <c r="Z193" i="3"/>
  <c r="AA193" i="3"/>
  <c r="AB193" i="3"/>
  <c r="AC193" i="3"/>
  <c r="AD193" i="3"/>
  <c r="AE193" i="3"/>
  <c r="AG193" i="3"/>
  <c r="AH193" i="3"/>
  <c r="A194" i="3"/>
  <c r="C194" i="3"/>
  <c r="E194" i="3"/>
  <c r="F194" i="3"/>
  <c r="G194" i="3"/>
  <c r="H194" i="3"/>
  <c r="I194" i="3"/>
  <c r="J194" i="3"/>
  <c r="AH194" i="3" s="1"/>
  <c r="K194" i="3"/>
  <c r="L194" i="3"/>
  <c r="M194" i="3"/>
  <c r="N194" i="3"/>
  <c r="O194" i="3"/>
  <c r="P194" i="3"/>
  <c r="Q194" i="3"/>
  <c r="R194" i="3"/>
  <c r="S194" i="3"/>
  <c r="T194" i="3"/>
  <c r="Y194" i="3"/>
  <c r="Z194" i="3"/>
  <c r="AA194" i="3"/>
  <c r="AB194" i="3"/>
  <c r="AD194" i="3"/>
  <c r="AE194" i="3"/>
  <c r="AG194" i="3"/>
  <c r="A195" i="3"/>
  <c r="C195" i="3"/>
  <c r="E195" i="3"/>
  <c r="F195" i="3"/>
  <c r="G195" i="3"/>
  <c r="H195" i="3"/>
  <c r="I195" i="3"/>
  <c r="J195" i="3"/>
  <c r="AH195" i="3" s="1"/>
  <c r="K195" i="3"/>
  <c r="L195" i="3"/>
  <c r="M195" i="3"/>
  <c r="N195" i="3"/>
  <c r="O195" i="3"/>
  <c r="P195" i="3"/>
  <c r="Q195" i="3"/>
  <c r="R195" i="3"/>
  <c r="S195" i="3"/>
  <c r="T195" i="3"/>
  <c r="Y195" i="3"/>
  <c r="Z195" i="3"/>
  <c r="AA195" i="3"/>
  <c r="AB195" i="3"/>
  <c r="AD195" i="3"/>
  <c r="AE195" i="3"/>
  <c r="AG195" i="3"/>
  <c r="A196" i="3"/>
  <c r="C196" i="3"/>
  <c r="E196" i="3"/>
  <c r="F196" i="3"/>
  <c r="G196" i="3"/>
  <c r="H196" i="3"/>
  <c r="I196" i="3"/>
  <c r="J196" i="3"/>
  <c r="K196" i="3"/>
  <c r="L196" i="3"/>
  <c r="M196" i="3"/>
  <c r="N196" i="3"/>
  <c r="O196" i="3"/>
  <c r="P196" i="3"/>
  <c r="Q196" i="3"/>
  <c r="R196" i="3"/>
  <c r="S196" i="3"/>
  <c r="T196" i="3"/>
  <c r="Y196" i="3"/>
  <c r="Z196" i="3"/>
  <c r="AA196" i="3"/>
  <c r="AB196" i="3"/>
  <c r="AD196" i="3"/>
  <c r="AE196" i="3"/>
  <c r="AG196" i="3"/>
  <c r="AH196" i="3"/>
  <c r="A197" i="3"/>
  <c r="C197" i="3"/>
  <c r="E197" i="3"/>
  <c r="F197" i="3"/>
  <c r="G197" i="3"/>
  <c r="H197" i="3"/>
  <c r="I197" i="3"/>
  <c r="J197" i="3"/>
  <c r="AH197" i="3" s="1"/>
  <c r="K197" i="3"/>
  <c r="L197" i="3"/>
  <c r="M197" i="3"/>
  <c r="N197" i="3"/>
  <c r="O197" i="3"/>
  <c r="P197" i="3"/>
  <c r="Q197" i="3"/>
  <c r="R197" i="3"/>
  <c r="S197" i="3"/>
  <c r="T197" i="3"/>
  <c r="Y197" i="3"/>
  <c r="Z197" i="3"/>
  <c r="AA197" i="3"/>
  <c r="AB197" i="3"/>
  <c r="AD197" i="3"/>
  <c r="AE197" i="3"/>
  <c r="AG197" i="3"/>
  <c r="A198" i="3"/>
  <c r="C198" i="3"/>
  <c r="E198" i="3"/>
  <c r="F198" i="3"/>
  <c r="G198" i="3"/>
  <c r="H198" i="3"/>
  <c r="I198" i="3"/>
  <c r="J198" i="3"/>
  <c r="AH198" i="3" s="1"/>
  <c r="K198" i="3"/>
  <c r="L198" i="3"/>
  <c r="M198" i="3"/>
  <c r="N198" i="3"/>
  <c r="O198" i="3"/>
  <c r="P198" i="3"/>
  <c r="Q198" i="3"/>
  <c r="R198" i="3"/>
  <c r="S198" i="3"/>
  <c r="T198" i="3"/>
  <c r="Y198" i="3"/>
  <c r="Z198" i="3"/>
  <c r="AA198" i="3"/>
  <c r="AB198" i="3"/>
  <c r="AD198" i="3"/>
  <c r="AE198" i="3"/>
  <c r="AG198" i="3"/>
  <c r="A199" i="3"/>
  <c r="C199" i="3"/>
  <c r="E199" i="3"/>
  <c r="F199" i="3"/>
  <c r="G199" i="3"/>
  <c r="H199" i="3"/>
  <c r="I199" i="3"/>
  <c r="J199" i="3"/>
  <c r="AH199" i="3" s="1"/>
  <c r="K199" i="3"/>
  <c r="L199" i="3"/>
  <c r="M199" i="3"/>
  <c r="N199" i="3"/>
  <c r="O199" i="3"/>
  <c r="P199" i="3"/>
  <c r="Q199" i="3"/>
  <c r="R199" i="3"/>
  <c r="S199" i="3"/>
  <c r="T199" i="3"/>
  <c r="Y199" i="3"/>
  <c r="Z199" i="3"/>
  <c r="AA199" i="3"/>
  <c r="AB199" i="3"/>
  <c r="AD199" i="3"/>
  <c r="AE199" i="3"/>
  <c r="AG199" i="3"/>
  <c r="A200" i="3"/>
  <c r="C200" i="3"/>
  <c r="E200" i="3"/>
  <c r="F200" i="3"/>
  <c r="G200" i="3"/>
  <c r="H200" i="3"/>
  <c r="I200" i="3"/>
  <c r="J200" i="3"/>
  <c r="AH200" i="3" s="1"/>
  <c r="K200" i="3"/>
  <c r="L200" i="3"/>
  <c r="M200" i="3"/>
  <c r="N200" i="3"/>
  <c r="O200" i="3"/>
  <c r="P200" i="3"/>
  <c r="Q200" i="3"/>
  <c r="R200" i="3"/>
  <c r="S200" i="3"/>
  <c r="T200" i="3"/>
  <c r="Y200" i="3"/>
  <c r="Z200" i="3"/>
  <c r="AA200" i="3"/>
  <c r="AB200" i="3"/>
  <c r="AD200" i="3"/>
  <c r="AE200" i="3"/>
  <c r="AG200" i="3"/>
  <c r="A201" i="3"/>
  <c r="C201" i="3"/>
  <c r="E201" i="3"/>
  <c r="F201" i="3"/>
  <c r="G201" i="3"/>
  <c r="H201" i="3"/>
  <c r="I201" i="3"/>
  <c r="J201" i="3"/>
  <c r="AH201" i="3" s="1"/>
  <c r="K201" i="3"/>
  <c r="L201" i="3"/>
  <c r="M201" i="3"/>
  <c r="N201" i="3"/>
  <c r="O201" i="3"/>
  <c r="P201" i="3"/>
  <c r="Q201" i="3"/>
  <c r="R201" i="3"/>
  <c r="S201" i="3"/>
  <c r="T201" i="3"/>
  <c r="Y201" i="3"/>
  <c r="Z201" i="3"/>
  <c r="AA201" i="3"/>
  <c r="AB201" i="3"/>
  <c r="AD201" i="3"/>
  <c r="AE201" i="3"/>
  <c r="AG201" i="3"/>
  <c r="A202" i="3"/>
  <c r="C202" i="3"/>
  <c r="E202" i="3"/>
  <c r="F202" i="3"/>
  <c r="G202" i="3"/>
  <c r="H202" i="3"/>
  <c r="I202" i="3"/>
  <c r="J202" i="3"/>
  <c r="AH202" i="3" s="1"/>
  <c r="K202" i="3"/>
  <c r="L202" i="3"/>
  <c r="M202" i="3"/>
  <c r="N202" i="3"/>
  <c r="O202" i="3"/>
  <c r="P202" i="3"/>
  <c r="Q202" i="3"/>
  <c r="R202" i="3"/>
  <c r="S202" i="3"/>
  <c r="T202" i="3"/>
  <c r="Y202" i="3"/>
  <c r="Z202" i="3"/>
  <c r="AA202" i="3"/>
  <c r="AB202" i="3"/>
  <c r="AD202" i="3"/>
  <c r="AE202" i="3"/>
  <c r="AG202" i="3"/>
  <c r="A203" i="3"/>
  <c r="C203" i="3"/>
  <c r="E203" i="3"/>
  <c r="F203" i="3"/>
  <c r="G203" i="3"/>
  <c r="H203" i="3"/>
  <c r="I203" i="3"/>
  <c r="J203" i="3"/>
  <c r="K203" i="3"/>
  <c r="L203" i="3"/>
  <c r="M203" i="3"/>
  <c r="N203" i="3"/>
  <c r="O203" i="3"/>
  <c r="P203" i="3"/>
  <c r="Q203" i="3"/>
  <c r="R203" i="3"/>
  <c r="S203" i="3"/>
  <c r="T203" i="3"/>
  <c r="Y203" i="3"/>
  <c r="Z203" i="3"/>
  <c r="AA203" i="3"/>
  <c r="AB203" i="3"/>
  <c r="AD203" i="3"/>
  <c r="AE203" i="3"/>
  <c r="AG203" i="3"/>
  <c r="AH203" i="3"/>
  <c r="A204" i="3"/>
  <c r="C204" i="3"/>
  <c r="E204" i="3"/>
  <c r="F204" i="3"/>
  <c r="G204" i="3"/>
  <c r="H204" i="3"/>
  <c r="I204" i="3"/>
  <c r="J204" i="3"/>
  <c r="AH204" i="3" s="1"/>
  <c r="K204" i="3"/>
  <c r="L204" i="3"/>
  <c r="M204" i="3"/>
  <c r="N204" i="3"/>
  <c r="O204" i="3"/>
  <c r="P204" i="3"/>
  <c r="Q204" i="3"/>
  <c r="R204" i="3"/>
  <c r="S204" i="3"/>
  <c r="T204" i="3"/>
  <c r="Y204" i="3"/>
  <c r="Z204" i="3"/>
  <c r="AA204" i="3"/>
  <c r="AB204" i="3"/>
  <c r="AD204" i="3"/>
  <c r="AE204" i="3"/>
  <c r="AG204" i="3"/>
  <c r="A205" i="3"/>
  <c r="C205" i="3"/>
  <c r="E205" i="3"/>
  <c r="F205" i="3"/>
  <c r="G205" i="3"/>
  <c r="H205" i="3"/>
  <c r="I205" i="3"/>
  <c r="J205" i="3"/>
  <c r="AH205" i="3" s="1"/>
  <c r="K205" i="3"/>
  <c r="L205" i="3"/>
  <c r="M205" i="3"/>
  <c r="N205" i="3"/>
  <c r="O205" i="3"/>
  <c r="P205" i="3"/>
  <c r="Q205" i="3"/>
  <c r="R205" i="3"/>
  <c r="S205" i="3"/>
  <c r="T205" i="3"/>
  <c r="Y205" i="3"/>
  <c r="Z205" i="3"/>
  <c r="AA205" i="3"/>
  <c r="AB205" i="3"/>
  <c r="AD205" i="3"/>
  <c r="AE205" i="3"/>
  <c r="AG205" i="3"/>
  <c r="A206" i="3"/>
  <c r="C206" i="3"/>
  <c r="E206" i="3"/>
  <c r="F206" i="3"/>
  <c r="G206" i="3"/>
  <c r="H206" i="3"/>
  <c r="I206" i="3"/>
  <c r="J206" i="3"/>
  <c r="AH206" i="3" s="1"/>
  <c r="K206" i="3"/>
  <c r="L206" i="3"/>
  <c r="M206" i="3"/>
  <c r="N206" i="3"/>
  <c r="O206" i="3"/>
  <c r="P206" i="3"/>
  <c r="Q206" i="3"/>
  <c r="R206" i="3"/>
  <c r="S206" i="3"/>
  <c r="T206" i="3"/>
  <c r="Y206" i="3"/>
  <c r="Z206" i="3"/>
  <c r="AA206" i="3"/>
  <c r="AB206" i="3"/>
  <c r="AD206" i="3"/>
  <c r="AE206" i="3"/>
  <c r="AG206" i="3"/>
  <c r="A207" i="3"/>
  <c r="C207" i="3"/>
  <c r="E207" i="3"/>
  <c r="F207" i="3"/>
  <c r="G207" i="3"/>
  <c r="H207" i="3"/>
  <c r="I207" i="3"/>
  <c r="J207" i="3"/>
  <c r="AH207" i="3" s="1"/>
  <c r="K207" i="3"/>
  <c r="L207" i="3"/>
  <c r="M207" i="3"/>
  <c r="N207" i="3"/>
  <c r="O207" i="3"/>
  <c r="P207" i="3"/>
  <c r="Q207" i="3"/>
  <c r="R207" i="3"/>
  <c r="S207" i="3"/>
  <c r="T207" i="3"/>
  <c r="Y207" i="3"/>
  <c r="Z207" i="3"/>
  <c r="AA207" i="3"/>
  <c r="AB207" i="3"/>
  <c r="AD207" i="3"/>
  <c r="AE207" i="3"/>
  <c r="AG207" i="3"/>
  <c r="A208" i="3"/>
  <c r="C208" i="3"/>
  <c r="E208" i="3"/>
  <c r="F208" i="3"/>
  <c r="G208" i="3"/>
  <c r="H208" i="3"/>
  <c r="I208" i="3"/>
  <c r="J208" i="3"/>
  <c r="AH208" i="3" s="1"/>
  <c r="K208" i="3"/>
  <c r="L208" i="3"/>
  <c r="M208" i="3"/>
  <c r="N208" i="3"/>
  <c r="O208" i="3"/>
  <c r="P208" i="3"/>
  <c r="Q208" i="3"/>
  <c r="R208" i="3"/>
  <c r="S208" i="3"/>
  <c r="T208" i="3"/>
  <c r="Y208" i="3"/>
  <c r="Z208" i="3"/>
  <c r="AA208" i="3"/>
  <c r="AB208" i="3"/>
  <c r="AD208" i="3"/>
  <c r="AE208" i="3"/>
  <c r="AG208" i="3"/>
  <c r="A209" i="3"/>
  <c r="C209" i="3"/>
  <c r="E209" i="3"/>
  <c r="F209" i="3"/>
  <c r="G209" i="3"/>
  <c r="H209" i="3"/>
  <c r="I209" i="3"/>
  <c r="J209" i="3"/>
  <c r="K209" i="3"/>
  <c r="L209" i="3"/>
  <c r="M209" i="3"/>
  <c r="N209" i="3"/>
  <c r="O209" i="3"/>
  <c r="P209" i="3"/>
  <c r="Q209" i="3"/>
  <c r="R209" i="3"/>
  <c r="S209" i="3"/>
  <c r="T209" i="3"/>
  <c r="Y209" i="3"/>
  <c r="Z209" i="3"/>
  <c r="AA209" i="3"/>
  <c r="AB209" i="3"/>
  <c r="AD209" i="3"/>
  <c r="AE209" i="3"/>
  <c r="AG209" i="3"/>
  <c r="AH209" i="3"/>
  <c r="A210" i="3"/>
  <c r="C210" i="3"/>
  <c r="E210" i="3"/>
  <c r="F210" i="3"/>
  <c r="G210" i="3"/>
  <c r="H210" i="3"/>
  <c r="I210" i="3"/>
  <c r="J210" i="3"/>
  <c r="AH210" i="3" s="1"/>
  <c r="K210" i="3"/>
  <c r="L210" i="3"/>
  <c r="M210" i="3"/>
  <c r="N210" i="3"/>
  <c r="O210" i="3"/>
  <c r="P210" i="3"/>
  <c r="Q210" i="3"/>
  <c r="R210" i="3"/>
  <c r="S210" i="3"/>
  <c r="T210" i="3"/>
  <c r="Y210" i="3"/>
  <c r="Z210" i="3"/>
  <c r="AA210" i="3"/>
  <c r="AB210" i="3"/>
  <c r="AD210" i="3"/>
  <c r="AE210" i="3"/>
  <c r="AG210" i="3"/>
  <c r="A211" i="3"/>
  <c r="C211" i="3"/>
  <c r="E211" i="3"/>
  <c r="F211" i="3"/>
  <c r="G211" i="3"/>
  <c r="H211" i="3"/>
  <c r="I211" i="3"/>
  <c r="J211" i="3"/>
  <c r="AH211" i="3" s="1"/>
  <c r="K211" i="3"/>
  <c r="L211" i="3"/>
  <c r="M211" i="3"/>
  <c r="N211" i="3"/>
  <c r="O211" i="3"/>
  <c r="P211" i="3"/>
  <c r="Q211" i="3"/>
  <c r="R211" i="3"/>
  <c r="S211" i="3"/>
  <c r="T211" i="3"/>
  <c r="Y211" i="3"/>
  <c r="Z211" i="3"/>
  <c r="AA211" i="3"/>
  <c r="AB211" i="3"/>
  <c r="AD211" i="3"/>
  <c r="AE211" i="3"/>
  <c r="AG211" i="3"/>
  <c r="A212" i="3"/>
  <c r="C212" i="3"/>
  <c r="E212" i="3"/>
  <c r="F212" i="3"/>
  <c r="G212" i="3"/>
  <c r="H212" i="3"/>
  <c r="I212" i="3"/>
  <c r="J212" i="3"/>
  <c r="K212" i="3"/>
  <c r="L212" i="3"/>
  <c r="M212" i="3"/>
  <c r="N212" i="3"/>
  <c r="O212" i="3"/>
  <c r="P212" i="3"/>
  <c r="Q212" i="3"/>
  <c r="R212" i="3"/>
  <c r="S212" i="3"/>
  <c r="T212" i="3"/>
  <c r="Y212" i="3"/>
  <c r="Z212" i="3"/>
  <c r="AA212" i="3"/>
  <c r="AB212" i="3"/>
  <c r="AD212" i="3"/>
  <c r="AE212" i="3"/>
  <c r="AG212" i="3"/>
  <c r="AH212" i="3"/>
  <c r="A213" i="3"/>
  <c r="C213" i="3"/>
  <c r="E213" i="3"/>
  <c r="F213" i="3"/>
  <c r="G213" i="3"/>
  <c r="H213" i="3"/>
  <c r="I213" i="3"/>
  <c r="J213" i="3"/>
  <c r="AH213" i="3" s="1"/>
  <c r="K213" i="3"/>
  <c r="L213" i="3"/>
  <c r="M213" i="3"/>
  <c r="N213" i="3"/>
  <c r="O213" i="3"/>
  <c r="P213" i="3"/>
  <c r="Q213" i="3"/>
  <c r="R213" i="3"/>
  <c r="S213" i="3"/>
  <c r="T213" i="3"/>
  <c r="Y213" i="3"/>
  <c r="Z213" i="3"/>
  <c r="AA213" i="3"/>
  <c r="AB213" i="3"/>
  <c r="AD213" i="3"/>
  <c r="AE213" i="3"/>
  <c r="AG213" i="3"/>
  <c r="A214" i="3"/>
  <c r="C214" i="3"/>
  <c r="E214" i="3"/>
  <c r="F214" i="3"/>
  <c r="G214" i="3"/>
  <c r="H214" i="3"/>
  <c r="I214" i="3"/>
  <c r="J214" i="3"/>
  <c r="AH214" i="3" s="1"/>
  <c r="K214" i="3"/>
  <c r="L214" i="3"/>
  <c r="M214" i="3"/>
  <c r="N214" i="3"/>
  <c r="O214" i="3"/>
  <c r="P214" i="3"/>
  <c r="Q214" i="3"/>
  <c r="R214" i="3"/>
  <c r="S214" i="3"/>
  <c r="T214" i="3"/>
  <c r="Y214" i="3"/>
  <c r="Z214" i="3"/>
  <c r="AA214" i="3"/>
  <c r="AB214" i="3"/>
  <c r="AD214" i="3"/>
  <c r="AE214" i="3"/>
  <c r="AG214" i="3"/>
  <c r="A215" i="3"/>
  <c r="C215" i="3"/>
  <c r="E215" i="3"/>
  <c r="F215" i="3"/>
  <c r="G215" i="3"/>
  <c r="H215" i="3"/>
  <c r="I215" i="3"/>
  <c r="J215" i="3"/>
  <c r="K215" i="3"/>
  <c r="L215" i="3"/>
  <c r="M215" i="3"/>
  <c r="N215" i="3"/>
  <c r="O215" i="3"/>
  <c r="P215" i="3"/>
  <c r="Q215" i="3"/>
  <c r="R215" i="3"/>
  <c r="S215" i="3"/>
  <c r="T215" i="3"/>
  <c r="Y215" i="3"/>
  <c r="Z215" i="3"/>
  <c r="AA215" i="3"/>
  <c r="AB215" i="3"/>
  <c r="AD215" i="3"/>
  <c r="AE215" i="3"/>
  <c r="AG215" i="3"/>
  <c r="AH215" i="3"/>
  <c r="A216" i="3"/>
  <c r="C216" i="3"/>
  <c r="E216" i="3"/>
  <c r="F216" i="3"/>
  <c r="G216" i="3"/>
  <c r="H216" i="3"/>
  <c r="I216" i="3"/>
  <c r="J216" i="3"/>
  <c r="AH216" i="3" s="1"/>
  <c r="K216" i="3"/>
  <c r="L216" i="3"/>
  <c r="M216" i="3"/>
  <c r="N216" i="3"/>
  <c r="O216" i="3"/>
  <c r="P216" i="3"/>
  <c r="Q216" i="3"/>
  <c r="R216" i="3"/>
  <c r="S216" i="3"/>
  <c r="T216" i="3"/>
  <c r="Y216" i="3"/>
  <c r="Z216" i="3"/>
  <c r="AA216" i="3"/>
  <c r="AB216" i="3"/>
  <c r="AD216" i="3"/>
  <c r="AE216" i="3"/>
  <c r="AG216" i="3"/>
  <c r="A217" i="3"/>
  <c r="C217" i="3"/>
  <c r="E217" i="3"/>
  <c r="F217" i="3"/>
  <c r="G217" i="3"/>
  <c r="H217" i="3"/>
  <c r="I217" i="3"/>
  <c r="J217" i="3"/>
  <c r="AH217" i="3" s="1"/>
  <c r="K217" i="3"/>
  <c r="L217" i="3"/>
  <c r="M217" i="3"/>
  <c r="N217" i="3"/>
  <c r="O217" i="3"/>
  <c r="P217" i="3"/>
  <c r="Q217" i="3"/>
  <c r="R217" i="3"/>
  <c r="S217" i="3"/>
  <c r="T217" i="3"/>
  <c r="Y217" i="3"/>
  <c r="Z217" i="3"/>
  <c r="AA217" i="3"/>
  <c r="AB217" i="3"/>
  <c r="AD217" i="3"/>
  <c r="AE217" i="3"/>
  <c r="AG217" i="3"/>
  <c r="A218" i="3"/>
  <c r="C218" i="3"/>
  <c r="E218" i="3"/>
  <c r="F218" i="3"/>
  <c r="G218" i="3"/>
  <c r="H218" i="3"/>
  <c r="I218" i="3"/>
  <c r="J218" i="3"/>
  <c r="K218" i="3"/>
  <c r="L218" i="3"/>
  <c r="M218" i="3"/>
  <c r="N218" i="3"/>
  <c r="O218" i="3"/>
  <c r="P218" i="3"/>
  <c r="Q218" i="3"/>
  <c r="R218" i="3"/>
  <c r="S218" i="3"/>
  <c r="T218" i="3"/>
  <c r="Y218" i="3"/>
  <c r="Z218" i="3"/>
  <c r="AA218" i="3"/>
  <c r="AB218" i="3"/>
  <c r="AD218" i="3"/>
  <c r="AE218" i="3"/>
  <c r="AG218" i="3"/>
  <c r="AH218" i="3"/>
  <c r="A219" i="3"/>
  <c r="C219" i="3"/>
  <c r="E219" i="3"/>
  <c r="F219" i="3"/>
  <c r="G219" i="3"/>
  <c r="H219" i="3"/>
  <c r="I219" i="3"/>
  <c r="J219" i="3"/>
  <c r="AH219" i="3" s="1"/>
  <c r="K219" i="3"/>
  <c r="L219" i="3"/>
  <c r="M219" i="3"/>
  <c r="N219" i="3"/>
  <c r="O219" i="3"/>
  <c r="P219" i="3"/>
  <c r="Q219" i="3"/>
  <c r="R219" i="3"/>
  <c r="S219" i="3"/>
  <c r="T219" i="3"/>
  <c r="Y219" i="3"/>
  <c r="Z219" i="3"/>
  <c r="AA219" i="3"/>
  <c r="AB219" i="3"/>
  <c r="AD219" i="3"/>
  <c r="AE219" i="3"/>
  <c r="AG219" i="3"/>
  <c r="A220" i="3"/>
  <c r="C220" i="3"/>
  <c r="E220" i="3"/>
  <c r="F220" i="3"/>
  <c r="G220" i="3"/>
  <c r="H220" i="3"/>
  <c r="I220" i="3"/>
  <c r="J220" i="3"/>
  <c r="AH220" i="3" s="1"/>
  <c r="K220" i="3"/>
  <c r="L220" i="3"/>
  <c r="M220" i="3"/>
  <c r="N220" i="3"/>
  <c r="O220" i="3"/>
  <c r="P220" i="3"/>
  <c r="Q220" i="3"/>
  <c r="R220" i="3"/>
  <c r="S220" i="3"/>
  <c r="T220" i="3"/>
  <c r="Y220" i="3"/>
  <c r="Z220" i="3"/>
  <c r="AA220" i="3"/>
  <c r="AB220" i="3"/>
  <c r="AD220" i="3"/>
  <c r="AE220" i="3"/>
  <c r="AG220" i="3"/>
  <c r="A221" i="3"/>
  <c r="C221" i="3"/>
  <c r="E221" i="3"/>
  <c r="F221" i="3"/>
  <c r="G221" i="3"/>
  <c r="H221" i="3"/>
  <c r="I221" i="3"/>
  <c r="J221" i="3"/>
  <c r="AH221" i="3" s="1"/>
  <c r="K221" i="3"/>
  <c r="L221" i="3"/>
  <c r="M221" i="3"/>
  <c r="N221" i="3"/>
  <c r="O221" i="3"/>
  <c r="P221" i="3"/>
  <c r="Q221" i="3"/>
  <c r="R221" i="3"/>
  <c r="S221" i="3"/>
  <c r="T221" i="3"/>
  <c r="Y221" i="3"/>
  <c r="Z221" i="3"/>
  <c r="AA221" i="3"/>
  <c r="AB221" i="3"/>
  <c r="AD221" i="3"/>
  <c r="AE221" i="3"/>
  <c r="AG221" i="3"/>
  <c r="A222" i="3"/>
  <c r="C222" i="3"/>
  <c r="E222" i="3"/>
  <c r="F222" i="3"/>
  <c r="G222" i="3"/>
  <c r="H222" i="3"/>
  <c r="I222" i="3"/>
  <c r="J222" i="3"/>
  <c r="AH222" i="3" s="1"/>
  <c r="K222" i="3"/>
  <c r="L222" i="3"/>
  <c r="M222" i="3"/>
  <c r="N222" i="3"/>
  <c r="O222" i="3"/>
  <c r="P222" i="3"/>
  <c r="Q222" i="3"/>
  <c r="R222" i="3"/>
  <c r="S222" i="3"/>
  <c r="T222" i="3"/>
  <c r="Y222" i="3"/>
  <c r="Z222" i="3"/>
  <c r="AA222" i="3"/>
  <c r="AB222" i="3"/>
  <c r="AD222" i="3"/>
  <c r="AE222" i="3"/>
  <c r="AG222" i="3"/>
  <c r="A223" i="3"/>
  <c r="C223" i="3"/>
  <c r="E223" i="3"/>
  <c r="F223" i="3"/>
  <c r="G223" i="3"/>
  <c r="H223" i="3"/>
  <c r="I223" i="3"/>
  <c r="J223" i="3"/>
  <c r="AH223" i="3" s="1"/>
  <c r="K223" i="3"/>
  <c r="L223" i="3"/>
  <c r="M223" i="3"/>
  <c r="N223" i="3"/>
  <c r="O223" i="3"/>
  <c r="P223" i="3"/>
  <c r="Q223" i="3"/>
  <c r="R223" i="3"/>
  <c r="S223" i="3"/>
  <c r="T223" i="3"/>
  <c r="Y223" i="3"/>
  <c r="Z223" i="3"/>
  <c r="AA223" i="3"/>
  <c r="AB223" i="3"/>
  <c r="AD223" i="3"/>
  <c r="AE223" i="3"/>
  <c r="AF223" i="3"/>
  <c r="AG223" i="3"/>
  <c r="A224" i="3"/>
  <c r="C224" i="3"/>
  <c r="E224" i="3"/>
  <c r="F224" i="3"/>
  <c r="G224" i="3"/>
  <c r="H224" i="3"/>
  <c r="I224" i="3"/>
  <c r="J224" i="3"/>
  <c r="AH224" i="3" s="1"/>
  <c r="K224" i="3"/>
  <c r="L224" i="3"/>
  <c r="M224" i="3"/>
  <c r="N224" i="3"/>
  <c r="O224" i="3"/>
  <c r="P224" i="3"/>
  <c r="Q224" i="3"/>
  <c r="R224" i="3"/>
  <c r="S224" i="3"/>
  <c r="T224" i="3"/>
  <c r="Y224" i="3"/>
  <c r="Z224" i="3"/>
  <c r="AA224" i="3"/>
  <c r="AB224" i="3"/>
  <c r="AD224" i="3"/>
  <c r="AE224" i="3"/>
  <c r="AG224" i="3"/>
  <c r="A225" i="3"/>
  <c r="C225" i="3"/>
  <c r="E225" i="3"/>
  <c r="F225" i="3"/>
  <c r="G225" i="3"/>
  <c r="H225" i="3"/>
  <c r="I225" i="3"/>
  <c r="J225" i="3"/>
  <c r="AH225" i="3" s="1"/>
  <c r="K225" i="3"/>
  <c r="L225" i="3"/>
  <c r="M225" i="3"/>
  <c r="N225" i="3"/>
  <c r="O225" i="3"/>
  <c r="P225" i="3"/>
  <c r="Q225" i="3"/>
  <c r="R225" i="3"/>
  <c r="S225" i="3"/>
  <c r="T225" i="3"/>
  <c r="Y225" i="3"/>
  <c r="Z225" i="3"/>
  <c r="AA225" i="3"/>
  <c r="AB225" i="3"/>
  <c r="AD225" i="3"/>
  <c r="AE225" i="3"/>
  <c r="AG225" i="3"/>
  <c r="A226" i="3"/>
  <c r="C226" i="3"/>
  <c r="E226" i="3"/>
  <c r="F226" i="3"/>
  <c r="G226" i="3"/>
  <c r="H226" i="3"/>
  <c r="I226" i="3"/>
  <c r="J226" i="3"/>
  <c r="AH226" i="3" s="1"/>
  <c r="K226" i="3"/>
  <c r="L226" i="3"/>
  <c r="M226" i="3"/>
  <c r="N226" i="3"/>
  <c r="O226" i="3"/>
  <c r="P226" i="3"/>
  <c r="Q226" i="3"/>
  <c r="R226" i="3"/>
  <c r="S226" i="3"/>
  <c r="T226" i="3"/>
  <c r="Y226" i="3"/>
  <c r="Z226" i="3"/>
  <c r="AA226" i="3"/>
  <c r="AB226" i="3"/>
  <c r="AD226" i="3"/>
  <c r="AE226" i="3"/>
  <c r="AG226" i="3"/>
  <c r="A227" i="3"/>
  <c r="C227" i="3"/>
  <c r="E227" i="3"/>
  <c r="F227" i="3"/>
  <c r="G227" i="3"/>
  <c r="H227" i="3"/>
  <c r="I227" i="3"/>
  <c r="J227" i="3"/>
  <c r="AH227" i="3" s="1"/>
  <c r="K227" i="3"/>
  <c r="L227" i="3"/>
  <c r="M227" i="3"/>
  <c r="N227" i="3"/>
  <c r="O227" i="3"/>
  <c r="P227" i="3"/>
  <c r="Q227" i="3"/>
  <c r="R227" i="3"/>
  <c r="S227" i="3"/>
  <c r="T227" i="3"/>
  <c r="Y227" i="3"/>
  <c r="Z227" i="3"/>
  <c r="AA227" i="3"/>
  <c r="AB227" i="3"/>
  <c r="AD227" i="3"/>
  <c r="AE227" i="3"/>
  <c r="AG227" i="3"/>
  <c r="A228" i="3"/>
  <c r="C228" i="3"/>
  <c r="E228" i="3"/>
  <c r="F228" i="3"/>
  <c r="G228" i="3"/>
  <c r="H228" i="3"/>
  <c r="I228" i="3"/>
  <c r="J228" i="3"/>
  <c r="K228" i="3"/>
  <c r="L228" i="3"/>
  <c r="M228" i="3"/>
  <c r="N228" i="3"/>
  <c r="O228" i="3"/>
  <c r="P228" i="3"/>
  <c r="Q228" i="3"/>
  <c r="R228" i="3"/>
  <c r="S228" i="3"/>
  <c r="T228" i="3"/>
  <c r="Y228" i="3"/>
  <c r="Z228" i="3"/>
  <c r="AA228" i="3"/>
  <c r="AB228" i="3"/>
  <c r="AD228" i="3"/>
  <c r="AE228" i="3"/>
  <c r="AG228" i="3"/>
  <c r="AH228" i="3"/>
  <c r="A229" i="3"/>
  <c r="C229" i="3"/>
  <c r="E229" i="3"/>
  <c r="F229" i="3"/>
  <c r="G229" i="3"/>
  <c r="H229" i="3"/>
  <c r="I229" i="3"/>
  <c r="J229" i="3"/>
  <c r="AH229" i="3" s="1"/>
  <c r="K229" i="3"/>
  <c r="L229" i="3"/>
  <c r="M229" i="3"/>
  <c r="N229" i="3"/>
  <c r="O229" i="3"/>
  <c r="P229" i="3"/>
  <c r="Q229" i="3"/>
  <c r="R229" i="3"/>
  <c r="S229" i="3"/>
  <c r="T229" i="3"/>
  <c r="Y229" i="3"/>
  <c r="Z229" i="3"/>
  <c r="AA229" i="3"/>
  <c r="AB229" i="3"/>
  <c r="AD229" i="3"/>
  <c r="AE229" i="3"/>
  <c r="AG229" i="3"/>
  <c r="A230" i="3"/>
  <c r="C230" i="3"/>
  <c r="E230" i="3"/>
  <c r="F230" i="3"/>
  <c r="G230" i="3"/>
  <c r="H230" i="3"/>
  <c r="I230" i="3"/>
  <c r="J230" i="3"/>
  <c r="AH230" i="3" s="1"/>
  <c r="K230" i="3"/>
  <c r="L230" i="3"/>
  <c r="M230" i="3"/>
  <c r="N230" i="3"/>
  <c r="O230" i="3"/>
  <c r="P230" i="3"/>
  <c r="Q230" i="3"/>
  <c r="R230" i="3"/>
  <c r="S230" i="3"/>
  <c r="T230" i="3"/>
  <c r="Y230" i="3"/>
  <c r="Z230" i="3"/>
  <c r="AA230" i="3"/>
  <c r="AB230" i="3"/>
  <c r="AD230" i="3"/>
  <c r="AE230" i="3"/>
  <c r="AG230" i="3"/>
  <c r="A231" i="3"/>
  <c r="C231" i="3"/>
  <c r="E231" i="3"/>
  <c r="F231" i="3"/>
  <c r="G231" i="3"/>
  <c r="H231" i="3"/>
  <c r="I231" i="3"/>
  <c r="J231" i="3"/>
  <c r="K231" i="3"/>
  <c r="L231" i="3"/>
  <c r="M231" i="3"/>
  <c r="N231" i="3"/>
  <c r="O231" i="3"/>
  <c r="P231" i="3"/>
  <c r="Q231" i="3"/>
  <c r="R231" i="3"/>
  <c r="S231" i="3"/>
  <c r="T231" i="3"/>
  <c r="Y231" i="3"/>
  <c r="Z231" i="3"/>
  <c r="AA231" i="3"/>
  <c r="AB231" i="3"/>
  <c r="AD231" i="3"/>
  <c r="AE231" i="3"/>
  <c r="AG231" i="3"/>
  <c r="AH231" i="3"/>
  <c r="A232" i="3"/>
  <c r="C232" i="3"/>
  <c r="E232" i="3"/>
  <c r="F232" i="3"/>
  <c r="G232" i="3"/>
  <c r="H232" i="3"/>
  <c r="I232" i="3"/>
  <c r="J232" i="3"/>
  <c r="AH232" i="3" s="1"/>
  <c r="K232" i="3"/>
  <c r="L232" i="3"/>
  <c r="M232" i="3"/>
  <c r="N232" i="3"/>
  <c r="O232" i="3"/>
  <c r="P232" i="3"/>
  <c r="Q232" i="3"/>
  <c r="R232" i="3"/>
  <c r="S232" i="3"/>
  <c r="T232" i="3"/>
  <c r="Y232" i="3"/>
  <c r="Z232" i="3"/>
  <c r="AA232" i="3"/>
  <c r="AB232" i="3"/>
  <c r="AD232" i="3"/>
  <c r="AE232" i="3"/>
  <c r="AG232" i="3"/>
  <c r="A233" i="3"/>
  <c r="C233" i="3"/>
  <c r="E233" i="3"/>
  <c r="F233" i="3"/>
  <c r="G233" i="3"/>
  <c r="H233" i="3"/>
  <c r="I233" i="3"/>
  <c r="J233" i="3"/>
  <c r="AH233" i="3" s="1"/>
  <c r="K233" i="3"/>
  <c r="L233" i="3"/>
  <c r="M233" i="3"/>
  <c r="N233" i="3"/>
  <c r="O233" i="3"/>
  <c r="P233" i="3"/>
  <c r="Q233" i="3"/>
  <c r="R233" i="3"/>
  <c r="S233" i="3"/>
  <c r="T233" i="3"/>
  <c r="Y233" i="3"/>
  <c r="Z233" i="3"/>
  <c r="AA233" i="3"/>
  <c r="AB233" i="3"/>
  <c r="AD233" i="3"/>
  <c r="AE233" i="3"/>
  <c r="AG233" i="3"/>
  <c r="A234" i="3"/>
  <c r="C234" i="3"/>
  <c r="E234" i="3"/>
  <c r="F234" i="3"/>
  <c r="G234" i="3"/>
  <c r="H234" i="3"/>
  <c r="I234" i="3"/>
  <c r="J234" i="3"/>
  <c r="K234" i="3"/>
  <c r="L234" i="3"/>
  <c r="M234" i="3"/>
  <c r="N234" i="3"/>
  <c r="O234" i="3"/>
  <c r="P234" i="3"/>
  <c r="Q234" i="3"/>
  <c r="R234" i="3"/>
  <c r="S234" i="3"/>
  <c r="T234" i="3"/>
  <c r="Y234" i="3"/>
  <c r="Z234" i="3"/>
  <c r="AA234" i="3"/>
  <c r="AB234" i="3"/>
  <c r="AD234" i="3"/>
  <c r="AE234" i="3"/>
  <c r="AG234" i="3"/>
  <c r="AH234" i="3"/>
  <c r="A235" i="3"/>
  <c r="C235" i="3"/>
  <c r="E235" i="3"/>
  <c r="F235" i="3"/>
  <c r="G235" i="3"/>
  <c r="H235" i="3"/>
  <c r="I235" i="3"/>
  <c r="J235" i="3"/>
  <c r="AH235" i="3" s="1"/>
  <c r="K235" i="3"/>
  <c r="L235" i="3"/>
  <c r="M235" i="3"/>
  <c r="N235" i="3"/>
  <c r="O235" i="3"/>
  <c r="P235" i="3"/>
  <c r="Q235" i="3"/>
  <c r="R235" i="3"/>
  <c r="S235" i="3"/>
  <c r="T235" i="3"/>
  <c r="Y235" i="3"/>
  <c r="Z235" i="3"/>
  <c r="AA235" i="3"/>
  <c r="AB235" i="3"/>
  <c r="AD235" i="3"/>
  <c r="AE235" i="3"/>
  <c r="AG235" i="3"/>
  <c r="A236" i="3"/>
  <c r="C236" i="3"/>
  <c r="E236" i="3"/>
  <c r="F236" i="3"/>
  <c r="G236" i="3"/>
  <c r="H236" i="3"/>
  <c r="I236" i="3"/>
  <c r="J236" i="3"/>
  <c r="AH236" i="3" s="1"/>
  <c r="K236" i="3"/>
  <c r="L236" i="3"/>
  <c r="M236" i="3"/>
  <c r="N236" i="3"/>
  <c r="O236" i="3"/>
  <c r="P236" i="3"/>
  <c r="Q236" i="3"/>
  <c r="R236" i="3"/>
  <c r="S236" i="3"/>
  <c r="T236" i="3"/>
  <c r="Y236" i="3"/>
  <c r="Z236" i="3"/>
  <c r="AA236" i="3"/>
  <c r="AB236" i="3"/>
  <c r="AD236" i="3"/>
  <c r="AE236" i="3"/>
  <c r="AG236" i="3"/>
  <c r="A237" i="3"/>
  <c r="C237" i="3"/>
  <c r="E237" i="3"/>
  <c r="F237" i="3"/>
  <c r="G237" i="3"/>
  <c r="H237" i="3"/>
  <c r="I237" i="3"/>
  <c r="J237" i="3"/>
  <c r="K237" i="3"/>
  <c r="L237" i="3"/>
  <c r="M237" i="3"/>
  <c r="N237" i="3"/>
  <c r="O237" i="3"/>
  <c r="P237" i="3"/>
  <c r="Q237" i="3"/>
  <c r="R237" i="3"/>
  <c r="S237" i="3"/>
  <c r="T237" i="3"/>
  <c r="Y237" i="3"/>
  <c r="Z237" i="3"/>
  <c r="AA237" i="3"/>
  <c r="AB237" i="3"/>
  <c r="AD237" i="3"/>
  <c r="AE237" i="3"/>
  <c r="AG237" i="3"/>
  <c r="AH237" i="3"/>
  <c r="A238" i="3"/>
  <c r="C238" i="3"/>
  <c r="E238" i="3"/>
  <c r="F238" i="3"/>
  <c r="G238" i="3"/>
  <c r="H238" i="3"/>
  <c r="I238" i="3"/>
  <c r="J238" i="3"/>
  <c r="AH238" i="3" s="1"/>
  <c r="K238" i="3"/>
  <c r="L238" i="3"/>
  <c r="M238" i="3"/>
  <c r="N238" i="3"/>
  <c r="O238" i="3"/>
  <c r="P238" i="3"/>
  <c r="Q238" i="3"/>
  <c r="R238" i="3"/>
  <c r="S238" i="3"/>
  <c r="T238" i="3"/>
  <c r="Y238" i="3"/>
  <c r="Z238" i="3"/>
  <c r="AA238" i="3"/>
  <c r="AB238" i="3"/>
  <c r="AD238" i="3"/>
  <c r="AE238" i="3"/>
  <c r="AG238" i="3"/>
  <c r="A239" i="3"/>
  <c r="C239" i="3"/>
  <c r="E239" i="3"/>
  <c r="F239" i="3"/>
  <c r="G239" i="3"/>
  <c r="H239" i="3"/>
  <c r="I239" i="3"/>
  <c r="J239" i="3"/>
  <c r="AH239" i="3" s="1"/>
  <c r="K239" i="3"/>
  <c r="L239" i="3"/>
  <c r="M239" i="3"/>
  <c r="N239" i="3"/>
  <c r="O239" i="3"/>
  <c r="P239" i="3"/>
  <c r="Q239" i="3"/>
  <c r="R239" i="3"/>
  <c r="S239" i="3"/>
  <c r="T239" i="3"/>
  <c r="Y239" i="3"/>
  <c r="Z239" i="3"/>
  <c r="AA239" i="3"/>
  <c r="AB239" i="3"/>
  <c r="AD239" i="3"/>
  <c r="AE239" i="3"/>
  <c r="AG239" i="3"/>
  <c r="A240" i="3"/>
  <c r="C240" i="3"/>
  <c r="E240" i="3"/>
  <c r="F240" i="3"/>
  <c r="G240" i="3"/>
  <c r="H240" i="3"/>
  <c r="I240" i="3"/>
  <c r="J240" i="3"/>
  <c r="AH240" i="3" s="1"/>
  <c r="K240" i="3"/>
  <c r="L240" i="3"/>
  <c r="M240" i="3"/>
  <c r="N240" i="3"/>
  <c r="O240" i="3"/>
  <c r="P240" i="3"/>
  <c r="Q240" i="3"/>
  <c r="R240" i="3"/>
  <c r="S240" i="3"/>
  <c r="T240" i="3"/>
  <c r="Y240" i="3"/>
  <c r="Z240" i="3"/>
  <c r="AA240" i="3"/>
  <c r="AB240" i="3"/>
  <c r="AD240" i="3"/>
  <c r="AE240" i="3"/>
  <c r="AG240" i="3"/>
  <c r="A241" i="3"/>
  <c r="C241" i="3"/>
  <c r="E241" i="3"/>
  <c r="F241" i="3"/>
  <c r="G241" i="3"/>
  <c r="H241" i="3"/>
  <c r="I241" i="3"/>
  <c r="J241" i="3"/>
  <c r="AH241" i="3" s="1"/>
  <c r="K241" i="3"/>
  <c r="L241" i="3"/>
  <c r="M241" i="3"/>
  <c r="N241" i="3"/>
  <c r="O241" i="3"/>
  <c r="P241" i="3"/>
  <c r="Q241" i="3"/>
  <c r="R241" i="3"/>
  <c r="S241" i="3"/>
  <c r="T241" i="3"/>
  <c r="Y241" i="3"/>
  <c r="Z241" i="3"/>
  <c r="AA241" i="3"/>
  <c r="AB241" i="3"/>
  <c r="AD241" i="3"/>
  <c r="AE241" i="3"/>
  <c r="AG241" i="3"/>
  <c r="A242" i="3"/>
  <c r="C242" i="3"/>
  <c r="E242" i="3"/>
  <c r="F242" i="3"/>
  <c r="G242" i="3"/>
  <c r="H242" i="3"/>
  <c r="I242" i="3"/>
  <c r="J242" i="3"/>
  <c r="AH242" i="3" s="1"/>
  <c r="K242" i="3"/>
  <c r="L242" i="3"/>
  <c r="M242" i="3"/>
  <c r="N242" i="3"/>
  <c r="O242" i="3"/>
  <c r="P242" i="3"/>
  <c r="Q242" i="3"/>
  <c r="R242" i="3"/>
  <c r="S242" i="3"/>
  <c r="T242" i="3"/>
  <c r="Y242" i="3"/>
  <c r="Z242" i="3"/>
  <c r="AA242" i="3"/>
  <c r="AB242" i="3"/>
  <c r="AD242" i="3"/>
  <c r="AE242" i="3"/>
  <c r="AG242" i="3"/>
  <c r="A243" i="3"/>
  <c r="C243" i="3"/>
  <c r="E243" i="3"/>
  <c r="F243" i="3"/>
  <c r="G243" i="3"/>
  <c r="H243" i="3"/>
  <c r="I243" i="3"/>
  <c r="J243" i="3"/>
  <c r="AH243" i="3" s="1"/>
  <c r="K243" i="3"/>
  <c r="L243" i="3"/>
  <c r="M243" i="3"/>
  <c r="N243" i="3"/>
  <c r="O243" i="3"/>
  <c r="P243" i="3"/>
  <c r="Q243" i="3"/>
  <c r="R243" i="3"/>
  <c r="S243" i="3"/>
  <c r="T243" i="3"/>
  <c r="Y243" i="3"/>
  <c r="Z243" i="3"/>
  <c r="AA243" i="3"/>
  <c r="AB243" i="3"/>
  <c r="AD243" i="3"/>
  <c r="AE243" i="3"/>
  <c r="AG243" i="3"/>
  <c r="A244" i="3"/>
  <c r="C244" i="3"/>
  <c r="E244" i="3"/>
  <c r="F244" i="3"/>
  <c r="G244" i="3"/>
  <c r="H244" i="3"/>
  <c r="I244" i="3"/>
  <c r="J244" i="3"/>
  <c r="K244" i="3"/>
  <c r="L244" i="3"/>
  <c r="M244" i="3"/>
  <c r="N244" i="3"/>
  <c r="O244" i="3"/>
  <c r="P244" i="3"/>
  <c r="Q244" i="3"/>
  <c r="R244" i="3"/>
  <c r="S244" i="3"/>
  <c r="T244" i="3"/>
  <c r="Y244" i="3"/>
  <c r="Z244" i="3"/>
  <c r="AA244" i="3"/>
  <c r="AB244" i="3"/>
  <c r="AD244" i="3"/>
  <c r="AE244" i="3"/>
  <c r="AG244" i="3"/>
  <c r="AH244" i="3"/>
  <c r="A245" i="3"/>
  <c r="C245" i="3"/>
  <c r="E245" i="3"/>
  <c r="F245" i="3"/>
  <c r="G245" i="3"/>
  <c r="H245" i="3"/>
  <c r="I245" i="3"/>
  <c r="J245" i="3"/>
  <c r="AH245" i="3" s="1"/>
  <c r="K245" i="3"/>
  <c r="L245" i="3"/>
  <c r="M245" i="3"/>
  <c r="N245" i="3"/>
  <c r="O245" i="3"/>
  <c r="P245" i="3"/>
  <c r="Q245" i="3"/>
  <c r="R245" i="3"/>
  <c r="S245" i="3"/>
  <c r="T245" i="3"/>
  <c r="Y245" i="3"/>
  <c r="Z245" i="3"/>
  <c r="AA245" i="3"/>
  <c r="AB245" i="3"/>
  <c r="AD245" i="3"/>
  <c r="AE245" i="3"/>
  <c r="AG245" i="3"/>
  <c r="A246" i="3"/>
  <c r="C246" i="3"/>
  <c r="E246" i="3"/>
  <c r="F246" i="3"/>
  <c r="G246" i="3"/>
  <c r="H246" i="3"/>
  <c r="I246" i="3"/>
  <c r="J246" i="3"/>
  <c r="AH246" i="3" s="1"/>
  <c r="K246" i="3"/>
  <c r="L246" i="3"/>
  <c r="M246" i="3"/>
  <c r="N246" i="3"/>
  <c r="O246" i="3"/>
  <c r="P246" i="3"/>
  <c r="Q246" i="3"/>
  <c r="R246" i="3"/>
  <c r="S246" i="3"/>
  <c r="T246" i="3"/>
  <c r="Y246" i="3"/>
  <c r="Z246" i="3"/>
  <c r="AA246" i="3"/>
  <c r="AB246" i="3"/>
  <c r="AD246" i="3"/>
  <c r="AE246" i="3"/>
  <c r="AG246" i="3"/>
  <c r="A247" i="3"/>
  <c r="C247" i="3"/>
  <c r="E247" i="3"/>
  <c r="F247" i="3"/>
  <c r="G247" i="3"/>
  <c r="H247" i="3"/>
  <c r="I247" i="3"/>
  <c r="J247" i="3"/>
  <c r="AH247" i="3" s="1"/>
  <c r="K247" i="3"/>
  <c r="L247" i="3"/>
  <c r="M247" i="3"/>
  <c r="N247" i="3"/>
  <c r="O247" i="3"/>
  <c r="P247" i="3"/>
  <c r="Q247" i="3"/>
  <c r="R247" i="3"/>
  <c r="S247" i="3"/>
  <c r="T247" i="3"/>
  <c r="Y247" i="3"/>
  <c r="Z247" i="3"/>
  <c r="AA247" i="3"/>
  <c r="AB247" i="3"/>
  <c r="AD247" i="3"/>
  <c r="AE247" i="3"/>
  <c r="AG247" i="3"/>
  <c r="A248" i="3"/>
  <c r="C248" i="3"/>
  <c r="E248" i="3"/>
  <c r="F248" i="3"/>
  <c r="G248" i="3"/>
  <c r="H248" i="3"/>
  <c r="I248" i="3"/>
  <c r="J248" i="3"/>
  <c r="AH248" i="3" s="1"/>
  <c r="K248" i="3"/>
  <c r="L248" i="3"/>
  <c r="M248" i="3"/>
  <c r="N248" i="3"/>
  <c r="O248" i="3"/>
  <c r="P248" i="3"/>
  <c r="Q248" i="3"/>
  <c r="R248" i="3"/>
  <c r="S248" i="3"/>
  <c r="T248" i="3"/>
  <c r="Y248" i="3"/>
  <c r="Z248" i="3"/>
  <c r="AA248" i="3"/>
  <c r="AB248" i="3"/>
  <c r="AD248" i="3"/>
  <c r="AE248" i="3"/>
  <c r="AG248" i="3"/>
  <c r="A249" i="3"/>
  <c r="C249" i="3"/>
  <c r="E249" i="3"/>
  <c r="F249" i="3"/>
  <c r="G249" i="3"/>
  <c r="H249" i="3"/>
  <c r="I249" i="3"/>
  <c r="J249" i="3"/>
  <c r="AH249" i="3" s="1"/>
  <c r="K249" i="3"/>
  <c r="L249" i="3"/>
  <c r="M249" i="3"/>
  <c r="N249" i="3"/>
  <c r="O249" i="3"/>
  <c r="P249" i="3"/>
  <c r="Q249" i="3"/>
  <c r="R249" i="3"/>
  <c r="S249" i="3"/>
  <c r="T249" i="3"/>
  <c r="Y249" i="3"/>
  <c r="Z249" i="3"/>
  <c r="AA249" i="3"/>
  <c r="AB249" i="3"/>
  <c r="AD249" i="3"/>
  <c r="AE249" i="3"/>
  <c r="AG249" i="3"/>
  <c r="A250" i="3"/>
  <c r="C250" i="3"/>
  <c r="E250" i="3"/>
  <c r="F250" i="3"/>
  <c r="G250" i="3"/>
  <c r="H250" i="3"/>
  <c r="I250" i="3"/>
  <c r="J250" i="3"/>
  <c r="K250" i="3"/>
  <c r="L250" i="3"/>
  <c r="M250" i="3"/>
  <c r="N250" i="3"/>
  <c r="O250" i="3"/>
  <c r="P250" i="3"/>
  <c r="Q250" i="3"/>
  <c r="R250" i="3"/>
  <c r="S250" i="3"/>
  <c r="T250" i="3"/>
  <c r="Y250" i="3"/>
  <c r="Z250" i="3"/>
  <c r="AA250" i="3"/>
  <c r="AB250" i="3"/>
  <c r="AD250" i="3"/>
  <c r="AE250" i="3"/>
  <c r="AG250" i="3"/>
  <c r="AH250" i="3"/>
  <c r="A251" i="3"/>
  <c r="C251" i="3"/>
  <c r="E251" i="3"/>
  <c r="F251" i="3"/>
  <c r="G251" i="3"/>
  <c r="H251" i="3"/>
  <c r="I251" i="3"/>
  <c r="J251" i="3"/>
  <c r="AH251" i="3" s="1"/>
  <c r="K251" i="3"/>
  <c r="L251" i="3"/>
  <c r="M251" i="3"/>
  <c r="N251" i="3"/>
  <c r="O251" i="3"/>
  <c r="P251" i="3"/>
  <c r="Q251" i="3"/>
  <c r="R251" i="3"/>
  <c r="S251" i="3"/>
  <c r="T251" i="3"/>
  <c r="Y251" i="3"/>
  <c r="Z251" i="3"/>
  <c r="AA251" i="3"/>
  <c r="AB251" i="3"/>
  <c r="AD251" i="3"/>
  <c r="AE251" i="3"/>
  <c r="AG251" i="3"/>
  <c r="A252" i="3"/>
  <c r="C252" i="3"/>
  <c r="E252" i="3"/>
  <c r="F252" i="3"/>
  <c r="G252" i="3"/>
  <c r="H252" i="3"/>
  <c r="I252" i="3"/>
  <c r="J252" i="3"/>
  <c r="AH252" i="3" s="1"/>
  <c r="K252" i="3"/>
  <c r="L252" i="3"/>
  <c r="M252" i="3"/>
  <c r="N252" i="3"/>
  <c r="O252" i="3"/>
  <c r="P252" i="3"/>
  <c r="Q252" i="3"/>
  <c r="R252" i="3"/>
  <c r="S252" i="3"/>
  <c r="T252" i="3"/>
  <c r="Y252" i="3"/>
  <c r="Z252" i="3"/>
  <c r="AA252" i="3"/>
  <c r="AB252" i="3"/>
  <c r="AD252" i="3"/>
  <c r="AE252" i="3"/>
  <c r="AG252" i="3"/>
  <c r="A253" i="3"/>
  <c r="C253" i="3"/>
  <c r="E253" i="3"/>
  <c r="F253" i="3"/>
  <c r="G253" i="3"/>
  <c r="H253" i="3"/>
  <c r="I253" i="3"/>
  <c r="J253" i="3"/>
  <c r="K253" i="3"/>
  <c r="L253" i="3"/>
  <c r="M253" i="3"/>
  <c r="N253" i="3"/>
  <c r="O253" i="3"/>
  <c r="P253" i="3"/>
  <c r="Q253" i="3"/>
  <c r="R253" i="3"/>
  <c r="S253" i="3"/>
  <c r="T253" i="3"/>
  <c r="Y253" i="3"/>
  <c r="Z253" i="3"/>
  <c r="AA253" i="3"/>
  <c r="AB253" i="3"/>
  <c r="AD253" i="3"/>
  <c r="AE253" i="3"/>
  <c r="AG253" i="3"/>
  <c r="AH253" i="3"/>
  <c r="A254" i="3"/>
  <c r="C254" i="3"/>
  <c r="E254" i="3"/>
  <c r="F254" i="3"/>
  <c r="G254" i="3"/>
  <c r="H254" i="3"/>
  <c r="I254" i="3"/>
  <c r="J254" i="3"/>
  <c r="AH254" i="3" s="1"/>
  <c r="K254" i="3"/>
  <c r="L254" i="3"/>
  <c r="M254" i="3"/>
  <c r="N254" i="3"/>
  <c r="O254" i="3"/>
  <c r="P254" i="3"/>
  <c r="Q254" i="3"/>
  <c r="R254" i="3"/>
  <c r="S254" i="3"/>
  <c r="T254" i="3"/>
  <c r="Y254" i="3"/>
  <c r="Z254" i="3"/>
  <c r="AA254" i="3"/>
  <c r="AB254" i="3"/>
  <c r="AD254" i="3"/>
  <c r="AE254" i="3"/>
  <c r="AG254" i="3"/>
  <c r="A255" i="3"/>
  <c r="C255" i="3"/>
  <c r="E255" i="3"/>
  <c r="F255" i="3"/>
  <c r="G255" i="3"/>
  <c r="H255" i="3"/>
  <c r="I255" i="3"/>
  <c r="J255" i="3"/>
  <c r="AH255" i="3" s="1"/>
  <c r="K255" i="3"/>
  <c r="L255" i="3"/>
  <c r="M255" i="3"/>
  <c r="N255" i="3"/>
  <c r="O255" i="3"/>
  <c r="P255" i="3"/>
  <c r="Q255" i="3"/>
  <c r="R255" i="3"/>
  <c r="S255" i="3"/>
  <c r="T255" i="3"/>
  <c r="Y255" i="3"/>
  <c r="Z255" i="3"/>
  <c r="AA255" i="3"/>
  <c r="AB255" i="3"/>
  <c r="AD255" i="3"/>
  <c r="AE255" i="3"/>
  <c r="AG255" i="3"/>
  <c r="A256" i="3"/>
  <c r="C256" i="3"/>
  <c r="E256" i="3"/>
  <c r="F256" i="3"/>
  <c r="G256" i="3"/>
  <c r="H256" i="3"/>
  <c r="I256" i="3"/>
  <c r="J256" i="3"/>
  <c r="K256" i="3"/>
  <c r="L256" i="3"/>
  <c r="M256" i="3"/>
  <c r="N256" i="3"/>
  <c r="O256" i="3"/>
  <c r="P256" i="3"/>
  <c r="Q256" i="3"/>
  <c r="R256" i="3"/>
  <c r="S256" i="3"/>
  <c r="T256" i="3"/>
  <c r="Y256" i="3"/>
  <c r="Z256" i="3"/>
  <c r="AA256" i="3"/>
  <c r="AB256" i="3"/>
  <c r="AD256" i="3"/>
  <c r="AE256" i="3"/>
  <c r="AG256" i="3"/>
  <c r="AH256" i="3"/>
  <c r="A257" i="3"/>
  <c r="C257" i="3"/>
  <c r="E257" i="3"/>
  <c r="F257" i="3"/>
  <c r="G257" i="3"/>
  <c r="H257" i="3"/>
  <c r="I257" i="3"/>
  <c r="J257" i="3"/>
  <c r="AH257" i="3" s="1"/>
  <c r="K257" i="3"/>
  <c r="L257" i="3"/>
  <c r="M257" i="3"/>
  <c r="N257" i="3"/>
  <c r="O257" i="3"/>
  <c r="P257" i="3"/>
  <c r="Q257" i="3"/>
  <c r="R257" i="3"/>
  <c r="S257" i="3"/>
  <c r="T257" i="3"/>
  <c r="Y257" i="3"/>
  <c r="Z257" i="3"/>
  <c r="AA257" i="3"/>
  <c r="AB257" i="3"/>
  <c r="AD257" i="3"/>
  <c r="AE257" i="3"/>
  <c r="AG257" i="3"/>
  <c r="A258" i="3"/>
  <c r="C258" i="3"/>
  <c r="E258" i="3"/>
  <c r="F258" i="3"/>
  <c r="G258" i="3"/>
  <c r="H258" i="3"/>
  <c r="I258" i="3"/>
  <c r="J258" i="3"/>
  <c r="AH258" i="3" s="1"/>
  <c r="K258" i="3"/>
  <c r="L258" i="3"/>
  <c r="M258" i="3"/>
  <c r="N258" i="3"/>
  <c r="O258" i="3"/>
  <c r="P258" i="3"/>
  <c r="Q258" i="3"/>
  <c r="R258" i="3"/>
  <c r="S258" i="3"/>
  <c r="T258" i="3"/>
  <c r="Y258" i="3"/>
  <c r="Z258" i="3"/>
  <c r="AA258" i="3"/>
  <c r="AB258" i="3"/>
  <c r="AD258" i="3"/>
  <c r="AE258" i="3"/>
  <c r="AG258" i="3"/>
  <c r="A259" i="3"/>
  <c r="C259" i="3"/>
  <c r="E259" i="3"/>
  <c r="F259" i="3"/>
  <c r="G259" i="3"/>
  <c r="H259" i="3"/>
  <c r="I259" i="3"/>
  <c r="J259" i="3"/>
  <c r="AH259" i="3" s="1"/>
  <c r="K259" i="3"/>
  <c r="L259" i="3"/>
  <c r="M259" i="3"/>
  <c r="N259" i="3"/>
  <c r="O259" i="3"/>
  <c r="P259" i="3"/>
  <c r="Q259" i="3"/>
  <c r="R259" i="3"/>
  <c r="S259" i="3"/>
  <c r="T259" i="3"/>
  <c r="Y259" i="3"/>
  <c r="Z259" i="3"/>
  <c r="AA259" i="3"/>
  <c r="AB259" i="3"/>
  <c r="AD259" i="3"/>
  <c r="AE259" i="3"/>
  <c r="AG259" i="3"/>
  <c r="A260" i="3"/>
  <c r="C260" i="3"/>
  <c r="E260" i="3"/>
  <c r="F260" i="3"/>
  <c r="G260" i="3"/>
  <c r="H260" i="3"/>
  <c r="I260" i="3"/>
  <c r="J260" i="3"/>
  <c r="AH260" i="3" s="1"/>
  <c r="K260" i="3"/>
  <c r="L260" i="3"/>
  <c r="M260" i="3"/>
  <c r="N260" i="3"/>
  <c r="O260" i="3"/>
  <c r="P260" i="3"/>
  <c r="Q260" i="3"/>
  <c r="R260" i="3"/>
  <c r="S260" i="3"/>
  <c r="T260" i="3"/>
  <c r="Y260" i="3"/>
  <c r="Z260" i="3"/>
  <c r="AA260" i="3"/>
  <c r="AB260" i="3"/>
  <c r="AD260" i="3"/>
  <c r="AE260" i="3"/>
  <c r="AG260" i="3"/>
  <c r="A261" i="3"/>
  <c r="C261" i="3"/>
  <c r="E261" i="3"/>
  <c r="F261" i="3"/>
  <c r="G261" i="3"/>
  <c r="H261" i="3"/>
  <c r="I261" i="3"/>
  <c r="J261" i="3"/>
  <c r="AH261" i="3" s="1"/>
  <c r="K261" i="3"/>
  <c r="L261" i="3"/>
  <c r="M261" i="3"/>
  <c r="N261" i="3"/>
  <c r="O261" i="3"/>
  <c r="P261" i="3"/>
  <c r="Q261" i="3"/>
  <c r="R261" i="3"/>
  <c r="S261" i="3"/>
  <c r="T261" i="3"/>
  <c r="Y261" i="3"/>
  <c r="Z261" i="3"/>
  <c r="AA261" i="3"/>
  <c r="AB261" i="3"/>
  <c r="AD261" i="3"/>
  <c r="AE261" i="3"/>
  <c r="AG261" i="3"/>
  <c r="A262" i="3"/>
  <c r="C262" i="3"/>
  <c r="E262" i="3"/>
  <c r="F262" i="3"/>
  <c r="G262" i="3"/>
  <c r="H262" i="3"/>
  <c r="I262" i="3"/>
  <c r="J262" i="3"/>
  <c r="AH262" i="3" s="1"/>
  <c r="K262" i="3"/>
  <c r="L262" i="3"/>
  <c r="M262" i="3"/>
  <c r="N262" i="3"/>
  <c r="O262" i="3"/>
  <c r="P262" i="3"/>
  <c r="Q262" i="3"/>
  <c r="R262" i="3"/>
  <c r="S262" i="3"/>
  <c r="T262" i="3"/>
  <c r="Y262" i="3"/>
  <c r="Z262" i="3"/>
  <c r="AA262" i="3"/>
  <c r="AB262" i="3"/>
  <c r="AD262" i="3"/>
  <c r="AE262" i="3"/>
  <c r="AG262" i="3"/>
  <c r="A263" i="3"/>
  <c r="C263" i="3"/>
  <c r="E263" i="3"/>
  <c r="F263" i="3"/>
  <c r="G263" i="3"/>
  <c r="H263" i="3"/>
  <c r="I263" i="3"/>
  <c r="J263" i="3"/>
  <c r="AH263" i="3" s="1"/>
  <c r="K263" i="3"/>
  <c r="L263" i="3"/>
  <c r="M263" i="3"/>
  <c r="N263" i="3"/>
  <c r="O263" i="3"/>
  <c r="P263" i="3"/>
  <c r="Q263" i="3"/>
  <c r="R263" i="3"/>
  <c r="S263" i="3"/>
  <c r="T263" i="3"/>
  <c r="Y263" i="3"/>
  <c r="Z263" i="3"/>
  <c r="AA263" i="3"/>
  <c r="AB263" i="3"/>
  <c r="AD263" i="3"/>
  <c r="AE263" i="3"/>
  <c r="AG263" i="3"/>
  <c r="A264" i="3"/>
  <c r="C264" i="3"/>
  <c r="E264" i="3"/>
  <c r="F264" i="3"/>
  <c r="G264" i="3"/>
  <c r="H264" i="3"/>
  <c r="I264" i="3"/>
  <c r="J264" i="3"/>
  <c r="AH264" i="3" s="1"/>
  <c r="K264" i="3"/>
  <c r="L264" i="3"/>
  <c r="M264" i="3"/>
  <c r="N264" i="3"/>
  <c r="O264" i="3"/>
  <c r="P264" i="3"/>
  <c r="Q264" i="3"/>
  <c r="R264" i="3"/>
  <c r="S264" i="3"/>
  <c r="T264" i="3"/>
  <c r="Y264" i="3"/>
  <c r="Z264" i="3"/>
  <c r="AA264" i="3"/>
  <c r="AB264" i="3"/>
  <c r="AD264" i="3"/>
  <c r="AE264" i="3"/>
  <c r="AG264" i="3"/>
  <c r="A265" i="3"/>
  <c r="C265" i="3"/>
  <c r="E265" i="3"/>
  <c r="F265" i="3"/>
  <c r="G265" i="3"/>
  <c r="H265" i="3"/>
  <c r="I265" i="3"/>
  <c r="J265" i="3"/>
  <c r="AH265" i="3" s="1"/>
  <c r="K265" i="3"/>
  <c r="L265" i="3"/>
  <c r="M265" i="3"/>
  <c r="N265" i="3"/>
  <c r="O265" i="3"/>
  <c r="P265" i="3"/>
  <c r="Q265" i="3"/>
  <c r="R265" i="3"/>
  <c r="S265" i="3"/>
  <c r="T265" i="3"/>
  <c r="Y265" i="3"/>
  <c r="Z265" i="3"/>
  <c r="AA265" i="3"/>
  <c r="AB265" i="3"/>
  <c r="AD265" i="3"/>
  <c r="AE265" i="3"/>
  <c r="AG265" i="3"/>
  <c r="A266" i="3"/>
  <c r="C266" i="3"/>
  <c r="E266" i="3"/>
  <c r="F266" i="3"/>
  <c r="G266" i="3"/>
  <c r="H266" i="3"/>
  <c r="I266" i="3"/>
  <c r="J266" i="3"/>
  <c r="K266" i="3"/>
  <c r="L266" i="3"/>
  <c r="M266" i="3"/>
  <c r="N266" i="3"/>
  <c r="O266" i="3"/>
  <c r="P266" i="3"/>
  <c r="Q266" i="3"/>
  <c r="R266" i="3"/>
  <c r="S266" i="3"/>
  <c r="T266" i="3"/>
  <c r="Y266" i="3"/>
  <c r="Z266" i="3"/>
  <c r="AA266" i="3"/>
  <c r="AB266" i="3"/>
  <c r="AD266" i="3"/>
  <c r="AE266" i="3"/>
  <c r="AG266" i="3"/>
  <c r="AH266" i="3"/>
  <c r="A267" i="3"/>
  <c r="C267" i="3"/>
  <c r="E267" i="3"/>
  <c r="F267" i="3"/>
  <c r="G267" i="3"/>
  <c r="H267" i="3"/>
  <c r="I267" i="3"/>
  <c r="J267" i="3"/>
  <c r="AH267" i="3" s="1"/>
  <c r="K267" i="3"/>
  <c r="L267" i="3"/>
  <c r="M267" i="3"/>
  <c r="N267" i="3"/>
  <c r="O267" i="3"/>
  <c r="P267" i="3"/>
  <c r="Q267" i="3"/>
  <c r="R267" i="3"/>
  <c r="S267" i="3"/>
  <c r="T267" i="3"/>
  <c r="Y267" i="3"/>
  <c r="Z267" i="3"/>
  <c r="AA267" i="3"/>
  <c r="AB267" i="3"/>
  <c r="AD267" i="3"/>
  <c r="AE267" i="3"/>
  <c r="AG267" i="3"/>
  <c r="A268" i="3"/>
  <c r="C268" i="3"/>
  <c r="E268" i="3"/>
  <c r="F268" i="3"/>
  <c r="G268" i="3"/>
  <c r="H268" i="3"/>
  <c r="I268" i="3"/>
  <c r="J268" i="3"/>
  <c r="AH268" i="3" s="1"/>
  <c r="K268" i="3"/>
  <c r="L268" i="3"/>
  <c r="M268" i="3"/>
  <c r="N268" i="3"/>
  <c r="O268" i="3"/>
  <c r="P268" i="3"/>
  <c r="Q268" i="3"/>
  <c r="R268" i="3"/>
  <c r="S268" i="3"/>
  <c r="T268" i="3"/>
  <c r="Y268" i="3"/>
  <c r="Z268" i="3"/>
  <c r="AA268" i="3"/>
  <c r="AB268" i="3"/>
  <c r="AD268" i="3"/>
  <c r="AE268" i="3"/>
  <c r="AG268" i="3"/>
  <c r="A269" i="3"/>
  <c r="C269" i="3"/>
  <c r="E269" i="3"/>
  <c r="F269" i="3"/>
  <c r="G269" i="3"/>
  <c r="H269" i="3"/>
  <c r="I269" i="3"/>
  <c r="J269" i="3"/>
  <c r="AH269" i="3" s="1"/>
  <c r="K269" i="3"/>
  <c r="L269" i="3"/>
  <c r="M269" i="3"/>
  <c r="N269" i="3"/>
  <c r="O269" i="3"/>
  <c r="P269" i="3"/>
  <c r="Q269" i="3"/>
  <c r="R269" i="3"/>
  <c r="S269" i="3"/>
  <c r="T269" i="3"/>
  <c r="Y269" i="3"/>
  <c r="Z269" i="3"/>
  <c r="AA269" i="3"/>
  <c r="AB269" i="3"/>
  <c r="AD269" i="3"/>
  <c r="AE269" i="3"/>
  <c r="AG269" i="3"/>
  <c r="A270" i="3"/>
  <c r="C270" i="3"/>
  <c r="E270" i="3"/>
  <c r="F270" i="3"/>
  <c r="G270" i="3"/>
  <c r="H270" i="3"/>
  <c r="I270" i="3"/>
  <c r="J270" i="3"/>
  <c r="AH270" i="3" s="1"/>
  <c r="K270" i="3"/>
  <c r="L270" i="3"/>
  <c r="M270" i="3"/>
  <c r="N270" i="3"/>
  <c r="O270" i="3"/>
  <c r="P270" i="3"/>
  <c r="Q270" i="3"/>
  <c r="R270" i="3"/>
  <c r="S270" i="3"/>
  <c r="T270" i="3"/>
  <c r="Y270" i="3"/>
  <c r="Z270" i="3"/>
  <c r="AA270" i="3"/>
  <c r="AB270" i="3"/>
  <c r="AD270" i="3"/>
  <c r="AE270" i="3"/>
  <c r="AG270" i="3"/>
  <c r="A271" i="3"/>
  <c r="C271" i="3"/>
  <c r="E271" i="3"/>
  <c r="F271" i="3"/>
  <c r="G271" i="3"/>
  <c r="H271" i="3"/>
  <c r="I271" i="3"/>
  <c r="J271" i="3"/>
  <c r="AH271" i="3" s="1"/>
  <c r="K271" i="3"/>
  <c r="L271" i="3"/>
  <c r="M271" i="3"/>
  <c r="N271" i="3"/>
  <c r="O271" i="3"/>
  <c r="P271" i="3"/>
  <c r="Q271" i="3"/>
  <c r="R271" i="3"/>
  <c r="S271" i="3"/>
  <c r="T271" i="3"/>
  <c r="Y271" i="3"/>
  <c r="Z271" i="3"/>
  <c r="AA271" i="3"/>
  <c r="AB271" i="3"/>
  <c r="AD271" i="3"/>
  <c r="AE271" i="3"/>
  <c r="AG271" i="3"/>
  <c r="A272" i="3"/>
  <c r="C272" i="3"/>
  <c r="E272" i="3"/>
  <c r="F272" i="3"/>
  <c r="G272" i="3"/>
  <c r="H272" i="3"/>
  <c r="I272" i="3"/>
  <c r="J272" i="3"/>
  <c r="K272" i="3"/>
  <c r="L272" i="3"/>
  <c r="M272" i="3"/>
  <c r="N272" i="3"/>
  <c r="O272" i="3"/>
  <c r="P272" i="3"/>
  <c r="Q272" i="3"/>
  <c r="R272" i="3"/>
  <c r="S272" i="3"/>
  <c r="T272" i="3"/>
  <c r="Y272" i="3"/>
  <c r="Z272" i="3"/>
  <c r="AA272" i="3"/>
  <c r="AB272" i="3"/>
  <c r="AD272" i="3"/>
  <c r="AE272" i="3"/>
  <c r="AG272" i="3"/>
  <c r="AH272" i="3"/>
  <c r="A273" i="3"/>
  <c r="C273" i="3"/>
  <c r="E273" i="3"/>
  <c r="F273" i="3"/>
  <c r="G273" i="3"/>
  <c r="H273" i="3"/>
  <c r="I273" i="3"/>
  <c r="J273" i="3"/>
  <c r="AH273" i="3" s="1"/>
  <c r="K273" i="3"/>
  <c r="L273" i="3"/>
  <c r="M273" i="3"/>
  <c r="N273" i="3"/>
  <c r="O273" i="3"/>
  <c r="P273" i="3"/>
  <c r="Q273" i="3"/>
  <c r="R273" i="3"/>
  <c r="S273" i="3"/>
  <c r="T273" i="3"/>
  <c r="Y273" i="3"/>
  <c r="Z273" i="3"/>
  <c r="AA273" i="3"/>
  <c r="AB273" i="3"/>
  <c r="AD273" i="3"/>
  <c r="AE273" i="3"/>
  <c r="AG273" i="3"/>
  <c r="A274" i="3"/>
  <c r="C274" i="3"/>
  <c r="E274" i="3"/>
  <c r="F274" i="3"/>
  <c r="G274" i="3"/>
  <c r="H274" i="3"/>
  <c r="I274" i="3"/>
  <c r="J274" i="3"/>
  <c r="AH274" i="3" s="1"/>
  <c r="K274" i="3"/>
  <c r="L274" i="3"/>
  <c r="M274" i="3"/>
  <c r="N274" i="3"/>
  <c r="O274" i="3"/>
  <c r="P274" i="3"/>
  <c r="Q274" i="3"/>
  <c r="R274" i="3"/>
  <c r="S274" i="3"/>
  <c r="T274" i="3"/>
  <c r="Y274" i="3"/>
  <c r="Z274" i="3"/>
  <c r="AA274" i="3"/>
  <c r="AB274" i="3"/>
  <c r="AD274" i="3"/>
  <c r="AE274" i="3"/>
  <c r="AG274" i="3"/>
  <c r="A275" i="3"/>
  <c r="C275" i="3"/>
  <c r="E275" i="3"/>
  <c r="F275" i="3"/>
  <c r="G275" i="3"/>
  <c r="H275" i="3"/>
  <c r="I275" i="3"/>
  <c r="J275" i="3"/>
  <c r="AH275" i="3" s="1"/>
  <c r="K275" i="3"/>
  <c r="L275" i="3"/>
  <c r="M275" i="3"/>
  <c r="N275" i="3"/>
  <c r="O275" i="3"/>
  <c r="P275" i="3"/>
  <c r="Q275" i="3"/>
  <c r="R275" i="3"/>
  <c r="S275" i="3"/>
  <c r="T275" i="3"/>
  <c r="Y275" i="3"/>
  <c r="Z275" i="3"/>
  <c r="AA275" i="3"/>
  <c r="AB275" i="3"/>
  <c r="AD275" i="3"/>
  <c r="AE275" i="3"/>
  <c r="AG275" i="3"/>
  <c r="A276" i="3"/>
  <c r="C276" i="3"/>
  <c r="E276" i="3"/>
  <c r="F276" i="3"/>
  <c r="G276" i="3"/>
  <c r="H276" i="3"/>
  <c r="I276" i="3"/>
  <c r="J276" i="3"/>
  <c r="AH276" i="3" s="1"/>
  <c r="K276" i="3"/>
  <c r="L276" i="3"/>
  <c r="M276" i="3"/>
  <c r="N276" i="3"/>
  <c r="O276" i="3"/>
  <c r="P276" i="3"/>
  <c r="Q276" i="3"/>
  <c r="R276" i="3"/>
  <c r="S276" i="3"/>
  <c r="T276" i="3"/>
  <c r="Y276" i="3"/>
  <c r="Z276" i="3"/>
  <c r="AA276" i="3"/>
  <c r="AB276" i="3"/>
  <c r="AD276" i="3"/>
  <c r="AE276" i="3"/>
  <c r="AG276" i="3"/>
  <c r="A277" i="3"/>
  <c r="C277" i="3"/>
  <c r="E277" i="3"/>
  <c r="F277" i="3"/>
  <c r="G277" i="3"/>
  <c r="H277" i="3"/>
  <c r="I277" i="3"/>
  <c r="J277" i="3"/>
  <c r="AH277" i="3" s="1"/>
  <c r="K277" i="3"/>
  <c r="L277" i="3"/>
  <c r="M277" i="3"/>
  <c r="N277" i="3"/>
  <c r="O277" i="3"/>
  <c r="P277" i="3"/>
  <c r="Q277" i="3"/>
  <c r="R277" i="3"/>
  <c r="S277" i="3"/>
  <c r="T277" i="3"/>
  <c r="Y277" i="3"/>
  <c r="Z277" i="3"/>
  <c r="AA277" i="3"/>
  <c r="AB277" i="3"/>
  <c r="AD277" i="3"/>
  <c r="AE277" i="3"/>
  <c r="AG277" i="3"/>
  <c r="A278" i="3"/>
  <c r="C278" i="3"/>
  <c r="E278" i="3"/>
  <c r="F278" i="3"/>
  <c r="G278" i="3"/>
  <c r="H278" i="3"/>
  <c r="I278" i="3"/>
  <c r="J278" i="3"/>
  <c r="AH278" i="3" s="1"/>
  <c r="K278" i="3"/>
  <c r="L278" i="3"/>
  <c r="M278" i="3"/>
  <c r="N278" i="3"/>
  <c r="O278" i="3"/>
  <c r="P278" i="3"/>
  <c r="Q278" i="3"/>
  <c r="R278" i="3"/>
  <c r="S278" i="3"/>
  <c r="T278" i="3"/>
  <c r="Y278" i="3"/>
  <c r="Z278" i="3"/>
  <c r="AA278" i="3"/>
  <c r="AB278" i="3"/>
  <c r="AD278" i="3"/>
  <c r="AE278" i="3"/>
  <c r="AG278" i="3"/>
  <c r="A279" i="3"/>
  <c r="C279" i="3"/>
  <c r="E279" i="3"/>
  <c r="F279" i="3"/>
  <c r="G279" i="3"/>
  <c r="H279" i="3"/>
  <c r="I279" i="3"/>
  <c r="J279" i="3"/>
  <c r="AH279" i="3" s="1"/>
  <c r="K279" i="3"/>
  <c r="L279" i="3"/>
  <c r="M279" i="3"/>
  <c r="N279" i="3"/>
  <c r="O279" i="3"/>
  <c r="P279" i="3"/>
  <c r="Q279" i="3"/>
  <c r="R279" i="3"/>
  <c r="S279" i="3"/>
  <c r="T279" i="3"/>
  <c r="Y279" i="3"/>
  <c r="Z279" i="3"/>
  <c r="AA279" i="3"/>
  <c r="AB279" i="3"/>
  <c r="AD279" i="3"/>
  <c r="AE279" i="3"/>
  <c r="AG279" i="3"/>
  <c r="A280" i="3"/>
  <c r="C280" i="3"/>
  <c r="E280" i="3"/>
  <c r="F280" i="3"/>
  <c r="G280" i="3"/>
  <c r="H280" i="3"/>
  <c r="I280" i="3"/>
  <c r="J280" i="3"/>
  <c r="AH280" i="3" s="1"/>
  <c r="K280" i="3"/>
  <c r="L280" i="3"/>
  <c r="M280" i="3"/>
  <c r="N280" i="3"/>
  <c r="O280" i="3"/>
  <c r="P280" i="3"/>
  <c r="Q280" i="3"/>
  <c r="R280" i="3"/>
  <c r="S280" i="3"/>
  <c r="T280" i="3"/>
  <c r="Y280" i="3"/>
  <c r="Z280" i="3"/>
  <c r="AA280" i="3"/>
  <c r="AB280" i="3"/>
  <c r="AD280" i="3"/>
  <c r="AE280" i="3"/>
  <c r="AG280" i="3"/>
  <c r="A281" i="3"/>
  <c r="C281" i="3"/>
  <c r="E281" i="3"/>
  <c r="F281" i="3"/>
  <c r="G281" i="3"/>
  <c r="H281" i="3"/>
  <c r="I281" i="3"/>
  <c r="J281" i="3"/>
  <c r="AH281" i="3" s="1"/>
  <c r="K281" i="3"/>
  <c r="L281" i="3"/>
  <c r="M281" i="3"/>
  <c r="N281" i="3"/>
  <c r="O281" i="3"/>
  <c r="P281" i="3"/>
  <c r="Q281" i="3"/>
  <c r="R281" i="3"/>
  <c r="S281" i="3"/>
  <c r="T281" i="3"/>
  <c r="Y281" i="3"/>
  <c r="Z281" i="3"/>
  <c r="AA281" i="3"/>
  <c r="AB281" i="3"/>
  <c r="AD281" i="3"/>
  <c r="AE281" i="3"/>
  <c r="AG281" i="3"/>
  <c r="A282" i="3"/>
  <c r="C282" i="3"/>
  <c r="E282" i="3"/>
  <c r="F282" i="3"/>
  <c r="G282" i="3"/>
  <c r="H282" i="3"/>
  <c r="I282" i="3"/>
  <c r="J282" i="3"/>
  <c r="AH282" i="3" s="1"/>
  <c r="K282" i="3"/>
  <c r="L282" i="3"/>
  <c r="M282" i="3"/>
  <c r="N282" i="3"/>
  <c r="O282" i="3"/>
  <c r="P282" i="3"/>
  <c r="Q282" i="3"/>
  <c r="R282" i="3"/>
  <c r="S282" i="3"/>
  <c r="T282" i="3"/>
  <c r="Y282" i="3"/>
  <c r="Z282" i="3"/>
  <c r="AA282" i="3"/>
  <c r="AB282" i="3"/>
  <c r="AD282" i="3"/>
  <c r="AE282" i="3"/>
  <c r="AG282" i="3"/>
  <c r="A283" i="3"/>
  <c r="C283" i="3"/>
  <c r="E283" i="3"/>
  <c r="F283" i="3"/>
  <c r="G283" i="3"/>
  <c r="H283" i="3"/>
  <c r="I283" i="3"/>
  <c r="J283" i="3"/>
  <c r="AH283" i="3" s="1"/>
  <c r="K283" i="3"/>
  <c r="L283" i="3"/>
  <c r="M283" i="3"/>
  <c r="N283" i="3"/>
  <c r="O283" i="3"/>
  <c r="P283" i="3"/>
  <c r="Q283" i="3"/>
  <c r="R283" i="3"/>
  <c r="S283" i="3"/>
  <c r="T283" i="3"/>
  <c r="Y283" i="3"/>
  <c r="Z283" i="3"/>
  <c r="AA283" i="3"/>
  <c r="AB283" i="3"/>
  <c r="AD283" i="3"/>
  <c r="AE283" i="3"/>
  <c r="AG283" i="3"/>
  <c r="A284" i="3"/>
  <c r="C284" i="3"/>
  <c r="E284" i="3"/>
  <c r="F284" i="3"/>
  <c r="G284" i="3"/>
  <c r="H284" i="3"/>
  <c r="I284" i="3"/>
  <c r="J284" i="3"/>
  <c r="AH284" i="3" s="1"/>
  <c r="K284" i="3"/>
  <c r="L284" i="3"/>
  <c r="M284" i="3"/>
  <c r="N284" i="3"/>
  <c r="O284" i="3"/>
  <c r="P284" i="3"/>
  <c r="Q284" i="3"/>
  <c r="R284" i="3"/>
  <c r="S284" i="3"/>
  <c r="T284" i="3"/>
  <c r="Y284" i="3"/>
  <c r="Z284" i="3"/>
  <c r="AA284" i="3"/>
  <c r="AB284" i="3"/>
  <c r="AD284" i="3"/>
  <c r="AE284" i="3"/>
  <c r="AG284" i="3"/>
  <c r="A285" i="3"/>
  <c r="C285" i="3"/>
  <c r="E285" i="3"/>
  <c r="F285" i="3"/>
  <c r="G285" i="3"/>
  <c r="H285" i="3"/>
  <c r="I285" i="3"/>
  <c r="J285" i="3"/>
  <c r="AH285" i="3" s="1"/>
  <c r="K285" i="3"/>
  <c r="L285" i="3"/>
  <c r="M285" i="3"/>
  <c r="N285" i="3"/>
  <c r="O285" i="3"/>
  <c r="P285" i="3"/>
  <c r="Q285" i="3"/>
  <c r="R285" i="3"/>
  <c r="S285" i="3"/>
  <c r="T285" i="3"/>
  <c r="Y285" i="3"/>
  <c r="Z285" i="3"/>
  <c r="AA285" i="3"/>
  <c r="AB285" i="3"/>
  <c r="AD285" i="3"/>
  <c r="AE285" i="3"/>
  <c r="AG285" i="3"/>
  <c r="A286" i="3"/>
  <c r="C286" i="3"/>
  <c r="E286" i="3"/>
  <c r="F286" i="3"/>
  <c r="G286" i="3"/>
  <c r="H286" i="3"/>
  <c r="I286" i="3"/>
  <c r="J286" i="3"/>
  <c r="AH286" i="3" s="1"/>
  <c r="K286" i="3"/>
  <c r="L286" i="3"/>
  <c r="M286" i="3"/>
  <c r="N286" i="3"/>
  <c r="O286" i="3"/>
  <c r="P286" i="3"/>
  <c r="Q286" i="3"/>
  <c r="R286" i="3"/>
  <c r="S286" i="3"/>
  <c r="T286" i="3"/>
  <c r="Y286" i="3"/>
  <c r="Z286" i="3"/>
  <c r="AA286" i="3"/>
  <c r="AB286" i="3"/>
  <c r="AD286" i="3"/>
  <c r="AE286" i="3"/>
  <c r="AG286" i="3"/>
  <c r="A287" i="3"/>
  <c r="C287" i="3"/>
  <c r="E287" i="3"/>
  <c r="F287" i="3"/>
  <c r="G287" i="3"/>
  <c r="H287" i="3"/>
  <c r="I287" i="3"/>
  <c r="J287" i="3"/>
  <c r="AH287" i="3" s="1"/>
  <c r="K287" i="3"/>
  <c r="L287" i="3"/>
  <c r="M287" i="3"/>
  <c r="N287" i="3"/>
  <c r="O287" i="3"/>
  <c r="P287" i="3"/>
  <c r="Q287" i="3"/>
  <c r="R287" i="3"/>
  <c r="S287" i="3"/>
  <c r="T287" i="3"/>
  <c r="Y287" i="3"/>
  <c r="Z287" i="3"/>
  <c r="AA287" i="3"/>
  <c r="AB287" i="3"/>
  <c r="AD287" i="3"/>
  <c r="AE287" i="3"/>
  <c r="AG287" i="3"/>
  <c r="A288" i="3"/>
  <c r="C288" i="3"/>
  <c r="E288" i="3"/>
  <c r="F288" i="3"/>
  <c r="G288" i="3"/>
  <c r="H288" i="3"/>
  <c r="I288" i="3"/>
  <c r="J288" i="3"/>
  <c r="K288" i="3"/>
  <c r="L288" i="3"/>
  <c r="M288" i="3"/>
  <c r="N288" i="3"/>
  <c r="O288" i="3"/>
  <c r="P288" i="3"/>
  <c r="Q288" i="3"/>
  <c r="R288" i="3"/>
  <c r="S288" i="3"/>
  <c r="T288" i="3"/>
  <c r="Y288" i="3"/>
  <c r="Z288" i="3"/>
  <c r="AA288" i="3"/>
  <c r="AB288" i="3"/>
  <c r="AD288" i="3"/>
  <c r="AE288" i="3"/>
  <c r="AG288" i="3"/>
  <c r="AH288" i="3"/>
  <c r="A289" i="3"/>
  <c r="C289" i="3"/>
  <c r="E289" i="3"/>
  <c r="F289" i="3"/>
  <c r="G289" i="3"/>
  <c r="H289" i="3"/>
  <c r="I289" i="3"/>
  <c r="J289" i="3"/>
  <c r="AH289" i="3" s="1"/>
  <c r="K289" i="3"/>
  <c r="L289" i="3"/>
  <c r="M289" i="3"/>
  <c r="N289" i="3"/>
  <c r="O289" i="3"/>
  <c r="P289" i="3"/>
  <c r="Q289" i="3"/>
  <c r="R289" i="3"/>
  <c r="S289" i="3"/>
  <c r="T289" i="3"/>
  <c r="Y289" i="3"/>
  <c r="Z289" i="3"/>
  <c r="AA289" i="3"/>
  <c r="AB289" i="3"/>
  <c r="AD289" i="3"/>
  <c r="AE289" i="3"/>
  <c r="AG289" i="3"/>
  <c r="A290" i="3"/>
  <c r="C290" i="3"/>
  <c r="E290" i="3"/>
  <c r="F290" i="3"/>
  <c r="G290" i="3"/>
  <c r="H290" i="3"/>
  <c r="I290" i="3"/>
  <c r="J290" i="3"/>
  <c r="AH290" i="3" s="1"/>
  <c r="K290" i="3"/>
  <c r="L290" i="3"/>
  <c r="M290" i="3"/>
  <c r="N290" i="3"/>
  <c r="O290" i="3"/>
  <c r="P290" i="3"/>
  <c r="Q290" i="3"/>
  <c r="R290" i="3"/>
  <c r="S290" i="3"/>
  <c r="T290" i="3"/>
  <c r="Y290" i="3"/>
  <c r="Z290" i="3"/>
  <c r="AA290" i="3"/>
  <c r="AB290" i="3"/>
  <c r="AD290" i="3"/>
  <c r="AE290" i="3"/>
  <c r="AG290" i="3"/>
  <c r="A291" i="3"/>
  <c r="C291" i="3"/>
  <c r="E291" i="3"/>
  <c r="F291" i="3"/>
  <c r="G291" i="3"/>
  <c r="H291" i="3"/>
  <c r="I291" i="3"/>
  <c r="J291" i="3"/>
  <c r="AH291" i="3" s="1"/>
  <c r="K291" i="3"/>
  <c r="L291" i="3"/>
  <c r="M291" i="3"/>
  <c r="N291" i="3"/>
  <c r="O291" i="3"/>
  <c r="P291" i="3"/>
  <c r="Q291" i="3"/>
  <c r="R291" i="3"/>
  <c r="S291" i="3"/>
  <c r="T291" i="3"/>
  <c r="Y291" i="3"/>
  <c r="Z291" i="3"/>
  <c r="AA291" i="3"/>
  <c r="AB291" i="3"/>
  <c r="AD291" i="3"/>
  <c r="AE291" i="3"/>
  <c r="AG291" i="3"/>
  <c r="A292" i="3"/>
  <c r="C292" i="3"/>
  <c r="E292" i="3"/>
  <c r="F292" i="3"/>
  <c r="G292" i="3"/>
  <c r="H292" i="3"/>
  <c r="I292" i="3"/>
  <c r="J292" i="3"/>
  <c r="K292" i="3"/>
  <c r="L292" i="3"/>
  <c r="M292" i="3"/>
  <c r="N292" i="3"/>
  <c r="O292" i="3"/>
  <c r="P292" i="3"/>
  <c r="Q292" i="3"/>
  <c r="R292" i="3"/>
  <c r="S292" i="3"/>
  <c r="T292" i="3"/>
  <c r="Y292" i="3"/>
  <c r="Z292" i="3"/>
  <c r="AA292" i="3"/>
  <c r="AB292" i="3"/>
  <c r="AD292" i="3"/>
  <c r="AE292" i="3"/>
  <c r="AG292" i="3"/>
  <c r="AH292" i="3"/>
  <c r="A293" i="3"/>
  <c r="C293" i="3"/>
  <c r="E293" i="3"/>
  <c r="F293" i="3"/>
  <c r="G293" i="3"/>
  <c r="H293" i="3"/>
  <c r="I293" i="3"/>
  <c r="J293" i="3"/>
  <c r="AH293" i="3" s="1"/>
  <c r="K293" i="3"/>
  <c r="L293" i="3"/>
  <c r="M293" i="3"/>
  <c r="N293" i="3"/>
  <c r="O293" i="3"/>
  <c r="P293" i="3"/>
  <c r="Q293" i="3"/>
  <c r="R293" i="3"/>
  <c r="S293" i="3"/>
  <c r="T293" i="3"/>
  <c r="Y293" i="3"/>
  <c r="Z293" i="3"/>
  <c r="AA293" i="3"/>
  <c r="AB293" i="3"/>
  <c r="AD293" i="3"/>
  <c r="AE293" i="3"/>
  <c r="AG293" i="3"/>
  <c r="A294" i="3"/>
  <c r="C294" i="3"/>
  <c r="E294" i="3"/>
  <c r="F294" i="3"/>
  <c r="G294" i="3"/>
  <c r="H294" i="3"/>
  <c r="I294" i="3"/>
  <c r="J294" i="3"/>
  <c r="AH294" i="3" s="1"/>
  <c r="K294" i="3"/>
  <c r="L294" i="3"/>
  <c r="M294" i="3"/>
  <c r="N294" i="3"/>
  <c r="O294" i="3"/>
  <c r="P294" i="3"/>
  <c r="Q294" i="3"/>
  <c r="R294" i="3"/>
  <c r="S294" i="3"/>
  <c r="T294" i="3"/>
  <c r="Y294" i="3"/>
  <c r="Z294" i="3"/>
  <c r="AA294" i="3"/>
  <c r="AB294" i="3"/>
  <c r="AD294" i="3"/>
  <c r="AE294" i="3"/>
  <c r="AG294" i="3"/>
  <c r="A295" i="3"/>
  <c r="C295" i="3"/>
  <c r="E295" i="3"/>
  <c r="F295" i="3"/>
  <c r="G295" i="3"/>
  <c r="H295" i="3"/>
  <c r="I295" i="3"/>
  <c r="J295" i="3"/>
  <c r="AH295" i="3" s="1"/>
  <c r="K295" i="3"/>
  <c r="L295" i="3"/>
  <c r="M295" i="3"/>
  <c r="N295" i="3"/>
  <c r="O295" i="3"/>
  <c r="P295" i="3"/>
  <c r="Q295" i="3"/>
  <c r="R295" i="3"/>
  <c r="S295" i="3"/>
  <c r="T295" i="3"/>
  <c r="Y295" i="3"/>
  <c r="Z295" i="3"/>
  <c r="AA295" i="3"/>
  <c r="AB295" i="3"/>
  <c r="AD295" i="3"/>
  <c r="AE295" i="3"/>
  <c r="AG295" i="3"/>
  <c r="A296" i="3"/>
  <c r="C296" i="3"/>
  <c r="E296" i="3"/>
  <c r="F296" i="3"/>
  <c r="G296" i="3"/>
  <c r="H296" i="3"/>
  <c r="I296" i="3"/>
  <c r="J296" i="3"/>
  <c r="AH296" i="3" s="1"/>
  <c r="K296" i="3"/>
  <c r="L296" i="3"/>
  <c r="M296" i="3"/>
  <c r="N296" i="3"/>
  <c r="O296" i="3"/>
  <c r="P296" i="3"/>
  <c r="Q296" i="3"/>
  <c r="R296" i="3"/>
  <c r="S296" i="3"/>
  <c r="T296" i="3"/>
  <c r="Y296" i="3"/>
  <c r="Z296" i="3"/>
  <c r="AA296" i="3"/>
  <c r="AB296" i="3"/>
  <c r="AD296" i="3"/>
  <c r="AE296" i="3"/>
  <c r="AG296" i="3"/>
  <c r="A297" i="3"/>
  <c r="C297" i="3"/>
  <c r="E297" i="3"/>
  <c r="F297" i="3"/>
  <c r="G297" i="3"/>
  <c r="H297" i="3"/>
  <c r="I297" i="3"/>
  <c r="J297" i="3"/>
  <c r="AH297" i="3" s="1"/>
  <c r="K297" i="3"/>
  <c r="L297" i="3"/>
  <c r="M297" i="3"/>
  <c r="N297" i="3"/>
  <c r="O297" i="3"/>
  <c r="P297" i="3"/>
  <c r="Q297" i="3"/>
  <c r="R297" i="3"/>
  <c r="S297" i="3"/>
  <c r="T297" i="3"/>
  <c r="Y297" i="3"/>
  <c r="Z297" i="3"/>
  <c r="AA297" i="3"/>
  <c r="AB297" i="3"/>
  <c r="AD297" i="3"/>
  <c r="AE297" i="3"/>
  <c r="AG297" i="3"/>
  <c r="A298" i="3"/>
  <c r="C298" i="3"/>
  <c r="E298" i="3"/>
  <c r="F298" i="3"/>
  <c r="G298" i="3"/>
  <c r="H298" i="3"/>
  <c r="I298" i="3"/>
  <c r="J298" i="3"/>
  <c r="AH298" i="3" s="1"/>
  <c r="K298" i="3"/>
  <c r="L298" i="3"/>
  <c r="M298" i="3"/>
  <c r="N298" i="3"/>
  <c r="O298" i="3"/>
  <c r="P298" i="3"/>
  <c r="Q298" i="3"/>
  <c r="R298" i="3"/>
  <c r="S298" i="3"/>
  <c r="T298" i="3"/>
  <c r="Y298" i="3"/>
  <c r="Z298" i="3"/>
  <c r="AA298" i="3"/>
  <c r="AB298" i="3"/>
  <c r="AD298" i="3"/>
  <c r="AE298" i="3"/>
  <c r="AG298" i="3"/>
  <c r="A299" i="3"/>
  <c r="C299" i="3"/>
  <c r="E299" i="3"/>
  <c r="F299" i="3"/>
  <c r="G299" i="3"/>
  <c r="H299" i="3"/>
  <c r="I299" i="3"/>
  <c r="J299" i="3"/>
  <c r="AH299" i="3" s="1"/>
  <c r="K299" i="3"/>
  <c r="L299" i="3"/>
  <c r="M299" i="3"/>
  <c r="N299" i="3"/>
  <c r="O299" i="3"/>
  <c r="P299" i="3"/>
  <c r="Q299" i="3"/>
  <c r="R299" i="3"/>
  <c r="S299" i="3"/>
  <c r="T299" i="3"/>
  <c r="Y299" i="3"/>
  <c r="Z299" i="3"/>
  <c r="AA299" i="3"/>
  <c r="AB299" i="3"/>
  <c r="AD299" i="3"/>
  <c r="AE299" i="3"/>
  <c r="AG299" i="3"/>
  <c r="A300" i="3"/>
  <c r="C300" i="3"/>
  <c r="E300" i="3"/>
  <c r="F300" i="3"/>
  <c r="G300" i="3"/>
  <c r="H300" i="3"/>
  <c r="I300" i="3"/>
  <c r="J300" i="3"/>
  <c r="AH300" i="3" s="1"/>
  <c r="K300" i="3"/>
  <c r="L300" i="3"/>
  <c r="M300" i="3"/>
  <c r="N300" i="3"/>
  <c r="O300" i="3"/>
  <c r="P300" i="3"/>
  <c r="Q300" i="3"/>
  <c r="R300" i="3"/>
  <c r="S300" i="3"/>
  <c r="T300" i="3"/>
  <c r="Y300" i="3"/>
  <c r="Z300" i="3"/>
  <c r="AA300" i="3"/>
  <c r="AB300" i="3"/>
  <c r="AD300" i="3"/>
  <c r="AE300" i="3"/>
  <c r="AG300" i="3"/>
  <c r="A301" i="3"/>
  <c r="C301" i="3"/>
  <c r="E301" i="3"/>
  <c r="F301" i="3"/>
  <c r="G301" i="3"/>
  <c r="H301" i="3"/>
  <c r="I301" i="3"/>
  <c r="J301" i="3"/>
  <c r="AH301" i="3" s="1"/>
  <c r="K301" i="3"/>
  <c r="L301" i="3"/>
  <c r="M301" i="3"/>
  <c r="N301" i="3"/>
  <c r="O301" i="3"/>
  <c r="P301" i="3"/>
  <c r="Q301" i="3"/>
  <c r="R301" i="3"/>
  <c r="S301" i="3"/>
  <c r="T301" i="3"/>
  <c r="Y301" i="3"/>
  <c r="Z301" i="3"/>
  <c r="AA301" i="3"/>
  <c r="AB301" i="3"/>
  <c r="AD301" i="3"/>
  <c r="AE301" i="3"/>
  <c r="AG301" i="3"/>
  <c r="A302" i="3"/>
  <c r="C302" i="3"/>
  <c r="E302" i="3"/>
  <c r="F302" i="3"/>
  <c r="G302" i="3"/>
  <c r="H302" i="3"/>
  <c r="I302" i="3"/>
  <c r="J302" i="3"/>
  <c r="AH302" i="3" s="1"/>
  <c r="K302" i="3"/>
  <c r="L302" i="3"/>
  <c r="M302" i="3"/>
  <c r="N302" i="3"/>
  <c r="O302" i="3"/>
  <c r="P302" i="3"/>
  <c r="Q302" i="3"/>
  <c r="R302" i="3"/>
  <c r="S302" i="3"/>
  <c r="T302" i="3"/>
  <c r="Y302" i="3"/>
  <c r="Z302" i="3"/>
  <c r="AA302" i="3"/>
  <c r="AB302" i="3"/>
  <c r="AD302" i="3"/>
  <c r="AE302" i="3"/>
  <c r="AG302" i="3"/>
  <c r="A303" i="3"/>
  <c r="C303" i="3"/>
  <c r="E303" i="3"/>
  <c r="F303" i="3"/>
  <c r="G303" i="3"/>
  <c r="H303" i="3"/>
  <c r="I303" i="3"/>
  <c r="J303" i="3"/>
  <c r="AH303" i="3" s="1"/>
  <c r="K303" i="3"/>
  <c r="L303" i="3"/>
  <c r="M303" i="3"/>
  <c r="N303" i="3"/>
  <c r="O303" i="3"/>
  <c r="P303" i="3"/>
  <c r="Q303" i="3"/>
  <c r="R303" i="3"/>
  <c r="S303" i="3"/>
  <c r="T303" i="3"/>
  <c r="Y303" i="3"/>
  <c r="Z303" i="3"/>
  <c r="AA303" i="3"/>
  <c r="AB303" i="3"/>
  <c r="AD303" i="3"/>
  <c r="AE303" i="3"/>
  <c r="AG303" i="3"/>
  <c r="A304" i="3"/>
  <c r="C304" i="3"/>
  <c r="E304" i="3"/>
  <c r="F304" i="3"/>
  <c r="G304" i="3"/>
  <c r="H304" i="3"/>
  <c r="I304" i="3"/>
  <c r="J304" i="3"/>
  <c r="AH304" i="3" s="1"/>
  <c r="K304" i="3"/>
  <c r="L304" i="3"/>
  <c r="M304" i="3"/>
  <c r="N304" i="3"/>
  <c r="O304" i="3"/>
  <c r="P304" i="3"/>
  <c r="Q304" i="3"/>
  <c r="R304" i="3"/>
  <c r="S304" i="3"/>
  <c r="T304" i="3"/>
  <c r="Y304" i="3"/>
  <c r="Z304" i="3"/>
  <c r="AA304" i="3"/>
  <c r="AB304" i="3"/>
  <c r="AD304" i="3"/>
  <c r="AE304" i="3"/>
  <c r="AG304" i="3"/>
  <c r="A305" i="3"/>
  <c r="C305" i="3"/>
  <c r="E305" i="3"/>
  <c r="F305" i="3"/>
  <c r="G305" i="3"/>
  <c r="H305" i="3"/>
  <c r="I305" i="3"/>
  <c r="J305" i="3"/>
  <c r="AH305" i="3" s="1"/>
  <c r="K305" i="3"/>
  <c r="L305" i="3"/>
  <c r="M305" i="3"/>
  <c r="N305" i="3"/>
  <c r="O305" i="3"/>
  <c r="P305" i="3"/>
  <c r="Q305" i="3"/>
  <c r="R305" i="3"/>
  <c r="S305" i="3"/>
  <c r="T305" i="3"/>
  <c r="Y305" i="3"/>
  <c r="Z305" i="3"/>
  <c r="AA305" i="3"/>
  <c r="AB305" i="3"/>
  <c r="AD305" i="3"/>
  <c r="AE305" i="3"/>
  <c r="AG305" i="3"/>
  <c r="A306" i="3"/>
  <c r="C306" i="3"/>
  <c r="E306" i="3"/>
  <c r="F306" i="3"/>
  <c r="G306" i="3"/>
  <c r="H306" i="3"/>
  <c r="I306" i="3"/>
  <c r="J306" i="3"/>
  <c r="AH306" i="3" s="1"/>
  <c r="K306" i="3"/>
  <c r="L306" i="3"/>
  <c r="M306" i="3"/>
  <c r="N306" i="3"/>
  <c r="O306" i="3"/>
  <c r="P306" i="3"/>
  <c r="Q306" i="3"/>
  <c r="R306" i="3"/>
  <c r="S306" i="3"/>
  <c r="T306" i="3"/>
  <c r="Y306" i="3"/>
  <c r="Z306" i="3"/>
  <c r="AA306" i="3"/>
  <c r="AB306" i="3"/>
  <c r="AD306" i="3"/>
  <c r="AE306" i="3"/>
  <c r="AG306" i="3"/>
  <c r="A307" i="3"/>
  <c r="C307" i="3"/>
  <c r="E307" i="3"/>
  <c r="F307" i="3"/>
  <c r="G307" i="3"/>
  <c r="H307" i="3"/>
  <c r="I307" i="3"/>
  <c r="J307" i="3"/>
  <c r="AH307" i="3" s="1"/>
  <c r="K307" i="3"/>
  <c r="L307" i="3"/>
  <c r="M307" i="3"/>
  <c r="N307" i="3"/>
  <c r="O307" i="3"/>
  <c r="P307" i="3"/>
  <c r="Q307" i="3"/>
  <c r="R307" i="3"/>
  <c r="S307" i="3"/>
  <c r="T307" i="3"/>
  <c r="Y307" i="3"/>
  <c r="Z307" i="3"/>
  <c r="AA307" i="3"/>
  <c r="AB307" i="3"/>
  <c r="AD307" i="3"/>
  <c r="AE307" i="3"/>
  <c r="AG307" i="3"/>
  <c r="A308" i="3"/>
  <c r="C308" i="3"/>
  <c r="E308" i="3"/>
  <c r="F308" i="3"/>
  <c r="G308" i="3"/>
  <c r="H308" i="3"/>
  <c r="I308" i="3"/>
  <c r="J308" i="3"/>
  <c r="K308" i="3"/>
  <c r="L308" i="3"/>
  <c r="M308" i="3"/>
  <c r="N308" i="3"/>
  <c r="O308" i="3"/>
  <c r="P308" i="3"/>
  <c r="Q308" i="3"/>
  <c r="R308" i="3"/>
  <c r="S308" i="3"/>
  <c r="T308" i="3"/>
  <c r="Y308" i="3"/>
  <c r="Z308" i="3"/>
  <c r="AA308" i="3"/>
  <c r="AB308" i="3"/>
  <c r="AD308" i="3"/>
  <c r="AE308" i="3"/>
  <c r="AG308" i="3"/>
  <c r="AH308" i="3"/>
  <c r="A309" i="3"/>
  <c r="C309" i="3"/>
  <c r="E309" i="3"/>
  <c r="F309" i="3"/>
  <c r="G309" i="3"/>
  <c r="H309" i="3"/>
  <c r="I309" i="3"/>
  <c r="J309" i="3"/>
  <c r="AH309" i="3" s="1"/>
  <c r="K309" i="3"/>
  <c r="L309" i="3"/>
  <c r="M309" i="3"/>
  <c r="N309" i="3"/>
  <c r="O309" i="3"/>
  <c r="P309" i="3"/>
  <c r="Q309" i="3"/>
  <c r="R309" i="3"/>
  <c r="S309" i="3"/>
  <c r="T309" i="3"/>
  <c r="Y309" i="3"/>
  <c r="Z309" i="3"/>
  <c r="AA309" i="3"/>
  <c r="AB309" i="3"/>
  <c r="AD309" i="3"/>
  <c r="AE309" i="3"/>
  <c r="AG309" i="3"/>
  <c r="A310" i="3"/>
  <c r="C310" i="3"/>
  <c r="E310" i="3"/>
  <c r="F310" i="3"/>
  <c r="G310" i="3"/>
  <c r="H310" i="3"/>
  <c r="I310" i="3"/>
  <c r="J310" i="3"/>
  <c r="AH310" i="3" s="1"/>
  <c r="K310" i="3"/>
  <c r="L310" i="3"/>
  <c r="M310" i="3"/>
  <c r="N310" i="3"/>
  <c r="O310" i="3"/>
  <c r="P310" i="3"/>
  <c r="Q310" i="3"/>
  <c r="R310" i="3"/>
  <c r="S310" i="3"/>
  <c r="T310" i="3"/>
  <c r="Y310" i="3"/>
  <c r="Z310" i="3"/>
  <c r="AA310" i="3"/>
  <c r="AB310" i="3"/>
  <c r="AD310" i="3"/>
  <c r="AE310" i="3"/>
  <c r="AG310" i="3"/>
  <c r="A311" i="3"/>
  <c r="C311" i="3"/>
  <c r="E311" i="3"/>
  <c r="F311" i="3"/>
  <c r="G311" i="3"/>
  <c r="H311" i="3"/>
  <c r="I311" i="3"/>
  <c r="J311" i="3"/>
  <c r="K311" i="3"/>
  <c r="L311" i="3"/>
  <c r="M311" i="3"/>
  <c r="N311" i="3"/>
  <c r="O311" i="3"/>
  <c r="P311" i="3"/>
  <c r="Q311" i="3"/>
  <c r="R311" i="3"/>
  <c r="S311" i="3"/>
  <c r="T311" i="3"/>
  <c r="Y311" i="3"/>
  <c r="Z311" i="3"/>
  <c r="AA311" i="3"/>
  <c r="AB311" i="3"/>
  <c r="AD311" i="3"/>
  <c r="AE311" i="3"/>
  <c r="AG311" i="3"/>
  <c r="AH311" i="3"/>
  <c r="A312" i="3"/>
  <c r="C312" i="3"/>
  <c r="E312" i="3"/>
  <c r="F312" i="3"/>
  <c r="G312" i="3"/>
  <c r="H312" i="3"/>
  <c r="I312" i="3"/>
  <c r="J312" i="3"/>
  <c r="AH312" i="3" s="1"/>
  <c r="K312" i="3"/>
  <c r="L312" i="3"/>
  <c r="M312" i="3"/>
  <c r="N312" i="3"/>
  <c r="O312" i="3"/>
  <c r="P312" i="3"/>
  <c r="Q312" i="3"/>
  <c r="R312" i="3"/>
  <c r="S312" i="3"/>
  <c r="T312" i="3"/>
  <c r="Y312" i="3"/>
  <c r="Z312" i="3"/>
  <c r="AA312" i="3"/>
  <c r="AB312" i="3"/>
  <c r="AD312" i="3"/>
  <c r="AE312" i="3"/>
  <c r="AG312" i="3"/>
  <c r="A313" i="3"/>
  <c r="C313" i="3"/>
  <c r="E313" i="3"/>
  <c r="F313" i="3"/>
  <c r="G313" i="3"/>
  <c r="H313" i="3"/>
  <c r="I313" i="3"/>
  <c r="J313" i="3"/>
  <c r="AH313" i="3" s="1"/>
  <c r="K313" i="3"/>
  <c r="L313" i="3"/>
  <c r="M313" i="3"/>
  <c r="N313" i="3"/>
  <c r="O313" i="3"/>
  <c r="P313" i="3"/>
  <c r="Q313" i="3"/>
  <c r="R313" i="3"/>
  <c r="S313" i="3"/>
  <c r="T313" i="3"/>
  <c r="Y313" i="3"/>
  <c r="Z313" i="3"/>
  <c r="AA313" i="3"/>
  <c r="AB313" i="3"/>
  <c r="AD313" i="3"/>
  <c r="AE313" i="3"/>
  <c r="AG313" i="3"/>
  <c r="A314" i="3"/>
  <c r="C314" i="3"/>
  <c r="E314" i="3"/>
  <c r="F314" i="3"/>
  <c r="G314" i="3"/>
  <c r="H314" i="3"/>
  <c r="I314" i="3"/>
  <c r="J314" i="3"/>
  <c r="K314" i="3"/>
  <c r="L314" i="3"/>
  <c r="M314" i="3"/>
  <c r="N314" i="3"/>
  <c r="O314" i="3"/>
  <c r="P314" i="3"/>
  <c r="Q314" i="3"/>
  <c r="R314" i="3"/>
  <c r="S314" i="3"/>
  <c r="T314" i="3"/>
  <c r="Y314" i="3"/>
  <c r="Z314" i="3"/>
  <c r="AA314" i="3"/>
  <c r="AB314" i="3"/>
  <c r="AD314" i="3"/>
  <c r="AE314" i="3"/>
  <c r="AG314" i="3"/>
  <c r="AH314" i="3"/>
  <c r="A315" i="3"/>
  <c r="C315" i="3"/>
  <c r="E315" i="3"/>
  <c r="F315" i="3"/>
  <c r="G315" i="3"/>
  <c r="H315" i="3"/>
  <c r="I315" i="3"/>
  <c r="J315" i="3"/>
  <c r="AH315" i="3" s="1"/>
  <c r="K315" i="3"/>
  <c r="L315" i="3"/>
  <c r="M315" i="3"/>
  <c r="N315" i="3"/>
  <c r="O315" i="3"/>
  <c r="P315" i="3"/>
  <c r="Q315" i="3"/>
  <c r="R315" i="3"/>
  <c r="S315" i="3"/>
  <c r="T315" i="3"/>
  <c r="Y315" i="3"/>
  <c r="Z315" i="3"/>
  <c r="AA315" i="3"/>
  <c r="AB315" i="3"/>
  <c r="AD315" i="3"/>
  <c r="AE315" i="3"/>
  <c r="AG315" i="3"/>
  <c r="A316" i="3"/>
  <c r="C316" i="3"/>
  <c r="E316" i="3"/>
  <c r="F316" i="3"/>
  <c r="G316" i="3"/>
  <c r="H316" i="3"/>
  <c r="I316" i="3"/>
  <c r="J316" i="3"/>
  <c r="AH316" i="3" s="1"/>
  <c r="K316" i="3"/>
  <c r="L316" i="3"/>
  <c r="M316" i="3"/>
  <c r="N316" i="3"/>
  <c r="O316" i="3"/>
  <c r="P316" i="3"/>
  <c r="Q316" i="3"/>
  <c r="R316" i="3"/>
  <c r="S316" i="3"/>
  <c r="T316" i="3"/>
  <c r="Y316" i="3"/>
  <c r="Z316" i="3"/>
  <c r="AA316" i="3"/>
  <c r="AB316" i="3"/>
  <c r="AD316" i="3"/>
  <c r="AE316" i="3"/>
  <c r="AG316" i="3"/>
  <c r="A317" i="3"/>
  <c r="C317" i="3"/>
  <c r="E317" i="3"/>
  <c r="F317" i="3"/>
  <c r="G317" i="3"/>
  <c r="H317" i="3"/>
  <c r="I317" i="3"/>
  <c r="J317" i="3"/>
  <c r="AH317" i="3" s="1"/>
  <c r="K317" i="3"/>
  <c r="L317" i="3"/>
  <c r="M317" i="3"/>
  <c r="N317" i="3"/>
  <c r="O317" i="3"/>
  <c r="P317" i="3"/>
  <c r="Q317" i="3"/>
  <c r="R317" i="3"/>
  <c r="S317" i="3"/>
  <c r="T317" i="3"/>
  <c r="Y317" i="3"/>
  <c r="Z317" i="3"/>
  <c r="AA317" i="3"/>
  <c r="AB317" i="3"/>
  <c r="AD317" i="3"/>
  <c r="AE317" i="3"/>
  <c r="AG317" i="3"/>
  <c r="A318" i="3"/>
  <c r="C318" i="3"/>
  <c r="E318" i="3"/>
  <c r="F318" i="3"/>
  <c r="G318" i="3"/>
  <c r="H318" i="3"/>
  <c r="I318" i="3"/>
  <c r="J318" i="3"/>
  <c r="AH318" i="3" s="1"/>
  <c r="K318" i="3"/>
  <c r="L318" i="3"/>
  <c r="M318" i="3"/>
  <c r="N318" i="3"/>
  <c r="O318" i="3"/>
  <c r="P318" i="3"/>
  <c r="Q318" i="3"/>
  <c r="R318" i="3"/>
  <c r="S318" i="3"/>
  <c r="T318" i="3"/>
  <c r="Y318" i="3"/>
  <c r="Z318" i="3"/>
  <c r="AA318" i="3"/>
  <c r="AB318" i="3"/>
  <c r="AD318" i="3"/>
  <c r="AE318" i="3"/>
  <c r="AG318" i="3"/>
  <c r="A319" i="3"/>
  <c r="C319" i="3"/>
  <c r="E319" i="3"/>
  <c r="F319" i="3"/>
  <c r="G319" i="3"/>
  <c r="H319" i="3"/>
  <c r="I319" i="3"/>
  <c r="J319" i="3"/>
  <c r="AH319" i="3" s="1"/>
  <c r="K319" i="3"/>
  <c r="L319" i="3"/>
  <c r="M319" i="3"/>
  <c r="N319" i="3"/>
  <c r="O319" i="3"/>
  <c r="P319" i="3"/>
  <c r="Q319" i="3"/>
  <c r="R319" i="3"/>
  <c r="S319" i="3"/>
  <c r="T319" i="3"/>
  <c r="Y319" i="3"/>
  <c r="Z319" i="3"/>
  <c r="AA319" i="3"/>
  <c r="AB319" i="3"/>
  <c r="AD319" i="3"/>
  <c r="AE319" i="3"/>
  <c r="AG319" i="3"/>
  <c r="A320" i="3"/>
  <c r="C320" i="3"/>
  <c r="E320" i="3"/>
  <c r="F320" i="3"/>
  <c r="G320" i="3"/>
  <c r="H320" i="3"/>
  <c r="I320" i="3"/>
  <c r="J320" i="3"/>
  <c r="AH320" i="3" s="1"/>
  <c r="K320" i="3"/>
  <c r="L320" i="3"/>
  <c r="M320" i="3"/>
  <c r="N320" i="3"/>
  <c r="O320" i="3"/>
  <c r="P320" i="3"/>
  <c r="Q320" i="3"/>
  <c r="R320" i="3"/>
  <c r="S320" i="3"/>
  <c r="T320" i="3"/>
  <c r="Y320" i="3"/>
  <c r="Z320" i="3"/>
  <c r="AA320" i="3"/>
  <c r="AB320" i="3"/>
  <c r="AD320" i="3"/>
  <c r="AE320" i="3"/>
  <c r="AG320" i="3"/>
  <c r="A321" i="3"/>
  <c r="C321" i="3"/>
  <c r="E321" i="3"/>
  <c r="F321" i="3"/>
  <c r="G321" i="3"/>
  <c r="H321" i="3"/>
  <c r="I321" i="3"/>
  <c r="J321" i="3"/>
  <c r="AH321" i="3" s="1"/>
  <c r="K321" i="3"/>
  <c r="L321" i="3"/>
  <c r="M321" i="3"/>
  <c r="N321" i="3"/>
  <c r="O321" i="3"/>
  <c r="P321" i="3"/>
  <c r="Q321" i="3"/>
  <c r="R321" i="3"/>
  <c r="S321" i="3"/>
  <c r="T321" i="3"/>
  <c r="Y321" i="3"/>
  <c r="Z321" i="3"/>
  <c r="AA321" i="3"/>
  <c r="AB321" i="3"/>
  <c r="AD321" i="3"/>
  <c r="AE321" i="3"/>
  <c r="AG321" i="3"/>
  <c r="A322" i="3"/>
  <c r="C322" i="3"/>
  <c r="E322" i="3"/>
  <c r="F322" i="3"/>
  <c r="G322" i="3"/>
  <c r="H322" i="3"/>
  <c r="I322" i="3"/>
  <c r="J322" i="3"/>
  <c r="AH322" i="3" s="1"/>
  <c r="K322" i="3"/>
  <c r="L322" i="3"/>
  <c r="M322" i="3"/>
  <c r="N322" i="3"/>
  <c r="O322" i="3"/>
  <c r="P322" i="3"/>
  <c r="Q322" i="3"/>
  <c r="R322" i="3"/>
  <c r="S322" i="3"/>
  <c r="T322" i="3"/>
  <c r="Y322" i="3"/>
  <c r="Z322" i="3"/>
  <c r="AA322" i="3"/>
  <c r="AB322" i="3"/>
  <c r="AD322" i="3"/>
  <c r="AE322" i="3"/>
  <c r="AG322" i="3"/>
  <c r="A323" i="3"/>
  <c r="C323" i="3"/>
  <c r="E323" i="3"/>
  <c r="F323" i="3"/>
  <c r="G323" i="3"/>
  <c r="H323" i="3"/>
  <c r="I323" i="3"/>
  <c r="J323" i="3"/>
  <c r="AH323" i="3" s="1"/>
  <c r="K323" i="3"/>
  <c r="L323" i="3"/>
  <c r="M323" i="3"/>
  <c r="N323" i="3"/>
  <c r="O323" i="3"/>
  <c r="P323" i="3"/>
  <c r="Q323" i="3"/>
  <c r="R323" i="3"/>
  <c r="S323" i="3"/>
  <c r="T323" i="3"/>
  <c r="Y323" i="3"/>
  <c r="Z323" i="3"/>
  <c r="AA323" i="3"/>
  <c r="AB323" i="3"/>
  <c r="AD323" i="3"/>
  <c r="AE323" i="3"/>
  <c r="AG323" i="3"/>
  <c r="A324" i="3"/>
  <c r="C324" i="3"/>
  <c r="E324" i="3"/>
  <c r="F324" i="3"/>
  <c r="G324" i="3"/>
  <c r="H324" i="3"/>
  <c r="I324" i="3"/>
  <c r="J324" i="3"/>
  <c r="AH324" i="3" s="1"/>
  <c r="K324" i="3"/>
  <c r="L324" i="3"/>
  <c r="M324" i="3"/>
  <c r="N324" i="3"/>
  <c r="O324" i="3"/>
  <c r="P324" i="3"/>
  <c r="Q324" i="3"/>
  <c r="R324" i="3"/>
  <c r="S324" i="3"/>
  <c r="T324" i="3"/>
  <c r="Y324" i="3"/>
  <c r="Z324" i="3"/>
  <c r="AA324" i="3"/>
  <c r="AB324" i="3"/>
  <c r="AD324" i="3"/>
  <c r="AE324" i="3"/>
  <c r="AG324" i="3"/>
  <c r="A325" i="3"/>
  <c r="C325" i="3"/>
  <c r="E325" i="3"/>
  <c r="F325" i="3"/>
  <c r="G325" i="3"/>
  <c r="H325" i="3"/>
  <c r="I325" i="3"/>
  <c r="J325" i="3"/>
  <c r="AH325" i="3" s="1"/>
  <c r="K325" i="3"/>
  <c r="L325" i="3"/>
  <c r="M325" i="3"/>
  <c r="N325" i="3"/>
  <c r="O325" i="3"/>
  <c r="P325" i="3"/>
  <c r="Q325" i="3"/>
  <c r="R325" i="3"/>
  <c r="S325" i="3"/>
  <c r="T325" i="3"/>
  <c r="Y325" i="3"/>
  <c r="Z325" i="3"/>
  <c r="AA325" i="3"/>
  <c r="AB325" i="3"/>
  <c r="AD325" i="3"/>
  <c r="AE325" i="3"/>
  <c r="AG325" i="3"/>
  <c r="A326" i="3"/>
  <c r="C326" i="3"/>
  <c r="E326" i="3"/>
  <c r="F326" i="3"/>
  <c r="G326" i="3"/>
  <c r="H326" i="3"/>
  <c r="I326" i="3"/>
  <c r="J326" i="3"/>
  <c r="AH326" i="3" s="1"/>
  <c r="K326" i="3"/>
  <c r="L326" i="3"/>
  <c r="M326" i="3"/>
  <c r="N326" i="3"/>
  <c r="O326" i="3"/>
  <c r="P326" i="3"/>
  <c r="Q326" i="3"/>
  <c r="R326" i="3"/>
  <c r="S326" i="3"/>
  <c r="T326" i="3"/>
  <c r="Y326" i="3"/>
  <c r="Z326" i="3"/>
  <c r="AA326" i="3"/>
  <c r="AB326" i="3"/>
  <c r="AD326" i="3"/>
  <c r="AE326" i="3"/>
  <c r="AG326" i="3"/>
  <c r="A327" i="3"/>
  <c r="C327" i="3"/>
  <c r="E327" i="3"/>
  <c r="F327" i="3"/>
  <c r="G327" i="3"/>
  <c r="H327" i="3"/>
  <c r="I327" i="3"/>
  <c r="J327" i="3"/>
  <c r="K327" i="3"/>
  <c r="L327" i="3"/>
  <c r="M327" i="3"/>
  <c r="N327" i="3"/>
  <c r="O327" i="3"/>
  <c r="P327" i="3"/>
  <c r="Q327" i="3"/>
  <c r="R327" i="3"/>
  <c r="S327" i="3"/>
  <c r="T327" i="3"/>
  <c r="Y327" i="3"/>
  <c r="Z327" i="3"/>
  <c r="AA327" i="3"/>
  <c r="AB327" i="3"/>
  <c r="AD327" i="3"/>
  <c r="AE327" i="3"/>
  <c r="AG327" i="3"/>
  <c r="AH327" i="3"/>
  <c r="A328" i="3"/>
  <c r="C328" i="3"/>
  <c r="E328" i="3"/>
  <c r="F328" i="3"/>
  <c r="G328" i="3"/>
  <c r="H328" i="3"/>
  <c r="I328" i="3"/>
  <c r="J328" i="3"/>
  <c r="AH328" i="3" s="1"/>
  <c r="K328" i="3"/>
  <c r="L328" i="3"/>
  <c r="M328" i="3"/>
  <c r="N328" i="3"/>
  <c r="O328" i="3"/>
  <c r="P328" i="3"/>
  <c r="Q328" i="3"/>
  <c r="R328" i="3"/>
  <c r="S328" i="3"/>
  <c r="T328" i="3"/>
  <c r="Y328" i="3"/>
  <c r="Z328" i="3"/>
  <c r="AA328" i="3"/>
  <c r="AB328" i="3"/>
  <c r="AD328" i="3"/>
  <c r="AE328" i="3"/>
  <c r="AG328" i="3"/>
  <c r="A329" i="3"/>
  <c r="C329" i="3"/>
  <c r="E329" i="3"/>
  <c r="F329" i="3"/>
  <c r="G329" i="3"/>
  <c r="H329" i="3"/>
  <c r="I329" i="3"/>
  <c r="J329" i="3"/>
  <c r="AH329" i="3" s="1"/>
  <c r="K329" i="3"/>
  <c r="L329" i="3"/>
  <c r="M329" i="3"/>
  <c r="N329" i="3"/>
  <c r="O329" i="3"/>
  <c r="P329" i="3"/>
  <c r="Q329" i="3"/>
  <c r="R329" i="3"/>
  <c r="S329" i="3"/>
  <c r="T329" i="3"/>
  <c r="Y329" i="3"/>
  <c r="Z329" i="3"/>
  <c r="AA329" i="3"/>
  <c r="AB329" i="3"/>
  <c r="AD329" i="3"/>
  <c r="AE329" i="3"/>
  <c r="AG329" i="3"/>
  <c r="A330" i="3"/>
  <c r="C330" i="3"/>
  <c r="E330" i="3"/>
  <c r="F330" i="3"/>
  <c r="G330" i="3"/>
  <c r="H330" i="3"/>
  <c r="I330" i="3"/>
  <c r="J330" i="3"/>
  <c r="K330" i="3"/>
  <c r="L330" i="3"/>
  <c r="M330" i="3"/>
  <c r="N330" i="3"/>
  <c r="O330" i="3"/>
  <c r="P330" i="3"/>
  <c r="Q330" i="3"/>
  <c r="R330" i="3"/>
  <c r="S330" i="3"/>
  <c r="T330" i="3"/>
  <c r="Y330" i="3"/>
  <c r="Z330" i="3"/>
  <c r="AA330" i="3"/>
  <c r="AB330" i="3"/>
  <c r="AD330" i="3"/>
  <c r="AE330" i="3"/>
  <c r="AG330" i="3"/>
  <c r="AH330" i="3"/>
  <c r="A331" i="3"/>
  <c r="C331" i="3"/>
  <c r="E331" i="3"/>
  <c r="F331" i="3"/>
  <c r="G331" i="3"/>
  <c r="H331" i="3"/>
  <c r="I331" i="3"/>
  <c r="J331" i="3"/>
  <c r="AH331" i="3" s="1"/>
  <c r="K331" i="3"/>
  <c r="L331" i="3"/>
  <c r="M331" i="3"/>
  <c r="N331" i="3"/>
  <c r="O331" i="3"/>
  <c r="P331" i="3"/>
  <c r="Q331" i="3"/>
  <c r="R331" i="3"/>
  <c r="S331" i="3"/>
  <c r="T331" i="3"/>
  <c r="Y331" i="3"/>
  <c r="Z331" i="3"/>
  <c r="AA331" i="3"/>
  <c r="AB331" i="3"/>
  <c r="AD331" i="3"/>
  <c r="AE331" i="3"/>
  <c r="AG331" i="3"/>
  <c r="A332" i="3"/>
  <c r="C332" i="3"/>
  <c r="E332" i="3"/>
  <c r="F332" i="3"/>
  <c r="G332" i="3"/>
  <c r="H332" i="3"/>
  <c r="I332" i="3"/>
  <c r="J332" i="3"/>
  <c r="AH332" i="3" s="1"/>
  <c r="K332" i="3"/>
  <c r="L332" i="3"/>
  <c r="M332" i="3"/>
  <c r="N332" i="3"/>
  <c r="O332" i="3"/>
  <c r="P332" i="3"/>
  <c r="Q332" i="3"/>
  <c r="R332" i="3"/>
  <c r="S332" i="3"/>
  <c r="T332" i="3"/>
  <c r="Y332" i="3"/>
  <c r="Z332" i="3"/>
  <c r="AA332" i="3"/>
  <c r="AB332" i="3"/>
  <c r="AD332" i="3"/>
  <c r="AE332" i="3"/>
  <c r="AG332" i="3"/>
  <c r="A333" i="3"/>
  <c r="C333" i="3"/>
  <c r="E333" i="3"/>
  <c r="F333" i="3"/>
  <c r="G333" i="3"/>
  <c r="H333" i="3"/>
  <c r="I333" i="3"/>
  <c r="J333" i="3"/>
  <c r="K333" i="3"/>
  <c r="L333" i="3"/>
  <c r="M333" i="3"/>
  <c r="N333" i="3"/>
  <c r="O333" i="3"/>
  <c r="P333" i="3"/>
  <c r="Q333" i="3"/>
  <c r="R333" i="3"/>
  <c r="S333" i="3"/>
  <c r="T333" i="3"/>
  <c r="Y333" i="3"/>
  <c r="Z333" i="3"/>
  <c r="AA333" i="3"/>
  <c r="AB333" i="3"/>
  <c r="AD333" i="3"/>
  <c r="AE333" i="3"/>
  <c r="AG333" i="3"/>
  <c r="AH333" i="3"/>
  <c r="A334" i="3"/>
  <c r="C334" i="3"/>
  <c r="E334" i="3"/>
  <c r="F334" i="3"/>
  <c r="G334" i="3"/>
  <c r="H334" i="3"/>
  <c r="I334" i="3"/>
  <c r="J334" i="3"/>
  <c r="AH334" i="3" s="1"/>
  <c r="K334" i="3"/>
  <c r="L334" i="3"/>
  <c r="M334" i="3"/>
  <c r="N334" i="3"/>
  <c r="O334" i="3"/>
  <c r="P334" i="3"/>
  <c r="Q334" i="3"/>
  <c r="R334" i="3"/>
  <c r="S334" i="3"/>
  <c r="T334" i="3"/>
  <c r="Y334" i="3"/>
  <c r="Z334" i="3"/>
  <c r="AA334" i="3"/>
  <c r="AB334" i="3"/>
  <c r="AD334" i="3"/>
  <c r="AE334" i="3"/>
  <c r="AG334" i="3"/>
  <c r="A335" i="3"/>
  <c r="C335" i="3"/>
  <c r="E335" i="3"/>
  <c r="F335" i="3"/>
  <c r="G335" i="3"/>
  <c r="H335" i="3"/>
  <c r="I335" i="3"/>
  <c r="J335" i="3"/>
  <c r="AH335" i="3" s="1"/>
  <c r="K335" i="3"/>
  <c r="L335" i="3"/>
  <c r="M335" i="3"/>
  <c r="N335" i="3"/>
  <c r="O335" i="3"/>
  <c r="P335" i="3"/>
  <c r="Q335" i="3"/>
  <c r="R335" i="3"/>
  <c r="S335" i="3"/>
  <c r="T335" i="3"/>
  <c r="Y335" i="3"/>
  <c r="Z335" i="3"/>
  <c r="AA335" i="3"/>
  <c r="AB335" i="3"/>
  <c r="AD335" i="3"/>
  <c r="AE335" i="3"/>
  <c r="AG335" i="3"/>
  <c r="A336" i="3"/>
  <c r="C336" i="3"/>
  <c r="E336" i="3"/>
  <c r="F336" i="3"/>
  <c r="G336" i="3"/>
  <c r="H336" i="3"/>
  <c r="I336" i="3"/>
  <c r="J336" i="3"/>
  <c r="K336" i="3"/>
  <c r="L336" i="3"/>
  <c r="M336" i="3"/>
  <c r="N336" i="3"/>
  <c r="O336" i="3"/>
  <c r="P336" i="3"/>
  <c r="Q336" i="3"/>
  <c r="R336" i="3"/>
  <c r="S336" i="3"/>
  <c r="T336" i="3"/>
  <c r="Y336" i="3"/>
  <c r="Z336" i="3"/>
  <c r="AA336" i="3"/>
  <c r="AB336" i="3"/>
  <c r="AD336" i="3"/>
  <c r="AE336" i="3"/>
  <c r="AG336" i="3"/>
  <c r="AH336" i="3"/>
  <c r="A337" i="3"/>
  <c r="C337" i="3"/>
  <c r="E337" i="3"/>
  <c r="F337" i="3"/>
  <c r="G337" i="3"/>
  <c r="H337" i="3"/>
  <c r="I337" i="3"/>
  <c r="J337" i="3"/>
  <c r="AH337" i="3" s="1"/>
  <c r="K337" i="3"/>
  <c r="L337" i="3"/>
  <c r="M337" i="3"/>
  <c r="N337" i="3"/>
  <c r="O337" i="3"/>
  <c r="P337" i="3"/>
  <c r="Q337" i="3"/>
  <c r="R337" i="3"/>
  <c r="S337" i="3"/>
  <c r="T337" i="3"/>
  <c r="Y337" i="3"/>
  <c r="Z337" i="3"/>
  <c r="AA337" i="3"/>
  <c r="AB337" i="3"/>
  <c r="AD337" i="3"/>
  <c r="AE337" i="3"/>
  <c r="AG337" i="3"/>
  <c r="A338" i="3"/>
  <c r="C338" i="3"/>
  <c r="E338" i="3"/>
  <c r="F338" i="3"/>
  <c r="G338" i="3"/>
  <c r="H338" i="3"/>
  <c r="I338" i="3"/>
  <c r="J338" i="3"/>
  <c r="AH338" i="3" s="1"/>
  <c r="K338" i="3"/>
  <c r="L338" i="3"/>
  <c r="M338" i="3"/>
  <c r="N338" i="3"/>
  <c r="O338" i="3"/>
  <c r="P338" i="3"/>
  <c r="Q338" i="3"/>
  <c r="R338" i="3"/>
  <c r="S338" i="3"/>
  <c r="T338" i="3"/>
  <c r="Y338" i="3"/>
  <c r="Z338" i="3"/>
  <c r="AA338" i="3"/>
  <c r="AB338" i="3"/>
  <c r="AD338" i="3"/>
  <c r="AE338" i="3"/>
  <c r="AG338" i="3"/>
  <c r="A339" i="3"/>
  <c r="C339" i="3"/>
  <c r="E339" i="3"/>
  <c r="F339" i="3"/>
  <c r="G339" i="3"/>
  <c r="H339" i="3"/>
  <c r="I339" i="3"/>
  <c r="J339" i="3"/>
  <c r="AH339" i="3" s="1"/>
  <c r="K339" i="3"/>
  <c r="L339" i="3"/>
  <c r="M339" i="3"/>
  <c r="N339" i="3"/>
  <c r="O339" i="3"/>
  <c r="P339" i="3"/>
  <c r="Q339" i="3"/>
  <c r="R339" i="3"/>
  <c r="S339" i="3"/>
  <c r="T339" i="3"/>
  <c r="Y339" i="3"/>
  <c r="Z339" i="3"/>
  <c r="AA339" i="3"/>
  <c r="AB339" i="3"/>
  <c r="AD339" i="3"/>
  <c r="AE339" i="3"/>
  <c r="AG339" i="3"/>
  <c r="A340" i="3"/>
  <c r="C340" i="3"/>
  <c r="E340" i="3"/>
  <c r="F340" i="3"/>
  <c r="G340" i="3"/>
  <c r="H340" i="3"/>
  <c r="I340" i="3"/>
  <c r="J340" i="3"/>
  <c r="AH340" i="3" s="1"/>
  <c r="K340" i="3"/>
  <c r="L340" i="3"/>
  <c r="M340" i="3"/>
  <c r="N340" i="3"/>
  <c r="O340" i="3"/>
  <c r="P340" i="3"/>
  <c r="Q340" i="3"/>
  <c r="R340" i="3"/>
  <c r="S340" i="3"/>
  <c r="T340" i="3"/>
  <c r="Y340" i="3"/>
  <c r="Z340" i="3"/>
  <c r="AA340" i="3"/>
  <c r="AB340" i="3"/>
  <c r="AD340" i="3"/>
  <c r="AE340" i="3"/>
  <c r="AG340" i="3"/>
  <c r="A341" i="3"/>
  <c r="C341" i="3"/>
  <c r="E341" i="3"/>
  <c r="F341" i="3"/>
  <c r="G341" i="3"/>
  <c r="H341" i="3"/>
  <c r="I341" i="3"/>
  <c r="J341" i="3"/>
  <c r="AH341" i="3" s="1"/>
  <c r="K341" i="3"/>
  <c r="L341" i="3"/>
  <c r="M341" i="3"/>
  <c r="N341" i="3"/>
  <c r="O341" i="3"/>
  <c r="P341" i="3"/>
  <c r="Q341" i="3"/>
  <c r="R341" i="3"/>
  <c r="S341" i="3"/>
  <c r="T341" i="3"/>
  <c r="Y341" i="3"/>
  <c r="Z341" i="3"/>
  <c r="AA341" i="3"/>
  <c r="AB341" i="3"/>
  <c r="AD341" i="3"/>
  <c r="AE341" i="3"/>
  <c r="AG341" i="3"/>
  <c r="A342" i="3"/>
  <c r="C342" i="3"/>
  <c r="E342" i="3"/>
  <c r="F342" i="3"/>
  <c r="G342" i="3"/>
  <c r="H342" i="3"/>
  <c r="I342" i="3"/>
  <c r="J342" i="3"/>
  <c r="AH342" i="3" s="1"/>
  <c r="K342" i="3"/>
  <c r="L342" i="3"/>
  <c r="M342" i="3"/>
  <c r="N342" i="3"/>
  <c r="O342" i="3"/>
  <c r="P342" i="3"/>
  <c r="Q342" i="3"/>
  <c r="R342" i="3"/>
  <c r="S342" i="3"/>
  <c r="T342" i="3"/>
  <c r="Y342" i="3"/>
  <c r="Z342" i="3"/>
  <c r="AA342" i="3"/>
  <c r="AB342" i="3"/>
  <c r="AD342" i="3"/>
  <c r="AE342" i="3"/>
  <c r="AG342" i="3"/>
  <c r="A343" i="3"/>
  <c r="C343" i="3"/>
  <c r="E343" i="3"/>
  <c r="F343" i="3"/>
  <c r="G343" i="3"/>
  <c r="H343" i="3"/>
  <c r="I343" i="3"/>
  <c r="J343" i="3"/>
  <c r="K343" i="3"/>
  <c r="L343" i="3"/>
  <c r="M343" i="3"/>
  <c r="N343" i="3"/>
  <c r="O343" i="3"/>
  <c r="P343" i="3"/>
  <c r="Q343" i="3"/>
  <c r="R343" i="3"/>
  <c r="S343" i="3"/>
  <c r="T343" i="3"/>
  <c r="Y343" i="3"/>
  <c r="Z343" i="3"/>
  <c r="AA343" i="3"/>
  <c r="AB343" i="3"/>
  <c r="AD343" i="3"/>
  <c r="AE343" i="3"/>
  <c r="AG343" i="3"/>
  <c r="AH343" i="3"/>
  <c r="A344" i="3"/>
  <c r="C344" i="3"/>
  <c r="E344" i="3"/>
  <c r="F344" i="3"/>
  <c r="G344" i="3"/>
  <c r="H344" i="3"/>
  <c r="I344" i="3"/>
  <c r="J344" i="3"/>
  <c r="AH344" i="3" s="1"/>
  <c r="K344" i="3"/>
  <c r="L344" i="3"/>
  <c r="M344" i="3"/>
  <c r="N344" i="3"/>
  <c r="O344" i="3"/>
  <c r="P344" i="3"/>
  <c r="Q344" i="3"/>
  <c r="R344" i="3"/>
  <c r="S344" i="3"/>
  <c r="T344" i="3"/>
  <c r="Y344" i="3"/>
  <c r="Z344" i="3"/>
  <c r="AA344" i="3"/>
  <c r="AB344" i="3"/>
  <c r="AD344" i="3"/>
  <c r="AE344" i="3"/>
  <c r="AG344" i="3"/>
  <c r="A345" i="3"/>
  <c r="C345" i="3"/>
  <c r="E345" i="3"/>
  <c r="F345" i="3"/>
  <c r="G345" i="3"/>
  <c r="H345" i="3"/>
  <c r="I345" i="3"/>
  <c r="J345" i="3"/>
  <c r="AH345" i="3" s="1"/>
  <c r="K345" i="3"/>
  <c r="L345" i="3"/>
  <c r="M345" i="3"/>
  <c r="N345" i="3"/>
  <c r="O345" i="3"/>
  <c r="P345" i="3"/>
  <c r="Q345" i="3"/>
  <c r="R345" i="3"/>
  <c r="S345" i="3"/>
  <c r="T345" i="3"/>
  <c r="Y345" i="3"/>
  <c r="Z345" i="3"/>
  <c r="AA345" i="3"/>
  <c r="AB345" i="3"/>
  <c r="AD345" i="3"/>
  <c r="AE345" i="3"/>
  <c r="AG345" i="3"/>
  <c r="A346" i="3"/>
  <c r="C346" i="3"/>
  <c r="E346" i="3"/>
  <c r="F346" i="3"/>
  <c r="G346" i="3"/>
  <c r="H346" i="3"/>
  <c r="I346" i="3"/>
  <c r="J346" i="3"/>
  <c r="AH346" i="3" s="1"/>
  <c r="K346" i="3"/>
  <c r="L346" i="3"/>
  <c r="M346" i="3"/>
  <c r="N346" i="3"/>
  <c r="O346" i="3"/>
  <c r="P346" i="3"/>
  <c r="Q346" i="3"/>
  <c r="R346" i="3"/>
  <c r="S346" i="3"/>
  <c r="T346" i="3"/>
  <c r="Y346" i="3"/>
  <c r="Z346" i="3"/>
  <c r="AA346" i="3"/>
  <c r="AB346" i="3"/>
  <c r="AD346" i="3"/>
  <c r="AE346" i="3"/>
  <c r="AG346" i="3"/>
  <c r="A347" i="3"/>
  <c r="C347" i="3"/>
  <c r="E347" i="3"/>
  <c r="F347" i="3"/>
  <c r="G347" i="3"/>
  <c r="H347" i="3"/>
  <c r="I347" i="3"/>
  <c r="J347" i="3"/>
  <c r="AH347" i="3" s="1"/>
  <c r="K347" i="3"/>
  <c r="L347" i="3"/>
  <c r="M347" i="3"/>
  <c r="N347" i="3"/>
  <c r="O347" i="3"/>
  <c r="P347" i="3"/>
  <c r="Q347" i="3"/>
  <c r="R347" i="3"/>
  <c r="S347" i="3"/>
  <c r="T347" i="3"/>
  <c r="Y347" i="3"/>
  <c r="Z347" i="3"/>
  <c r="AA347" i="3"/>
  <c r="AB347" i="3"/>
  <c r="AD347" i="3"/>
  <c r="AE347" i="3"/>
  <c r="AG347" i="3"/>
  <c r="A348" i="3"/>
  <c r="C348" i="3"/>
  <c r="E348" i="3"/>
  <c r="F348" i="3"/>
  <c r="G348" i="3"/>
  <c r="H348" i="3"/>
  <c r="I348" i="3"/>
  <c r="J348" i="3"/>
  <c r="AH348" i="3" s="1"/>
  <c r="K348" i="3"/>
  <c r="L348" i="3"/>
  <c r="M348" i="3"/>
  <c r="N348" i="3"/>
  <c r="O348" i="3"/>
  <c r="P348" i="3"/>
  <c r="Q348" i="3"/>
  <c r="R348" i="3"/>
  <c r="S348" i="3"/>
  <c r="T348" i="3"/>
  <c r="Y348" i="3"/>
  <c r="Z348" i="3"/>
  <c r="AA348" i="3"/>
  <c r="AB348" i="3"/>
  <c r="AD348" i="3"/>
  <c r="AE348" i="3"/>
  <c r="AG348" i="3"/>
  <c r="A349" i="3"/>
  <c r="C349" i="3"/>
  <c r="E349" i="3"/>
  <c r="F349" i="3"/>
  <c r="G349" i="3"/>
  <c r="H349" i="3"/>
  <c r="I349" i="3"/>
  <c r="J349" i="3"/>
  <c r="K349" i="3"/>
  <c r="L349" i="3"/>
  <c r="M349" i="3"/>
  <c r="N349" i="3"/>
  <c r="O349" i="3"/>
  <c r="P349" i="3"/>
  <c r="Q349" i="3"/>
  <c r="R349" i="3"/>
  <c r="S349" i="3"/>
  <c r="T349" i="3"/>
  <c r="Y349" i="3"/>
  <c r="Z349" i="3"/>
  <c r="AA349" i="3"/>
  <c r="AB349" i="3"/>
  <c r="AD349" i="3"/>
  <c r="AE349" i="3"/>
  <c r="AG349" i="3"/>
  <c r="AH349" i="3"/>
  <c r="A350" i="3"/>
  <c r="C350" i="3"/>
  <c r="E350" i="3"/>
  <c r="F350" i="3"/>
  <c r="G350" i="3"/>
  <c r="H350" i="3"/>
  <c r="I350" i="3"/>
  <c r="J350" i="3"/>
  <c r="AH350" i="3" s="1"/>
  <c r="K350" i="3"/>
  <c r="L350" i="3"/>
  <c r="M350" i="3"/>
  <c r="N350" i="3"/>
  <c r="O350" i="3"/>
  <c r="P350" i="3"/>
  <c r="Q350" i="3"/>
  <c r="R350" i="3"/>
  <c r="S350" i="3"/>
  <c r="T350" i="3"/>
  <c r="Y350" i="3"/>
  <c r="Z350" i="3"/>
  <c r="AA350" i="3"/>
  <c r="AB350" i="3"/>
  <c r="AD350" i="3"/>
  <c r="AE350" i="3"/>
  <c r="AG350" i="3"/>
  <c r="A351" i="3"/>
  <c r="C351" i="3"/>
  <c r="E351" i="3"/>
  <c r="F351" i="3"/>
  <c r="G351" i="3"/>
  <c r="H351" i="3"/>
  <c r="I351" i="3"/>
  <c r="J351" i="3"/>
  <c r="AH351" i="3" s="1"/>
  <c r="K351" i="3"/>
  <c r="L351" i="3"/>
  <c r="M351" i="3"/>
  <c r="N351" i="3"/>
  <c r="O351" i="3"/>
  <c r="P351" i="3"/>
  <c r="Q351" i="3"/>
  <c r="R351" i="3"/>
  <c r="S351" i="3"/>
  <c r="T351" i="3"/>
  <c r="Y351" i="3"/>
  <c r="Z351" i="3"/>
  <c r="AA351" i="3"/>
  <c r="AB351" i="3"/>
  <c r="AD351" i="3"/>
  <c r="AE351" i="3"/>
  <c r="AG351" i="3"/>
  <c r="A352" i="3"/>
  <c r="C352" i="3"/>
  <c r="E352" i="3"/>
  <c r="F352" i="3"/>
  <c r="G352" i="3"/>
  <c r="H352" i="3"/>
  <c r="I352" i="3"/>
  <c r="J352" i="3"/>
  <c r="K352" i="3"/>
  <c r="L352" i="3"/>
  <c r="M352" i="3"/>
  <c r="N352" i="3"/>
  <c r="O352" i="3"/>
  <c r="P352" i="3"/>
  <c r="Q352" i="3"/>
  <c r="R352" i="3"/>
  <c r="S352" i="3"/>
  <c r="T352" i="3"/>
  <c r="Y352" i="3"/>
  <c r="Z352" i="3"/>
  <c r="AA352" i="3"/>
  <c r="AB352" i="3"/>
  <c r="AD352" i="3"/>
  <c r="AE352" i="3"/>
  <c r="AG352" i="3"/>
  <c r="AH352" i="3"/>
  <c r="A353" i="3"/>
  <c r="C353" i="3"/>
  <c r="E353" i="3"/>
  <c r="F353" i="3"/>
  <c r="G353" i="3"/>
  <c r="H353" i="3"/>
  <c r="I353" i="3"/>
  <c r="J353" i="3"/>
  <c r="AH353" i="3" s="1"/>
  <c r="K353" i="3"/>
  <c r="L353" i="3"/>
  <c r="M353" i="3"/>
  <c r="N353" i="3"/>
  <c r="O353" i="3"/>
  <c r="P353" i="3"/>
  <c r="Q353" i="3"/>
  <c r="R353" i="3"/>
  <c r="S353" i="3"/>
  <c r="T353" i="3"/>
  <c r="Y353" i="3"/>
  <c r="Z353" i="3"/>
  <c r="AA353" i="3"/>
  <c r="AB353" i="3"/>
  <c r="AD353" i="3"/>
  <c r="AE353" i="3"/>
  <c r="AG353" i="3"/>
  <c r="A354" i="3"/>
  <c r="C354" i="3"/>
  <c r="E354" i="3"/>
  <c r="F354" i="3"/>
  <c r="G354" i="3"/>
  <c r="H354" i="3"/>
  <c r="I354" i="3"/>
  <c r="J354" i="3"/>
  <c r="AH354" i="3" s="1"/>
  <c r="K354" i="3"/>
  <c r="L354" i="3"/>
  <c r="M354" i="3"/>
  <c r="N354" i="3"/>
  <c r="O354" i="3"/>
  <c r="P354" i="3"/>
  <c r="Q354" i="3"/>
  <c r="R354" i="3"/>
  <c r="S354" i="3"/>
  <c r="T354" i="3"/>
  <c r="Y354" i="3"/>
  <c r="Z354" i="3"/>
  <c r="AA354" i="3"/>
  <c r="AB354" i="3"/>
  <c r="AD354" i="3"/>
  <c r="AE354" i="3"/>
  <c r="AG354" i="3"/>
  <c r="A355" i="3"/>
  <c r="C355" i="3"/>
  <c r="E355" i="3"/>
  <c r="F355" i="3"/>
  <c r="G355" i="3"/>
  <c r="H355" i="3"/>
  <c r="I355" i="3"/>
  <c r="J355" i="3"/>
  <c r="K355" i="3"/>
  <c r="L355" i="3"/>
  <c r="M355" i="3"/>
  <c r="N355" i="3"/>
  <c r="O355" i="3"/>
  <c r="P355" i="3"/>
  <c r="Q355" i="3"/>
  <c r="R355" i="3"/>
  <c r="S355" i="3"/>
  <c r="T355" i="3"/>
  <c r="Y355" i="3"/>
  <c r="Z355" i="3"/>
  <c r="AA355" i="3"/>
  <c r="AB355" i="3"/>
  <c r="AD355" i="3"/>
  <c r="AE355" i="3"/>
  <c r="AG355" i="3"/>
  <c r="AH355" i="3"/>
  <c r="A356" i="3"/>
  <c r="C356" i="3"/>
  <c r="E356" i="3"/>
  <c r="F356" i="3"/>
  <c r="G356" i="3"/>
  <c r="H356" i="3"/>
  <c r="I356" i="3"/>
  <c r="J356" i="3"/>
  <c r="AH356" i="3" s="1"/>
  <c r="K356" i="3"/>
  <c r="L356" i="3"/>
  <c r="M356" i="3"/>
  <c r="N356" i="3"/>
  <c r="O356" i="3"/>
  <c r="P356" i="3"/>
  <c r="Q356" i="3"/>
  <c r="R356" i="3"/>
  <c r="S356" i="3"/>
  <c r="T356" i="3"/>
  <c r="Y356" i="3"/>
  <c r="Z356" i="3"/>
  <c r="AA356" i="3"/>
  <c r="AB356" i="3"/>
  <c r="AD356" i="3"/>
  <c r="AE356" i="3"/>
  <c r="AG356" i="3"/>
  <c r="A357" i="3"/>
  <c r="C357" i="3"/>
  <c r="E357" i="3"/>
  <c r="F357" i="3"/>
  <c r="G357" i="3"/>
  <c r="H357" i="3"/>
  <c r="I357" i="3"/>
  <c r="J357" i="3"/>
  <c r="AH357" i="3" s="1"/>
  <c r="K357" i="3"/>
  <c r="L357" i="3"/>
  <c r="M357" i="3"/>
  <c r="N357" i="3"/>
  <c r="O357" i="3"/>
  <c r="P357" i="3"/>
  <c r="Q357" i="3"/>
  <c r="R357" i="3"/>
  <c r="S357" i="3"/>
  <c r="T357" i="3"/>
  <c r="Y357" i="3"/>
  <c r="Z357" i="3"/>
  <c r="AA357" i="3"/>
  <c r="AB357" i="3"/>
  <c r="AD357" i="3"/>
  <c r="AE357" i="3"/>
  <c r="AG357" i="3"/>
  <c r="A358" i="3"/>
  <c r="C358" i="3"/>
  <c r="E358" i="3"/>
  <c r="F358" i="3"/>
  <c r="G358" i="3"/>
  <c r="H358" i="3"/>
  <c r="I358" i="3"/>
  <c r="J358" i="3"/>
  <c r="K358" i="3"/>
  <c r="L358" i="3"/>
  <c r="M358" i="3"/>
  <c r="N358" i="3"/>
  <c r="O358" i="3"/>
  <c r="P358" i="3"/>
  <c r="Q358" i="3"/>
  <c r="R358" i="3"/>
  <c r="S358" i="3"/>
  <c r="T358" i="3"/>
  <c r="Y358" i="3"/>
  <c r="Z358" i="3"/>
  <c r="AA358" i="3"/>
  <c r="AB358" i="3"/>
  <c r="AD358" i="3"/>
  <c r="AE358" i="3"/>
  <c r="AG358" i="3"/>
  <c r="AH358" i="3"/>
  <c r="A359" i="3"/>
  <c r="C359" i="3"/>
  <c r="E359" i="3"/>
  <c r="F359" i="3"/>
  <c r="G359" i="3"/>
  <c r="H359" i="3"/>
  <c r="I359" i="3"/>
  <c r="J359" i="3"/>
  <c r="AH359" i="3" s="1"/>
  <c r="K359" i="3"/>
  <c r="L359" i="3"/>
  <c r="M359" i="3"/>
  <c r="N359" i="3"/>
  <c r="O359" i="3"/>
  <c r="P359" i="3"/>
  <c r="Q359" i="3"/>
  <c r="R359" i="3"/>
  <c r="S359" i="3"/>
  <c r="T359" i="3"/>
  <c r="Y359" i="3"/>
  <c r="Z359" i="3"/>
  <c r="AA359" i="3"/>
  <c r="AB359" i="3"/>
  <c r="AD359" i="3"/>
  <c r="AE359" i="3"/>
  <c r="AG359" i="3"/>
  <c r="A360" i="3"/>
  <c r="C360" i="3"/>
  <c r="E360" i="3"/>
  <c r="F360" i="3"/>
  <c r="G360" i="3"/>
  <c r="H360" i="3"/>
  <c r="I360" i="3"/>
  <c r="J360" i="3"/>
  <c r="AH360" i="3" s="1"/>
  <c r="K360" i="3"/>
  <c r="L360" i="3"/>
  <c r="M360" i="3"/>
  <c r="N360" i="3"/>
  <c r="O360" i="3"/>
  <c r="P360" i="3"/>
  <c r="Q360" i="3"/>
  <c r="R360" i="3"/>
  <c r="S360" i="3"/>
  <c r="T360" i="3"/>
  <c r="Y360" i="3"/>
  <c r="Z360" i="3"/>
  <c r="AA360" i="3"/>
  <c r="AB360" i="3"/>
  <c r="AD360" i="3"/>
  <c r="AE360" i="3"/>
  <c r="AG360" i="3"/>
  <c r="A361" i="3"/>
  <c r="C361" i="3"/>
  <c r="E361" i="3"/>
  <c r="F361" i="3"/>
  <c r="G361" i="3"/>
  <c r="H361" i="3"/>
  <c r="I361" i="3"/>
  <c r="J361" i="3"/>
  <c r="AH361" i="3" s="1"/>
  <c r="K361" i="3"/>
  <c r="L361" i="3"/>
  <c r="M361" i="3"/>
  <c r="N361" i="3"/>
  <c r="O361" i="3"/>
  <c r="P361" i="3"/>
  <c r="Q361" i="3"/>
  <c r="R361" i="3"/>
  <c r="S361" i="3"/>
  <c r="T361" i="3"/>
  <c r="Y361" i="3"/>
  <c r="Z361" i="3"/>
  <c r="AA361" i="3"/>
  <c r="AB361" i="3"/>
  <c r="AD361" i="3"/>
  <c r="AE361" i="3"/>
  <c r="AG361" i="3"/>
  <c r="A362" i="3"/>
  <c r="C362" i="3"/>
  <c r="E362" i="3"/>
  <c r="F362" i="3"/>
  <c r="G362" i="3"/>
  <c r="H362" i="3"/>
  <c r="I362" i="3"/>
  <c r="J362" i="3"/>
  <c r="AH362" i="3" s="1"/>
  <c r="K362" i="3"/>
  <c r="L362" i="3"/>
  <c r="M362" i="3"/>
  <c r="N362" i="3"/>
  <c r="O362" i="3"/>
  <c r="P362" i="3"/>
  <c r="Q362" i="3"/>
  <c r="R362" i="3"/>
  <c r="S362" i="3"/>
  <c r="T362" i="3"/>
  <c r="Y362" i="3"/>
  <c r="Z362" i="3"/>
  <c r="AA362" i="3"/>
  <c r="AB362" i="3"/>
  <c r="AD362" i="3"/>
  <c r="AE362" i="3"/>
  <c r="AG362" i="3"/>
  <c r="A363" i="3"/>
  <c r="C363" i="3"/>
  <c r="E363" i="3"/>
  <c r="F363" i="3"/>
  <c r="G363" i="3"/>
  <c r="H363" i="3"/>
  <c r="I363" i="3"/>
  <c r="J363" i="3"/>
  <c r="AH363" i="3" s="1"/>
  <c r="K363" i="3"/>
  <c r="L363" i="3"/>
  <c r="M363" i="3"/>
  <c r="N363" i="3"/>
  <c r="O363" i="3"/>
  <c r="P363" i="3"/>
  <c r="Q363" i="3"/>
  <c r="R363" i="3"/>
  <c r="S363" i="3"/>
  <c r="T363" i="3"/>
  <c r="Y363" i="3"/>
  <c r="Z363" i="3"/>
  <c r="AA363" i="3"/>
  <c r="AB363" i="3"/>
  <c r="AD363" i="3"/>
  <c r="AE363" i="3"/>
  <c r="AG363" i="3"/>
  <c r="A364" i="3"/>
  <c r="C364" i="3"/>
  <c r="E364" i="3"/>
  <c r="F364" i="3"/>
  <c r="G364" i="3"/>
  <c r="H364" i="3"/>
  <c r="I364" i="3"/>
  <c r="J364" i="3"/>
  <c r="AH364" i="3" s="1"/>
  <c r="K364" i="3"/>
  <c r="L364" i="3"/>
  <c r="M364" i="3"/>
  <c r="N364" i="3"/>
  <c r="O364" i="3"/>
  <c r="P364" i="3"/>
  <c r="Q364" i="3"/>
  <c r="R364" i="3"/>
  <c r="S364" i="3"/>
  <c r="T364" i="3"/>
  <c r="Y364" i="3"/>
  <c r="Z364" i="3"/>
  <c r="AA364" i="3"/>
  <c r="AB364" i="3"/>
  <c r="AD364" i="3"/>
  <c r="AE364" i="3"/>
  <c r="AG364" i="3"/>
  <c r="A365" i="3"/>
  <c r="C365" i="3"/>
  <c r="E365" i="3"/>
  <c r="F365" i="3"/>
  <c r="G365" i="3"/>
  <c r="H365" i="3"/>
  <c r="I365" i="3"/>
  <c r="J365" i="3"/>
  <c r="K365" i="3"/>
  <c r="L365" i="3"/>
  <c r="M365" i="3"/>
  <c r="N365" i="3"/>
  <c r="O365" i="3"/>
  <c r="P365" i="3"/>
  <c r="Q365" i="3"/>
  <c r="R365" i="3"/>
  <c r="S365" i="3"/>
  <c r="T365" i="3"/>
  <c r="Y365" i="3"/>
  <c r="Z365" i="3"/>
  <c r="AA365" i="3"/>
  <c r="AB365" i="3"/>
  <c r="AD365" i="3"/>
  <c r="AE365" i="3"/>
  <c r="AG365" i="3"/>
  <c r="AH365" i="3"/>
  <c r="A366" i="3"/>
  <c r="C366" i="3"/>
  <c r="E366" i="3"/>
  <c r="F366" i="3"/>
  <c r="G366" i="3"/>
  <c r="H366" i="3"/>
  <c r="I366" i="3"/>
  <c r="J366" i="3"/>
  <c r="AH366" i="3" s="1"/>
  <c r="K366" i="3"/>
  <c r="L366" i="3"/>
  <c r="M366" i="3"/>
  <c r="N366" i="3"/>
  <c r="O366" i="3"/>
  <c r="P366" i="3"/>
  <c r="Q366" i="3"/>
  <c r="R366" i="3"/>
  <c r="S366" i="3"/>
  <c r="T366" i="3"/>
  <c r="Y366" i="3"/>
  <c r="Z366" i="3"/>
  <c r="AA366" i="3"/>
  <c r="AB366" i="3"/>
  <c r="AD366" i="3"/>
  <c r="AE366" i="3"/>
  <c r="AG366" i="3"/>
  <c r="A367" i="3"/>
  <c r="C367" i="3"/>
  <c r="E367" i="3"/>
  <c r="F367" i="3"/>
  <c r="G367" i="3"/>
  <c r="H367" i="3"/>
  <c r="I367" i="3"/>
  <c r="J367" i="3"/>
  <c r="AH367" i="3" s="1"/>
  <c r="K367" i="3"/>
  <c r="L367" i="3"/>
  <c r="M367" i="3"/>
  <c r="N367" i="3"/>
  <c r="O367" i="3"/>
  <c r="P367" i="3"/>
  <c r="Q367" i="3"/>
  <c r="R367" i="3"/>
  <c r="S367" i="3"/>
  <c r="T367" i="3"/>
  <c r="Y367" i="3"/>
  <c r="Z367" i="3"/>
  <c r="AA367" i="3"/>
  <c r="AB367" i="3"/>
  <c r="AD367" i="3"/>
  <c r="AE367" i="3"/>
  <c r="AG367" i="3"/>
  <c r="A368" i="3"/>
  <c r="C368" i="3"/>
  <c r="E368" i="3"/>
  <c r="F368" i="3"/>
  <c r="G368" i="3"/>
  <c r="H368" i="3"/>
  <c r="I368" i="3"/>
  <c r="J368" i="3"/>
  <c r="AH368" i="3" s="1"/>
  <c r="K368" i="3"/>
  <c r="L368" i="3"/>
  <c r="M368" i="3"/>
  <c r="N368" i="3"/>
  <c r="O368" i="3"/>
  <c r="P368" i="3"/>
  <c r="Q368" i="3"/>
  <c r="R368" i="3"/>
  <c r="S368" i="3"/>
  <c r="T368" i="3"/>
  <c r="Y368" i="3"/>
  <c r="Z368" i="3"/>
  <c r="AA368" i="3"/>
  <c r="AB368" i="3"/>
  <c r="AD368" i="3"/>
  <c r="AE368" i="3"/>
  <c r="AG368" i="3"/>
  <c r="A369" i="3"/>
  <c r="C369" i="3"/>
  <c r="E369" i="3"/>
  <c r="F369" i="3"/>
  <c r="G369" i="3"/>
  <c r="H369" i="3"/>
  <c r="I369" i="3"/>
  <c r="J369" i="3"/>
  <c r="AH369" i="3" s="1"/>
  <c r="K369" i="3"/>
  <c r="L369" i="3"/>
  <c r="M369" i="3"/>
  <c r="N369" i="3"/>
  <c r="O369" i="3"/>
  <c r="P369" i="3"/>
  <c r="Q369" i="3"/>
  <c r="R369" i="3"/>
  <c r="S369" i="3"/>
  <c r="T369" i="3"/>
  <c r="Y369" i="3"/>
  <c r="Z369" i="3"/>
  <c r="AA369" i="3"/>
  <c r="AB369" i="3"/>
  <c r="AD369" i="3"/>
  <c r="AE369" i="3"/>
  <c r="AG369" i="3"/>
  <c r="A370" i="3"/>
  <c r="C370" i="3"/>
  <c r="E370" i="3"/>
  <c r="F370" i="3"/>
  <c r="G370" i="3"/>
  <c r="H370" i="3"/>
  <c r="I370" i="3"/>
  <c r="J370" i="3"/>
  <c r="AH370" i="3" s="1"/>
  <c r="K370" i="3"/>
  <c r="L370" i="3"/>
  <c r="M370" i="3"/>
  <c r="N370" i="3"/>
  <c r="O370" i="3"/>
  <c r="P370" i="3"/>
  <c r="Q370" i="3"/>
  <c r="R370" i="3"/>
  <c r="S370" i="3"/>
  <c r="T370" i="3"/>
  <c r="Y370" i="3"/>
  <c r="Z370" i="3"/>
  <c r="AA370" i="3"/>
  <c r="AB370" i="3"/>
  <c r="AD370" i="3"/>
  <c r="AE370" i="3"/>
  <c r="AG370" i="3"/>
  <c r="A371" i="3"/>
  <c r="C371" i="3"/>
  <c r="E371" i="3"/>
  <c r="F371" i="3"/>
  <c r="G371" i="3"/>
  <c r="H371" i="3"/>
  <c r="I371" i="3"/>
  <c r="J371" i="3"/>
  <c r="K371" i="3"/>
  <c r="L371" i="3"/>
  <c r="M371" i="3"/>
  <c r="N371" i="3"/>
  <c r="O371" i="3"/>
  <c r="P371" i="3"/>
  <c r="Q371" i="3"/>
  <c r="R371" i="3"/>
  <c r="S371" i="3"/>
  <c r="T371" i="3"/>
  <c r="Y371" i="3"/>
  <c r="Z371" i="3"/>
  <c r="AA371" i="3"/>
  <c r="AB371" i="3"/>
  <c r="AD371" i="3"/>
  <c r="AE371" i="3"/>
  <c r="AG371" i="3"/>
  <c r="AH371" i="3"/>
  <c r="A372" i="3"/>
  <c r="C372" i="3"/>
  <c r="E372" i="3"/>
  <c r="F372" i="3"/>
  <c r="G372" i="3"/>
  <c r="H372" i="3"/>
  <c r="I372" i="3"/>
  <c r="J372" i="3"/>
  <c r="AH372" i="3" s="1"/>
  <c r="K372" i="3"/>
  <c r="L372" i="3"/>
  <c r="M372" i="3"/>
  <c r="N372" i="3"/>
  <c r="O372" i="3"/>
  <c r="P372" i="3"/>
  <c r="Q372" i="3"/>
  <c r="R372" i="3"/>
  <c r="S372" i="3"/>
  <c r="T372" i="3"/>
  <c r="Y372" i="3"/>
  <c r="Z372" i="3"/>
  <c r="AA372" i="3"/>
  <c r="AB372" i="3"/>
  <c r="AD372" i="3"/>
  <c r="AE372" i="3"/>
  <c r="AG372" i="3"/>
  <c r="A373" i="3"/>
  <c r="C373" i="3"/>
  <c r="E373" i="3"/>
  <c r="F373" i="3"/>
  <c r="G373" i="3"/>
  <c r="H373" i="3"/>
  <c r="I373" i="3"/>
  <c r="J373" i="3"/>
  <c r="AH373" i="3" s="1"/>
  <c r="K373" i="3"/>
  <c r="L373" i="3"/>
  <c r="M373" i="3"/>
  <c r="N373" i="3"/>
  <c r="O373" i="3"/>
  <c r="P373" i="3"/>
  <c r="Q373" i="3"/>
  <c r="R373" i="3"/>
  <c r="S373" i="3"/>
  <c r="T373" i="3"/>
  <c r="Y373" i="3"/>
  <c r="Z373" i="3"/>
  <c r="AA373" i="3"/>
  <c r="AB373" i="3"/>
  <c r="AD373" i="3"/>
  <c r="AE373" i="3"/>
  <c r="AG373" i="3"/>
  <c r="A374" i="3"/>
  <c r="C374" i="3"/>
  <c r="E374" i="3"/>
  <c r="F374" i="3"/>
  <c r="G374" i="3"/>
  <c r="H374" i="3"/>
  <c r="I374" i="3"/>
  <c r="J374" i="3"/>
  <c r="K374" i="3"/>
  <c r="L374" i="3"/>
  <c r="M374" i="3"/>
  <c r="N374" i="3"/>
  <c r="O374" i="3"/>
  <c r="P374" i="3"/>
  <c r="Q374" i="3"/>
  <c r="R374" i="3"/>
  <c r="S374" i="3"/>
  <c r="T374" i="3"/>
  <c r="Y374" i="3"/>
  <c r="Z374" i="3"/>
  <c r="AA374" i="3"/>
  <c r="AB374" i="3"/>
  <c r="AD374" i="3"/>
  <c r="AE374" i="3"/>
  <c r="AG374" i="3"/>
  <c r="AH374" i="3"/>
  <c r="A375" i="3"/>
  <c r="C375" i="3"/>
  <c r="E375" i="3"/>
  <c r="F375" i="3"/>
  <c r="G375" i="3"/>
  <c r="H375" i="3"/>
  <c r="I375" i="3"/>
  <c r="J375" i="3"/>
  <c r="AH375" i="3" s="1"/>
  <c r="K375" i="3"/>
  <c r="L375" i="3"/>
  <c r="M375" i="3"/>
  <c r="N375" i="3"/>
  <c r="O375" i="3"/>
  <c r="P375" i="3"/>
  <c r="Q375" i="3"/>
  <c r="R375" i="3"/>
  <c r="S375" i="3"/>
  <c r="T375" i="3"/>
  <c r="Y375" i="3"/>
  <c r="Z375" i="3"/>
  <c r="AA375" i="3"/>
  <c r="AB375" i="3"/>
  <c r="AD375" i="3"/>
  <c r="AE375" i="3"/>
  <c r="AG375" i="3"/>
  <c r="A376" i="3"/>
  <c r="C376" i="3"/>
  <c r="E376" i="3"/>
  <c r="F376" i="3"/>
  <c r="G376" i="3"/>
  <c r="H376" i="3"/>
  <c r="I376" i="3"/>
  <c r="J376" i="3"/>
  <c r="AH376" i="3" s="1"/>
  <c r="K376" i="3"/>
  <c r="L376" i="3"/>
  <c r="M376" i="3"/>
  <c r="N376" i="3"/>
  <c r="O376" i="3"/>
  <c r="P376" i="3"/>
  <c r="Q376" i="3"/>
  <c r="R376" i="3"/>
  <c r="S376" i="3"/>
  <c r="T376" i="3"/>
  <c r="Y376" i="3"/>
  <c r="Z376" i="3"/>
  <c r="AA376" i="3"/>
  <c r="AB376" i="3"/>
  <c r="AD376" i="3"/>
  <c r="AE376" i="3"/>
  <c r="AG376" i="3"/>
  <c r="A377" i="3"/>
  <c r="C377" i="3"/>
  <c r="E377" i="3"/>
  <c r="F377" i="3"/>
  <c r="G377" i="3"/>
  <c r="H377" i="3"/>
  <c r="I377" i="3"/>
  <c r="J377" i="3"/>
  <c r="AH377" i="3" s="1"/>
  <c r="K377" i="3"/>
  <c r="L377" i="3"/>
  <c r="M377" i="3"/>
  <c r="N377" i="3"/>
  <c r="O377" i="3"/>
  <c r="P377" i="3"/>
  <c r="Q377" i="3"/>
  <c r="R377" i="3"/>
  <c r="S377" i="3"/>
  <c r="T377" i="3"/>
  <c r="Y377" i="3"/>
  <c r="Z377" i="3"/>
  <c r="AA377" i="3"/>
  <c r="AB377" i="3"/>
  <c r="AD377" i="3"/>
  <c r="AE377" i="3"/>
  <c r="AG377" i="3"/>
  <c r="A378" i="3"/>
  <c r="C378" i="3"/>
  <c r="E378" i="3"/>
  <c r="F378" i="3"/>
  <c r="G378" i="3"/>
  <c r="H378" i="3"/>
  <c r="I378" i="3"/>
  <c r="J378" i="3"/>
  <c r="AH378" i="3" s="1"/>
  <c r="K378" i="3"/>
  <c r="L378" i="3"/>
  <c r="M378" i="3"/>
  <c r="N378" i="3"/>
  <c r="O378" i="3"/>
  <c r="P378" i="3"/>
  <c r="Q378" i="3"/>
  <c r="R378" i="3"/>
  <c r="S378" i="3"/>
  <c r="T378" i="3"/>
  <c r="Y378" i="3"/>
  <c r="Z378" i="3"/>
  <c r="AA378" i="3"/>
  <c r="AB378" i="3"/>
  <c r="AD378" i="3"/>
  <c r="AE378" i="3"/>
  <c r="AG378" i="3"/>
  <c r="A379" i="3"/>
  <c r="C379" i="3"/>
  <c r="E379" i="3"/>
  <c r="F379" i="3"/>
  <c r="G379" i="3"/>
  <c r="H379" i="3"/>
  <c r="I379" i="3"/>
  <c r="J379" i="3"/>
  <c r="AH379" i="3" s="1"/>
  <c r="K379" i="3"/>
  <c r="L379" i="3"/>
  <c r="M379" i="3"/>
  <c r="N379" i="3"/>
  <c r="O379" i="3"/>
  <c r="P379" i="3"/>
  <c r="Q379" i="3"/>
  <c r="R379" i="3"/>
  <c r="S379" i="3"/>
  <c r="T379" i="3"/>
  <c r="Y379" i="3"/>
  <c r="Z379" i="3"/>
  <c r="AA379" i="3"/>
  <c r="AB379" i="3"/>
  <c r="AD379" i="3"/>
  <c r="AE379" i="3"/>
  <c r="AG379" i="3"/>
  <c r="A380" i="3"/>
  <c r="C380" i="3"/>
  <c r="E380" i="3"/>
  <c r="F380" i="3"/>
  <c r="G380" i="3"/>
  <c r="H380" i="3"/>
  <c r="I380" i="3"/>
  <c r="J380" i="3"/>
  <c r="AH380" i="3" s="1"/>
  <c r="K380" i="3"/>
  <c r="L380" i="3"/>
  <c r="M380" i="3"/>
  <c r="N380" i="3"/>
  <c r="O380" i="3"/>
  <c r="P380" i="3"/>
  <c r="Q380" i="3"/>
  <c r="R380" i="3"/>
  <c r="S380" i="3"/>
  <c r="T380" i="3"/>
  <c r="Y380" i="3"/>
  <c r="Z380" i="3"/>
  <c r="AA380" i="3"/>
  <c r="AB380" i="3"/>
  <c r="AD380" i="3"/>
  <c r="AE380" i="3"/>
  <c r="AG380" i="3"/>
  <c r="A381" i="3"/>
  <c r="C381" i="3"/>
  <c r="E381" i="3"/>
  <c r="F381" i="3"/>
  <c r="G381" i="3"/>
  <c r="H381" i="3"/>
  <c r="I381" i="3"/>
  <c r="J381" i="3"/>
  <c r="AH381" i="3" s="1"/>
  <c r="K381" i="3"/>
  <c r="L381" i="3"/>
  <c r="M381" i="3"/>
  <c r="N381" i="3"/>
  <c r="O381" i="3"/>
  <c r="P381" i="3"/>
  <c r="Q381" i="3"/>
  <c r="R381" i="3"/>
  <c r="S381" i="3"/>
  <c r="T381" i="3"/>
  <c r="Y381" i="3"/>
  <c r="Z381" i="3"/>
  <c r="AA381" i="3"/>
  <c r="AB381" i="3"/>
  <c r="AD381" i="3"/>
  <c r="AE381" i="3"/>
  <c r="AG381" i="3"/>
  <c r="A382" i="3"/>
  <c r="C382" i="3"/>
  <c r="E382" i="3"/>
  <c r="F382" i="3"/>
  <c r="G382" i="3"/>
  <c r="H382" i="3"/>
  <c r="I382" i="3"/>
  <c r="J382" i="3"/>
  <c r="AH382" i="3" s="1"/>
  <c r="K382" i="3"/>
  <c r="L382" i="3"/>
  <c r="M382" i="3"/>
  <c r="N382" i="3"/>
  <c r="O382" i="3"/>
  <c r="P382" i="3"/>
  <c r="Q382" i="3"/>
  <c r="R382" i="3"/>
  <c r="S382" i="3"/>
  <c r="T382" i="3"/>
  <c r="Y382" i="3"/>
  <c r="Z382" i="3"/>
  <c r="AA382" i="3"/>
  <c r="AB382" i="3"/>
  <c r="AD382" i="3"/>
  <c r="AE382" i="3"/>
  <c r="AG382" i="3"/>
  <c r="A383" i="3"/>
  <c r="C383" i="3"/>
  <c r="E383" i="3"/>
  <c r="F383" i="3"/>
  <c r="G383" i="3"/>
  <c r="H383" i="3"/>
  <c r="I383" i="3"/>
  <c r="J383" i="3"/>
  <c r="AH383" i="3" s="1"/>
  <c r="K383" i="3"/>
  <c r="L383" i="3"/>
  <c r="M383" i="3"/>
  <c r="N383" i="3"/>
  <c r="O383" i="3"/>
  <c r="P383" i="3"/>
  <c r="Q383" i="3"/>
  <c r="R383" i="3"/>
  <c r="S383" i="3"/>
  <c r="T383" i="3"/>
  <c r="Y383" i="3"/>
  <c r="Z383" i="3"/>
  <c r="AA383" i="3"/>
  <c r="AB383" i="3"/>
  <c r="AD383" i="3"/>
  <c r="AE383" i="3"/>
  <c r="AG383" i="3"/>
  <c r="A384" i="3"/>
  <c r="C384" i="3"/>
  <c r="E384" i="3"/>
  <c r="F384" i="3"/>
  <c r="G384" i="3"/>
  <c r="H384" i="3"/>
  <c r="I384" i="3"/>
  <c r="J384" i="3"/>
  <c r="AH384" i="3" s="1"/>
  <c r="K384" i="3"/>
  <c r="L384" i="3"/>
  <c r="M384" i="3"/>
  <c r="N384" i="3"/>
  <c r="O384" i="3"/>
  <c r="P384" i="3"/>
  <c r="Q384" i="3"/>
  <c r="R384" i="3"/>
  <c r="S384" i="3"/>
  <c r="T384" i="3"/>
  <c r="Y384" i="3"/>
  <c r="Z384" i="3"/>
  <c r="AA384" i="3"/>
  <c r="AB384" i="3"/>
  <c r="AD384" i="3"/>
  <c r="AE384" i="3"/>
  <c r="AG384" i="3"/>
  <c r="A385" i="3"/>
  <c r="C385" i="3"/>
  <c r="E385" i="3"/>
  <c r="F385" i="3"/>
  <c r="G385" i="3"/>
  <c r="H385" i="3"/>
  <c r="I385" i="3"/>
  <c r="J385" i="3"/>
  <c r="AH385" i="3" s="1"/>
  <c r="K385" i="3"/>
  <c r="L385" i="3"/>
  <c r="M385" i="3"/>
  <c r="N385" i="3"/>
  <c r="O385" i="3"/>
  <c r="P385" i="3"/>
  <c r="Q385" i="3"/>
  <c r="R385" i="3"/>
  <c r="S385" i="3"/>
  <c r="T385" i="3"/>
  <c r="Y385" i="3"/>
  <c r="Z385" i="3"/>
  <c r="AA385" i="3"/>
  <c r="AB385" i="3"/>
  <c r="AD385" i="3"/>
  <c r="AE385" i="3"/>
  <c r="AG385" i="3"/>
  <c r="A386" i="3"/>
  <c r="C386" i="3"/>
  <c r="E386" i="3"/>
  <c r="F386" i="3"/>
  <c r="G386" i="3"/>
  <c r="H386" i="3"/>
  <c r="I386" i="3"/>
  <c r="J386" i="3"/>
  <c r="AH386" i="3" s="1"/>
  <c r="K386" i="3"/>
  <c r="L386" i="3"/>
  <c r="M386" i="3"/>
  <c r="N386" i="3"/>
  <c r="O386" i="3"/>
  <c r="P386" i="3"/>
  <c r="Q386" i="3"/>
  <c r="R386" i="3"/>
  <c r="S386" i="3"/>
  <c r="T386" i="3"/>
  <c r="Y386" i="3"/>
  <c r="Z386" i="3"/>
  <c r="AA386" i="3"/>
  <c r="AB386" i="3"/>
  <c r="AD386" i="3"/>
  <c r="AE386" i="3"/>
  <c r="AG386" i="3"/>
  <c r="A387" i="3"/>
  <c r="C387" i="3"/>
  <c r="E387" i="3"/>
  <c r="F387" i="3"/>
  <c r="G387" i="3"/>
  <c r="H387" i="3"/>
  <c r="I387" i="3"/>
  <c r="J387" i="3"/>
  <c r="K387" i="3"/>
  <c r="L387" i="3"/>
  <c r="M387" i="3"/>
  <c r="N387" i="3"/>
  <c r="O387" i="3"/>
  <c r="P387" i="3"/>
  <c r="Q387" i="3"/>
  <c r="R387" i="3"/>
  <c r="S387" i="3"/>
  <c r="T387" i="3"/>
  <c r="Y387" i="3"/>
  <c r="Z387" i="3"/>
  <c r="AA387" i="3"/>
  <c r="AB387" i="3"/>
  <c r="AD387" i="3"/>
  <c r="AE387" i="3"/>
  <c r="AG387" i="3"/>
  <c r="AH387" i="3"/>
  <c r="A388" i="3"/>
  <c r="C388" i="3"/>
  <c r="E388" i="3"/>
  <c r="F388" i="3"/>
  <c r="G388" i="3"/>
  <c r="H388" i="3"/>
  <c r="I388" i="3"/>
  <c r="J388" i="3"/>
  <c r="AH388" i="3" s="1"/>
  <c r="K388" i="3"/>
  <c r="L388" i="3"/>
  <c r="M388" i="3"/>
  <c r="N388" i="3"/>
  <c r="O388" i="3"/>
  <c r="P388" i="3"/>
  <c r="Q388" i="3"/>
  <c r="R388" i="3"/>
  <c r="S388" i="3"/>
  <c r="T388" i="3"/>
  <c r="Y388" i="3"/>
  <c r="Z388" i="3"/>
  <c r="AA388" i="3"/>
  <c r="AB388" i="3"/>
  <c r="AD388" i="3"/>
  <c r="AE388" i="3"/>
  <c r="AG388" i="3"/>
  <c r="A389" i="3"/>
  <c r="C389" i="3"/>
  <c r="E389" i="3"/>
  <c r="F389" i="3"/>
  <c r="G389" i="3"/>
  <c r="H389" i="3"/>
  <c r="I389" i="3"/>
  <c r="J389" i="3"/>
  <c r="AH389" i="3" s="1"/>
  <c r="K389" i="3"/>
  <c r="L389" i="3"/>
  <c r="M389" i="3"/>
  <c r="N389" i="3"/>
  <c r="O389" i="3"/>
  <c r="P389" i="3"/>
  <c r="Q389" i="3"/>
  <c r="R389" i="3"/>
  <c r="S389" i="3"/>
  <c r="T389" i="3"/>
  <c r="Y389" i="3"/>
  <c r="Z389" i="3"/>
  <c r="AA389" i="3"/>
  <c r="AB389" i="3"/>
  <c r="AD389" i="3"/>
  <c r="AE389" i="3"/>
  <c r="AG389" i="3"/>
  <c r="A390" i="3"/>
  <c r="C390" i="3"/>
  <c r="E390" i="3"/>
  <c r="F390" i="3"/>
  <c r="G390" i="3"/>
  <c r="H390" i="3"/>
  <c r="I390" i="3"/>
  <c r="J390" i="3"/>
  <c r="AH390" i="3" s="1"/>
  <c r="K390" i="3"/>
  <c r="L390" i="3"/>
  <c r="M390" i="3"/>
  <c r="N390" i="3"/>
  <c r="O390" i="3"/>
  <c r="P390" i="3"/>
  <c r="Q390" i="3"/>
  <c r="R390" i="3"/>
  <c r="S390" i="3"/>
  <c r="T390" i="3"/>
  <c r="Y390" i="3"/>
  <c r="Z390" i="3"/>
  <c r="AA390" i="3"/>
  <c r="AB390" i="3"/>
  <c r="AD390" i="3"/>
  <c r="AE390" i="3"/>
  <c r="AG390" i="3"/>
  <c r="A391" i="3"/>
  <c r="C391" i="3"/>
  <c r="E391" i="3"/>
  <c r="F391" i="3"/>
  <c r="G391" i="3"/>
  <c r="H391" i="3"/>
  <c r="I391" i="3"/>
  <c r="J391" i="3"/>
  <c r="K391" i="3"/>
  <c r="L391" i="3"/>
  <c r="M391" i="3"/>
  <c r="N391" i="3"/>
  <c r="O391" i="3"/>
  <c r="P391" i="3"/>
  <c r="Q391" i="3"/>
  <c r="R391" i="3"/>
  <c r="S391" i="3"/>
  <c r="T391" i="3"/>
  <c r="Y391" i="3"/>
  <c r="Z391" i="3"/>
  <c r="AA391" i="3"/>
  <c r="AB391" i="3"/>
  <c r="AD391" i="3"/>
  <c r="AE391" i="3"/>
  <c r="AG391" i="3"/>
  <c r="AH391" i="3"/>
  <c r="A392" i="3"/>
  <c r="C392" i="3"/>
  <c r="E392" i="3"/>
  <c r="F392" i="3"/>
  <c r="G392" i="3"/>
  <c r="H392" i="3"/>
  <c r="I392" i="3"/>
  <c r="J392" i="3"/>
  <c r="AH392" i="3" s="1"/>
  <c r="K392" i="3"/>
  <c r="L392" i="3"/>
  <c r="M392" i="3"/>
  <c r="N392" i="3"/>
  <c r="O392" i="3"/>
  <c r="P392" i="3"/>
  <c r="Q392" i="3"/>
  <c r="R392" i="3"/>
  <c r="S392" i="3"/>
  <c r="T392" i="3"/>
  <c r="Y392" i="3"/>
  <c r="Z392" i="3"/>
  <c r="AA392" i="3"/>
  <c r="AB392" i="3"/>
  <c r="AD392" i="3"/>
  <c r="AE392" i="3"/>
  <c r="AG392" i="3"/>
  <c r="A393" i="3"/>
  <c r="C393" i="3"/>
  <c r="E393" i="3"/>
  <c r="F393" i="3"/>
  <c r="G393" i="3"/>
  <c r="H393" i="3"/>
  <c r="I393" i="3"/>
  <c r="J393" i="3"/>
  <c r="AH393" i="3" s="1"/>
  <c r="K393" i="3"/>
  <c r="L393" i="3"/>
  <c r="M393" i="3"/>
  <c r="N393" i="3"/>
  <c r="O393" i="3"/>
  <c r="P393" i="3"/>
  <c r="Q393" i="3"/>
  <c r="R393" i="3"/>
  <c r="S393" i="3"/>
  <c r="T393" i="3"/>
  <c r="Y393" i="3"/>
  <c r="Z393" i="3"/>
  <c r="AA393" i="3"/>
  <c r="AB393" i="3"/>
  <c r="AD393" i="3"/>
  <c r="AE393" i="3"/>
  <c r="AG393" i="3"/>
  <c r="A394" i="3"/>
  <c r="C394" i="3"/>
  <c r="E394" i="3"/>
  <c r="F394" i="3"/>
  <c r="G394" i="3"/>
  <c r="H394" i="3"/>
  <c r="I394" i="3"/>
  <c r="J394" i="3"/>
  <c r="AH394" i="3" s="1"/>
  <c r="K394" i="3"/>
  <c r="L394" i="3"/>
  <c r="M394" i="3"/>
  <c r="N394" i="3"/>
  <c r="O394" i="3"/>
  <c r="P394" i="3"/>
  <c r="Q394" i="3"/>
  <c r="R394" i="3"/>
  <c r="S394" i="3"/>
  <c r="T394" i="3"/>
  <c r="Y394" i="3"/>
  <c r="Z394" i="3"/>
  <c r="AA394" i="3"/>
  <c r="AB394" i="3"/>
  <c r="AD394" i="3"/>
  <c r="AE394" i="3"/>
  <c r="AG394" i="3"/>
  <c r="A395" i="3"/>
  <c r="C395" i="3"/>
  <c r="E395" i="3"/>
  <c r="F395" i="3"/>
  <c r="G395" i="3"/>
  <c r="H395" i="3"/>
  <c r="I395" i="3"/>
  <c r="J395" i="3"/>
  <c r="AH395" i="3" s="1"/>
  <c r="K395" i="3"/>
  <c r="L395" i="3"/>
  <c r="M395" i="3"/>
  <c r="N395" i="3"/>
  <c r="O395" i="3"/>
  <c r="P395" i="3"/>
  <c r="Q395" i="3"/>
  <c r="R395" i="3"/>
  <c r="S395" i="3"/>
  <c r="T395" i="3"/>
  <c r="Y395" i="3"/>
  <c r="Z395" i="3"/>
  <c r="AA395" i="3"/>
  <c r="AB395" i="3"/>
  <c r="AD395" i="3"/>
  <c r="AE395" i="3"/>
  <c r="AG395" i="3"/>
  <c r="A396" i="3"/>
  <c r="C396" i="3"/>
  <c r="E396" i="3"/>
  <c r="F396" i="3"/>
  <c r="G396" i="3"/>
  <c r="H396" i="3"/>
  <c r="I396" i="3"/>
  <c r="J396" i="3"/>
  <c r="AH396" i="3" s="1"/>
  <c r="K396" i="3"/>
  <c r="L396" i="3"/>
  <c r="M396" i="3"/>
  <c r="N396" i="3"/>
  <c r="O396" i="3"/>
  <c r="P396" i="3"/>
  <c r="Q396" i="3"/>
  <c r="R396" i="3"/>
  <c r="S396" i="3"/>
  <c r="T396" i="3"/>
  <c r="Y396" i="3"/>
  <c r="Z396" i="3"/>
  <c r="AA396" i="3"/>
  <c r="AB396" i="3"/>
  <c r="AD396" i="3"/>
  <c r="AE396" i="3"/>
  <c r="AG396" i="3"/>
  <c r="A397" i="3"/>
  <c r="C397" i="3"/>
  <c r="E397" i="3"/>
  <c r="F397" i="3"/>
  <c r="G397" i="3"/>
  <c r="H397" i="3"/>
  <c r="I397" i="3"/>
  <c r="J397" i="3"/>
  <c r="AH397" i="3" s="1"/>
  <c r="K397" i="3"/>
  <c r="L397" i="3"/>
  <c r="M397" i="3"/>
  <c r="N397" i="3"/>
  <c r="O397" i="3"/>
  <c r="P397" i="3"/>
  <c r="Q397" i="3"/>
  <c r="R397" i="3"/>
  <c r="S397" i="3"/>
  <c r="T397" i="3"/>
  <c r="Y397" i="3"/>
  <c r="Z397" i="3"/>
  <c r="AA397" i="3"/>
  <c r="AB397" i="3"/>
  <c r="AD397" i="3"/>
  <c r="AE397" i="3"/>
  <c r="AG397" i="3"/>
  <c r="A398" i="3"/>
  <c r="C398" i="3"/>
  <c r="E398" i="3"/>
  <c r="F398" i="3"/>
  <c r="G398" i="3"/>
  <c r="H398" i="3"/>
  <c r="I398" i="3"/>
  <c r="J398" i="3"/>
  <c r="AH398" i="3" s="1"/>
  <c r="K398" i="3"/>
  <c r="L398" i="3"/>
  <c r="M398" i="3"/>
  <c r="N398" i="3"/>
  <c r="O398" i="3"/>
  <c r="P398" i="3"/>
  <c r="Q398" i="3"/>
  <c r="R398" i="3"/>
  <c r="S398" i="3"/>
  <c r="T398" i="3"/>
  <c r="Y398" i="3"/>
  <c r="Z398" i="3"/>
  <c r="AA398" i="3"/>
  <c r="AB398" i="3"/>
  <c r="AD398" i="3"/>
  <c r="AE398" i="3"/>
  <c r="AG398" i="3"/>
  <c r="A399" i="3"/>
  <c r="C399" i="3"/>
  <c r="E399" i="3"/>
  <c r="F399" i="3"/>
  <c r="G399" i="3"/>
  <c r="H399" i="3"/>
  <c r="I399" i="3"/>
  <c r="J399" i="3"/>
  <c r="AH399" i="3" s="1"/>
  <c r="K399" i="3"/>
  <c r="L399" i="3"/>
  <c r="M399" i="3"/>
  <c r="N399" i="3"/>
  <c r="O399" i="3"/>
  <c r="P399" i="3"/>
  <c r="Q399" i="3"/>
  <c r="R399" i="3"/>
  <c r="S399" i="3"/>
  <c r="T399" i="3"/>
  <c r="Y399" i="3"/>
  <c r="Z399" i="3"/>
  <c r="AA399" i="3"/>
  <c r="AB399" i="3"/>
  <c r="AD399" i="3"/>
  <c r="AE399" i="3"/>
  <c r="AG399" i="3"/>
  <c r="A400" i="3"/>
  <c r="C400" i="3"/>
  <c r="E400" i="3"/>
  <c r="F400" i="3"/>
  <c r="G400" i="3"/>
  <c r="H400" i="3"/>
  <c r="I400" i="3"/>
  <c r="J400" i="3"/>
  <c r="AH400" i="3" s="1"/>
  <c r="K400" i="3"/>
  <c r="L400" i="3"/>
  <c r="M400" i="3"/>
  <c r="N400" i="3"/>
  <c r="O400" i="3"/>
  <c r="P400" i="3"/>
  <c r="Q400" i="3"/>
  <c r="R400" i="3"/>
  <c r="S400" i="3"/>
  <c r="T400" i="3"/>
  <c r="Y400" i="3"/>
  <c r="Z400" i="3"/>
  <c r="AA400" i="3"/>
  <c r="AB400" i="3"/>
  <c r="AD400" i="3"/>
  <c r="AE400" i="3"/>
  <c r="AG400" i="3"/>
  <c r="A401" i="3"/>
  <c r="C401" i="3"/>
  <c r="E401" i="3"/>
  <c r="F401" i="3"/>
  <c r="G401" i="3"/>
  <c r="H401" i="3"/>
  <c r="I401" i="3"/>
  <c r="J401" i="3"/>
  <c r="AH401" i="3" s="1"/>
  <c r="K401" i="3"/>
  <c r="L401" i="3"/>
  <c r="M401" i="3"/>
  <c r="N401" i="3"/>
  <c r="O401" i="3"/>
  <c r="P401" i="3"/>
  <c r="Q401" i="3"/>
  <c r="R401" i="3"/>
  <c r="S401" i="3"/>
  <c r="T401" i="3"/>
  <c r="Y401" i="3"/>
  <c r="Z401" i="3"/>
  <c r="AA401" i="3"/>
  <c r="AB401" i="3"/>
  <c r="AD401" i="3"/>
  <c r="AE401" i="3"/>
  <c r="AG401" i="3"/>
  <c r="A402" i="3"/>
  <c r="C402" i="3"/>
  <c r="E402" i="3"/>
  <c r="F402" i="3"/>
  <c r="G402" i="3"/>
  <c r="H402" i="3"/>
  <c r="I402" i="3"/>
  <c r="J402" i="3"/>
  <c r="AH402" i="3" s="1"/>
  <c r="K402" i="3"/>
  <c r="L402" i="3"/>
  <c r="M402" i="3"/>
  <c r="N402" i="3"/>
  <c r="O402" i="3"/>
  <c r="P402" i="3"/>
  <c r="Q402" i="3"/>
  <c r="R402" i="3"/>
  <c r="S402" i="3"/>
  <c r="T402" i="3"/>
  <c r="Y402" i="3"/>
  <c r="Z402" i="3"/>
  <c r="AA402" i="3"/>
  <c r="AB402" i="3"/>
  <c r="AD402" i="3"/>
  <c r="AE402" i="3"/>
  <c r="AG402" i="3"/>
  <c r="A403" i="3"/>
  <c r="C403" i="3"/>
  <c r="E403" i="3"/>
  <c r="F403" i="3"/>
  <c r="G403" i="3"/>
  <c r="H403" i="3"/>
  <c r="I403" i="3"/>
  <c r="J403" i="3"/>
  <c r="AH403" i="3" s="1"/>
  <c r="K403" i="3"/>
  <c r="L403" i="3"/>
  <c r="M403" i="3"/>
  <c r="N403" i="3"/>
  <c r="O403" i="3"/>
  <c r="P403" i="3"/>
  <c r="Q403" i="3"/>
  <c r="R403" i="3"/>
  <c r="S403" i="3"/>
  <c r="T403" i="3"/>
  <c r="Y403" i="3"/>
  <c r="Z403" i="3"/>
  <c r="AA403" i="3"/>
  <c r="AB403" i="3"/>
  <c r="AD403" i="3"/>
  <c r="AE403" i="3"/>
  <c r="AG403" i="3"/>
  <c r="A404" i="3"/>
  <c r="C404" i="3"/>
  <c r="E404" i="3"/>
  <c r="F404" i="3"/>
  <c r="G404" i="3"/>
  <c r="H404" i="3"/>
  <c r="I404" i="3"/>
  <c r="J404" i="3"/>
  <c r="K404" i="3"/>
  <c r="L404" i="3"/>
  <c r="M404" i="3"/>
  <c r="N404" i="3"/>
  <c r="O404" i="3"/>
  <c r="P404" i="3"/>
  <c r="Q404" i="3"/>
  <c r="R404" i="3"/>
  <c r="S404" i="3"/>
  <c r="T404" i="3"/>
  <c r="Y404" i="3"/>
  <c r="Z404" i="3"/>
  <c r="AA404" i="3"/>
  <c r="AB404" i="3"/>
  <c r="AD404" i="3"/>
  <c r="AE404" i="3"/>
  <c r="AG404" i="3"/>
  <c r="AH404" i="3"/>
  <c r="A405" i="3"/>
  <c r="C405" i="3"/>
  <c r="E405" i="3"/>
  <c r="F405" i="3"/>
  <c r="G405" i="3"/>
  <c r="H405" i="3"/>
  <c r="I405" i="3"/>
  <c r="J405" i="3"/>
  <c r="AH405" i="3" s="1"/>
  <c r="K405" i="3"/>
  <c r="L405" i="3"/>
  <c r="M405" i="3"/>
  <c r="N405" i="3"/>
  <c r="O405" i="3"/>
  <c r="P405" i="3"/>
  <c r="Q405" i="3"/>
  <c r="R405" i="3"/>
  <c r="S405" i="3"/>
  <c r="T405" i="3"/>
  <c r="Y405" i="3"/>
  <c r="Z405" i="3"/>
  <c r="AA405" i="3"/>
  <c r="AB405" i="3"/>
  <c r="AD405" i="3"/>
  <c r="AE405" i="3"/>
  <c r="AG405" i="3"/>
  <c r="A406" i="3"/>
  <c r="C406" i="3"/>
  <c r="E406" i="3"/>
  <c r="F406" i="3"/>
  <c r="G406" i="3"/>
  <c r="H406" i="3"/>
  <c r="I406" i="3"/>
  <c r="J406" i="3"/>
  <c r="AH406" i="3" s="1"/>
  <c r="K406" i="3"/>
  <c r="L406" i="3"/>
  <c r="M406" i="3"/>
  <c r="N406" i="3"/>
  <c r="O406" i="3"/>
  <c r="P406" i="3"/>
  <c r="Q406" i="3"/>
  <c r="R406" i="3"/>
  <c r="S406" i="3"/>
  <c r="T406" i="3"/>
  <c r="Y406" i="3"/>
  <c r="Z406" i="3"/>
  <c r="AA406" i="3"/>
  <c r="AB406" i="3"/>
  <c r="AD406" i="3"/>
  <c r="AE406" i="3"/>
  <c r="AG406" i="3"/>
  <c r="A407" i="3"/>
  <c r="C407" i="3"/>
  <c r="E407" i="3"/>
  <c r="F407" i="3"/>
  <c r="G407" i="3"/>
  <c r="H407" i="3"/>
  <c r="I407" i="3"/>
  <c r="J407" i="3"/>
  <c r="K407" i="3"/>
  <c r="L407" i="3"/>
  <c r="M407" i="3"/>
  <c r="N407" i="3"/>
  <c r="O407" i="3"/>
  <c r="P407" i="3"/>
  <c r="Q407" i="3"/>
  <c r="R407" i="3"/>
  <c r="S407" i="3"/>
  <c r="T407" i="3"/>
  <c r="Y407" i="3"/>
  <c r="Z407" i="3"/>
  <c r="AA407" i="3"/>
  <c r="AB407" i="3"/>
  <c r="AD407" i="3"/>
  <c r="AE407" i="3"/>
  <c r="AG407" i="3"/>
  <c r="AH407" i="3"/>
  <c r="A408" i="3"/>
  <c r="C408" i="3"/>
  <c r="E408" i="3"/>
  <c r="F408" i="3"/>
  <c r="G408" i="3"/>
  <c r="H408" i="3"/>
  <c r="I408" i="3"/>
  <c r="J408" i="3"/>
  <c r="AH408" i="3" s="1"/>
  <c r="K408" i="3"/>
  <c r="L408" i="3"/>
  <c r="M408" i="3"/>
  <c r="N408" i="3"/>
  <c r="O408" i="3"/>
  <c r="P408" i="3"/>
  <c r="Q408" i="3"/>
  <c r="R408" i="3"/>
  <c r="S408" i="3"/>
  <c r="T408" i="3"/>
  <c r="Y408" i="3"/>
  <c r="Z408" i="3"/>
  <c r="AA408" i="3"/>
  <c r="AB408" i="3"/>
  <c r="AD408" i="3"/>
  <c r="AE408" i="3"/>
  <c r="AG408" i="3"/>
  <c r="A409" i="3"/>
  <c r="C409" i="3"/>
  <c r="E409" i="3"/>
  <c r="F409" i="3"/>
  <c r="G409" i="3"/>
  <c r="H409" i="3"/>
  <c r="I409" i="3"/>
  <c r="J409" i="3"/>
  <c r="AH409" i="3" s="1"/>
  <c r="K409" i="3"/>
  <c r="L409" i="3"/>
  <c r="M409" i="3"/>
  <c r="N409" i="3"/>
  <c r="O409" i="3"/>
  <c r="P409" i="3"/>
  <c r="Q409" i="3"/>
  <c r="R409" i="3"/>
  <c r="S409" i="3"/>
  <c r="T409" i="3"/>
  <c r="Y409" i="3"/>
  <c r="Z409" i="3"/>
  <c r="AA409" i="3"/>
  <c r="AB409" i="3"/>
  <c r="AD409" i="3"/>
  <c r="AE409" i="3"/>
  <c r="AG409" i="3"/>
  <c r="A410" i="3"/>
  <c r="C410" i="3"/>
  <c r="E410" i="3"/>
  <c r="F410" i="3"/>
  <c r="G410" i="3"/>
  <c r="H410" i="3"/>
  <c r="I410" i="3"/>
  <c r="J410" i="3"/>
  <c r="K410" i="3"/>
  <c r="L410" i="3"/>
  <c r="M410" i="3"/>
  <c r="N410" i="3"/>
  <c r="O410" i="3"/>
  <c r="P410" i="3"/>
  <c r="Q410" i="3"/>
  <c r="R410" i="3"/>
  <c r="S410" i="3"/>
  <c r="T410" i="3"/>
  <c r="Y410" i="3"/>
  <c r="Z410" i="3"/>
  <c r="AA410" i="3"/>
  <c r="AB410" i="3"/>
  <c r="AD410" i="3"/>
  <c r="AE410" i="3"/>
  <c r="AG410" i="3"/>
  <c r="AH410" i="3"/>
  <c r="A411" i="3"/>
  <c r="C411" i="3"/>
  <c r="E411" i="3"/>
  <c r="F411" i="3"/>
  <c r="G411" i="3"/>
  <c r="H411" i="3"/>
  <c r="I411" i="3"/>
  <c r="J411" i="3"/>
  <c r="AH411" i="3" s="1"/>
  <c r="K411" i="3"/>
  <c r="L411" i="3"/>
  <c r="M411" i="3"/>
  <c r="N411" i="3"/>
  <c r="O411" i="3"/>
  <c r="P411" i="3"/>
  <c r="Q411" i="3"/>
  <c r="R411" i="3"/>
  <c r="S411" i="3"/>
  <c r="T411" i="3"/>
  <c r="Y411" i="3"/>
  <c r="Z411" i="3"/>
  <c r="AA411" i="3"/>
  <c r="AB411" i="3"/>
  <c r="AD411" i="3"/>
  <c r="AE411" i="3"/>
  <c r="AG411" i="3"/>
  <c r="A412" i="3"/>
  <c r="C412" i="3"/>
  <c r="E412" i="3"/>
  <c r="F412" i="3"/>
  <c r="G412" i="3"/>
  <c r="H412" i="3"/>
  <c r="I412" i="3"/>
  <c r="J412" i="3"/>
  <c r="AH412" i="3" s="1"/>
  <c r="K412" i="3"/>
  <c r="L412" i="3"/>
  <c r="M412" i="3"/>
  <c r="N412" i="3"/>
  <c r="O412" i="3"/>
  <c r="P412" i="3"/>
  <c r="Q412" i="3"/>
  <c r="R412" i="3"/>
  <c r="S412" i="3"/>
  <c r="T412" i="3"/>
  <c r="Y412" i="3"/>
  <c r="Z412" i="3"/>
  <c r="AA412" i="3"/>
  <c r="AB412" i="3"/>
  <c r="AD412" i="3"/>
  <c r="AE412" i="3"/>
  <c r="AG412" i="3"/>
  <c r="A413" i="3"/>
  <c r="C413" i="3"/>
  <c r="E413" i="3"/>
  <c r="F413" i="3"/>
  <c r="G413" i="3"/>
  <c r="H413" i="3"/>
  <c r="I413" i="3"/>
  <c r="J413" i="3"/>
  <c r="K413" i="3"/>
  <c r="L413" i="3"/>
  <c r="M413" i="3"/>
  <c r="N413" i="3"/>
  <c r="O413" i="3"/>
  <c r="P413" i="3"/>
  <c r="Q413" i="3"/>
  <c r="R413" i="3"/>
  <c r="S413" i="3"/>
  <c r="T413" i="3"/>
  <c r="Y413" i="3"/>
  <c r="Z413" i="3"/>
  <c r="AA413" i="3"/>
  <c r="AB413" i="3"/>
  <c r="AD413" i="3"/>
  <c r="AE413" i="3"/>
  <c r="AG413" i="3"/>
  <c r="AH413" i="3"/>
  <c r="A414" i="3"/>
  <c r="C414" i="3"/>
  <c r="E414" i="3"/>
  <c r="F414" i="3"/>
  <c r="G414" i="3"/>
  <c r="H414" i="3"/>
  <c r="I414" i="3"/>
  <c r="J414" i="3"/>
  <c r="AH414" i="3" s="1"/>
  <c r="K414" i="3"/>
  <c r="L414" i="3"/>
  <c r="M414" i="3"/>
  <c r="N414" i="3"/>
  <c r="O414" i="3"/>
  <c r="P414" i="3"/>
  <c r="Q414" i="3"/>
  <c r="R414" i="3"/>
  <c r="S414" i="3"/>
  <c r="T414" i="3"/>
  <c r="Y414" i="3"/>
  <c r="Z414" i="3"/>
  <c r="AA414" i="3"/>
  <c r="AB414" i="3"/>
  <c r="AD414" i="3"/>
  <c r="AE414" i="3"/>
  <c r="AG414" i="3"/>
  <c r="A415" i="3"/>
  <c r="C415" i="3"/>
  <c r="E415" i="3"/>
  <c r="F415" i="3"/>
  <c r="G415" i="3"/>
  <c r="H415" i="3"/>
  <c r="I415" i="3"/>
  <c r="J415" i="3"/>
  <c r="AH415" i="3" s="1"/>
  <c r="K415" i="3"/>
  <c r="L415" i="3"/>
  <c r="M415" i="3"/>
  <c r="N415" i="3"/>
  <c r="O415" i="3"/>
  <c r="P415" i="3"/>
  <c r="Q415" i="3"/>
  <c r="R415" i="3"/>
  <c r="S415" i="3"/>
  <c r="T415" i="3"/>
  <c r="Y415" i="3"/>
  <c r="Z415" i="3"/>
  <c r="AA415" i="3"/>
  <c r="AB415" i="3"/>
  <c r="AD415" i="3"/>
  <c r="AE415" i="3"/>
  <c r="AG415" i="3"/>
  <c r="A416" i="3"/>
  <c r="C416" i="3"/>
  <c r="E416" i="3"/>
  <c r="F416" i="3"/>
  <c r="G416" i="3"/>
  <c r="H416" i="3"/>
  <c r="I416" i="3"/>
  <c r="J416" i="3"/>
  <c r="AH416" i="3" s="1"/>
  <c r="K416" i="3"/>
  <c r="L416" i="3"/>
  <c r="M416" i="3"/>
  <c r="N416" i="3"/>
  <c r="O416" i="3"/>
  <c r="P416" i="3"/>
  <c r="Q416" i="3"/>
  <c r="R416" i="3"/>
  <c r="S416" i="3"/>
  <c r="T416" i="3"/>
  <c r="Y416" i="3"/>
  <c r="Z416" i="3"/>
  <c r="AA416" i="3"/>
  <c r="AB416" i="3"/>
  <c r="AD416" i="3"/>
  <c r="AE416" i="3"/>
  <c r="AG416" i="3"/>
  <c r="A417" i="3"/>
  <c r="C417" i="3"/>
  <c r="E417" i="3"/>
  <c r="F417" i="3"/>
  <c r="G417" i="3"/>
  <c r="H417" i="3"/>
  <c r="I417" i="3"/>
  <c r="J417" i="3"/>
  <c r="AH417" i="3" s="1"/>
  <c r="K417" i="3"/>
  <c r="L417" i="3"/>
  <c r="M417" i="3"/>
  <c r="N417" i="3"/>
  <c r="O417" i="3"/>
  <c r="P417" i="3"/>
  <c r="Q417" i="3"/>
  <c r="R417" i="3"/>
  <c r="S417" i="3"/>
  <c r="T417" i="3"/>
  <c r="Y417" i="3"/>
  <c r="Z417" i="3"/>
  <c r="AA417" i="3"/>
  <c r="AB417" i="3"/>
  <c r="AD417" i="3"/>
  <c r="AE417" i="3"/>
  <c r="AG417" i="3"/>
  <c r="A418" i="3"/>
  <c r="C418" i="3"/>
  <c r="E418" i="3"/>
  <c r="F418" i="3"/>
  <c r="G418" i="3"/>
  <c r="H418" i="3"/>
  <c r="I418" i="3"/>
  <c r="J418" i="3"/>
  <c r="AH418" i="3" s="1"/>
  <c r="K418" i="3"/>
  <c r="L418" i="3"/>
  <c r="M418" i="3"/>
  <c r="N418" i="3"/>
  <c r="O418" i="3"/>
  <c r="P418" i="3"/>
  <c r="Q418" i="3"/>
  <c r="R418" i="3"/>
  <c r="S418" i="3"/>
  <c r="T418" i="3"/>
  <c r="Y418" i="3"/>
  <c r="Z418" i="3"/>
  <c r="AA418" i="3"/>
  <c r="AB418" i="3"/>
  <c r="AD418" i="3"/>
  <c r="AE418" i="3"/>
  <c r="AG418" i="3"/>
  <c r="A419" i="3"/>
  <c r="C419" i="3"/>
  <c r="E419" i="3"/>
  <c r="F419" i="3"/>
  <c r="G419" i="3"/>
  <c r="H419" i="3"/>
  <c r="I419" i="3"/>
  <c r="J419" i="3"/>
  <c r="AH419" i="3" s="1"/>
  <c r="K419" i="3"/>
  <c r="L419" i="3"/>
  <c r="M419" i="3"/>
  <c r="N419" i="3"/>
  <c r="O419" i="3"/>
  <c r="P419" i="3"/>
  <c r="Q419" i="3"/>
  <c r="R419" i="3"/>
  <c r="S419" i="3"/>
  <c r="T419" i="3"/>
  <c r="Y419" i="3"/>
  <c r="Z419" i="3"/>
  <c r="AA419" i="3"/>
  <c r="AB419" i="3"/>
  <c r="AD419" i="3"/>
  <c r="AE419" i="3"/>
  <c r="AG419" i="3"/>
  <c r="A420" i="3"/>
  <c r="C420" i="3"/>
  <c r="E420" i="3"/>
  <c r="F420" i="3"/>
  <c r="G420" i="3"/>
  <c r="H420" i="3"/>
  <c r="I420" i="3"/>
  <c r="J420" i="3"/>
  <c r="AH420" i="3" s="1"/>
  <c r="K420" i="3"/>
  <c r="L420" i="3"/>
  <c r="M420" i="3"/>
  <c r="N420" i="3"/>
  <c r="O420" i="3"/>
  <c r="P420" i="3"/>
  <c r="Q420" i="3"/>
  <c r="R420" i="3"/>
  <c r="S420" i="3"/>
  <c r="T420" i="3"/>
  <c r="Y420" i="3"/>
  <c r="Z420" i="3"/>
  <c r="AA420" i="3"/>
  <c r="AB420" i="3"/>
  <c r="AD420" i="3"/>
  <c r="AE420" i="3"/>
  <c r="AG420" i="3"/>
  <c r="A421" i="3"/>
  <c r="C421" i="3"/>
  <c r="E421" i="3"/>
  <c r="F421" i="3"/>
  <c r="G421" i="3"/>
  <c r="H421" i="3"/>
  <c r="I421" i="3"/>
  <c r="J421" i="3"/>
  <c r="AH421" i="3" s="1"/>
  <c r="K421" i="3"/>
  <c r="L421" i="3"/>
  <c r="M421" i="3"/>
  <c r="N421" i="3"/>
  <c r="O421" i="3"/>
  <c r="P421" i="3"/>
  <c r="Q421" i="3"/>
  <c r="R421" i="3"/>
  <c r="S421" i="3"/>
  <c r="T421" i="3"/>
  <c r="Y421" i="3"/>
  <c r="Z421" i="3"/>
  <c r="AA421" i="3"/>
  <c r="AB421" i="3"/>
  <c r="AD421" i="3"/>
  <c r="AE421" i="3"/>
  <c r="AG421" i="3"/>
  <c r="A422" i="3"/>
  <c r="C422" i="3"/>
  <c r="E422" i="3"/>
  <c r="F422" i="3"/>
  <c r="G422" i="3"/>
  <c r="H422" i="3"/>
  <c r="I422" i="3"/>
  <c r="J422" i="3"/>
  <c r="AH422" i="3" s="1"/>
  <c r="K422" i="3"/>
  <c r="L422" i="3"/>
  <c r="M422" i="3"/>
  <c r="N422" i="3"/>
  <c r="O422" i="3"/>
  <c r="P422" i="3"/>
  <c r="Q422" i="3"/>
  <c r="R422" i="3"/>
  <c r="S422" i="3"/>
  <c r="T422" i="3"/>
  <c r="Y422" i="3"/>
  <c r="Z422" i="3"/>
  <c r="AA422" i="3"/>
  <c r="AB422" i="3"/>
  <c r="AD422" i="3"/>
  <c r="AE422" i="3"/>
  <c r="AG422" i="3"/>
  <c r="A423" i="3"/>
  <c r="C423" i="3"/>
  <c r="E423" i="3"/>
  <c r="F423" i="3"/>
  <c r="G423" i="3"/>
  <c r="H423" i="3"/>
  <c r="I423" i="3"/>
  <c r="J423" i="3"/>
  <c r="AH423" i="3" s="1"/>
  <c r="K423" i="3"/>
  <c r="L423" i="3"/>
  <c r="M423" i="3"/>
  <c r="N423" i="3"/>
  <c r="O423" i="3"/>
  <c r="P423" i="3"/>
  <c r="Q423" i="3"/>
  <c r="R423" i="3"/>
  <c r="S423" i="3"/>
  <c r="T423" i="3"/>
  <c r="Y423" i="3"/>
  <c r="Z423" i="3"/>
  <c r="AA423" i="3"/>
  <c r="AB423" i="3"/>
  <c r="AD423" i="3"/>
  <c r="AE423" i="3"/>
  <c r="AG423" i="3"/>
  <c r="A424" i="3"/>
  <c r="C424" i="3"/>
  <c r="E424" i="3"/>
  <c r="F424" i="3"/>
  <c r="G424" i="3"/>
  <c r="H424" i="3"/>
  <c r="I424" i="3"/>
  <c r="J424" i="3"/>
  <c r="AH424" i="3" s="1"/>
  <c r="K424" i="3"/>
  <c r="L424" i="3"/>
  <c r="M424" i="3"/>
  <c r="N424" i="3"/>
  <c r="O424" i="3"/>
  <c r="P424" i="3"/>
  <c r="Q424" i="3"/>
  <c r="R424" i="3"/>
  <c r="S424" i="3"/>
  <c r="T424" i="3"/>
  <c r="Y424" i="3"/>
  <c r="Z424" i="3"/>
  <c r="AA424" i="3"/>
  <c r="AB424" i="3"/>
  <c r="AD424" i="3"/>
  <c r="AE424" i="3"/>
  <c r="AG424" i="3"/>
  <c r="A425" i="3"/>
  <c r="C425" i="3"/>
  <c r="E425" i="3"/>
  <c r="F425" i="3"/>
  <c r="G425" i="3"/>
  <c r="H425" i="3"/>
  <c r="I425" i="3"/>
  <c r="J425" i="3"/>
  <c r="AH425" i="3" s="1"/>
  <c r="K425" i="3"/>
  <c r="L425" i="3"/>
  <c r="M425" i="3"/>
  <c r="N425" i="3"/>
  <c r="O425" i="3"/>
  <c r="P425" i="3"/>
  <c r="Q425" i="3"/>
  <c r="R425" i="3"/>
  <c r="S425" i="3"/>
  <c r="T425" i="3"/>
  <c r="Y425" i="3"/>
  <c r="Z425" i="3"/>
  <c r="AA425" i="3"/>
  <c r="AB425" i="3"/>
  <c r="AD425" i="3"/>
  <c r="AE425" i="3"/>
  <c r="AG425" i="3"/>
  <c r="A426" i="3"/>
  <c r="C426" i="3"/>
  <c r="E426" i="3"/>
  <c r="F426" i="3"/>
  <c r="G426" i="3"/>
  <c r="H426" i="3"/>
  <c r="I426" i="3"/>
  <c r="J426" i="3"/>
  <c r="K426" i="3"/>
  <c r="L426" i="3"/>
  <c r="M426" i="3"/>
  <c r="N426" i="3"/>
  <c r="O426" i="3"/>
  <c r="P426" i="3"/>
  <c r="Q426" i="3"/>
  <c r="R426" i="3"/>
  <c r="S426" i="3"/>
  <c r="T426" i="3"/>
  <c r="Y426" i="3"/>
  <c r="Z426" i="3"/>
  <c r="AA426" i="3"/>
  <c r="AB426" i="3"/>
  <c r="AD426" i="3"/>
  <c r="AE426" i="3"/>
  <c r="AG426" i="3"/>
  <c r="AH426" i="3"/>
  <c r="A427" i="3"/>
  <c r="C427" i="3"/>
  <c r="E427" i="3"/>
  <c r="F427" i="3"/>
  <c r="G427" i="3"/>
  <c r="H427" i="3"/>
  <c r="I427" i="3"/>
  <c r="J427" i="3"/>
  <c r="AH427" i="3" s="1"/>
  <c r="K427" i="3"/>
  <c r="L427" i="3"/>
  <c r="M427" i="3"/>
  <c r="N427" i="3"/>
  <c r="O427" i="3"/>
  <c r="P427" i="3"/>
  <c r="Q427" i="3"/>
  <c r="R427" i="3"/>
  <c r="S427" i="3"/>
  <c r="T427" i="3"/>
  <c r="Y427" i="3"/>
  <c r="Z427" i="3"/>
  <c r="AA427" i="3"/>
  <c r="AB427" i="3"/>
  <c r="AD427" i="3"/>
  <c r="AE427" i="3"/>
  <c r="AG427" i="3"/>
  <c r="A428" i="3"/>
  <c r="C428" i="3"/>
  <c r="E428" i="3"/>
  <c r="F428" i="3"/>
  <c r="G428" i="3"/>
  <c r="H428" i="3"/>
  <c r="I428" i="3"/>
  <c r="J428" i="3"/>
  <c r="AH428" i="3" s="1"/>
  <c r="K428" i="3"/>
  <c r="L428" i="3"/>
  <c r="M428" i="3"/>
  <c r="N428" i="3"/>
  <c r="O428" i="3"/>
  <c r="P428" i="3"/>
  <c r="Q428" i="3"/>
  <c r="R428" i="3"/>
  <c r="S428" i="3"/>
  <c r="T428" i="3"/>
  <c r="Y428" i="3"/>
  <c r="Z428" i="3"/>
  <c r="AA428" i="3"/>
  <c r="AB428" i="3"/>
  <c r="AD428" i="3"/>
  <c r="AE428" i="3"/>
  <c r="AG428" i="3"/>
  <c r="A429" i="3"/>
  <c r="C429" i="3"/>
  <c r="E429" i="3"/>
  <c r="F429" i="3"/>
  <c r="G429" i="3"/>
  <c r="H429" i="3"/>
  <c r="I429" i="3"/>
  <c r="J429" i="3"/>
  <c r="K429" i="3"/>
  <c r="L429" i="3"/>
  <c r="M429" i="3"/>
  <c r="N429" i="3"/>
  <c r="O429" i="3"/>
  <c r="P429" i="3"/>
  <c r="Q429" i="3"/>
  <c r="R429" i="3"/>
  <c r="S429" i="3"/>
  <c r="T429" i="3"/>
  <c r="Y429" i="3"/>
  <c r="Z429" i="3"/>
  <c r="AA429" i="3"/>
  <c r="AB429" i="3"/>
  <c r="AD429" i="3"/>
  <c r="AE429" i="3"/>
  <c r="AG429" i="3"/>
  <c r="AH429" i="3"/>
  <c r="A430" i="3"/>
  <c r="C430" i="3"/>
  <c r="E430" i="3"/>
  <c r="F430" i="3"/>
  <c r="G430" i="3"/>
  <c r="H430" i="3"/>
  <c r="I430" i="3"/>
  <c r="J430" i="3"/>
  <c r="AH430" i="3" s="1"/>
  <c r="K430" i="3"/>
  <c r="L430" i="3"/>
  <c r="M430" i="3"/>
  <c r="N430" i="3"/>
  <c r="O430" i="3"/>
  <c r="P430" i="3"/>
  <c r="Q430" i="3"/>
  <c r="R430" i="3"/>
  <c r="S430" i="3"/>
  <c r="T430" i="3"/>
  <c r="Y430" i="3"/>
  <c r="Z430" i="3"/>
  <c r="AA430" i="3"/>
  <c r="AB430" i="3"/>
  <c r="AD430" i="3"/>
  <c r="AE430" i="3"/>
  <c r="AG430" i="3"/>
  <c r="A431" i="3"/>
  <c r="C431" i="3"/>
  <c r="E431" i="3"/>
  <c r="F431" i="3"/>
  <c r="G431" i="3"/>
  <c r="H431" i="3"/>
  <c r="I431" i="3"/>
  <c r="J431" i="3"/>
  <c r="AH431" i="3" s="1"/>
  <c r="K431" i="3"/>
  <c r="L431" i="3"/>
  <c r="M431" i="3"/>
  <c r="N431" i="3"/>
  <c r="O431" i="3"/>
  <c r="P431" i="3"/>
  <c r="Q431" i="3"/>
  <c r="R431" i="3"/>
  <c r="S431" i="3"/>
  <c r="T431" i="3"/>
  <c r="Y431" i="3"/>
  <c r="Z431" i="3"/>
  <c r="AA431" i="3"/>
  <c r="AB431" i="3"/>
  <c r="AD431" i="3"/>
  <c r="AE431" i="3"/>
  <c r="AG431" i="3"/>
  <c r="A432" i="3"/>
  <c r="C432" i="3"/>
  <c r="E432" i="3"/>
  <c r="F432" i="3"/>
  <c r="G432" i="3"/>
  <c r="H432" i="3"/>
  <c r="I432" i="3"/>
  <c r="J432" i="3"/>
  <c r="K432" i="3"/>
  <c r="L432" i="3"/>
  <c r="M432" i="3"/>
  <c r="N432" i="3"/>
  <c r="O432" i="3"/>
  <c r="P432" i="3"/>
  <c r="Q432" i="3"/>
  <c r="R432" i="3"/>
  <c r="S432" i="3"/>
  <c r="T432" i="3"/>
  <c r="Y432" i="3"/>
  <c r="Z432" i="3"/>
  <c r="AA432" i="3"/>
  <c r="AB432" i="3"/>
  <c r="AD432" i="3"/>
  <c r="AE432" i="3"/>
  <c r="AG432" i="3"/>
  <c r="AH432" i="3"/>
  <c r="A433" i="3"/>
  <c r="C433" i="3"/>
  <c r="E433" i="3"/>
  <c r="F433" i="3"/>
  <c r="G433" i="3"/>
  <c r="H433" i="3"/>
  <c r="I433" i="3"/>
  <c r="J433" i="3"/>
  <c r="AH433" i="3" s="1"/>
  <c r="K433" i="3"/>
  <c r="L433" i="3"/>
  <c r="M433" i="3"/>
  <c r="N433" i="3"/>
  <c r="O433" i="3"/>
  <c r="P433" i="3"/>
  <c r="Q433" i="3"/>
  <c r="R433" i="3"/>
  <c r="S433" i="3"/>
  <c r="T433" i="3"/>
  <c r="Y433" i="3"/>
  <c r="Z433" i="3"/>
  <c r="AA433" i="3"/>
  <c r="AB433" i="3"/>
  <c r="AD433" i="3"/>
  <c r="AE433" i="3"/>
  <c r="AG433" i="3"/>
  <c r="A434" i="3"/>
  <c r="C434" i="3"/>
  <c r="E434" i="3"/>
  <c r="F434" i="3"/>
  <c r="G434" i="3"/>
  <c r="H434" i="3"/>
  <c r="I434" i="3"/>
  <c r="J434" i="3"/>
  <c r="AH434" i="3" s="1"/>
  <c r="K434" i="3"/>
  <c r="L434" i="3"/>
  <c r="M434" i="3"/>
  <c r="N434" i="3"/>
  <c r="O434" i="3"/>
  <c r="P434" i="3"/>
  <c r="Q434" i="3"/>
  <c r="R434" i="3"/>
  <c r="S434" i="3"/>
  <c r="T434" i="3"/>
  <c r="Y434" i="3"/>
  <c r="Z434" i="3"/>
  <c r="AA434" i="3"/>
  <c r="AB434" i="3"/>
  <c r="AD434" i="3"/>
  <c r="AE434" i="3"/>
  <c r="AG434" i="3"/>
  <c r="A435" i="3"/>
  <c r="C435" i="3"/>
  <c r="E435" i="3"/>
  <c r="F435" i="3"/>
  <c r="G435" i="3"/>
  <c r="H435" i="3"/>
  <c r="I435" i="3"/>
  <c r="J435" i="3"/>
  <c r="K435" i="3"/>
  <c r="L435" i="3"/>
  <c r="M435" i="3"/>
  <c r="N435" i="3"/>
  <c r="O435" i="3"/>
  <c r="P435" i="3"/>
  <c r="Q435" i="3"/>
  <c r="R435" i="3"/>
  <c r="S435" i="3"/>
  <c r="T435" i="3"/>
  <c r="Y435" i="3"/>
  <c r="Z435" i="3"/>
  <c r="AA435" i="3"/>
  <c r="AB435" i="3"/>
  <c r="AD435" i="3"/>
  <c r="AE435" i="3"/>
  <c r="AG435" i="3"/>
  <c r="AH435" i="3"/>
  <c r="A436" i="3"/>
  <c r="C436" i="3"/>
  <c r="E436" i="3"/>
  <c r="F436" i="3"/>
  <c r="G436" i="3"/>
  <c r="H436" i="3"/>
  <c r="I436" i="3"/>
  <c r="J436" i="3"/>
  <c r="AH436" i="3" s="1"/>
  <c r="K436" i="3"/>
  <c r="L436" i="3"/>
  <c r="M436" i="3"/>
  <c r="N436" i="3"/>
  <c r="O436" i="3"/>
  <c r="P436" i="3"/>
  <c r="Q436" i="3"/>
  <c r="R436" i="3"/>
  <c r="S436" i="3"/>
  <c r="T436" i="3"/>
  <c r="Y436" i="3"/>
  <c r="Z436" i="3"/>
  <c r="AA436" i="3"/>
  <c r="AB436" i="3"/>
  <c r="AD436" i="3"/>
  <c r="AE436" i="3"/>
  <c r="AG436" i="3"/>
  <c r="A437" i="3"/>
  <c r="C437" i="3"/>
  <c r="E437" i="3"/>
  <c r="F437" i="3"/>
  <c r="G437" i="3"/>
  <c r="H437" i="3"/>
  <c r="I437" i="3"/>
  <c r="J437" i="3"/>
  <c r="AH437" i="3" s="1"/>
  <c r="K437" i="3"/>
  <c r="L437" i="3"/>
  <c r="M437" i="3"/>
  <c r="N437" i="3"/>
  <c r="O437" i="3"/>
  <c r="P437" i="3"/>
  <c r="Q437" i="3"/>
  <c r="R437" i="3"/>
  <c r="S437" i="3"/>
  <c r="T437" i="3"/>
  <c r="Y437" i="3"/>
  <c r="Z437" i="3"/>
  <c r="AA437" i="3"/>
  <c r="AB437" i="3"/>
  <c r="AD437" i="3"/>
  <c r="AE437" i="3"/>
  <c r="AG437" i="3"/>
  <c r="A438" i="3"/>
  <c r="C438" i="3"/>
  <c r="E438" i="3"/>
  <c r="F438" i="3"/>
  <c r="G438" i="3"/>
  <c r="H438" i="3"/>
  <c r="I438" i="3"/>
  <c r="J438" i="3"/>
  <c r="AH438" i="3" s="1"/>
  <c r="K438" i="3"/>
  <c r="L438" i="3"/>
  <c r="M438" i="3"/>
  <c r="N438" i="3"/>
  <c r="O438" i="3"/>
  <c r="P438" i="3"/>
  <c r="Q438" i="3"/>
  <c r="R438" i="3"/>
  <c r="S438" i="3"/>
  <c r="T438" i="3"/>
  <c r="Y438" i="3"/>
  <c r="Z438" i="3"/>
  <c r="AA438" i="3"/>
  <c r="AB438" i="3"/>
  <c r="AD438" i="3"/>
  <c r="AE438" i="3"/>
  <c r="AG438" i="3"/>
  <c r="A439" i="3"/>
  <c r="C439" i="3"/>
  <c r="E439" i="3"/>
  <c r="F439" i="3"/>
  <c r="G439" i="3"/>
  <c r="H439" i="3"/>
  <c r="I439" i="3"/>
  <c r="J439" i="3"/>
  <c r="AH439" i="3" s="1"/>
  <c r="K439" i="3"/>
  <c r="L439" i="3"/>
  <c r="M439" i="3"/>
  <c r="N439" i="3"/>
  <c r="O439" i="3"/>
  <c r="P439" i="3"/>
  <c r="Q439" i="3"/>
  <c r="R439" i="3"/>
  <c r="S439" i="3"/>
  <c r="T439" i="3"/>
  <c r="Y439" i="3"/>
  <c r="Z439" i="3"/>
  <c r="AA439" i="3"/>
  <c r="AB439" i="3"/>
  <c r="AD439" i="3"/>
  <c r="AE439" i="3"/>
  <c r="AG439" i="3"/>
  <c r="A440" i="3"/>
  <c r="C440" i="3"/>
  <c r="E440" i="3"/>
  <c r="F440" i="3"/>
  <c r="G440" i="3"/>
  <c r="H440" i="3"/>
  <c r="I440" i="3"/>
  <c r="J440" i="3"/>
  <c r="AH440" i="3" s="1"/>
  <c r="K440" i="3"/>
  <c r="L440" i="3"/>
  <c r="M440" i="3"/>
  <c r="N440" i="3"/>
  <c r="O440" i="3"/>
  <c r="P440" i="3"/>
  <c r="Q440" i="3"/>
  <c r="R440" i="3"/>
  <c r="S440" i="3"/>
  <c r="T440" i="3"/>
  <c r="Y440" i="3"/>
  <c r="Z440" i="3"/>
  <c r="AA440" i="3"/>
  <c r="AB440" i="3"/>
  <c r="AD440" i="3"/>
  <c r="AE440" i="3"/>
  <c r="AG440" i="3"/>
  <c r="A441" i="3"/>
  <c r="C441" i="3"/>
  <c r="E441" i="3"/>
  <c r="F441" i="3"/>
  <c r="G441" i="3"/>
  <c r="H441" i="3"/>
  <c r="I441" i="3"/>
  <c r="J441" i="3"/>
  <c r="AH441" i="3" s="1"/>
  <c r="K441" i="3"/>
  <c r="L441" i="3"/>
  <c r="M441" i="3"/>
  <c r="N441" i="3"/>
  <c r="O441" i="3"/>
  <c r="P441" i="3"/>
  <c r="Q441" i="3"/>
  <c r="R441" i="3"/>
  <c r="S441" i="3"/>
  <c r="T441" i="3"/>
  <c r="Y441" i="3"/>
  <c r="Z441" i="3"/>
  <c r="AA441" i="3"/>
  <c r="AB441" i="3"/>
  <c r="AD441" i="3"/>
  <c r="AE441" i="3"/>
  <c r="AG441" i="3"/>
  <c r="A442" i="3"/>
  <c r="C442" i="3"/>
  <c r="E442" i="3"/>
  <c r="F442" i="3"/>
  <c r="G442" i="3"/>
  <c r="H442" i="3"/>
  <c r="I442" i="3"/>
  <c r="J442" i="3"/>
  <c r="AH442" i="3" s="1"/>
  <c r="K442" i="3"/>
  <c r="L442" i="3"/>
  <c r="M442" i="3"/>
  <c r="N442" i="3"/>
  <c r="O442" i="3"/>
  <c r="P442" i="3"/>
  <c r="Q442" i="3"/>
  <c r="R442" i="3"/>
  <c r="S442" i="3"/>
  <c r="T442" i="3"/>
  <c r="Y442" i="3"/>
  <c r="Z442" i="3"/>
  <c r="AA442" i="3"/>
  <c r="AB442" i="3"/>
  <c r="AD442" i="3"/>
  <c r="AE442" i="3"/>
  <c r="AG442" i="3"/>
  <c r="A443" i="3"/>
  <c r="C443" i="3"/>
  <c r="E443" i="3"/>
  <c r="F443" i="3"/>
  <c r="G443" i="3"/>
  <c r="H443" i="3"/>
  <c r="I443" i="3"/>
  <c r="J443" i="3"/>
  <c r="AH443" i="3" s="1"/>
  <c r="K443" i="3"/>
  <c r="L443" i="3"/>
  <c r="M443" i="3"/>
  <c r="N443" i="3"/>
  <c r="O443" i="3"/>
  <c r="P443" i="3"/>
  <c r="Q443" i="3"/>
  <c r="R443" i="3"/>
  <c r="S443" i="3"/>
  <c r="T443" i="3"/>
  <c r="Y443" i="3"/>
  <c r="Z443" i="3"/>
  <c r="AA443" i="3"/>
  <c r="AB443" i="3"/>
  <c r="AD443" i="3"/>
  <c r="AE443" i="3"/>
  <c r="AG443" i="3"/>
  <c r="A444" i="3"/>
  <c r="C444" i="3"/>
  <c r="E444" i="3"/>
  <c r="F444" i="3"/>
  <c r="G444" i="3"/>
  <c r="H444" i="3"/>
  <c r="I444" i="3"/>
  <c r="J444" i="3"/>
  <c r="AH444" i="3" s="1"/>
  <c r="K444" i="3"/>
  <c r="L444" i="3"/>
  <c r="M444" i="3"/>
  <c r="N444" i="3"/>
  <c r="O444" i="3"/>
  <c r="P444" i="3"/>
  <c r="Q444" i="3"/>
  <c r="R444" i="3"/>
  <c r="S444" i="3"/>
  <c r="T444" i="3"/>
  <c r="Y444" i="3"/>
  <c r="Z444" i="3"/>
  <c r="AA444" i="3"/>
  <c r="AB444" i="3"/>
  <c r="AD444" i="3"/>
  <c r="AE444" i="3"/>
  <c r="AG444" i="3"/>
  <c r="A445" i="3"/>
  <c r="C445" i="3"/>
  <c r="E445" i="3"/>
  <c r="F445" i="3"/>
  <c r="G445" i="3"/>
  <c r="H445" i="3"/>
  <c r="I445" i="3"/>
  <c r="J445" i="3"/>
  <c r="AH445" i="3" s="1"/>
  <c r="K445" i="3"/>
  <c r="L445" i="3"/>
  <c r="M445" i="3"/>
  <c r="N445" i="3"/>
  <c r="O445" i="3"/>
  <c r="P445" i="3"/>
  <c r="Q445" i="3"/>
  <c r="R445" i="3"/>
  <c r="S445" i="3"/>
  <c r="T445" i="3"/>
  <c r="Y445" i="3"/>
  <c r="Z445" i="3"/>
  <c r="AA445" i="3"/>
  <c r="AB445" i="3"/>
  <c r="AD445" i="3"/>
  <c r="AE445" i="3"/>
  <c r="AG445" i="3"/>
  <c r="A446" i="3"/>
  <c r="C446" i="3"/>
  <c r="E446" i="3"/>
  <c r="F446" i="3"/>
  <c r="G446" i="3"/>
  <c r="H446" i="3"/>
  <c r="I446" i="3"/>
  <c r="J446" i="3"/>
  <c r="AH446" i="3" s="1"/>
  <c r="K446" i="3"/>
  <c r="L446" i="3"/>
  <c r="M446" i="3"/>
  <c r="N446" i="3"/>
  <c r="O446" i="3"/>
  <c r="P446" i="3"/>
  <c r="Q446" i="3"/>
  <c r="R446" i="3"/>
  <c r="S446" i="3"/>
  <c r="T446" i="3"/>
  <c r="Y446" i="3"/>
  <c r="Z446" i="3"/>
  <c r="AA446" i="3"/>
  <c r="AB446" i="3"/>
  <c r="AD446" i="3"/>
  <c r="AE446" i="3"/>
  <c r="AG446" i="3"/>
  <c r="A447" i="3"/>
  <c r="C447" i="3"/>
  <c r="E447" i="3"/>
  <c r="F447" i="3"/>
  <c r="G447" i="3"/>
  <c r="H447" i="3"/>
  <c r="I447" i="3"/>
  <c r="J447" i="3"/>
  <c r="AH447" i="3" s="1"/>
  <c r="K447" i="3"/>
  <c r="L447" i="3"/>
  <c r="M447" i="3"/>
  <c r="N447" i="3"/>
  <c r="O447" i="3"/>
  <c r="P447" i="3"/>
  <c r="Q447" i="3"/>
  <c r="R447" i="3"/>
  <c r="S447" i="3"/>
  <c r="T447" i="3"/>
  <c r="Y447" i="3"/>
  <c r="Z447" i="3"/>
  <c r="AA447" i="3"/>
  <c r="AB447" i="3"/>
  <c r="AD447" i="3"/>
  <c r="AE447" i="3"/>
  <c r="AG447" i="3"/>
  <c r="A448" i="3"/>
  <c r="C448" i="3"/>
  <c r="E448" i="3"/>
  <c r="F448" i="3"/>
  <c r="G448" i="3"/>
  <c r="H448" i="3"/>
  <c r="I448" i="3"/>
  <c r="J448" i="3"/>
  <c r="K448" i="3"/>
  <c r="L448" i="3"/>
  <c r="M448" i="3"/>
  <c r="N448" i="3"/>
  <c r="O448" i="3"/>
  <c r="P448" i="3"/>
  <c r="Q448" i="3"/>
  <c r="R448" i="3"/>
  <c r="S448" i="3"/>
  <c r="T448" i="3"/>
  <c r="Y448" i="3"/>
  <c r="Z448" i="3"/>
  <c r="AA448" i="3"/>
  <c r="AB448" i="3"/>
  <c r="AD448" i="3"/>
  <c r="AE448" i="3"/>
  <c r="AG448" i="3"/>
  <c r="AH448" i="3"/>
  <c r="A449" i="3"/>
  <c r="C449" i="3"/>
  <c r="E449" i="3"/>
  <c r="F449" i="3"/>
  <c r="G449" i="3"/>
  <c r="H449" i="3"/>
  <c r="I449" i="3"/>
  <c r="J449" i="3"/>
  <c r="AH449" i="3" s="1"/>
  <c r="K449" i="3"/>
  <c r="L449" i="3"/>
  <c r="M449" i="3"/>
  <c r="N449" i="3"/>
  <c r="O449" i="3"/>
  <c r="P449" i="3"/>
  <c r="Q449" i="3"/>
  <c r="R449" i="3"/>
  <c r="S449" i="3"/>
  <c r="T449" i="3"/>
  <c r="Y449" i="3"/>
  <c r="Z449" i="3"/>
  <c r="AA449" i="3"/>
  <c r="AB449" i="3"/>
  <c r="AD449" i="3"/>
  <c r="AE449" i="3"/>
  <c r="AG449" i="3"/>
  <c r="A450" i="3"/>
  <c r="C450" i="3"/>
  <c r="E450" i="3"/>
  <c r="F450" i="3"/>
  <c r="G450" i="3"/>
  <c r="H450" i="3"/>
  <c r="I450" i="3"/>
  <c r="J450" i="3"/>
  <c r="AH450" i="3" s="1"/>
  <c r="K450" i="3"/>
  <c r="L450" i="3"/>
  <c r="M450" i="3"/>
  <c r="N450" i="3"/>
  <c r="O450" i="3"/>
  <c r="P450" i="3"/>
  <c r="Q450" i="3"/>
  <c r="R450" i="3"/>
  <c r="S450" i="3"/>
  <c r="T450" i="3"/>
  <c r="Y450" i="3"/>
  <c r="Z450" i="3"/>
  <c r="AA450" i="3"/>
  <c r="AB450" i="3"/>
  <c r="AD450" i="3"/>
  <c r="AE450" i="3"/>
  <c r="AG450" i="3"/>
  <c r="A451" i="3"/>
  <c r="C451" i="3"/>
  <c r="E451" i="3"/>
  <c r="F451" i="3"/>
  <c r="G451" i="3"/>
  <c r="H451" i="3"/>
  <c r="I451" i="3"/>
  <c r="J451" i="3"/>
  <c r="K451" i="3"/>
  <c r="L451" i="3"/>
  <c r="M451" i="3"/>
  <c r="N451" i="3"/>
  <c r="O451" i="3"/>
  <c r="P451" i="3"/>
  <c r="Q451" i="3"/>
  <c r="R451" i="3"/>
  <c r="S451" i="3"/>
  <c r="T451" i="3"/>
  <c r="Y451" i="3"/>
  <c r="Z451" i="3"/>
  <c r="AA451" i="3"/>
  <c r="AB451" i="3"/>
  <c r="AD451" i="3"/>
  <c r="AE451" i="3"/>
  <c r="AG451" i="3"/>
  <c r="AH451" i="3"/>
  <c r="A452" i="3"/>
  <c r="C452" i="3"/>
  <c r="E452" i="3"/>
  <c r="F452" i="3"/>
  <c r="G452" i="3"/>
  <c r="H452" i="3"/>
  <c r="I452" i="3"/>
  <c r="J452" i="3"/>
  <c r="AH452" i="3" s="1"/>
  <c r="K452" i="3"/>
  <c r="L452" i="3"/>
  <c r="M452" i="3"/>
  <c r="N452" i="3"/>
  <c r="O452" i="3"/>
  <c r="P452" i="3"/>
  <c r="Q452" i="3"/>
  <c r="R452" i="3"/>
  <c r="S452" i="3"/>
  <c r="T452" i="3"/>
  <c r="Y452" i="3"/>
  <c r="Z452" i="3"/>
  <c r="AA452" i="3"/>
  <c r="AB452" i="3"/>
  <c r="AD452" i="3"/>
  <c r="AE452" i="3"/>
  <c r="AG452" i="3"/>
  <c r="A453" i="3"/>
  <c r="C453" i="3"/>
  <c r="E453" i="3"/>
  <c r="F453" i="3"/>
  <c r="G453" i="3"/>
  <c r="H453" i="3"/>
  <c r="I453" i="3"/>
  <c r="J453" i="3"/>
  <c r="AH453" i="3" s="1"/>
  <c r="K453" i="3"/>
  <c r="L453" i="3"/>
  <c r="M453" i="3"/>
  <c r="N453" i="3"/>
  <c r="O453" i="3"/>
  <c r="P453" i="3"/>
  <c r="Q453" i="3"/>
  <c r="R453" i="3"/>
  <c r="S453" i="3"/>
  <c r="T453" i="3"/>
  <c r="Y453" i="3"/>
  <c r="Z453" i="3"/>
  <c r="AA453" i="3"/>
  <c r="AB453" i="3"/>
  <c r="AD453" i="3"/>
  <c r="AE453" i="3"/>
  <c r="AG453" i="3"/>
  <c r="A454" i="3"/>
  <c r="C454" i="3"/>
  <c r="E454" i="3"/>
  <c r="F454" i="3"/>
  <c r="G454" i="3"/>
  <c r="H454" i="3"/>
  <c r="I454" i="3"/>
  <c r="J454" i="3"/>
  <c r="K454" i="3"/>
  <c r="L454" i="3"/>
  <c r="M454" i="3"/>
  <c r="N454" i="3"/>
  <c r="O454" i="3"/>
  <c r="P454" i="3"/>
  <c r="Q454" i="3"/>
  <c r="R454" i="3"/>
  <c r="S454" i="3"/>
  <c r="T454" i="3"/>
  <c r="Y454" i="3"/>
  <c r="Z454" i="3"/>
  <c r="AA454" i="3"/>
  <c r="AB454" i="3"/>
  <c r="AD454" i="3"/>
  <c r="AE454" i="3"/>
  <c r="AG454" i="3"/>
  <c r="AH454" i="3"/>
  <c r="A455" i="3"/>
  <c r="C455" i="3"/>
  <c r="E455" i="3"/>
  <c r="F455" i="3"/>
  <c r="G455" i="3"/>
  <c r="H455" i="3"/>
  <c r="I455" i="3"/>
  <c r="J455" i="3"/>
  <c r="AH455" i="3" s="1"/>
  <c r="K455" i="3"/>
  <c r="L455" i="3"/>
  <c r="M455" i="3"/>
  <c r="N455" i="3"/>
  <c r="O455" i="3"/>
  <c r="P455" i="3"/>
  <c r="Q455" i="3"/>
  <c r="R455" i="3"/>
  <c r="S455" i="3"/>
  <c r="T455" i="3"/>
  <c r="Y455" i="3"/>
  <c r="Z455" i="3"/>
  <c r="AA455" i="3"/>
  <c r="AB455" i="3"/>
  <c r="AD455" i="3"/>
  <c r="AE455" i="3"/>
  <c r="AG455" i="3"/>
  <c r="A456" i="3"/>
  <c r="C456" i="3"/>
  <c r="E456" i="3"/>
  <c r="F456" i="3"/>
  <c r="G456" i="3"/>
  <c r="H456" i="3"/>
  <c r="I456" i="3"/>
  <c r="J456" i="3"/>
  <c r="AH456" i="3" s="1"/>
  <c r="K456" i="3"/>
  <c r="L456" i="3"/>
  <c r="M456" i="3"/>
  <c r="N456" i="3"/>
  <c r="O456" i="3"/>
  <c r="P456" i="3"/>
  <c r="Q456" i="3"/>
  <c r="R456" i="3"/>
  <c r="S456" i="3"/>
  <c r="T456" i="3"/>
  <c r="Y456" i="3"/>
  <c r="Z456" i="3"/>
  <c r="AA456" i="3"/>
  <c r="AB456" i="3"/>
  <c r="AD456" i="3"/>
  <c r="AE456" i="3"/>
  <c r="AG456" i="3"/>
  <c r="A457" i="3"/>
  <c r="C457" i="3"/>
  <c r="E457" i="3"/>
  <c r="F457" i="3"/>
  <c r="G457" i="3"/>
  <c r="H457" i="3"/>
  <c r="I457" i="3"/>
  <c r="J457" i="3"/>
  <c r="K457" i="3"/>
  <c r="L457" i="3"/>
  <c r="M457" i="3"/>
  <c r="N457" i="3"/>
  <c r="O457" i="3"/>
  <c r="P457" i="3"/>
  <c r="Q457" i="3"/>
  <c r="R457" i="3"/>
  <c r="S457" i="3"/>
  <c r="T457" i="3"/>
  <c r="Y457" i="3"/>
  <c r="Z457" i="3"/>
  <c r="AA457" i="3"/>
  <c r="AB457" i="3"/>
  <c r="AD457" i="3"/>
  <c r="AE457" i="3"/>
  <c r="AG457" i="3"/>
  <c r="AH457" i="3"/>
  <c r="A458" i="3"/>
  <c r="C458" i="3"/>
  <c r="E458" i="3"/>
  <c r="F458" i="3"/>
  <c r="G458" i="3"/>
  <c r="H458" i="3"/>
  <c r="I458" i="3"/>
  <c r="J458" i="3"/>
  <c r="AH458" i="3" s="1"/>
  <c r="K458" i="3"/>
  <c r="L458" i="3"/>
  <c r="M458" i="3"/>
  <c r="N458" i="3"/>
  <c r="O458" i="3"/>
  <c r="P458" i="3"/>
  <c r="Q458" i="3"/>
  <c r="R458" i="3"/>
  <c r="S458" i="3"/>
  <c r="T458" i="3"/>
  <c r="Y458" i="3"/>
  <c r="Z458" i="3"/>
  <c r="AA458" i="3"/>
  <c r="AB458" i="3"/>
  <c r="AD458" i="3"/>
  <c r="AE458" i="3"/>
  <c r="AG458" i="3"/>
  <c r="A459" i="3"/>
  <c r="C459" i="3"/>
  <c r="E459" i="3"/>
  <c r="F459" i="3"/>
  <c r="G459" i="3"/>
  <c r="H459" i="3"/>
  <c r="I459" i="3"/>
  <c r="J459" i="3"/>
  <c r="AH459" i="3" s="1"/>
  <c r="K459" i="3"/>
  <c r="L459" i="3"/>
  <c r="M459" i="3"/>
  <c r="N459" i="3"/>
  <c r="O459" i="3"/>
  <c r="P459" i="3"/>
  <c r="Q459" i="3"/>
  <c r="R459" i="3"/>
  <c r="S459" i="3"/>
  <c r="T459" i="3"/>
  <c r="Y459" i="3"/>
  <c r="Z459" i="3"/>
  <c r="AA459" i="3"/>
  <c r="AB459" i="3"/>
  <c r="AD459" i="3"/>
  <c r="AE459" i="3"/>
  <c r="AG459" i="3"/>
  <c r="A460" i="3"/>
  <c r="C460" i="3"/>
  <c r="E460" i="3"/>
  <c r="F460" i="3"/>
  <c r="G460" i="3"/>
  <c r="H460" i="3"/>
  <c r="I460" i="3"/>
  <c r="J460" i="3"/>
  <c r="AH460" i="3" s="1"/>
  <c r="K460" i="3"/>
  <c r="L460" i="3"/>
  <c r="M460" i="3"/>
  <c r="N460" i="3"/>
  <c r="O460" i="3"/>
  <c r="P460" i="3"/>
  <c r="Q460" i="3"/>
  <c r="R460" i="3"/>
  <c r="S460" i="3"/>
  <c r="T460" i="3"/>
  <c r="Y460" i="3"/>
  <c r="Z460" i="3"/>
  <c r="AA460" i="3"/>
  <c r="AB460" i="3"/>
  <c r="AD460" i="3"/>
  <c r="AE460" i="3"/>
  <c r="AG460" i="3"/>
  <c r="A461" i="3"/>
  <c r="C461" i="3"/>
  <c r="E461" i="3"/>
  <c r="F461" i="3"/>
  <c r="G461" i="3"/>
  <c r="H461" i="3"/>
  <c r="I461" i="3"/>
  <c r="J461" i="3"/>
  <c r="AH461" i="3" s="1"/>
  <c r="K461" i="3"/>
  <c r="L461" i="3"/>
  <c r="M461" i="3"/>
  <c r="N461" i="3"/>
  <c r="O461" i="3"/>
  <c r="P461" i="3"/>
  <c r="Q461" i="3"/>
  <c r="R461" i="3"/>
  <c r="S461" i="3"/>
  <c r="T461" i="3"/>
  <c r="Y461" i="3"/>
  <c r="Z461" i="3"/>
  <c r="AA461" i="3"/>
  <c r="AB461" i="3"/>
  <c r="AD461" i="3"/>
  <c r="AE461" i="3"/>
  <c r="AG461" i="3"/>
  <c r="A462" i="3"/>
  <c r="C462" i="3"/>
  <c r="E462" i="3"/>
  <c r="F462" i="3"/>
  <c r="G462" i="3"/>
  <c r="H462" i="3"/>
  <c r="I462" i="3"/>
  <c r="J462" i="3"/>
  <c r="AH462" i="3" s="1"/>
  <c r="K462" i="3"/>
  <c r="L462" i="3"/>
  <c r="M462" i="3"/>
  <c r="N462" i="3"/>
  <c r="O462" i="3"/>
  <c r="P462" i="3"/>
  <c r="Q462" i="3"/>
  <c r="R462" i="3"/>
  <c r="S462" i="3"/>
  <c r="T462" i="3"/>
  <c r="Y462" i="3"/>
  <c r="Z462" i="3"/>
  <c r="AA462" i="3"/>
  <c r="AB462" i="3"/>
  <c r="AD462" i="3"/>
  <c r="AE462" i="3"/>
  <c r="AG462" i="3"/>
  <c r="A463" i="3"/>
  <c r="C463" i="3"/>
  <c r="E463" i="3"/>
  <c r="F463" i="3"/>
  <c r="G463" i="3"/>
  <c r="H463" i="3"/>
  <c r="I463" i="3"/>
  <c r="J463" i="3"/>
  <c r="AH463" i="3" s="1"/>
  <c r="K463" i="3"/>
  <c r="L463" i="3"/>
  <c r="M463" i="3"/>
  <c r="N463" i="3"/>
  <c r="O463" i="3"/>
  <c r="P463" i="3"/>
  <c r="Q463" i="3"/>
  <c r="R463" i="3"/>
  <c r="S463" i="3"/>
  <c r="T463" i="3"/>
  <c r="Y463" i="3"/>
  <c r="Z463" i="3"/>
  <c r="AA463" i="3"/>
  <c r="AB463" i="3"/>
  <c r="AD463" i="3"/>
  <c r="AE463" i="3"/>
  <c r="AG463" i="3"/>
  <c r="A464" i="3"/>
  <c r="C464" i="3"/>
  <c r="E464" i="3"/>
  <c r="F464" i="3"/>
  <c r="G464" i="3"/>
  <c r="H464" i="3"/>
  <c r="I464" i="3"/>
  <c r="J464" i="3"/>
  <c r="AH464" i="3" s="1"/>
  <c r="K464" i="3"/>
  <c r="L464" i="3"/>
  <c r="M464" i="3"/>
  <c r="N464" i="3"/>
  <c r="O464" i="3"/>
  <c r="P464" i="3"/>
  <c r="Q464" i="3"/>
  <c r="R464" i="3"/>
  <c r="S464" i="3"/>
  <c r="T464" i="3"/>
  <c r="Y464" i="3"/>
  <c r="Z464" i="3"/>
  <c r="AA464" i="3"/>
  <c r="AB464" i="3"/>
  <c r="AD464" i="3"/>
  <c r="AE464" i="3"/>
  <c r="AG464" i="3"/>
  <c r="A465" i="3"/>
  <c r="C465" i="3"/>
  <c r="E465" i="3"/>
  <c r="F465" i="3"/>
  <c r="G465" i="3"/>
  <c r="H465" i="3"/>
  <c r="I465" i="3"/>
  <c r="J465" i="3"/>
  <c r="AH465" i="3" s="1"/>
  <c r="K465" i="3"/>
  <c r="L465" i="3"/>
  <c r="M465" i="3"/>
  <c r="N465" i="3"/>
  <c r="O465" i="3"/>
  <c r="P465" i="3"/>
  <c r="Q465" i="3"/>
  <c r="R465" i="3"/>
  <c r="S465" i="3"/>
  <c r="T465" i="3"/>
  <c r="Y465" i="3"/>
  <c r="Z465" i="3"/>
  <c r="AA465" i="3"/>
  <c r="AB465" i="3"/>
  <c r="AD465" i="3"/>
  <c r="AE465" i="3"/>
  <c r="AG465" i="3"/>
  <c r="A466" i="3"/>
  <c r="C466" i="3"/>
  <c r="E466" i="3"/>
  <c r="F466" i="3"/>
  <c r="G466" i="3"/>
  <c r="H466" i="3"/>
  <c r="I466" i="3"/>
  <c r="J466" i="3"/>
  <c r="AH466" i="3" s="1"/>
  <c r="K466" i="3"/>
  <c r="L466" i="3"/>
  <c r="M466" i="3"/>
  <c r="N466" i="3"/>
  <c r="O466" i="3"/>
  <c r="P466" i="3"/>
  <c r="Q466" i="3"/>
  <c r="R466" i="3"/>
  <c r="S466" i="3"/>
  <c r="T466" i="3"/>
  <c r="Y466" i="3"/>
  <c r="Z466" i="3"/>
  <c r="AA466" i="3"/>
  <c r="AB466" i="3"/>
  <c r="AD466" i="3"/>
  <c r="AE466" i="3"/>
  <c r="AG466" i="3"/>
  <c r="A467" i="3"/>
  <c r="C467" i="3"/>
  <c r="E467" i="3"/>
  <c r="F467" i="3"/>
  <c r="G467" i="3"/>
  <c r="H467" i="3"/>
  <c r="I467" i="3"/>
  <c r="J467" i="3"/>
  <c r="AH467" i="3" s="1"/>
  <c r="K467" i="3"/>
  <c r="L467" i="3"/>
  <c r="M467" i="3"/>
  <c r="N467" i="3"/>
  <c r="O467" i="3"/>
  <c r="P467" i="3"/>
  <c r="Q467" i="3"/>
  <c r="R467" i="3"/>
  <c r="S467" i="3"/>
  <c r="T467" i="3"/>
  <c r="Y467" i="3"/>
  <c r="Z467" i="3"/>
  <c r="AA467" i="3"/>
  <c r="AB467" i="3"/>
  <c r="AD467" i="3"/>
  <c r="AE467" i="3"/>
  <c r="AG467" i="3"/>
  <c r="A468" i="3"/>
  <c r="C468" i="3"/>
  <c r="E468" i="3"/>
  <c r="F468" i="3"/>
  <c r="G468" i="3"/>
  <c r="H468" i="3"/>
  <c r="I468" i="3"/>
  <c r="J468" i="3"/>
  <c r="AH468" i="3" s="1"/>
  <c r="K468" i="3"/>
  <c r="L468" i="3"/>
  <c r="M468" i="3"/>
  <c r="N468" i="3"/>
  <c r="O468" i="3"/>
  <c r="P468" i="3"/>
  <c r="Q468" i="3"/>
  <c r="R468" i="3"/>
  <c r="S468" i="3"/>
  <c r="T468" i="3"/>
  <c r="Y468" i="3"/>
  <c r="Z468" i="3"/>
  <c r="AA468" i="3"/>
  <c r="AB468" i="3"/>
  <c r="AD468" i="3"/>
  <c r="AE468" i="3"/>
  <c r="AG468" i="3"/>
  <c r="A469" i="3"/>
  <c r="C469" i="3"/>
  <c r="E469" i="3"/>
  <c r="F469" i="3"/>
  <c r="G469" i="3"/>
  <c r="H469" i="3"/>
  <c r="I469" i="3"/>
  <c r="J469" i="3"/>
  <c r="AH469" i="3" s="1"/>
  <c r="K469" i="3"/>
  <c r="L469" i="3"/>
  <c r="M469" i="3"/>
  <c r="N469" i="3"/>
  <c r="O469" i="3"/>
  <c r="P469" i="3"/>
  <c r="Q469" i="3"/>
  <c r="R469" i="3"/>
  <c r="S469" i="3"/>
  <c r="T469" i="3"/>
  <c r="Y469" i="3"/>
  <c r="Z469" i="3"/>
  <c r="AA469" i="3"/>
  <c r="AB469" i="3"/>
  <c r="AD469" i="3"/>
  <c r="AE469" i="3"/>
  <c r="AG469" i="3"/>
  <c r="A470" i="3"/>
  <c r="C470" i="3"/>
  <c r="E470" i="3"/>
  <c r="F470" i="3"/>
  <c r="G470" i="3"/>
  <c r="H470" i="3"/>
  <c r="I470" i="3"/>
  <c r="J470" i="3"/>
  <c r="K470" i="3"/>
  <c r="L470" i="3"/>
  <c r="M470" i="3"/>
  <c r="N470" i="3"/>
  <c r="O470" i="3"/>
  <c r="P470" i="3"/>
  <c r="Q470" i="3"/>
  <c r="R470" i="3"/>
  <c r="S470" i="3"/>
  <c r="T470" i="3"/>
  <c r="Y470" i="3"/>
  <c r="Z470" i="3"/>
  <c r="AA470" i="3"/>
  <c r="AB470" i="3"/>
  <c r="AD470" i="3"/>
  <c r="AE470" i="3"/>
  <c r="AG470" i="3"/>
  <c r="AH470" i="3"/>
  <c r="A471" i="3"/>
  <c r="C471" i="3"/>
  <c r="E471" i="3"/>
  <c r="F471" i="3"/>
  <c r="G471" i="3"/>
  <c r="H471" i="3"/>
  <c r="I471" i="3"/>
  <c r="J471" i="3"/>
  <c r="AH471" i="3" s="1"/>
  <c r="K471" i="3"/>
  <c r="L471" i="3"/>
  <c r="M471" i="3"/>
  <c r="N471" i="3"/>
  <c r="O471" i="3"/>
  <c r="P471" i="3"/>
  <c r="Q471" i="3"/>
  <c r="R471" i="3"/>
  <c r="S471" i="3"/>
  <c r="T471" i="3"/>
  <c r="Y471" i="3"/>
  <c r="Z471" i="3"/>
  <c r="AA471" i="3"/>
  <c r="AB471" i="3"/>
  <c r="AD471" i="3"/>
  <c r="AE471" i="3"/>
  <c r="AG471" i="3"/>
  <c r="A472" i="3"/>
  <c r="C472" i="3"/>
  <c r="E472" i="3"/>
  <c r="F472" i="3"/>
  <c r="G472" i="3"/>
  <c r="H472" i="3"/>
  <c r="I472" i="3"/>
  <c r="J472" i="3"/>
  <c r="AH472" i="3" s="1"/>
  <c r="K472" i="3"/>
  <c r="L472" i="3"/>
  <c r="M472" i="3"/>
  <c r="N472" i="3"/>
  <c r="O472" i="3"/>
  <c r="P472" i="3"/>
  <c r="Q472" i="3"/>
  <c r="R472" i="3"/>
  <c r="S472" i="3"/>
  <c r="T472" i="3"/>
  <c r="Y472" i="3"/>
  <c r="Z472" i="3"/>
  <c r="AA472" i="3"/>
  <c r="AB472" i="3"/>
  <c r="AD472" i="3"/>
  <c r="AE472" i="3"/>
  <c r="AG472" i="3"/>
  <c r="A473" i="3"/>
  <c r="C473" i="3"/>
  <c r="E473" i="3"/>
  <c r="F473" i="3"/>
  <c r="G473" i="3"/>
  <c r="H473" i="3"/>
  <c r="I473" i="3"/>
  <c r="J473" i="3"/>
  <c r="AH473" i="3" s="1"/>
  <c r="K473" i="3"/>
  <c r="L473" i="3"/>
  <c r="M473" i="3"/>
  <c r="N473" i="3"/>
  <c r="O473" i="3"/>
  <c r="P473" i="3"/>
  <c r="Q473" i="3"/>
  <c r="R473" i="3"/>
  <c r="S473" i="3"/>
  <c r="T473" i="3"/>
  <c r="Y473" i="3"/>
  <c r="Z473" i="3"/>
  <c r="AA473" i="3"/>
  <c r="AB473" i="3"/>
  <c r="AD473" i="3"/>
  <c r="AE473" i="3"/>
  <c r="AG473" i="3"/>
  <c r="A474" i="3"/>
  <c r="C474" i="3"/>
  <c r="E474" i="3"/>
  <c r="F474" i="3"/>
  <c r="G474" i="3"/>
  <c r="H474" i="3"/>
  <c r="I474" i="3"/>
  <c r="J474" i="3"/>
  <c r="AH474" i="3" s="1"/>
  <c r="K474" i="3"/>
  <c r="L474" i="3"/>
  <c r="M474" i="3"/>
  <c r="N474" i="3"/>
  <c r="O474" i="3"/>
  <c r="P474" i="3"/>
  <c r="Q474" i="3"/>
  <c r="R474" i="3"/>
  <c r="S474" i="3"/>
  <c r="T474" i="3"/>
  <c r="Y474" i="3"/>
  <c r="Z474" i="3"/>
  <c r="AA474" i="3"/>
  <c r="AB474" i="3"/>
  <c r="AD474" i="3"/>
  <c r="AE474" i="3"/>
  <c r="AG474" i="3"/>
  <c r="A475" i="3"/>
  <c r="C475" i="3"/>
  <c r="E475" i="3"/>
  <c r="F475" i="3"/>
  <c r="G475" i="3"/>
  <c r="H475" i="3"/>
  <c r="I475" i="3"/>
  <c r="J475" i="3"/>
  <c r="AH475" i="3" s="1"/>
  <c r="K475" i="3"/>
  <c r="L475" i="3"/>
  <c r="M475" i="3"/>
  <c r="N475" i="3"/>
  <c r="O475" i="3"/>
  <c r="P475" i="3"/>
  <c r="Q475" i="3"/>
  <c r="R475" i="3"/>
  <c r="S475" i="3"/>
  <c r="T475" i="3"/>
  <c r="Y475" i="3"/>
  <c r="Z475" i="3"/>
  <c r="AA475" i="3"/>
  <c r="AB475" i="3"/>
  <c r="AD475" i="3"/>
  <c r="AE475" i="3"/>
  <c r="AG475" i="3"/>
  <c r="A476" i="3"/>
  <c r="C476" i="3"/>
  <c r="E476" i="3"/>
  <c r="F476" i="3"/>
  <c r="G476" i="3"/>
  <c r="H476" i="3"/>
  <c r="I476" i="3"/>
  <c r="J476" i="3"/>
  <c r="AH476" i="3" s="1"/>
  <c r="K476" i="3"/>
  <c r="L476" i="3"/>
  <c r="M476" i="3"/>
  <c r="N476" i="3"/>
  <c r="O476" i="3"/>
  <c r="P476" i="3"/>
  <c r="Q476" i="3"/>
  <c r="R476" i="3"/>
  <c r="S476" i="3"/>
  <c r="T476" i="3"/>
  <c r="Y476" i="3"/>
  <c r="Z476" i="3"/>
  <c r="AA476" i="3"/>
  <c r="AB476" i="3"/>
  <c r="AD476" i="3"/>
  <c r="AE476" i="3"/>
  <c r="AG476" i="3"/>
  <c r="A477" i="3"/>
  <c r="C477" i="3"/>
  <c r="E477" i="3"/>
  <c r="F477" i="3"/>
  <c r="G477" i="3"/>
  <c r="H477" i="3"/>
  <c r="I477" i="3"/>
  <c r="J477" i="3"/>
  <c r="AH477" i="3" s="1"/>
  <c r="K477" i="3"/>
  <c r="L477" i="3"/>
  <c r="M477" i="3"/>
  <c r="N477" i="3"/>
  <c r="O477" i="3"/>
  <c r="P477" i="3"/>
  <c r="Q477" i="3"/>
  <c r="R477" i="3"/>
  <c r="S477" i="3"/>
  <c r="T477" i="3"/>
  <c r="Y477" i="3"/>
  <c r="Z477" i="3"/>
  <c r="AA477" i="3"/>
  <c r="AB477" i="3"/>
  <c r="AD477" i="3"/>
  <c r="AE477" i="3"/>
  <c r="AG477" i="3"/>
  <c r="A478" i="3"/>
  <c r="C478" i="3"/>
  <c r="E478" i="3"/>
  <c r="F478" i="3"/>
  <c r="G478" i="3"/>
  <c r="H478" i="3"/>
  <c r="I478" i="3"/>
  <c r="J478" i="3"/>
  <c r="AH478" i="3" s="1"/>
  <c r="K478" i="3"/>
  <c r="L478" i="3"/>
  <c r="M478" i="3"/>
  <c r="N478" i="3"/>
  <c r="O478" i="3"/>
  <c r="P478" i="3"/>
  <c r="Q478" i="3"/>
  <c r="R478" i="3"/>
  <c r="S478" i="3"/>
  <c r="T478" i="3"/>
  <c r="Y478" i="3"/>
  <c r="Z478" i="3"/>
  <c r="AA478" i="3"/>
  <c r="AB478" i="3"/>
  <c r="AD478" i="3"/>
  <c r="AE478" i="3"/>
  <c r="AG478" i="3"/>
  <c r="A479" i="3"/>
  <c r="C479" i="3"/>
  <c r="E479" i="3"/>
  <c r="F479" i="3"/>
  <c r="G479" i="3"/>
  <c r="H479" i="3"/>
  <c r="I479" i="3"/>
  <c r="J479" i="3"/>
  <c r="AH479" i="3" s="1"/>
  <c r="K479" i="3"/>
  <c r="L479" i="3"/>
  <c r="M479" i="3"/>
  <c r="N479" i="3"/>
  <c r="O479" i="3"/>
  <c r="P479" i="3"/>
  <c r="Q479" i="3"/>
  <c r="R479" i="3"/>
  <c r="S479" i="3"/>
  <c r="T479" i="3"/>
  <c r="Y479" i="3"/>
  <c r="Z479" i="3"/>
  <c r="AA479" i="3"/>
  <c r="AB479" i="3"/>
  <c r="AD479" i="3"/>
  <c r="AE479" i="3"/>
  <c r="AG479" i="3"/>
  <c r="A480" i="3"/>
  <c r="C480" i="3"/>
  <c r="E480" i="3"/>
  <c r="F480" i="3"/>
  <c r="G480" i="3"/>
  <c r="H480" i="3"/>
  <c r="I480" i="3"/>
  <c r="J480" i="3"/>
  <c r="AH480" i="3" s="1"/>
  <c r="K480" i="3"/>
  <c r="L480" i="3"/>
  <c r="M480" i="3"/>
  <c r="N480" i="3"/>
  <c r="O480" i="3"/>
  <c r="P480" i="3"/>
  <c r="Q480" i="3"/>
  <c r="R480" i="3"/>
  <c r="S480" i="3"/>
  <c r="T480" i="3"/>
  <c r="Y480" i="3"/>
  <c r="Z480" i="3"/>
  <c r="AA480" i="3"/>
  <c r="AB480" i="3"/>
  <c r="AD480" i="3"/>
  <c r="AE480" i="3"/>
  <c r="AG480" i="3"/>
  <c r="A481" i="3"/>
  <c r="C481" i="3"/>
  <c r="E481" i="3"/>
  <c r="F481" i="3"/>
  <c r="G481" i="3"/>
  <c r="H481" i="3"/>
  <c r="I481" i="3"/>
  <c r="J481" i="3"/>
  <c r="AH481" i="3" s="1"/>
  <c r="K481" i="3"/>
  <c r="L481" i="3"/>
  <c r="M481" i="3"/>
  <c r="N481" i="3"/>
  <c r="O481" i="3"/>
  <c r="P481" i="3"/>
  <c r="Q481" i="3"/>
  <c r="R481" i="3"/>
  <c r="S481" i="3"/>
  <c r="T481" i="3"/>
  <c r="Y481" i="3"/>
  <c r="Z481" i="3"/>
  <c r="AA481" i="3"/>
  <c r="AB481" i="3"/>
  <c r="AD481" i="3"/>
  <c r="AE481" i="3"/>
  <c r="AG481" i="3"/>
  <c r="A482" i="3"/>
  <c r="C482" i="3"/>
  <c r="E482" i="3"/>
  <c r="F482" i="3"/>
  <c r="G482" i="3"/>
  <c r="H482" i="3"/>
  <c r="I482" i="3"/>
  <c r="J482" i="3"/>
  <c r="AH482" i="3" s="1"/>
  <c r="K482" i="3"/>
  <c r="L482" i="3"/>
  <c r="M482" i="3"/>
  <c r="N482" i="3"/>
  <c r="O482" i="3"/>
  <c r="P482" i="3"/>
  <c r="Q482" i="3"/>
  <c r="R482" i="3"/>
  <c r="S482" i="3"/>
  <c r="T482" i="3"/>
  <c r="Y482" i="3"/>
  <c r="Z482" i="3"/>
  <c r="AA482" i="3"/>
  <c r="AB482" i="3"/>
  <c r="AD482" i="3"/>
  <c r="AE482" i="3"/>
  <c r="AG482" i="3"/>
  <c r="A483" i="3"/>
  <c r="C483" i="3"/>
  <c r="E483" i="3"/>
  <c r="F483" i="3"/>
  <c r="G483" i="3"/>
  <c r="H483" i="3"/>
  <c r="I483" i="3"/>
  <c r="J483" i="3"/>
  <c r="AH483" i="3" s="1"/>
  <c r="K483" i="3"/>
  <c r="L483" i="3"/>
  <c r="M483" i="3"/>
  <c r="N483" i="3"/>
  <c r="O483" i="3"/>
  <c r="P483" i="3"/>
  <c r="Q483" i="3"/>
  <c r="R483" i="3"/>
  <c r="S483" i="3"/>
  <c r="T483" i="3"/>
  <c r="Y483" i="3"/>
  <c r="Z483" i="3"/>
  <c r="AA483" i="3"/>
  <c r="AB483" i="3"/>
  <c r="AD483" i="3"/>
  <c r="AE483" i="3"/>
  <c r="AG483" i="3"/>
  <c r="A484" i="3"/>
  <c r="C484" i="3"/>
  <c r="E484" i="3"/>
  <c r="F484" i="3"/>
  <c r="G484" i="3"/>
  <c r="H484" i="3"/>
  <c r="I484" i="3"/>
  <c r="J484" i="3"/>
  <c r="AH484" i="3" s="1"/>
  <c r="K484" i="3"/>
  <c r="L484" i="3"/>
  <c r="M484" i="3"/>
  <c r="N484" i="3"/>
  <c r="O484" i="3"/>
  <c r="P484" i="3"/>
  <c r="Q484" i="3"/>
  <c r="R484" i="3"/>
  <c r="S484" i="3"/>
  <c r="T484" i="3"/>
  <c r="Y484" i="3"/>
  <c r="Z484" i="3"/>
  <c r="AA484" i="3"/>
  <c r="AB484" i="3"/>
  <c r="AD484" i="3"/>
  <c r="AE484" i="3"/>
  <c r="AG484" i="3"/>
  <c r="A485" i="3"/>
  <c r="C485" i="3"/>
  <c r="E485" i="3"/>
  <c r="F485" i="3"/>
  <c r="G485" i="3"/>
  <c r="H485" i="3"/>
  <c r="I485" i="3"/>
  <c r="J485" i="3"/>
  <c r="AH485" i="3" s="1"/>
  <c r="K485" i="3"/>
  <c r="L485" i="3"/>
  <c r="M485" i="3"/>
  <c r="N485" i="3"/>
  <c r="O485" i="3"/>
  <c r="P485" i="3"/>
  <c r="Q485" i="3"/>
  <c r="R485" i="3"/>
  <c r="S485" i="3"/>
  <c r="T485" i="3"/>
  <c r="Y485" i="3"/>
  <c r="Z485" i="3"/>
  <c r="AA485" i="3"/>
  <c r="AB485" i="3"/>
  <c r="AD485" i="3"/>
  <c r="AE485" i="3"/>
  <c r="AG485" i="3"/>
  <c r="A486" i="3"/>
  <c r="C486" i="3"/>
  <c r="E486" i="3"/>
  <c r="F486" i="3"/>
  <c r="G486" i="3"/>
  <c r="H486" i="3"/>
  <c r="I486" i="3"/>
  <c r="J486" i="3"/>
  <c r="AH486" i="3" s="1"/>
  <c r="K486" i="3"/>
  <c r="L486" i="3"/>
  <c r="M486" i="3"/>
  <c r="N486" i="3"/>
  <c r="O486" i="3"/>
  <c r="P486" i="3"/>
  <c r="Q486" i="3"/>
  <c r="R486" i="3"/>
  <c r="S486" i="3"/>
  <c r="T486" i="3"/>
  <c r="Y486" i="3"/>
  <c r="Z486" i="3"/>
  <c r="AA486" i="3"/>
  <c r="AB486" i="3"/>
  <c r="AD486" i="3"/>
  <c r="AE486" i="3"/>
  <c r="AG486" i="3"/>
  <c r="A487" i="3"/>
  <c r="C487" i="3"/>
  <c r="E487" i="3"/>
  <c r="F487" i="3"/>
  <c r="G487" i="3"/>
  <c r="H487" i="3"/>
  <c r="I487" i="3"/>
  <c r="J487" i="3"/>
  <c r="AH487" i="3" s="1"/>
  <c r="K487" i="3"/>
  <c r="L487" i="3"/>
  <c r="M487" i="3"/>
  <c r="N487" i="3"/>
  <c r="O487" i="3"/>
  <c r="P487" i="3"/>
  <c r="Q487" i="3"/>
  <c r="R487" i="3"/>
  <c r="S487" i="3"/>
  <c r="T487" i="3"/>
  <c r="Y487" i="3"/>
  <c r="Z487" i="3"/>
  <c r="AA487" i="3"/>
  <c r="AB487" i="3"/>
  <c r="AD487" i="3"/>
  <c r="AE487" i="3"/>
  <c r="AG487" i="3"/>
  <c r="A488" i="3"/>
  <c r="C488" i="3"/>
  <c r="E488" i="3"/>
  <c r="F488" i="3"/>
  <c r="G488" i="3"/>
  <c r="H488" i="3"/>
  <c r="I488" i="3"/>
  <c r="J488" i="3"/>
  <c r="AH488" i="3" s="1"/>
  <c r="K488" i="3"/>
  <c r="L488" i="3"/>
  <c r="M488" i="3"/>
  <c r="N488" i="3"/>
  <c r="O488" i="3"/>
  <c r="P488" i="3"/>
  <c r="Q488" i="3"/>
  <c r="R488" i="3"/>
  <c r="S488" i="3"/>
  <c r="T488" i="3"/>
  <c r="Y488" i="3"/>
  <c r="Z488" i="3"/>
  <c r="AA488" i="3"/>
  <c r="AB488" i="3"/>
  <c r="AD488" i="3"/>
  <c r="AE488" i="3"/>
  <c r="AG488" i="3"/>
  <c r="A489" i="3"/>
  <c r="C489" i="3"/>
  <c r="E489" i="3"/>
  <c r="F489" i="3"/>
  <c r="G489" i="3"/>
  <c r="H489" i="3"/>
  <c r="I489" i="3"/>
  <c r="J489" i="3"/>
  <c r="AH489" i="3" s="1"/>
  <c r="K489" i="3"/>
  <c r="L489" i="3"/>
  <c r="M489" i="3"/>
  <c r="N489" i="3"/>
  <c r="O489" i="3"/>
  <c r="P489" i="3"/>
  <c r="Q489" i="3"/>
  <c r="R489" i="3"/>
  <c r="S489" i="3"/>
  <c r="T489" i="3"/>
  <c r="Y489" i="3"/>
  <c r="Z489" i="3"/>
  <c r="AA489" i="3"/>
  <c r="AB489" i="3"/>
  <c r="AD489" i="3"/>
  <c r="AE489" i="3"/>
  <c r="AG489" i="3"/>
  <c r="A490" i="3"/>
  <c r="C490" i="3"/>
  <c r="E490" i="3"/>
  <c r="F490" i="3"/>
  <c r="G490" i="3"/>
  <c r="H490" i="3"/>
  <c r="I490" i="3"/>
  <c r="J490" i="3"/>
  <c r="K490" i="3"/>
  <c r="L490" i="3"/>
  <c r="M490" i="3"/>
  <c r="N490" i="3"/>
  <c r="O490" i="3"/>
  <c r="P490" i="3"/>
  <c r="Q490" i="3"/>
  <c r="R490" i="3"/>
  <c r="S490" i="3"/>
  <c r="T490" i="3"/>
  <c r="Y490" i="3"/>
  <c r="Z490" i="3"/>
  <c r="AA490" i="3"/>
  <c r="AB490" i="3"/>
  <c r="AD490" i="3"/>
  <c r="AE490" i="3"/>
  <c r="AG490" i="3"/>
  <c r="AH490" i="3"/>
  <c r="A491" i="3"/>
  <c r="C491" i="3"/>
  <c r="E491" i="3"/>
  <c r="F491" i="3"/>
  <c r="G491" i="3"/>
  <c r="H491" i="3"/>
  <c r="I491" i="3"/>
  <c r="J491" i="3"/>
  <c r="AH491" i="3" s="1"/>
  <c r="K491" i="3"/>
  <c r="L491" i="3"/>
  <c r="M491" i="3"/>
  <c r="N491" i="3"/>
  <c r="O491" i="3"/>
  <c r="P491" i="3"/>
  <c r="Q491" i="3"/>
  <c r="R491" i="3"/>
  <c r="S491" i="3"/>
  <c r="T491" i="3"/>
  <c r="Y491" i="3"/>
  <c r="Z491" i="3"/>
  <c r="AA491" i="3"/>
  <c r="AB491" i="3"/>
  <c r="AD491" i="3"/>
  <c r="AE491" i="3"/>
  <c r="AG491" i="3"/>
  <c r="A492" i="3"/>
  <c r="C492" i="3"/>
  <c r="E492" i="3"/>
  <c r="F492" i="3"/>
  <c r="G492" i="3"/>
  <c r="H492" i="3"/>
  <c r="I492" i="3"/>
  <c r="J492" i="3"/>
  <c r="AH492" i="3" s="1"/>
  <c r="K492" i="3"/>
  <c r="L492" i="3"/>
  <c r="M492" i="3"/>
  <c r="N492" i="3"/>
  <c r="O492" i="3"/>
  <c r="P492" i="3"/>
  <c r="Q492" i="3"/>
  <c r="R492" i="3"/>
  <c r="S492" i="3"/>
  <c r="T492" i="3"/>
  <c r="Y492" i="3"/>
  <c r="Z492" i="3"/>
  <c r="AA492" i="3"/>
  <c r="AB492" i="3"/>
  <c r="AD492" i="3"/>
  <c r="AE492" i="3"/>
  <c r="AG492" i="3"/>
  <c r="A493" i="3"/>
  <c r="C493" i="3"/>
  <c r="E493" i="3"/>
  <c r="F493" i="3"/>
  <c r="G493" i="3"/>
  <c r="H493" i="3"/>
  <c r="I493" i="3"/>
  <c r="J493" i="3"/>
  <c r="AH493" i="3" s="1"/>
  <c r="K493" i="3"/>
  <c r="L493" i="3"/>
  <c r="M493" i="3"/>
  <c r="N493" i="3"/>
  <c r="O493" i="3"/>
  <c r="P493" i="3"/>
  <c r="Q493" i="3"/>
  <c r="R493" i="3"/>
  <c r="S493" i="3"/>
  <c r="T493" i="3"/>
  <c r="Y493" i="3"/>
  <c r="Z493" i="3"/>
  <c r="AA493" i="3"/>
  <c r="AB493" i="3"/>
  <c r="AD493" i="3"/>
  <c r="AE493" i="3"/>
  <c r="AG493" i="3"/>
  <c r="A494" i="3"/>
  <c r="C494" i="3"/>
  <c r="E494" i="3"/>
  <c r="F494" i="3"/>
  <c r="G494" i="3"/>
  <c r="H494" i="3"/>
  <c r="I494" i="3"/>
  <c r="J494" i="3"/>
  <c r="AH494" i="3" s="1"/>
  <c r="K494" i="3"/>
  <c r="L494" i="3"/>
  <c r="M494" i="3"/>
  <c r="N494" i="3"/>
  <c r="O494" i="3"/>
  <c r="P494" i="3"/>
  <c r="Q494" i="3"/>
  <c r="R494" i="3"/>
  <c r="S494" i="3"/>
  <c r="T494" i="3"/>
  <c r="Y494" i="3"/>
  <c r="Z494" i="3"/>
  <c r="AA494" i="3"/>
  <c r="AB494" i="3"/>
  <c r="AD494" i="3"/>
  <c r="AE494" i="3"/>
  <c r="AG494" i="3"/>
  <c r="A495" i="3"/>
  <c r="C495" i="3"/>
  <c r="E495" i="3"/>
  <c r="F495" i="3"/>
  <c r="G495" i="3"/>
  <c r="H495" i="3"/>
  <c r="I495" i="3"/>
  <c r="J495" i="3"/>
  <c r="AH495" i="3" s="1"/>
  <c r="K495" i="3"/>
  <c r="L495" i="3"/>
  <c r="M495" i="3"/>
  <c r="N495" i="3"/>
  <c r="O495" i="3"/>
  <c r="P495" i="3"/>
  <c r="Q495" i="3"/>
  <c r="R495" i="3"/>
  <c r="S495" i="3"/>
  <c r="T495" i="3"/>
  <c r="Y495" i="3"/>
  <c r="Z495" i="3"/>
  <c r="AA495" i="3"/>
  <c r="AB495" i="3"/>
  <c r="AD495" i="3"/>
  <c r="AE495" i="3"/>
  <c r="AG495" i="3"/>
  <c r="A496" i="3"/>
  <c r="C496" i="3"/>
  <c r="E496" i="3"/>
  <c r="F496" i="3"/>
  <c r="G496" i="3"/>
  <c r="H496" i="3"/>
  <c r="I496" i="3"/>
  <c r="J496" i="3"/>
  <c r="AH496" i="3" s="1"/>
  <c r="K496" i="3"/>
  <c r="L496" i="3"/>
  <c r="M496" i="3"/>
  <c r="N496" i="3"/>
  <c r="O496" i="3"/>
  <c r="P496" i="3"/>
  <c r="Q496" i="3"/>
  <c r="R496" i="3"/>
  <c r="S496" i="3"/>
  <c r="T496" i="3"/>
  <c r="Y496" i="3"/>
  <c r="Z496" i="3"/>
  <c r="AA496" i="3"/>
  <c r="AB496" i="3"/>
  <c r="AD496" i="3"/>
  <c r="AE496" i="3"/>
  <c r="AG496" i="3"/>
  <c r="A497" i="3"/>
  <c r="C497" i="3"/>
  <c r="E497" i="3"/>
  <c r="F497" i="3"/>
  <c r="G497" i="3"/>
  <c r="H497" i="3"/>
  <c r="I497" i="3"/>
  <c r="J497" i="3"/>
  <c r="AH497" i="3" s="1"/>
  <c r="K497" i="3"/>
  <c r="L497" i="3"/>
  <c r="M497" i="3"/>
  <c r="N497" i="3"/>
  <c r="O497" i="3"/>
  <c r="P497" i="3"/>
  <c r="Q497" i="3"/>
  <c r="R497" i="3"/>
  <c r="S497" i="3"/>
  <c r="T497" i="3"/>
  <c r="Y497" i="3"/>
  <c r="Z497" i="3"/>
  <c r="AA497" i="3"/>
  <c r="AB497" i="3"/>
  <c r="AD497" i="3"/>
  <c r="AE497" i="3"/>
  <c r="AG497" i="3"/>
  <c r="A498" i="3"/>
  <c r="C498" i="3"/>
  <c r="E498" i="3"/>
  <c r="F498" i="3"/>
  <c r="G498" i="3"/>
  <c r="H498" i="3"/>
  <c r="I498" i="3"/>
  <c r="J498" i="3"/>
  <c r="AH498" i="3" s="1"/>
  <c r="K498" i="3"/>
  <c r="L498" i="3"/>
  <c r="M498" i="3"/>
  <c r="N498" i="3"/>
  <c r="O498" i="3"/>
  <c r="P498" i="3"/>
  <c r="Q498" i="3"/>
  <c r="R498" i="3"/>
  <c r="S498" i="3"/>
  <c r="T498" i="3"/>
  <c r="Y498" i="3"/>
  <c r="Z498" i="3"/>
  <c r="AA498" i="3"/>
  <c r="AB498" i="3"/>
  <c r="AD498" i="3"/>
  <c r="AE498" i="3"/>
  <c r="AG498" i="3"/>
  <c r="A499" i="3"/>
  <c r="C499" i="3"/>
  <c r="E499" i="3"/>
  <c r="F499" i="3"/>
  <c r="G499" i="3"/>
  <c r="H499" i="3"/>
  <c r="I499" i="3"/>
  <c r="J499" i="3"/>
  <c r="AH499" i="3" s="1"/>
  <c r="K499" i="3"/>
  <c r="L499" i="3"/>
  <c r="M499" i="3"/>
  <c r="N499" i="3"/>
  <c r="O499" i="3"/>
  <c r="P499" i="3"/>
  <c r="Q499" i="3"/>
  <c r="R499" i="3"/>
  <c r="S499" i="3"/>
  <c r="T499" i="3"/>
  <c r="Y499" i="3"/>
  <c r="Z499" i="3"/>
  <c r="AA499" i="3"/>
  <c r="AB499" i="3"/>
  <c r="AD499" i="3"/>
  <c r="AE499" i="3"/>
  <c r="AG499" i="3"/>
  <c r="A500" i="3"/>
  <c r="C500" i="3"/>
  <c r="E500" i="3"/>
  <c r="F500" i="3"/>
  <c r="G500" i="3"/>
  <c r="H500" i="3"/>
  <c r="I500" i="3"/>
  <c r="J500" i="3"/>
  <c r="AH500" i="3" s="1"/>
  <c r="K500" i="3"/>
  <c r="L500" i="3"/>
  <c r="M500" i="3"/>
  <c r="N500" i="3"/>
  <c r="O500" i="3"/>
  <c r="P500" i="3"/>
  <c r="Q500" i="3"/>
  <c r="R500" i="3"/>
  <c r="S500" i="3"/>
  <c r="T500" i="3"/>
  <c r="Y500" i="3"/>
  <c r="Z500" i="3"/>
  <c r="AA500" i="3"/>
  <c r="AB500" i="3"/>
  <c r="AD500" i="3"/>
  <c r="AE500" i="3"/>
  <c r="AG500" i="3"/>
  <c r="A501" i="3"/>
  <c r="C501" i="3"/>
  <c r="E501" i="3"/>
  <c r="F501" i="3"/>
  <c r="G501" i="3"/>
  <c r="H501" i="3"/>
  <c r="I501" i="3"/>
  <c r="J501" i="3"/>
  <c r="AH501" i="3" s="1"/>
  <c r="K501" i="3"/>
  <c r="L501" i="3"/>
  <c r="M501" i="3"/>
  <c r="N501" i="3"/>
  <c r="O501" i="3"/>
  <c r="P501" i="3"/>
  <c r="Q501" i="3"/>
  <c r="R501" i="3"/>
  <c r="S501" i="3"/>
  <c r="T501" i="3"/>
  <c r="Y501" i="3"/>
  <c r="Z501" i="3"/>
  <c r="AA501" i="3"/>
  <c r="AB501" i="3"/>
  <c r="AD501" i="3"/>
  <c r="AE501" i="3"/>
  <c r="AG501" i="3"/>
  <c r="A502" i="3"/>
  <c r="C502" i="3"/>
  <c r="E502" i="3"/>
  <c r="F502" i="3"/>
  <c r="G502" i="3"/>
  <c r="H502" i="3"/>
  <c r="I502" i="3"/>
  <c r="J502" i="3"/>
  <c r="AH502" i="3" s="1"/>
  <c r="K502" i="3"/>
  <c r="L502" i="3"/>
  <c r="M502" i="3"/>
  <c r="N502" i="3"/>
  <c r="O502" i="3"/>
  <c r="P502" i="3"/>
  <c r="Q502" i="3"/>
  <c r="R502" i="3"/>
  <c r="S502" i="3"/>
  <c r="T502" i="3"/>
  <c r="Y502" i="3"/>
  <c r="Z502" i="3"/>
  <c r="AA502" i="3"/>
  <c r="AB502" i="3"/>
  <c r="AD502" i="3"/>
  <c r="AE502" i="3"/>
  <c r="AG502" i="3"/>
  <c r="A503" i="3"/>
  <c r="C503" i="3"/>
  <c r="E503" i="3"/>
  <c r="F503" i="3"/>
  <c r="G503" i="3"/>
  <c r="H503" i="3"/>
  <c r="I503" i="3"/>
  <c r="J503" i="3"/>
  <c r="K503" i="3"/>
  <c r="L503" i="3"/>
  <c r="M503" i="3"/>
  <c r="N503" i="3"/>
  <c r="O503" i="3"/>
  <c r="P503" i="3"/>
  <c r="Q503" i="3"/>
  <c r="R503" i="3"/>
  <c r="S503" i="3"/>
  <c r="T503" i="3"/>
  <c r="Y503" i="3"/>
  <c r="Z503" i="3"/>
  <c r="AA503" i="3"/>
  <c r="AB503" i="3"/>
  <c r="AD503" i="3"/>
  <c r="AE503" i="3"/>
  <c r="AG503" i="3"/>
  <c r="AH503" i="3"/>
  <c r="A504" i="3"/>
  <c r="C504" i="3"/>
  <c r="E504" i="3"/>
  <c r="F504" i="3"/>
  <c r="G504" i="3"/>
  <c r="H504" i="3"/>
  <c r="I504" i="3"/>
  <c r="J504" i="3"/>
  <c r="AH504" i="3" s="1"/>
  <c r="K504" i="3"/>
  <c r="L504" i="3"/>
  <c r="M504" i="3"/>
  <c r="N504" i="3"/>
  <c r="O504" i="3"/>
  <c r="P504" i="3"/>
  <c r="Q504" i="3"/>
  <c r="R504" i="3"/>
  <c r="S504" i="3"/>
  <c r="T504" i="3"/>
  <c r="Y504" i="3"/>
  <c r="Z504" i="3"/>
  <c r="AA504" i="3"/>
  <c r="AB504" i="3"/>
  <c r="AD504" i="3"/>
  <c r="AE504" i="3"/>
  <c r="AG504" i="3"/>
  <c r="A505" i="3"/>
  <c r="C505" i="3"/>
  <c r="E505" i="3"/>
  <c r="F505" i="3"/>
  <c r="G505" i="3"/>
  <c r="H505" i="3"/>
  <c r="I505" i="3"/>
  <c r="J505" i="3"/>
  <c r="AH505" i="3" s="1"/>
  <c r="K505" i="3"/>
  <c r="L505" i="3"/>
  <c r="M505" i="3"/>
  <c r="N505" i="3"/>
  <c r="O505" i="3"/>
  <c r="P505" i="3"/>
  <c r="Q505" i="3"/>
  <c r="R505" i="3"/>
  <c r="S505" i="3"/>
  <c r="T505" i="3"/>
  <c r="Y505" i="3"/>
  <c r="Z505" i="3"/>
  <c r="AA505" i="3"/>
  <c r="AB505" i="3"/>
  <c r="AD505" i="3"/>
  <c r="AE505" i="3"/>
  <c r="AG505" i="3"/>
  <c r="A506" i="3"/>
  <c r="C506" i="3"/>
  <c r="E506" i="3"/>
  <c r="F506" i="3"/>
  <c r="G506" i="3"/>
  <c r="H506" i="3"/>
  <c r="I506" i="3"/>
  <c r="J506" i="3"/>
  <c r="K506" i="3"/>
  <c r="L506" i="3"/>
  <c r="M506" i="3"/>
  <c r="N506" i="3"/>
  <c r="O506" i="3"/>
  <c r="P506" i="3"/>
  <c r="Q506" i="3"/>
  <c r="R506" i="3"/>
  <c r="S506" i="3"/>
  <c r="T506" i="3"/>
  <c r="Y506" i="3"/>
  <c r="Z506" i="3"/>
  <c r="AA506" i="3"/>
  <c r="AB506" i="3"/>
  <c r="AD506" i="3"/>
  <c r="AE506" i="3"/>
  <c r="AG506" i="3"/>
  <c r="AH506" i="3"/>
  <c r="A507" i="3"/>
  <c r="C507" i="3"/>
  <c r="E507" i="3"/>
  <c r="F507" i="3"/>
  <c r="G507" i="3"/>
  <c r="H507" i="3"/>
  <c r="I507" i="3"/>
  <c r="J507" i="3"/>
  <c r="AH507" i="3" s="1"/>
  <c r="K507" i="3"/>
  <c r="L507" i="3"/>
  <c r="M507" i="3"/>
  <c r="N507" i="3"/>
  <c r="O507" i="3"/>
  <c r="P507" i="3"/>
  <c r="Q507" i="3"/>
  <c r="R507" i="3"/>
  <c r="S507" i="3"/>
  <c r="T507" i="3"/>
  <c r="Y507" i="3"/>
  <c r="Z507" i="3"/>
  <c r="AA507" i="3"/>
  <c r="AB507" i="3"/>
  <c r="AD507" i="3"/>
  <c r="AE507" i="3"/>
  <c r="AG507" i="3"/>
  <c r="A508" i="3"/>
  <c r="C508" i="3"/>
  <c r="E508" i="3"/>
  <c r="F508" i="3"/>
  <c r="G508" i="3"/>
  <c r="H508" i="3"/>
  <c r="I508" i="3"/>
  <c r="J508" i="3"/>
  <c r="AH508" i="3" s="1"/>
  <c r="K508" i="3"/>
  <c r="L508" i="3"/>
  <c r="M508" i="3"/>
  <c r="N508" i="3"/>
  <c r="O508" i="3"/>
  <c r="P508" i="3"/>
  <c r="Q508" i="3"/>
  <c r="R508" i="3"/>
  <c r="S508" i="3"/>
  <c r="T508" i="3"/>
  <c r="Y508" i="3"/>
  <c r="Z508" i="3"/>
  <c r="AA508" i="3"/>
  <c r="AB508" i="3"/>
  <c r="AD508" i="3"/>
  <c r="AE508" i="3"/>
  <c r="AG508" i="3"/>
  <c r="A509" i="3"/>
  <c r="C509" i="3"/>
  <c r="E509" i="3"/>
  <c r="F509" i="3"/>
  <c r="G509" i="3"/>
  <c r="H509" i="3"/>
  <c r="I509" i="3"/>
  <c r="J509" i="3"/>
  <c r="K509" i="3"/>
  <c r="L509" i="3"/>
  <c r="M509" i="3"/>
  <c r="N509" i="3"/>
  <c r="O509" i="3"/>
  <c r="P509" i="3"/>
  <c r="Q509" i="3"/>
  <c r="R509" i="3"/>
  <c r="S509" i="3"/>
  <c r="T509" i="3"/>
  <c r="Y509" i="3"/>
  <c r="Z509" i="3"/>
  <c r="AA509" i="3"/>
  <c r="AB509" i="3"/>
  <c r="AD509" i="3"/>
  <c r="AE509" i="3"/>
  <c r="AG509" i="3"/>
  <c r="AH509" i="3"/>
  <c r="A510" i="3"/>
  <c r="C510" i="3"/>
  <c r="E510" i="3"/>
  <c r="F510" i="3"/>
  <c r="G510" i="3"/>
  <c r="H510" i="3"/>
  <c r="I510" i="3"/>
  <c r="J510" i="3"/>
  <c r="AH510" i="3" s="1"/>
  <c r="K510" i="3"/>
  <c r="L510" i="3"/>
  <c r="M510" i="3"/>
  <c r="N510" i="3"/>
  <c r="O510" i="3"/>
  <c r="P510" i="3"/>
  <c r="Q510" i="3"/>
  <c r="R510" i="3"/>
  <c r="S510" i="3"/>
  <c r="T510" i="3"/>
  <c r="Y510" i="3"/>
  <c r="Z510" i="3"/>
  <c r="AA510" i="3"/>
  <c r="AB510" i="3"/>
  <c r="AD510" i="3"/>
  <c r="AE510" i="3"/>
  <c r="AG510" i="3"/>
  <c r="A511" i="3"/>
  <c r="C511" i="3"/>
  <c r="E511" i="3"/>
  <c r="F511" i="3"/>
  <c r="G511" i="3"/>
  <c r="H511" i="3"/>
  <c r="I511" i="3"/>
  <c r="J511" i="3"/>
  <c r="AH511" i="3" s="1"/>
  <c r="K511" i="3"/>
  <c r="L511" i="3"/>
  <c r="M511" i="3"/>
  <c r="N511" i="3"/>
  <c r="O511" i="3"/>
  <c r="P511" i="3"/>
  <c r="Q511" i="3"/>
  <c r="R511" i="3"/>
  <c r="S511" i="3"/>
  <c r="T511" i="3"/>
  <c r="Y511" i="3"/>
  <c r="Z511" i="3"/>
  <c r="AA511" i="3"/>
  <c r="AB511" i="3"/>
  <c r="AD511" i="3"/>
  <c r="AE511" i="3"/>
  <c r="AG511" i="3"/>
  <c r="A512" i="3"/>
  <c r="C512" i="3"/>
  <c r="E512" i="3"/>
  <c r="F512" i="3"/>
  <c r="G512" i="3"/>
  <c r="H512" i="3"/>
  <c r="I512" i="3"/>
  <c r="J512" i="3"/>
  <c r="K512" i="3"/>
  <c r="L512" i="3"/>
  <c r="M512" i="3"/>
  <c r="N512" i="3"/>
  <c r="O512" i="3"/>
  <c r="P512" i="3"/>
  <c r="Q512" i="3"/>
  <c r="R512" i="3"/>
  <c r="S512" i="3"/>
  <c r="T512" i="3"/>
  <c r="Y512" i="3"/>
  <c r="Z512" i="3"/>
  <c r="AA512" i="3"/>
  <c r="AB512" i="3"/>
  <c r="AD512" i="3"/>
  <c r="AE512" i="3"/>
  <c r="AG512" i="3"/>
  <c r="AH512" i="3"/>
  <c r="A513" i="3"/>
  <c r="C513" i="3"/>
  <c r="E513" i="3"/>
  <c r="F513" i="3"/>
  <c r="G513" i="3"/>
  <c r="H513" i="3"/>
  <c r="I513" i="3"/>
  <c r="J513" i="3"/>
  <c r="AH513" i="3" s="1"/>
  <c r="K513" i="3"/>
  <c r="L513" i="3"/>
  <c r="M513" i="3"/>
  <c r="N513" i="3"/>
  <c r="O513" i="3"/>
  <c r="P513" i="3"/>
  <c r="Q513" i="3"/>
  <c r="R513" i="3"/>
  <c r="S513" i="3"/>
  <c r="T513" i="3"/>
  <c r="Y513" i="3"/>
  <c r="Z513" i="3"/>
  <c r="AA513" i="3"/>
  <c r="AB513" i="3"/>
  <c r="AD513" i="3"/>
  <c r="AE513" i="3"/>
  <c r="AG513" i="3"/>
  <c r="A514" i="3"/>
  <c r="C514" i="3"/>
  <c r="E514" i="3"/>
  <c r="F514" i="3"/>
  <c r="G514" i="3"/>
  <c r="H514" i="3"/>
  <c r="I514" i="3"/>
  <c r="J514" i="3"/>
  <c r="AH514" i="3" s="1"/>
  <c r="K514" i="3"/>
  <c r="L514" i="3"/>
  <c r="M514" i="3"/>
  <c r="N514" i="3"/>
  <c r="O514" i="3"/>
  <c r="P514" i="3"/>
  <c r="Q514" i="3"/>
  <c r="R514" i="3"/>
  <c r="S514" i="3"/>
  <c r="T514" i="3"/>
  <c r="Y514" i="3"/>
  <c r="Z514" i="3"/>
  <c r="AA514" i="3"/>
  <c r="AB514" i="3"/>
  <c r="AD514" i="3"/>
  <c r="AE514" i="3"/>
  <c r="AG514" i="3"/>
  <c r="A515" i="3"/>
  <c r="C515" i="3"/>
  <c r="E515" i="3"/>
  <c r="F515" i="3"/>
  <c r="G515" i="3"/>
  <c r="H515" i="3"/>
  <c r="I515" i="3"/>
  <c r="J515" i="3"/>
  <c r="AH515" i="3" s="1"/>
  <c r="K515" i="3"/>
  <c r="L515" i="3"/>
  <c r="M515" i="3"/>
  <c r="N515" i="3"/>
  <c r="O515" i="3"/>
  <c r="P515" i="3"/>
  <c r="Q515" i="3"/>
  <c r="R515" i="3"/>
  <c r="S515" i="3"/>
  <c r="T515" i="3"/>
  <c r="Y515" i="3"/>
  <c r="Z515" i="3"/>
  <c r="AA515" i="3"/>
  <c r="AB515" i="3"/>
  <c r="AD515" i="3"/>
  <c r="AE515" i="3"/>
  <c r="AG515" i="3"/>
  <c r="A516" i="3"/>
  <c r="C516" i="3"/>
  <c r="E516" i="3"/>
  <c r="F516" i="3"/>
  <c r="G516" i="3"/>
  <c r="H516" i="3"/>
  <c r="I516" i="3"/>
  <c r="J516" i="3"/>
  <c r="AH516" i="3" s="1"/>
  <c r="K516" i="3"/>
  <c r="L516" i="3"/>
  <c r="M516" i="3"/>
  <c r="N516" i="3"/>
  <c r="O516" i="3"/>
  <c r="P516" i="3"/>
  <c r="Q516" i="3"/>
  <c r="R516" i="3"/>
  <c r="S516" i="3"/>
  <c r="T516" i="3"/>
  <c r="Y516" i="3"/>
  <c r="Z516" i="3"/>
  <c r="AA516" i="3"/>
  <c r="AB516" i="3"/>
  <c r="AD516" i="3"/>
  <c r="AE516" i="3"/>
  <c r="AG516" i="3"/>
  <c r="A517" i="3"/>
  <c r="C517" i="3"/>
  <c r="E517" i="3"/>
  <c r="F517" i="3"/>
  <c r="G517" i="3"/>
  <c r="H517" i="3"/>
  <c r="I517" i="3"/>
  <c r="J517" i="3"/>
  <c r="AH517" i="3" s="1"/>
  <c r="K517" i="3"/>
  <c r="L517" i="3"/>
  <c r="M517" i="3"/>
  <c r="N517" i="3"/>
  <c r="O517" i="3"/>
  <c r="P517" i="3"/>
  <c r="Q517" i="3"/>
  <c r="R517" i="3"/>
  <c r="S517" i="3"/>
  <c r="T517" i="3"/>
  <c r="Y517" i="3"/>
  <c r="Z517" i="3"/>
  <c r="AA517" i="3"/>
  <c r="AB517" i="3"/>
  <c r="AD517" i="3"/>
  <c r="AE517" i="3"/>
  <c r="AG517" i="3"/>
  <c r="A518" i="3"/>
  <c r="C518" i="3"/>
  <c r="E518" i="3"/>
  <c r="F518" i="3"/>
  <c r="G518" i="3"/>
  <c r="H518" i="3"/>
  <c r="I518" i="3"/>
  <c r="J518" i="3"/>
  <c r="AH518" i="3" s="1"/>
  <c r="K518" i="3"/>
  <c r="L518" i="3"/>
  <c r="M518" i="3"/>
  <c r="N518" i="3"/>
  <c r="O518" i="3"/>
  <c r="P518" i="3"/>
  <c r="Q518" i="3"/>
  <c r="R518" i="3"/>
  <c r="S518" i="3"/>
  <c r="T518" i="3"/>
  <c r="Y518" i="3"/>
  <c r="Z518" i="3"/>
  <c r="AA518" i="3"/>
  <c r="AB518" i="3"/>
  <c r="AD518" i="3"/>
  <c r="AE518" i="3"/>
  <c r="AG518" i="3"/>
  <c r="A519" i="3"/>
  <c r="C519" i="3"/>
  <c r="E519" i="3"/>
  <c r="F519" i="3"/>
  <c r="G519" i="3"/>
  <c r="H519" i="3"/>
  <c r="I519" i="3"/>
  <c r="J519" i="3"/>
  <c r="AH519" i="3" s="1"/>
  <c r="K519" i="3"/>
  <c r="L519" i="3"/>
  <c r="M519" i="3"/>
  <c r="N519" i="3"/>
  <c r="O519" i="3"/>
  <c r="P519" i="3"/>
  <c r="Q519" i="3"/>
  <c r="R519" i="3"/>
  <c r="S519" i="3"/>
  <c r="T519" i="3"/>
  <c r="Y519" i="3"/>
  <c r="Z519" i="3"/>
  <c r="AA519" i="3"/>
  <c r="AB519" i="3"/>
  <c r="AD519" i="3"/>
  <c r="AE519" i="3"/>
  <c r="AG519" i="3"/>
  <c r="A520" i="3"/>
  <c r="C520" i="3"/>
  <c r="E520" i="3"/>
  <c r="F520" i="3"/>
  <c r="G520" i="3"/>
  <c r="H520" i="3"/>
  <c r="I520" i="3"/>
  <c r="J520" i="3"/>
  <c r="AH520" i="3" s="1"/>
  <c r="K520" i="3"/>
  <c r="L520" i="3"/>
  <c r="M520" i="3"/>
  <c r="N520" i="3"/>
  <c r="O520" i="3"/>
  <c r="P520" i="3"/>
  <c r="Q520" i="3"/>
  <c r="R520" i="3"/>
  <c r="S520" i="3"/>
  <c r="T520" i="3"/>
  <c r="Y520" i="3"/>
  <c r="Z520" i="3"/>
  <c r="AA520" i="3"/>
  <c r="AB520" i="3"/>
  <c r="AD520" i="3"/>
  <c r="AE520" i="3"/>
  <c r="AG520" i="3"/>
  <c r="A521" i="3"/>
  <c r="C521" i="3"/>
  <c r="E521" i="3"/>
  <c r="F521" i="3"/>
  <c r="G521" i="3"/>
  <c r="H521" i="3"/>
  <c r="I521" i="3"/>
  <c r="J521" i="3"/>
  <c r="AH521" i="3" s="1"/>
  <c r="K521" i="3"/>
  <c r="L521" i="3"/>
  <c r="M521" i="3"/>
  <c r="N521" i="3"/>
  <c r="O521" i="3"/>
  <c r="P521" i="3"/>
  <c r="Q521" i="3"/>
  <c r="R521" i="3"/>
  <c r="S521" i="3"/>
  <c r="T521" i="3"/>
  <c r="Y521" i="3"/>
  <c r="Z521" i="3"/>
  <c r="AA521" i="3"/>
  <c r="AB521" i="3"/>
  <c r="AD521" i="3"/>
  <c r="AE521" i="3"/>
  <c r="AG521" i="3"/>
  <c r="A522" i="3"/>
  <c r="C522" i="3"/>
  <c r="E522" i="3"/>
  <c r="F522" i="3"/>
  <c r="G522" i="3"/>
  <c r="H522" i="3"/>
  <c r="I522" i="3"/>
  <c r="J522" i="3"/>
  <c r="AH522" i="3" s="1"/>
  <c r="K522" i="3"/>
  <c r="L522" i="3"/>
  <c r="M522" i="3"/>
  <c r="N522" i="3"/>
  <c r="O522" i="3"/>
  <c r="P522" i="3"/>
  <c r="Q522" i="3"/>
  <c r="R522" i="3"/>
  <c r="S522" i="3"/>
  <c r="T522" i="3"/>
  <c r="Y522" i="3"/>
  <c r="Z522" i="3"/>
  <c r="AA522" i="3"/>
  <c r="AB522" i="3"/>
  <c r="AD522" i="3"/>
  <c r="AE522" i="3"/>
  <c r="AG522" i="3"/>
  <c r="A523" i="3"/>
  <c r="C523" i="3"/>
  <c r="E523" i="3"/>
  <c r="F523" i="3"/>
  <c r="G523" i="3"/>
  <c r="H523" i="3"/>
  <c r="I523" i="3"/>
  <c r="J523" i="3"/>
  <c r="AH523" i="3" s="1"/>
  <c r="K523" i="3"/>
  <c r="L523" i="3"/>
  <c r="M523" i="3"/>
  <c r="N523" i="3"/>
  <c r="O523" i="3"/>
  <c r="P523" i="3"/>
  <c r="Q523" i="3"/>
  <c r="R523" i="3"/>
  <c r="S523" i="3"/>
  <c r="T523" i="3"/>
  <c r="Y523" i="3"/>
  <c r="Z523" i="3"/>
  <c r="AA523" i="3"/>
  <c r="AB523" i="3"/>
  <c r="AD523" i="3"/>
  <c r="AE523" i="3"/>
  <c r="AG523" i="3"/>
  <c r="A524" i="3"/>
  <c r="C524" i="3"/>
  <c r="E524" i="3"/>
  <c r="F524" i="3"/>
  <c r="G524" i="3"/>
  <c r="H524" i="3"/>
  <c r="I524" i="3"/>
  <c r="J524" i="3"/>
  <c r="AH524" i="3" s="1"/>
  <c r="K524" i="3"/>
  <c r="L524" i="3"/>
  <c r="M524" i="3"/>
  <c r="N524" i="3"/>
  <c r="O524" i="3"/>
  <c r="P524" i="3"/>
  <c r="Q524" i="3"/>
  <c r="R524" i="3"/>
  <c r="S524" i="3"/>
  <c r="T524" i="3"/>
  <c r="Y524" i="3"/>
  <c r="Z524" i="3"/>
  <c r="AA524" i="3"/>
  <c r="AB524" i="3"/>
  <c r="AD524" i="3"/>
  <c r="AE524" i="3"/>
  <c r="AG524" i="3"/>
  <c r="A525" i="3"/>
  <c r="C525" i="3"/>
  <c r="E525" i="3"/>
  <c r="F525" i="3"/>
  <c r="G525" i="3"/>
  <c r="H525" i="3"/>
  <c r="I525" i="3"/>
  <c r="J525" i="3"/>
  <c r="K525" i="3"/>
  <c r="L525" i="3"/>
  <c r="M525" i="3"/>
  <c r="N525" i="3"/>
  <c r="O525" i="3"/>
  <c r="P525" i="3"/>
  <c r="Q525" i="3"/>
  <c r="R525" i="3"/>
  <c r="S525" i="3"/>
  <c r="T525" i="3"/>
  <c r="Y525" i="3"/>
  <c r="Z525" i="3"/>
  <c r="AA525" i="3"/>
  <c r="AB525" i="3"/>
  <c r="AD525" i="3"/>
  <c r="AE525" i="3"/>
  <c r="AG525" i="3"/>
  <c r="AH525" i="3"/>
  <c r="A526" i="3"/>
  <c r="C526" i="3"/>
  <c r="E526" i="3"/>
  <c r="F526" i="3"/>
  <c r="G526" i="3"/>
  <c r="H526" i="3"/>
  <c r="I526" i="3"/>
  <c r="J526" i="3"/>
  <c r="AH526" i="3" s="1"/>
  <c r="K526" i="3"/>
  <c r="L526" i="3"/>
  <c r="M526" i="3"/>
  <c r="N526" i="3"/>
  <c r="O526" i="3"/>
  <c r="P526" i="3"/>
  <c r="Q526" i="3"/>
  <c r="R526" i="3"/>
  <c r="S526" i="3"/>
  <c r="T526" i="3"/>
  <c r="Y526" i="3"/>
  <c r="Z526" i="3"/>
  <c r="AA526" i="3"/>
  <c r="AB526" i="3"/>
  <c r="AD526" i="3"/>
  <c r="AE526" i="3"/>
  <c r="AG526" i="3"/>
  <c r="A527" i="3"/>
  <c r="C527" i="3"/>
  <c r="E527" i="3"/>
  <c r="F527" i="3"/>
  <c r="G527" i="3"/>
  <c r="H527" i="3"/>
  <c r="I527" i="3"/>
  <c r="J527" i="3"/>
  <c r="AH527" i="3" s="1"/>
  <c r="K527" i="3"/>
  <c r="L527" i="3"/>
  <c r="M527" i="3"/>
  <c r="N527" i="3"/>
  <c r="O527" i="3"/>
  <c r="P527" i="3"/>
  <c r="Q527" i="3"/>
  <c r="R527" i="3"/>
  <c r="S527" i="3"/>
  <c r="T527" i="3"/>
  <c r="Y527" i="3"/>
  <c r="Z527" i="3"/>
  <c r="AA527" i="3"/>
  <c r="AB527" i="3"/>
  <c r="AD527" i="3"/>
  <c r="AE527" i="3"/>
  <c r="AG527" i="3"/>
  <c r="A528" i="3"/>
  <c r="C528" i="3"/>
  <c r="E528" i="3"/>
  <c r="F528" i="3"/>
  <c r="G528" i="3"/>
  <c r="H528" i="3"/>
  <c r="I528" i="3"/>
  <c r="J528" i="3"/>
  <c r="K528" i="3"/>
  <c r="L528" i="3"/>
  <c r="M528" i="3"/>
  <c r="N528" i="3"/>
  <c r="O528" i="3"/>
  <c r="P528" i="3"/>
  <c r="Q528" i="3"/>
  <c r="R528" i="3"/>
  <c r="S528" i="3"/>
  <c r="T528" i="3"/>
  <c r="Y528" i="3"/>
  <c r="Z528" i="3"/>
  <c r="AA528" i="3"/>
  <c r="AB528" i="3"/>
  <c r="AD528" i="3"/>
  <c r="AE528" i="3"/>
  <c r="AG528" i="3"/>
  <c r="AH528" i="3"/>
  <c r="A529" i="3"/>
  <c r="C529" i="3"/>
  <c r="E529" i="3"/>
  <c r="F529" i="3"/>
  <c r="G529" i="3"/>
  <c r="H529" i="3"/>
  <c r="I529" i="3"/>
  <c r="J529" i="3"/>
  <c r="AH529" i="3" s="1"/>
  <c r="K529" i="3"/>
  <c r="L529" i="3"/>
  <c r="M529" i="3"/>
  <c r="N529" i="3"/>
  <c r="O529" i="3"/>
  <c r="P529" i="3"/>
  <c r="Q529" i="3"/>
  <c r="R529" i="3"/>
  <c r="S529" i="3"/>
  <c r="T529" i="3"/>
  <c r="Y529" i="3"/>
  <c r="Z529" i="3"/>
  <c r="AA529" i="3"/>
  <c r="AB529" i="3"/>
  <c r="AD529" i="3"/>
  <c r="AE529" i="3"/>
  <c r="AG529" i="3"/>
  <c r="A530" i="3"/>
  <c r="C530" i="3"/>
  <c r="E530" i="3"/>
  <c r="F530" i="3"/>
  <c r="G530" i="3"/>
  <c r="H530" i="3"/>
  <c r="I530" i="3"/>
  <c r="J530" i="3"/>
  <c r="AH530" i="3" s="1"/>
  <c r="K530" i="3"/>
  <c r="L530" i="3"/>
  <c r="M530" i="3"/>
  <c r="N530" i="3"/>
  <c r="O530" i="3"/>
  <c r="P530" i="3"/>
  <c r="Q530" i="3"/>
  <c r="R530" i="3"/>
  <c r="S530" i="3"/>
  <c r="T530" i="3"/>
  <c r="Y530" i="3"/>
  <c r="Z530" i="3"/>
  <c r="AA530" i="3"/>
  <c r="AB530" i="3"/>
  <c r="AD530" i="3"/>
  <c r="AE530" i="3"/>
  <c r="AG530" i="3"/>
  <c r="A531" i="3"/>
  <c r="C531" i="3"/>
  <c r="E531" i="3"/>
  <c r="F531" i="3"/>
  <c r="G531" i="3"/>
  <c r="H531" i="3"/>
  <c r="I531" i="3"/>
  <c r="J531" i="3"/>
  <c r="K531" i="3"/>
  <c r="L531" i="3"/>
  <c r="M531" i="3"/>
  <c r="N531" i="3"/>
  <c r="O531" i="3"/>
  <c r="P531" i="3"/>
  <c r="Q531" i="3"/>
  <c r="R531" i="3"/>
  <c r="S531" i="3"/>
  <c r="T531" i="3"/>
  <c r="Y531" i="3"/>
  <c r="Z531" i="3"/>
  <c r="AA531" i="3"/>
  <c r="AB531" i="3"/>
  <c r="AD531" i="3"/>
  <c r="AE531" i="3"/>
  <c r="AG531" i="3"/>
  <c r="AH531" i="3"/>
  <c r="A532" i="3"/>
  <c r="C532" i="3"/>
  <c r="E532" i="3"/>
  <c r="F532" i="3"/>
  <c r="G532" i="3"/>
  <c r="H532" i="3"/>
  <c r="I532" i="3"/>
  <c r="J532" i="3"/>
  <c r="AH532" i="3" s="1"/>
  <c r="K532" i="3"/>
  <c r="L532" i="3"/>
  <c r="M532" i="3"/>
  <c r="N532" i="3"/>
  <c r="O532" i="3"/>
  <c r="P532" i="3"/>
  <c r="Q532" i="3"/>
  <c r="R532" i="3"/>
  <c r="S532" i="3"/>
  <c r="T532" i="3"/>
  <c r="Y532" i="3"/>
  <c r="Z532" i="3"/>
  <c r="AA532" i="3"/>
  <c r="AB532" i="3"/>
  <c r="AD532" i="3"/>
  <c r="AE532" i="3"/>
  <c r="AG532" i="3"/>
  <c r="A533" i="3"/>
  <c r="C533" i="3"/>
  <c r="E533" i="3"/>
  <c r="F533" i="3"/>
  <c r="G533" i="3"/>
  <c r="H533" i="3"/>
  <c r="I533" i="3"/>
  <c r="J533" i="3"/>
  <c r="AH533" i="3" s="1"/>
  <c r="K533" i="3"/>
  <c r="L533" i="3"/>
  <c r="M533" i="3"/>
  <c r="N533" i="3"/>
  <c r="O533" i="3"/>
  <c r="P533" i="3"/>
  <c r="Q533" i="3"/>
  <c r="R533" i="3"/>
  <c r="S533" i="3"/>
  <c r="T533" i="3"/>
  <c r="Y533" i="3"/>
  <c r="Z533" i="3"/>
  <c r="AA533" i="3"/>
  <c r="AB533" i="3"/>
  <c r="AD533" i="3"/>
  <c r="AE533" i="3"/>
  <c r="AG533" i="3"/>
  <c r="A534" i="3"/>
  <c r="C534" i="3"/>
  <c r="E534" i="3"/>
  <c r="F534" i="3"/>
  <c r="G534" i="3"/>
  <c r="H534" i="3"/>
  <c r="I534" i="3"/>
  <c r="J534" i="3"/>
  <c r="K534" i="3"/>
  <c r="L534" i="3"/>
  <c r="M534" i="3"/>
  <c r="N534" i="3"/>
  <c r="O534" i="3"/>
  <c r="P534" i="3"/>
  <c r="Q534" i="3"/>
  <c r="R534" i="3"/>
  <c r="S534" i="3"/>
  <c r="T534" i="3"/>
  <c r="Y534" i="3"/>
  <c r="Z534" i="3"/>
  <c r="AA534" i="3"/>
  <c r="AB534" i="3"/>
  <c r="AD534" i="3"/>
  <c r="AE534" i="3"/>
  <c r="AG534" i="3"/>
  <c r="AH534" i="3"/>
  <c r="A535" i="3"/>
  <c r="C535" i="3"/>
  <c r="E535" i="3"/>
  <c r="F535" i="3"/>
  <c r="G535" i="3"/>
  <c r="H535" i="3"/>
  <c r="I535" i="3"/>
  <c r="J535" i="3"/>
  <c r="AH535" i="3" s="1"/>
  <c r="K535" i="3"/>
  <c r="L535" i="3"/>
  <c r="M535" i="3"/>
  <c r="N535" i="3"/>
  <c r="O535" i="3"/>
  <c r="P535" i="3"/>
  <c r="Q535" i="3"/>
  <c r="R535" i="3"/>
  <c r="S535" i="3"/>
  <c r="T535" i="3"/>
  <c r="Y535" i="3"/>
  <c r="Z535" i="3"/>
  <c r="AA535" i="3"/>
  <c r="AB535" i="3"/>
  <c r="AD535" i="3"/>
  <c r="AE535" i="3"/>
  <c r="AG535" i="3"/>
  <c r="A536" i="3"/>
  <c r="C536" i="3"/>
  <c r="E536" i="3"/>
  <c r="F536" i="3"/>
  <c r="G536" i="3"/>
  <c r="H536" i="3"/>
  <c r="I536" i="3"/>
  <c r="J536" i="3"/>
  <c r="AH536" i="3" s="1"/>
  <c r="K536" i="3"/>
  <c r="L536" i="3"/>
  <c r="M536" i="3"/>
  <c r="N536" i="3"/>
  <c r="O536" i="3"/>
  <c r="P536" i="3"/>
  <c r="Q536" i="3"/>
  <c r="R536" i="3"/>
  <c r="S536" i="3"/>
  <c r="T536" i="3"/>
  <c r="Y536" i="3"/>
  <c r="Z536" i="3"/>
  <c r="AA536" i="3"/>
  <c r="AB536" i="3"/>
  <c r="AD536" i="3"/>
  <c r="AE536" i="3"/>
  <c r="AG536" i="3"/>
  <c r="A537" i="3"/>
  <c r="C537" i="3"/>
  <c r="E537" i="3"/>
  <c r="F537" i="3"/>
  <c r="G537" i="3"/>
  <c r="H537" i="3"/>
  <c r="I537" i="3"/>
  <c r="J537" i="3"/>
  <c r="AH537" i="3" s="1"/>
  <c r="K537" i="3"/>
  <c r="L537" i="3"/>
  <c r="M537" i="3"/>
  <c r="N537" i="3"/>
  <c r="O537" i="3"/>
  <c r="P537" i="3"/>
  <c r="Q537" i="3"/>
  <c r="R537" i="3"/>
  <c r="S537" i="3"/>
  <c r="T537" i="3"/>
  <c r="Y537" i="3"/>
  <c r="Z537" i="3"/>
  <c r="AA537" i="3"/>
  <c r="AB537" i="3"/>
  <c r="AD537" i="3"/>
  <c r="AE537" i="3"/>
  <c r="AG537" i="3"/>
  <c r="A538" i="3"/>
  <c r="C538" i="3"/>
  <c r="E538" i="3"/>
  <c r="F538" i="3"/>
  <c r="G538" i="3"/>
  <c r="H538" i="3"/>
  <c r="I538" i="3"/>
  <c r="J538" i="3"/>
  <c r="AH538" i="3" s="1"/>
  <c r="K538" i="3"/>
  <c r="L538" i="3"/>
  <c r="M538" i="3"/>
  <c r="N538" i="3"/>
  <c r="O538" i="3"/>
  <c r="P538" i="3"/>
  <c r="Q538" i="3"/>
  <c r="R538" i="3"/>
  <c r="S538" i="3"/>
  <c r="T538" i="3"/>
  <c r="Y538" i="3"/>
  <c r="Z538" i="3"/>
  <c r="AA538" i="3"/>
  <c r="AB538" i="3"/>
  <c r="AD538" i="3"/>
  <c r="AE538" i="3"/>
  <c r="AG538" i="3"/>
  <c r="A539" i="3"/>
  <c r="C539" i="3"/>
  <c r="E539" i="3"/>
  <c r="F539" i="3"/>
  <c r="G539" i="3"/>
  <c r="H539" i="3"/>
  <c r="I539" i="3"/>
  <c r="J539" i="3"/>
  <c r="AH539" i="3" s="1"/>
  <c r="K539" i="3"/>
  <c r="L539" i="3"/>
  <c r="M539" i="3"/>
  <c r="N539" i="3"/>
  <c r="O539" i="3"/>
  <c r="P539" i="3"/>
  <c r="Q539" i="3"/>
  <c r="R539" i="3"/>
  <c r="S539" i="3"/>
  <c r="T539" i="3"/>
  <c r="Y539" i="3"/>
  <c r="Z539" i="3"/>
  <c r="AA539" i="3"/>
  <c r="AB539" i="3"/>
  <c r="AD539" i="3"/>
  <c r="AE539" i="3"/>
  <c r="AG539" i="3"/>
  <c r="A540" i="3"/>
  <c r="C540" i="3"/>
  <c r="E540" i="3"/>
  <c r="F540" i="3"/>
  <c r="G540" i="3"/>
  <c r="H540" i="3"/>
  <c r="I540" i="3"/>
  <c r="J540" i="3"/>
  <c r="AH540" i="3" s="1"/>
  <c r="K540" i="3"/>
  <c r="L540" i="3"/>
  <c r="M540" i="3"/>
  <c r="N540" i="3"/>
  <c r="O540" i="3"/>
  <c r="P540" i="3"/>
  <c r="Q540" i="3"/>
  <c r="R540" i="3"/>
  <c r="S540" i="3"/>
  <c r="T540" i="3"/>
  <c r="Y540" i="3"/>
  <c r="Z540" i="3"/>
  <c r="AA540" i="3"/>
  <c r="AB540" i="3"/>
  <c r="AD540" i="3"/>
  <c r="AE540" i="3"/>
  <c r="AG540" i="3"/>
  <c r="A541" i="3"/>
  <c r="C541" i="3"/>
  <c r="E541" i="3"/>
  <c r="F541" i="3"/>
  <c r="G541" i="3"/>
  <c r="H541" i="3"/>
  <c r="I541" i="3"/>
  <c r="J541" i="3"/>
  <c r="AH541" i="3" s="1"/>
  <c r="K541" i="3"/>
  <c r="L541" i="3"/>
  <c r="M541" i="3"/>
  <c r="N541" i="3"/>
  <c r="O541" i="3"/>
  <c r="P541" i="3"/>
  <c r="Q541" i="3"/>
  <c r="R541" i="3"/>
  <c r="S541" i="3"/>
  <c r="T541" i="3"/>
  <c r="Y541" i="3"/>
  <c r="Z541" i="3"/>
  <c r="AA541" i="3"/>
  <c r="AB541" i="3"/>
  <c r="AD541" i="3"/>
  <c r="AE541" i="3"/>
  <c r="AG541" i="3"/>
  <c r="A542" i="3"/>
  <c r="C542" i="3"/>
  <c r="E542" i="3"/>
  <c r="F542" i="3"/>
  <c r="G542" i="3"/>
  <c r="H542" i="3"/>
  <c r="I542" i="3"/>
  <c r="J542" i="3"/>
  <c r="AH542" i="3" s="1"/>
  <c r="K542" i="3"/>
  <c r="L542" i="3"/>
  <c r="M542" i="3"/>
  <c r="N542" i="3"/>
  <c r="O542" i="3"/>
  <c r="P542" i="3"/>
  <c r="Q542" i="3"/>
  <c r="R542" i="3"/>
  <c r="S542" i="3"/>
  <c r="T542" i="3"/>
  <c r="Y542" i="3"/>
  <c r="Z542" i="3"/>
  <c r="AA542" i="3"/>
  <c r="AB542" i="3"/>
  <c r="AD542" i="3"/>
  <c r="AE542" i="3"/>
  <c r="AG542" i="3"/>
  <c r="A543" i="3"/>
  <c r="C543" i="3"/>
  <c r="E543" i="3"/>
  <c r="F543" i="3"/>
  <c r="G543" i="3"/>
  <c r="H543" i="3"/>
  <c r="I543" i="3"/>
  <c r="J543" i="3"/>
  <c r="AH543" i="3" s="1"/>
  <c r="K543" i="3"/>
  <c r="L543" i="3"/>
  <c r="M543" i="3"/>
  <c r="N543" i="3"/>
  <c r="O543" i="3"/>
  <c r="P543" i="3"/>
  <c r="Q543" i="3"/>
  <c r="R543" i="3"/>
  <c r="S543" i="3"/>
  <c r="T543" i="3"/>
  <c r="Y543" i="3"/>
  <c r="Z543" i="3"/>
  <c r="AA543" i="3"/>
  <c r="AB543" i="3"/>
  <c r="AD543" i="3"/>
  <c r="AE543" i="3"/>
  <c r="AG543" i="3"/>
  <c r="A544" i="3"/>
  <c r="C544" i="3"/>
  <c r="E544" i="3"/>
  <c r="F544" i="3"/>
  <c r="G544" i="3"/>
  <c r="H544" i="3"/>
  <c r="I544" i="3"/>
  <c r="J544" i="3"/>
  <c r="AH544" i="3" s="1"/>
  <c r="K544" i="3"/>
  <c r="L544" i="3"/>
  <c r="M544" i="3"/>
  <c r="N544" i="3"/>
  <c r="O544" i="3"/>
  <c r="P544" i="3"/>
  <c r="Q544" i="3"/>
  <c r="R544" i="3"/>
  <c r="S544" i="3"/>
  <c r="T544" i="3"/>
  <c r="Y544" i="3"/>
  <c r="Z544" i="3"/>
  <c r="AA544" i="3"/>
  <c r="AB544" i="3"/>
  <c r="AD544" i="3"/>
  <c r="AE544" i="3"/>
  <c r="AG544" i="3"/>
  <c r="A545" i="3"/>
  <c r="C545" i="3"/>
  <c r="E545" i="3"/>
  <c r="F545" i="3"/>
  <c r="G545" i="3"/>
  <c r="H545" i="3"/>
  <c r="I545" i="3"/>
  <c r="J545" i="3"/>
  <c r="AH545" i="3" s="1"/>
  <c r="K545" i="3"/>
  <c r="L545" i="3"/>
  <c r="M545" i="3"/>
  <c r="N545" i="3"/>
  <c r="O545" i="3"/>
  <c r="P545" i="3"/>
  <c r="Q545" i="3"/>
  <c r="R545" i="3"/>
  <c r="S545" i="3"/>
  <c r="T545" i="3"/>
  <c r="Y545" i="3"/>
  <c r="Z545" i="3"/>
  <c r="AA545" i="3"/>
  <c r="AB545" i="3"/>
  <c r="AD545" i="3"/>
  <c r="AE545" i="3"/>
  <c r="AG545" i="3"/>
  <c r="A546" i="3"/>
  <c r="C546" i="3"/>
  <c r="E546" i="3"/>
  <c r="F546" i="3"/>
  <c r="G546" i="3"/>
  <c r="H546" i="3"/>
  <c r="I546" i="3"/>
  <c r="J546" i="3"/>
  <c r="AH546" i="3" s="1"/>
  <c r="K546" i="3"/>
  <c r="L546" i="3"/>
  <c r="M546" i="3"/>
  <c r="N546" i="3"/>
  <c r="O546" i="3"/>
  <c r="P546" i="3"/>
  <c r="Q546" i="3"/>
  <c r="R546" i="3"/>
  <c r="S546" i="3"/>
  <c r="T546" i="3"/>
  <c r="Y546" i="3"/>
  <c r="Z546" i="3"/>
  <c r="AA546" i="3"/>
  <c r="AB546" i="3"/>
  <c r="AD546" i="3"/>
  <c r="AE546" i="3"/>
  <c r="AG546" i="3"/>
  <c r="A547" i="3"/>
  <c r="C547" i="3"/>
  <c r="E547" i="3"/>
  <c r="F547" i="3"/>
  <c r="G547" i="3"/>
  <c r="H547" i="3"/>
  <c r="I547" i="3"/>
  <c r="J547" i="3"/>
  <c r="K547" i="3"/>
  <c r="L547" i="3"/>
  <c r="M547" i="3"/>
  <c r="N547" i="3"/>
  <c r="O547" i="3"/>
  <c r="P547" i="3"/>
  <c r="Q547" i="3"/>
  <c r="R547" i="3"/>
  <c r="S547" i="3"/>
  <c r="T547" i="3"/>
  <c r="Y547" i="3"/>
  <c r="Z547" i="3"/>
  <c r="AA547" i="3"/>
  <c r="AB547" i="3"/>
  <c r="AD547" i="3"/>
  <c r="AE547" i="3"/>
  <c r="AG547" i="3"/>
  <c r="AH547" i="3"/>
  <c r="A548" i="3"/>
  <c r="C548" i="3"/>
  <c r="E548" i="3"/>
  <c r="F548" i="3"/>
  <c r="G548" i="3"/>
  <c r="H548" i="3"/>
  <c r="I548" i="3"/>
  <c r="J548" i="3"/>
  <c r="AH548" i="3" s="1"/>
  <c r="K548" i="3"/>
  <c r="L548" i="3"/>
  <c r="M548" i="3"/>
  <c r="N548" i="3"/>
  <c r="O548" i="3"/>
  <c r="P548" i="3"/>
  <c r="Q548" i="3"/>
  <c r="R548" i="3"/>
  <c r="S548" i="3"/>
  <c r="T548" i="3"/>
  <c r="Y548" i="3"/>
  <c r="Z548" i="3"/>
  <c r="AA548" i="3"/>
  <c r="AB548" i="3"/>
  <c r="AD548" i="3"/>
  <c r="AE548" i="3"/>
  <c r="AG548" i="3"/>
  <c r="A549" i="3"/>
  <c r="C549" i="3"/>
  <c r="E549" i="3"/>
  <c r="F549" i="3"/>
  <c r="G549" i="3"/>
  <c r="H549" i="3"/>
  <c r="I549" i="3"/>
  <c r="J549" i="3"/>
  <c r="AH549" i="3" s="1"/>
  <c r="K549" i="3"/>
  <c r="L549" i="3"/>
  <c r="M549" i="3"/>
  <c r="N549" i="3"/>
  <c r="O549" i="3"/>
  <c r="P549" i="3"/>
  <c r="Q549" i="3"/>
  <c r="R549" i="3"/>
  <c r="S549" i="3"/>
  <c r="T549" i="3"/>
  <c r="Y549" i="3"/>
  <c r="Z549" i="3"/>
  <c r="AA549" i="3"/>
  <c r="AB549" i="3"/>
  <c r="AD549" i="3"/>
  <c r="AE549" i="3"/>
  <c r="AG549" i="3"/>
  <c r="A550" i="3"/>
  <c r="C550" i="3"/>
  <c r="E550" i="3"/>
  <c r="F550" i="3"/>
  <c r="G550" i="3"/>
  <c r="H550" i="3"/>
  <c r="I550" i="3"/>
  <c r="J550" i="3"/>
  <c r="K550" i="3"/>
  <c r="L550" i="3"/>
  <c r="M550" i="3"/>
  <c r="N550" i="3"/>
  <c r="O550" i="3"/>
  <c r="P550" i="3"/>
  <c r="Q550" i="3"/>
  <c r="R550" i="3"/>
  <c r="S550" i="3"/>
  <c r="T550" i="3"/>
  <c r="Y550" i="3"/>
  <c r="Z550" i="3"/>
  <c r="AA550" i="3"/>
  <c r="AB550" i="3"/>
  <c r="AD550" i="3"/>
  <c r="AE550" i="3"/>
  <c r="AG550" i="3"/>
  <c r="AH550" i="3"/>
  <c r="A551" i="3"/>
  <c r="C551" i="3"/>
  <c r="E551" i="3"/>
  <c r="F551" i="3"/>
  <c r="G551" i="3"/>
  <c r="H551" i="3"/>
  <c r="I551" i="3"/>
  <c r="J551" i="3"/>
  <c r="AH551" i="3" s="1"/>
  <c r="K551" i="3"/>
  <c r="L551" i="3"/>
  <c r="M551" i="3"/>
  <c r="N551" i="3"/>
  <c r="O551" i="3"/>
  <c r="P551" i="3"/>
  <c r="Q551" i="3"/>
  <c r="R551" i="3"/>
  <c r="S551" i="3"/>
  <c r="T551" i="3"/>
  <c r="Y551" i="3"/>
  <c r="Z551" i="3"/>
  <c r="AA551" i="3"/>
  <c r="AB551" i="3"/>
  <c r="AD551" i="3"/>
  <c r="AE551" i="3"/>
  <c r="AG551" i="3"/>
  <c r="A552" i="3"/>
  <c r="C552" i="3"/>
  <c r="E552" i="3"/>
  <c r="F552" i="3"/>
  <c r="G552" i="3"/>
  <c r="H552" i="3"/>
  <c r="I552" i="3"/>
  <c r="J552" i="3"/>
  <c r="AH552" i="3" s="1"/>
  <c r="K552" i="3"/>
  <c r="L552" i="3"/>
  <c r="M552" i="3"/>
  <c r="N552" i="3"/>
  <c r="O552" i="3"/>
  <c r="P552" i="3"/>
  <c r="Q552" i="3"/>
  <c r="R552" i="3"/>
  <c r="S552" i="3"/>
  <c r="T552" i="3"/>
  <c r="Y552" i="3"/>
  <c r="Z552" i="3"/>
  <c r="AA552" i="3"/>
  <c r="AB552" i="3"/>
  <c r="AD552" i="3"/>
  <c r="AE552" i="3"/>
  <c r="AG552" i="3"/>
  <c r="A553" i="3"/>
  <c r="C553" i="3"/>
  <c r="E553" i="3"/>
  <c r="F553" i="3"/>
  <c r="G553" i="3"/>
  <c r="H553" i="3"/>
  <c r="I553" i="3"/>
  <c r="J553" i="3"/>
  <c r="K553" i="3"/>
  <c r="L553" i="3"/>
  <c r="M553" i="3"/>
  <c r="N553" i="3"/>
  <c r="O553" i="3"/>
  <c r="P553" i="3"/>
  <c r="Q553" i="3"/>
  <c r="R553" i="3"/>
  <c r="S553" i="3"/>
  <c r="T553" i="3"/>
  <c r="Y553" i="3"/>
  <c r="Z553" i="3"/>
  <c r="AA553" i="3"/>
  <c r="AB553" i="3"/>
  <c r="AD553" i="3"/>
  <c r="AE553" i="3"/>
  <c r="AG553" i="3"/>
  <c r="AH553" i="3"/>
  <c r="A554" i="3"/>
  <c r="C554" i="3"/>
  <c r="E554" i="3"/>
  <c r="F554" i="3"/>
  <c r="G554" i="3"/>
  <c r="H554" i="3"/>
  <c r="I554" i="3"/>
  <c r="J554" i="3"/>
  <c r="AH554" i="3" s="1"/>
  <c r="K554" i="3"/>
  <c r="L554" i="3"/>
  <c r="M554" i="3"/>
  <c r="N554" i="3"/>
  <c r="O554" i="3"/>
  <c r="P554" i="3"/>
  <c r="Q554" i="3"/>
  <c r="R554" i="3"/>
  <c r="S554" i="3"/>
  <c r="T554" i="3"/>
  <c r="Y554" i="3"/>
  <c r="Z554" i="3"/>
  <c r="AA554" i="3"/>
  <c r="AB554" i="3"/>
  <c r="AD554" i="3"/>
  <c r="AE554" i="3"/>
  <c r="AG554" i="3"/>
  <c r="A555" i="3"/>
  <c r="C555" i="3"/>
  <c r="E555" i="3"/>
  <c r="F555" i="3"/>
  <c r="G555" i="3"/>
  <c r="H555" i="3"/>
  <c r="I555" i="3"/>
  <c r="J555" i="3"/>
  <c r="AH555" i="3" s="1"/>
  <c r="K555" i="3"/>
  <c r="L555" i="3"/>
  <c r="M555" i="3"/>
  <c r="N555" i="3"/>
  <c r="O555" i="3"/>
  <c r="P555" i="3"/>
  <c r="Q555" i="3"/>
  <c r="R555" i="3"/>
  <c r="S555" i="3"/>
  <c r="T555" i="3"/>
  <c r="Y555" i="3"/>
  <c r="Z555" i="3"/>
  <c r="AA555" i="3"/>
  <c r="AB555" i="3"/>
  <c r="AD555" i="3"/>
  <c r="AE555" i="3"/>
  <c r="AG555" i="3"/>
  <c r="A556" i="3"/>
  <c r="C556" i="3"/>
  <c r="E556" i="3"/>
  <c r="F556" i="3"/>
  <c r="G556" i="3"/>
  <c r="H556" i="3"/>
  <c r="I556" i="3"/>
  <c r="J556" i="3"/>
  <c r="K556" i="3"/>
  <c r="L556" i="3"/>
  <c r="M556" i="3"/>
  <c r="N556" i="3"/>
  <c r="O556" i="3"/>
  <c r="P556" i="3"/>
  <c r="Q556" i="3"/>
  <c r="R556" i="3"/>
  <c r="S556" i="3"/>
  <c r="T556" i="3"/>
  <c r="Y556" i="3"/>
  <c r="Z556" i="3"/>
  <c r="AA556" i="3"/>
  <c r="AB556" i="3"/>
  <c r="AD556" i="3"/>
  <c r="AE556" i="3"/>
  <c r="AG556" i="3"/>
  <c r="AH556" i="3"/>
  <c r="A557" i="3"/>
  <c r="C557" i="3"/>
  <c r="E557" i="3"/>
  <c r="F557" i="3"/>
  <c r="G557" i="3"/>
  <c r="H557" i="3"/>
  <c r="I557" i="3"/>
  <c r="J557" i="3"/>
  <c r="AH557" i="3" s="1"/>
  <c r="K557" i="3"/>
  <c r="L557" i="3"/>
  <c r="M557" i="3"/>
  <c r="N557" i="3"/>
  <c r="O557" i="3"/>
  <c r="P557" i="3"/>
  <c r="Q557" i="3"/>
  <c r="R557" i="3"/>
  <c r="S557" i="3"/>
  <c r="T557" i="3"/>
  <c r="Y557" i="3"/>
  <c r="Z557" i="3"/>
  <c r="AA557" i="3"/>
  <c r="AB557" i="3"/>
  <c r="AD557" i="3"/>
  <c r="AE557" i="3"/>
  <c r="AG557" i="3"/>
  <c r="A558" i="3"/>
  <c r="C558" i="3"/>
  <c r="E558" i="3"/>
  <c r="F558" i="3"/>
  <c r="G558" i="3"/>
  <c r="H558" i="3"/>
  <c r="I558" i="3"/>
  <c r="J558" i="3"/>
  <c r="AH558" i="3" s="1"/>
  <c r="K558" i="3"/>
  <c r="L558" i="3"/>
  <c r="M558" i="3"/>
  <c r="N558" i="3"/>
  <c r="O558" i="3"/>
  <c r="P558" i="3"/>
  <c r="Q558" i="3"/>
  <c r="R558" i="3"/>
  <c r="S558" i="3"/>
  <c r="T558" i="3"/>
  <c r="Y558" i="3"/>
  <c r="Z558" i="3"/>
  <c r="AA558" i="3"/>
  <c r="AB558" i="3"/>
  <c r="AD558" i="3"/>
  <c r="AE558" i="3"/>
  <c r="AG558" i="3"/>
  <c r="A559" i="3"/>
  <c r="C559" i="3"/>
  <c r="E559" i="3"/>
  <c r="F559" i="3"/>
  <c r="G559" i="3"/>
  <c r="H559" i="3"/>
  <c r="I559" i="3"/>
  <c r="J559" i="3"/>
  <c r="AH559" i="3" s="1"/>
  <c r="K559" i="3"/>
  <c r="L559" i="3"/>
  <c r="M559" i="3"/>
  <c r="N559" i="3"/>
  <c r="O559" i="3"/>
  <c r="P559" i="3"/>
  <c r="Q559" i="3"/>
  <c r="R559" i="3"/>
  <c r="S559" i="3"/>
  <c r="T559" i="3"/>
  <c r="Y559" i="3"/>
  <c r="Z559" i="3"/>
  <c r="AA559" i="3"/>
  <c r="AB559" i="3"/>
  <c r="AD559" i="3"/>
  <c r="AE559" i="3"/>
  <c r="AG559" i="3"/>
  <c r="A560" i="3"/>
  <c r="C560" i="3"/>
  <c r="E560" i="3"/>
  <c r="F560" i="3"/>
  <c r="G560" i="3"/>
  <c r="H560" i="3"/>
  <c r="I560" i="3"/>
  <c r="J560" i="3"/>
  <c r="AH560" i="3" s="1"/>
  <c r="K560" i="3"/>
  <c r="L560" i="3"/>
  <c r="M560" i="3"/>
  <c r="N560" i="3"/>
  <c r="O560" i="3"/>
  <c r="P560" i="3"/>
  <c r="Q560" i="3"/>
  <c r="R560" i="3"/>
  <c r="S560" i="3"/>
  <c r="T560" i="3"/>
  <c r="Y560" i="3"/>
  <c r="Z560" i="3"/>
  <c r="AA560" i="3"/>
  <c r="AB560" i="3"/>
  <c r="AD560" i="3"/>
  <c r="AE560" i="3"/>
  <c r="AG560" i="3"/>
  <c r="A561" i="3"/>
  <c r="C561" i="3"/>
  <c r="E561" i="3"/>
  <c r="F561" i="3"/>
  <c r="G561" i="3"/>
  <c r="H561" i="3"/>
  <c r="I561" i="3"/>
  <c r="J561" i="3"/>
  <c r="AH561" i="3" s="1"/>
  <c r="K561" i="3"/>
  <c r="L561" i="3"/>
  <c r="M561" i="3"/>
  <c r="N561" i="3"/>
  <c r="O561" i="3"/>
  <c r="P561" i="3"/>
  <c r="Q561" i="3"/>
  <c r="R561" i="3"/>
  <c r="S561" i="3"/>
  <c r="T561" i="3"/>
  <c r="Y561" i="3"/>
  <c r="Z561" i="3"/>
  <c r="AA561" i="3"/>
  <c r="AB561" i="3"/>
  <c r="AD561" i="3"/>
  <c r="AE561" i="3"/>
  <c r="AG561" i="3"/>
  <c r="A562" i="3"/>
  <c r="C562" i="3"/>
  <c r="E562" i="3"/>
  <c r="F562" i="3"/>
  <c r="G562" i="3"/>
  <c r="H562" i="3"/>
  <c r="I562" i="3"/>
  <c r="J562" i="3"/>
  <c r="AH562" i="3" s="1"/>
  <c r="K562" i="3"/>
  <c r="L562" i="3"/>
  <c r="M562" i="3"/>
  <c r="N562" i="3"/>
  <c r="O562" i="3"/>
  <c r="P562" i="3"/>
  <c r="Q562" i="3"/>
  <c r="R562" i="3"/>
  <c r="S562" i="3"/>
  <c r="T562" i="3"/>
  <c r="Y562" i="3"/>
  <c r="Z562" i="3"/>
  <c r="AA562" i="3"/>
  <c r="AB562" i="3"/>
  <c r="AD562" i="3"/>
  <c r="AE562" i="3"/>
  <c r="AG562" i="3"/>
  <c r="A563" i="3"/>
  <c r="C563" i="3"/>
  <c r="E563" i="3"/>
  <c r="F563" i="3"/>
  <c r="G563" i="3"/>
  <c r="H563" i="3"/>
  <c r="I563" i="3"/>
  <c r="J563" i="3"/>
  <c r="AH563" i="3" s="1"/>
  <c r="K563" i="3"/>
  <c r="L563" i="3"/>
  <c r="M563" i="3"/>
  <c r="N563" i="3"/>
  <c r="O563" i="3"/>
  <c r="P563" i="3"/>
  <c r="Q563" i="3"/>
  <c r="R563" i="3"/>
  <c r="S563" i="3"/>
  <c r="T563" i="3"/>
  <c r="Y563" i="3"/>
  <c r="Z563" i="3"/>
  <c r="AA563" i="3"/>
  <c r="AB563" i="3"/>
  <c r="AD563" i="3"/>
  <c r="AE563" i="3"/>
  <c r="AG563" i="3"/>
  <c r="A564" i="3"/>
  <c r="C564" i="3"/>
  <c r="E564" i="3"/>
  <c r="F564" i="3"/>
  <c r="G564" i="3"/>
  <c r="H564" i="3"/>
  <c r="I564" i="3"/>
  <c r="J564" i="3"/>
  <c r="AH564" i="3" s="1"/>
  <c r="K564" i="3"/>
  <c r="L564" i="3"/>
  <c r="M564" i="3"/>
  <c r="N564" i="3"/>
  <c r="O564" i="3"/>
  <c r="P564" i="3"/>
  <c r="Q564" i="3"/>
  <c r="R564" i="3"/>
  <c r="S564" i="3"/>
  <c r="T564" i="3"/>
  <c r="Y564" i="3"/>
  <c r="Z564" i="3"/>
  <c r="AA564" i="3"/>
  <c r="AB564" i="3"/>
  <c r="AD564" i="3"/>
  <c r="AE564" i="3"/>
  <c r="AG564" i="3"/>
  <c r="A565" i="3"/>
  <c r="C565" i="3"/>
  <c r="E565" i="3"/>
  <c r="F565" i="3"/>
  <c r="G565" i="3"/>
  <c r="H565" i="3"/>
  <c r="I565" i="3"/>
  <c r="J565" i="3"/>
  <c r="AH565" i="3" s="1"/>
  <c r="K565" i="3"/>
  <c r="L565" i="3"/>
  <c r="M565" i="3"/>
  <c r="N565" i="3"/>
  <c r="O565" i="3"/>
  <c r="P565" i="3"/>
  <c r="Q565" i="3"/>
  <c r="R565" i="3"/>
  <c r="S565" i="3"/>
  <c r="T565" i="3"/>
  <c r="Y565" i="3"/>
  <c r="Z565" i="3"/>
  <c r="AA565" i="3"/>
  <c r="AB565" i="3"/>
  <c r="AD565" i="3"/>
  <c r="AE565" i="3"/>
  <c r="AG565" i="3"/>
  <c r="A566" i="3"/>
  <c r="C566" i="3"/>
  <c r="E566" i="3"/>
  <c r="F566" i="3"/>
  <c r="G566" i="3"/>
  <c r="H566" i="3"/>
  <c r="I566" i="3"/>
  <c r="J566" i="3"/>
  <c r="AH566" i="3" s="1"/>
  <c r="K566" i="3"/>
  <c r="L566" i="3"/>
  <c r="M566" i="3"/>
  <c r="N566" i="3"/>
  <c r="O566" i="3"/>
  <c r="P566" i="3"/>
  <c r="Q566" i="3"/>
  <c r="R566" i="3"/>
  <c r="S566" i="3"/>
  <c r="T566" i="3"/>
  <c r="Y566" i="3"/>
  <c r="Z566" i="3"/>
  <c r="AA566" i="3"/>
  <c r="AB566" i="3"/>
  <c r="AD566" i="3"/>
  <c r="AE566" i="3"/>
  <c r="AG566" i="3"/>
  <c r="A567" i="3"/>
  <c r="C567" i="3"/>
  <c r="E567" i="3"/>
  <c r="F567" i="3"/>
  <c r="G567" i="3"/>
  <c r="H567" i="3"/>
  <c r="I567" i="3"/>
  <c r="J567" i="3"/>
  <c r="AH567" i="3" s="1"/>
  <c r="K567" i="3"/>
  <c r="L567" i="3"/>
  <c r="M567" i="3"/>
  <c r="N567" i="3"/>
  <c r="O567" i="3"/>
  <c r="P567" i="3"/>
  <c r="Q567" i="3"/>
  <c r="R567" i="3"/>
  <c r="S567" i="3"/>
  <c r="T567" i="3"/>
  <c r="Y567" i="3"/>
  <c r="Z567" i="3"/>
  <c r="AA567" i="3"/>
  <c r="AB567" i="3"/>
  <c r="AD567" i="3"/>
  <c r="AE567" i="3"/>
  <c r="AG567" i="3"/>
  <c r="A568" i="3"/>
  <c r="C568" i="3"/>
  <c r="E568" i="3"/>
  <c r="F568" i="3"/>
  <c r="G568" i="3"/>
  <c r="H568" i="3"/>
  <c r="I568" i="3"/>
  <c r="J568" i="3"/>
  <c r="AH568" i="3" s="1"/>
  <c r="K568" i="3"/>
  <c r="L568" i="3"/>
  <c r="M568" i="3"/>
  <c r="N568" i="3"/>
  <c r="O568" i="3"/>
  <c r="P568" i="3"/>
  <c r="Q568" i="3"/>
  <c r="R568" i="3"/>
  <c r="S568" i="3"/>
  <c r="T568" i="3"/>
  <c r="Y568" i="3"/>
  <c r="Z568" i="3"/>
  <c r="AA568" i="3"/>
  <c r="AB568" i="3"/>
  <c r="AD568" i="3"/>
  <c r="AE568" i="3"/>
  <c r="AG568" i="3"/>
  <c r="A569" i="3"/>
  <c r="C569" i="3"/>
  <c r="E569" i="3"/>
  <c r="F569" i="3"/>
  <c r="G569" i="3"/>
  <c r="H569" i="3"/>
  <c r="I569" i="3"/>
  <c r="J569" i="3"/>
  <c r="K569" i="3"/>
  <c r="L569" i="3"/>
  <c r="M569" i="3"/>
  <c r="N569" i="3"/>
  <c r="O569" i="3"/>
  <c r="P569" i="3"/>
  <c r="Q569" i="3"/>
  <c r="R569" i="3"/>
  <c r="S569" i="3"/>
  <c r="T569" i="3"/>
  <c r="Y569" i="3"/>
  <c r="Z569" i="3"/>
  <c r="AA569" i="3"/>
  <c r="AB569" i="3"/>
  <c r="AD569" i="3"/>
  <c r="AE569" i="3"/>
  <c r="AG569" i="3"/>
  <c r="AH569" i="3"/>
  <c r="A570" i="3"/>
  <c r="C570" i="3"/>
  <c r="E570" i="3"/>
  <c r="F570" i="3"/>
  <c r="G570" i="3"/>
  <c r="H570" i="3"/>
  <c r="I570" i="3"/>
  <c r="J570" i="3"/>
  <c r="AH570" i="3" s="1"/>
  <c r="K570" i="3"/>
  <c r="L570" i="3"/>
  <c r="M570" i="3"/>
  <c r="N570" i="3"/>
  <c r="O570" i="3"/>
  <c r="P570" i="3"/>
  <c r="Q570" i="3"/>
  <c r="R570" i="3"/>
  <c r="S570" i="3"/>
  <c r="T570" i="3"/>
  <c r="Y570" i="3"/>
  <c r="Z570" i="3"/>
  <c r="AA570" i="3"/>
  <c r="AB570" i="3"/>
  <c r="AD570" i="3"/>
  <c r="AE570" i="3"/>
  <c r="AG570" i="3"/>
  <c r="A571" i="3"/>
  <c r="C571" i="3"/>
  <c r="E571" i="3"/>
  <c r="F571" i="3"/>
  <c r="G571" i="3"/>
  <c r="H571" i="3"/>
  <c r="I571" i="3"/>
  <c r="J571" i="3"/>
  <c r="AH571" i="3" s="1"/>
  <c r="K571" i="3"/>
  <c r="L571" i="3"/>
  <c r="M571" i="3"/>
  <c r="N571" i="3"/>
  <c r="O571" i="3"/>
  <c r="P571" i="3"/>
  <c r="Q571" i="3"/>
  <c r="R571" i="3"/>
  <c r="S571" i="3"/>
  <c r="T571" i="3"/>
  <c r="Y571" i="3"/>
  <c r="Z571" i="3"/>
  <c r="AA571" i="3"/>
  <c r="AB571" i="3"/>
  <c r="AD571" i="3"/>
  <c r="AE571" i="3"/>
  <c r="AG571" i="3"/>
  <c r="A572" i="3"/>
  <c r="C572" i="3"/>
  <c r="E572" i="3"/>
  <c r="F572" i="3"/>
  <c r="G572" i="3"/>
  <c r="H572" i="3"/>
  <c r="I572" i="3"/>
  <c r="J572" i="3"/>
  <c r="AH572" i="3" s="1"/>
  <c r="K572" i="3"/>
  <c r="L572" i="3"/>
  <c r="M572" i="3"/>
  <c r="N572" i="3"/>
  <c r="O572" i="3"/>
  <c r="P572" i="3"/>
  <c r="Q572" i="3"/>
  <c r="R572" i="3"/>
  <c r="S572" i="3"/>
  <c r="T572" i="3"/>
  <c r="Y572" i="3"/>
  <c r="Z572" i="3"/>
  <c r="AA572" i="3"/>
  <c r="AB572" i="3"/>
  <c r="AD572" i="3"/>
  <c r="AE572" i="3"/>
  <c r="AG572" i="3"/>
  <c r="A573" i="3"/>
  <c r="C573" i="3"/>
  <c r="E573" i="3"/>
  <c r="F573" i="3"/>
  <c r="G573" i="3"/>
  <c r="H573" i="3"/>
  <c r="I573" i="3"/>
  <c r="J573" i="3"/>
  <c r="AH573" i="3" s="1"/>
  <c r="K573" i="3"/>
  <c r="L573" i="3"/>
  <c r="M573" i="3"/>
  <c r="N573" i="3"/>
  <c r="O573" i="3"/>
  <c r="P573" i="3"/>
  <c r="Q573" i="3"/>
  <c r="R573" i="3"/>
  <c r="S573" i="3"/>
  <c r="T573" i="3"/>
  <c r="Y573" i="3"/>
  <c r="Z573" i="3"/>
  <c r="AA573" i="3"/>
  <c r="AB573" i="3"/>
  <c r="AD573" i="3"/>
  <c r="AE573" i="3"/>
  <c r="AG573" i="3"/>
  <c r="A574" i="3"/>
  <c r="C574" i="3"/>
  <c r="E574" i="3"/>
  <c r="F574" i="3"/>
  <c r="G574" i="3"/>
  <c r="H574" i="3"/>
  <c r="I574" i="3"/>
  <c r="J574" i="3"/>
  <c r="AH574" i="3" s="1"/>
  <c r="K574" i="3"/>
  <c r="L574" i="3"/>
  <c r="M574" i="3"/>
  <c r="N574" i="3"/>
  <c r="O574" i="3"/>
  <c r="P574" i="3"/>
  <c r="Q574" i="3"/>
  <c r="R574" i="3"/>
  <c r="S574" i="3"/>
  <c r="T574" i="3"/>
  <c r="Y574" i="3"/>
  <c r="Z574" i="3"/>
  <c r="AA574" i="3"/>
  <c r="AB574" i="3"/>
  <c r="AD574" i="3"/>
  <c r="AE574" i="3"/>
  <c r="AG574" i="3"/>
  <c r="A575" i="3"/>
  <c r="C575" i="3"/>
  <c r="E575" i="3"/>
  <c r="F575" i="3"/>
  <c r="G575" i="3"/>
  <c r="H575" i="3"/>
  <c r="I575" i="3"/>
  <c r="J575" i="3"/>
  <c r="AH575" i="3" s="1"/>
  <c r="K575" i="3"/>
  <c r="L575" i="3"/>
  <c r="M575" i="3"/>
  <c r="N575" i="3"/>
  <c r="O575" i="3"/>
  <c r="P575" i="3"/>
  <c r="Q575" i="3"/>
  <c r="R575" i="3"/>
  <c r="S575" i="3"/>
  <c r="T575" i="3"/>
  <c r="Y575" i="3"/>
  <c r="Z575" i="3"/>
  <c r="AA575" i="3"/>
  <c r="AB575" i="3"/>
  <c r="AD575" i="3"/>
  <c r="AE575" i="3"/>
  <c r="AG575" i="3"/>
  <c r="A576" i="3"/>
  <c r="C576" i="3"/>
  <c r="E576" i="3"/>
  <c r="F576" i="3"/>
  <c r="G576" i="3"/>
  <c r="H576" i="3"/>
  <c r="I576" i="3"/>
  <c r="J576" i="3"/>
  <c r="AH576" i="3" s="1"/>
  <c r="K576" i="3"/>
  <c r="L576" i="3"/>
  <c r="M576" i="3"/>
  <c r="N576" i="3"/>
  <c r="O576" i="3"/>
  <c r="P576" i="3"/>
  <c r="Q576" i="3"/>
  <c r="R576" i="3"/>
  <c r="S576" i="3"/>
  <c r="T576" i="3"/>
  <c r="Y576" i="3"/>
  <c r="Z576" i="3"/>
  <c r="AA576" i="3"/>
  <c r="AB576" i="3"/>
  <c r="AD576" i="3"/>
  <c r="AE576" i="3"/>
  <c r="AG576" i="3"/>
  <c r="A577" i="3"/>
  <c r="C577" i="3"/>
  <c r="E577" i="3"/>
  <c r="F577" i="3"/>
  <c r="G577" i="3"/>
  <c r="H577" i="3"/>
  <c r="I577" i="3"/>
  <c r="J577" i="3"/>
  <c r="AH577" i="3" s="1"/>
  <c r="K577" i="3"/>
  <c r="L577" i="3"/>
  <c r="M577" i="3"/>
  <c r="N577" i="3"/>
  <c r="O577" i="3"/>
  <c r="P577" i="3"/>
  <c r="Q577" i="3"/>
  <c r="R577" i="3"/>
  <c r="S577" i="3"/>
  <c r="T577" i="3"/>
  <c r="Y577" i="3"/>
  <c r="Z577" i="3"/>
  <c r="AA577" i="3"/>
  <c r="AB577" i="3"/>
  <c r="AD577" i="3"/>
  <c r="AE577" i="3"/>
  <c r="AG577" i="3"/>
  <c r="A578" i="3"/>
  <c r="C578" i="3"/>
  <c r="E578" i="3"/>
  <c r="F578" i="3"/>
  <c r="G578" i="3"/>
  <c r="H578" i="3"/>
  <c r="I578" i="3"/>
  <c r="J578" i="3"/>
  <c r="AH578" i="3" s="1"/>
  <c r="K578" i="3"/>
  <c r="L578" i="3"/>
  <c r="M578" i="3"/>
  <c r="N578" i="3"/>
  <c r="O578" i="3"/>
  <c r="P578" i="3"/>
  <c r="Q578" i="3"/>
  <c r="R578" i="3"/>
  <c r="S578" i="3"/>
  <c r="T578" i="3"/>
  <c r="Y578" i="3"/>
  <c r="Z578" i="3"/>
  <c r="AA578" i="3"/>
  <c r="AB578" i="3"/>
  <c r="AD578" i="3"/>
  <c r="AE578" i="3"/>
  <c r="AG578" i="3"/>
  <c r="A579" i="3"/>
  <c r="C579" i="3"/>
  <c r="E579" i="3"/>
  <c r="F579" i="3"/>
  <c r="G579" i="3"/>
  <c r="H579" i="3"/>
  <c r="I579" i="3"/>
  <c r="J579" i="3"/>
  <c r="AH579" i="3" s="1"/>
  <c r="K579" i="3"/>
  <c r="L579" i="3"/>
  <c r="M579" i="3"/>
  <c r="N579" i="3"/>
  <c r="O579" i="3"/>
  <c r="P579" i="3"/>
  <c r="Q579" i="3"/>
  <c r="R579" i="3"/>
  <c r="S579" i="3"/>
  <c r="T579" i="3"/>
  <c r="Y579" i="3"/>
  <c r="Z579" i="3"/>
  <c r="AA579" i="3"/>
  <c r="AB579" i="3"/>
  <c r="AD579" i="3"/>
  <c r="AE579" i="3"/>
  <c r="AG579" i="3"/>
  <c r="A580" i="3"/>
  <c r="C580" i="3"/>
  <c r="E580" i="3"/>
  <c r="F580" i="3"/>
  <c r="G580" i="3"/>
  <c r="H580" i="3"/>
  <c r="I580" i="3"/>
  <c r="J580" i="3"/>
  <c r="AH580" i="3" s="1"/>
  <c r="K580" i="3"/>
  <c r="L580" i="3"/>
  <c r="M580" i="3"/>
  <c r="N580" i="3"/>
  <c r="O580" i="3"/>
  <c r="P580" i="3"/>
  <c r="Q580" i="3"/>
  <c r="R580" i="3"/>
  <c r="S580" i="3"/>
  <c r="T580" i="3"/>
  <c r="Y580" i="3"/>
  <c r="Z580" i="3"/>
  <c r="AA580" i="3"/>
  <c r="AB580" i="3"/>
  <c r="AD580" i="3"/>
  <c r="AE580" i="3"/>
  <c r="AG580" i="3"/>
  <c r="A581" i="3"/>
  <c r="C581" i="3"/>
  <c r="E581" i="3"/>
  <c r="F581" i="3"/>
  <c r="G581" i="3"/>
  <c r="H581" i="3"/>
  <c r="I581" i="3"/>
  <c r="J581" i="3"/>
  <c r="AH581" i="3" s="1"/>
  <c r="K581" i="3"/>
  <c r="L581" i="3"/>
  <c r="M581" i="3"/>
  <c r="N581" i="3"/>
  <c r="O581" i="3"/>
  <c r="P581" i="3"/>
  <c r="Q581" i="3"/>
  <c r="R581" i="3"/>
  <c r="S581" i="3"/>
  <c r="T581" i="3"/>
  <c r="Y581" i="3"/>
  <c r="Z581" i="3"/>
  <c r="AA581" i="3"/>
  <c r="AB581" i="3"/>
  <c r="AD581" i="3"/>
  <c r="AE581" i="3"/>
  <c r="AG581" i="3"/>
  <c r="A582" i="3"/>
  <c r="C582" i="3"/>
  <c r="E582" i="3"/>
  <c r="F582" i="3"/>
  <c r="G582" i="3"/>
  <c r="H582" i="3"/>
  <c r="I582" i="3"/>
  <c r="J582" i="3"/>
  <c r="AH582" i="3" s="1"/>
  <c r="K582" i="3"/>
  <c r="L582" i="3"/>
  <c r="M582" i="3"/>
  <c r="N582" i="3"/>
  <c r="O582" i="3"/>
  <c r="P582" i="3"/>
  <c r="Q582" i="3"/>
  <c r="R582" i="3"/>
  <c r="S582" i="3"/>
  <c r="T582" i="3"/>
  <c r="Y582" i="3"/>
  <c r="Z582" i="3"/>
  <c r="AA582" i="3"/>
  <c r="AB582" i="3"/>
  <c r="AD582" i="3"/>
  <c r="AE582" i="3"/>
  <c r="AG582" i="3"/>
  <c r="A583" i="3"/>
  <c r="C583" i="3"/>
  <c r="E583" i="3"/>
  <c r="F583" i="3"/>
  <c r="G583" i="3"/>
  <c r="H583" i="3"/>
  <c r="I583" i="3"/>
  <c r="J583" i="3"/>
  <c r="AH583" i="3" s="1"/>
  <c r="K583" i="3"/>
  <c r="L583" i="3"/>
  <c r="M583" i="3"/>
  <c r="N583" i="3"/>
  <c r="O583" i="3"/>
  <c r="P583" i="3"/>
  <c r="Q583" i="3"/>
  <c r="R583" i="3"/>
  <c r="S583" i="3"/>
  <c r="T583" i="3"/>
  <c r="Y583" i="3"/>
  <c r="Z583" i="3"/>
  <c r="AA583" i="3"/>
  <c r="AB583" i="3"/>
  <c r="AD583" i="3"/>
  <c r="AE583" i="3"/>
  <c r="AG583" i="3"/>
  <c r="A584" i="3"/>
  <c r="C584" i="3"/>
  <c r="E584" i="3"/>
  <c r="F584" i="3"/>
  <c r="G584" i="3"/>
  <c r="H584" i="3"/>
  <c r="I584" i="3"/>
  <c r="J584" i="3"/>
  <c r="AH584" i="3" s="1"/>
  <c r="K584" i="3"/>
  <c r="L584" i="3"/>
  <c r="M584" i="3"/>
  <c r="N584" i="3"/>
  <c r="O584" i="3"/>
  <c r="P584" i="3"/>
  <c r="Q584" i="3"/>
  <c r="R584" i="3"/>
  <c r="S584" i="3"/>
  <c r="T584" i="3"/>
  <c r="Y584" i="3"/>
  <c r="Z584" i="3"/>
  <c r="AA584" i="3"/>
  <c r="AB584" i="3"/>
  <c r="AD584" i="3"/>
  <c r="AE584" i="3"/>
  <c r="AG584" i="3"/>
  <c r="A585" i="3"/>
  <c r="C585" i="3"/>
  <c r="E585" i="3"/>
  <c r="F585" i="3"/>
  <c r="G585" i="3"/>
  <c r="H585" i="3"/>
  <c r="I585" i="3"/>
  <c r="J585" i="3"/>
  <c r="AH585" i="3" s="1"/>
  <c r="K585" i="3"/>
  <c r="L585" i="3"/>
  <c r="M585" i="3"/>
  <c r="N585" i="3"/>
  <c r="O585" i="3"/>
  <c r="P585" i="3"/>
  <c r="Q585" i="3"/>
  <c r="R585" i="3"/>
  <c r="S585" i="3"/>
  <c r="T585" i="3"/>
  <c r="Y585" i="3"/>
  <c r="Z585" i="3"/>
  <c r="AA585" i="3"/>
  <c r="AB585" i="3"/>
  <c r="AD585" i="3"/>
  <c r="AE585" i="3"/>
  <c r="AG585" i="3"/>
  <c r="A586" i="3"/>
  <c r="C586" i="3"/>
  <c r="E586" i="3"/>
  <c r="F586" i="3"/>
  <c r="G586" i="3"/>
  <c r="H586" i="3"/>
  <c r="I586" i="3"/>
  <c r="J586" i="3"/>
  <c r="AH586" i="3" s="1"/>
  <c r="K586" i="3"/>
  <c r="L586" i="3"/>
  <c r="M586" i="3"/>
  <c r="N586" i="3"/>
  <c r="O586" i="3"/>
  <c r="P586" i="3"/>
  <c r="Q586" i="3"/>
  <c r="R586" i="3"/>
  <c r="S586" i="3"/>
  <c r="T586" i="3"/>
  <c r="Y586" i="3"/>
  <c r="Z586" i="3"/>
  <c r="AA586" i="3"/>
  <c r="AB586" i="3"/>
  <c r="AD586" i="3"/>
  <c r="AE586" i="3"/>
  <c r="AG586" i="3"/>
  <c r="A587" i="3"/>
  <c r="C587" i="3"/>
  <c r="E587" i="3"/>
  <c r="F587" i="3"/>
  <c r="G587" i="3"/>
  <c r="H587" i="3"/>
  <c r="I587" i="3"/>
  <c r="J587" i="3"/>
  <c r="AH587" i="3" s="1"/>
  <c r="K587" i="3"/>
  <c r="L587" i="3"/>
  <c r="M587" i="3"/>
  <c r="N587" i="3"/>
  <c r="O587" i="3"/>
  <c r="P587" i="3"/>
  <c r="Q587" i="3"/>
  <c r="R587" i="3"/>
  <c r="S587" i="3"/>
  <c r="T587" i="3"/>
  <c r="Y587" i="3"/>
  <c r="Z587" i="3"/>
  <c r="AA587" i="3"/>
  <c r="AB587" i="3"/>
  <c r="AD587" i="3"/>
  <c r="AE587" i="3"/>
  <c r="AG587" i="3"/>
  <c r="A588" i="3"/>
  <c r="C588" i="3"/>
  <c r="E588" i="3"/>
  <c r="F588" i="3"/>
  <c r="G588" i="3"/>
  <c r="H588" i="3"/>
  <c r="I588" i="3"/>
  <c r="J588" i="3"/>
  <c r="AH588" i="3" s="1"/>
  <c r="K588" i="3"/>
  <c r="L588" i="3"/>
  <c r="M588" i="3"/>
  <c r="N588" i="3"/>
  <c r="O588" i="3"/>
  <c r="P588" i="3"/>
  <c r="Q588" i="3"/>
  <c r="R588" i="3"/>
  <c r="S588" i="3"/>
  <c r="T588" i="3"/>
  <c r="Y588" i="3"/>
  <c r="Z588" i="3"/>
  <c r="AA588" i="3"/>
  <c r="AB588" i="3"/>
  <c r="AD588" i="3"/>
  <c r="AE588" i="3"/>
  <c r="AG588" i="3"/>
  <c r="A589" i="3"/>
  <c r="C589" i="3"/>
  <c r="E589" i="3"/>
  <c r="F589" i="3"/>
  <c r="G589" i="3"/>
  <c r="H589" i="3"/>
  <c r="I589" i="3"/>
  <c r="J589" i="3"/>
  <c r="K589" i="3"/>
  <c r="L589" i="3"/>
  <c r="M589" i="3"/>
  <c r="N589" i="3"/>
  <c r="O589" i="3"/>
  <c r="P589" i="3"/>
  <c r="Q589" i="3"/>
  <c r="R589" i="3"/>
  <c r="S589" i="3"/>
  <c r="T589" i="3"/>
  <c r="Y589" i="3"/>
  <c r="Z589" i="3"/>
  <c r="AA589" i="3"/>
  <c r="AB589" i="3"/>
  <c r="AD589" i="3"/>
  <c r="AE589" i="3"/>
  <c r="AG589" i="3"/>
  <c r="AH589" i="3"/>
  <c r="A590" i="3"/>
  <c r="C590" i="3"/>
  <c r="E590" i="3"/>
  <c r="F590" i="3"/>
  <c r="G590" i="3"/>
  <c r="H590" i="3"/>
  <c r="I590" i="3"/>
  <c r="J590" i="3"/>
  <c r="AH590" i="3" s="1"/>
  <c r="K590" i="3"/>
  <c r="L590" i="3"/>
  <c r="M590" i="3"/>
  <c r="N590" i="3"/>
  <c r="O590" i="3"/>
  <c r="P590" i="3"/>
  <c r="Q590" i="3"/>
  <c r="R590" i="3"/>
  <c r="S590" i="3"/>
  <c r="T590" i="3"/>
  <c r="Y590" i="3"/>
  <c r="Z590" i="3"/>
  <c r="AA590" i="3"/>
  <c r="AB590" i="3"/>
  <c r="AD590" i="3"/>
  <c r="AE590" i="3"/>
  <c r="AG590" i="3"/>
  <c r="A591" i="3"/>
  <c r="C591" i="3"/>
  <c r="E591" i="3"/>
  <c r="F591" i="3"/>
  <c r="G591" i="3"/>
  <c r="H591" i="3"/>
  <c r="I591" i="3"/>
  <c r="J591" i="3"/>
  <c r="AH591" i="3" s="1"/>
  <c r="K591" i="3"/>
  <c r="L591" i="3"/>
  <c r="M591" i="3"/>
  <c r="N591" i="3"/>
  <c r="O591" i="3"/>
  <c r="P591" i="3"/>
  <c r="Q591" i="3"/>
  <c r="R591" i="3"/>
  <c r="S591" i="3"/>
  <c r="T591" i="3"/>
  <c r="Y591" i="3"/>
  <c r="Z591" i="3"/>
  <c r="AA591" i="3"/>
  <c r="AB591" i="3"/>
  <c r="AD591" i="3"/>
  <c r="AE591" i="3"/>
  <c r="AG591" i="3"/>
  <c r="A592" i="3"/>
  <c r="C592" i="3"/>
  <c r="E592" i="3"/>
  <c r="F592" i="3"/>
  <c r="G592" i="3"/>
  <c r="H592" i="3"/>
  <c r="I592" i="3"/>
  <c r="J592" i="3"/>
  <c r="AH592" i="3" s="1"/>
  <c r="K592" i="3"/>
  <c r="L592" i="3"/>
  <c r="M592" i="3"/>
  <c r="N592" i="3"/>
  <c r="O592" i="3"/>
  <c r="P592" i="3"/>
  <c r="Q592" i="3"/>
  <c r="R592" i="3"/>
  <c r="S592" i="3"/>
  <c r="T592" i="3"/>
  <c r="Y592" i="3"/>
  <c r="Z592" i="3"/>
  <c r="AA592" i="3"/>
  <c r="AB592" i="3"/>
  <c r="AD592" i="3"/>
  <c r="AE592" i="3"/>
  <c r="AG592" i="3"/>
  <c r="A593" i="3"/>
  <c r="C593" i="3"/>
  <c r="E593" i="3"/>
  <c r="F593" i="3"/>
  <c r="G593" i="3"/>
  <c r="H593" i="3"/>
  <c r="I593" i="3"/>
  <c r="J593" i="3"/>
  <c r="AH593" i="3" s="1"/>
  <c r="K593" i="3"/>
  <c r="L593" i="3"/>
  <c r="M593" i="3"/>
  <c r="N593" i="3"/>
  <c r="O593" i="3"/>
  <c r="P593" i="3"/>
  <c r="Q593" i="3"/>
  <c r="R593" i="3"/>
  <c r="S593" i="3"/>
  <c r="T593" i="3"/>
  <c r="Y593" i="3"/>
  <c r="Z593" i="3"/>
  <c r="AA593" i="3"/>
  <c r="AB593" i="3"/>
  <c r="AD593" i="3"/>
  <c r="AE593" i="3"/>
  <c r="AG593" i="3"/>
  <c r="A594" i="3"/>
  <c r="C594" i="3"/>
  <c r="E594" i="3"/>
  <c r="F594" i="3"/>
  <c r="G594" i="3"/>
  <c r="H594" i="3"/>
  <c r="I594" i="3"/>
  <c r="J594" i="3"/>
  <c r="AH594" i="3" s="1"/>
  <c r="K594" i="3"/>
  <c r="L594" i="3"/>
  <c r="M594" i="3"/>
  <c r="N594" i="3"/>
  <c r="O594" i="3"/>
  <c r="P594" i="3"/>
  <c r="Q594" i="3"/>
  <c r="R594" i="3"/>
  <c r="S594" i="3"/>
  <c r="T594" i="3"/>
  <c r="Y594" i="3"/>
  <c r="Z594" i="3"/>
  <c r="AA594" i="3"/>
  <c r="AB594" i="3"/>
  <c r="AD594" i="3"/>
  <c r="AE594" i="3"/>
  <c r="AG594" i="3"/>
  <c r="A595" i="3"/>
  <c r="C595" i="3"/>
  <c r="E595" i="3"/>
  <c r="F595" i="3"/>
  <c r="G595" i="3"/>
  <c r="H595" i="3"/>
  <c r="I595" i="3"/>
  <c r="J595" i="3"/>
  <c r="AH595" i="3" s="1"/>
  <c r="K595" i="3"/>
  <c r="L595" i="3"/>
  <c r="M595" i="3"/>
  <c r="N595" i="3"/>
  <c r="O595" i="3"/>
  <c r="P595" i="3"/>
  <c r="Q595" i="3"/>
  <c r="R595" i="3"/>
  <c r="S595" i="3"/>
  <c r="T595" i="3"/>
  <c r="Y595" i="3"/>
  <c r="Z595" i="3"/>
  <c r="AA595" i="3"/>
  <c r="AB595" i="3"/>
  <c r="AD595" i="3"/>
  <c r="AE595" i="3"/>
  <c r="AG595" i="3"/>
  <c r="A596" i="3"/>
  <c r="C596" i="3"/>
  <c r="E596" i="3"/>
  <c r="F596" i="3"/>
  <c r="G596" i="3"/>
  <c r="H596" i="3"/>
  <c r="I596" i="3"/>
  <c r="J596" i="3"/>
  <c r="AH596" i="3" s="1"/>
  <c r="K596" i="3"/>
  <c r="L596" i="3"/>
  <c r="M596" i="3"/>
  <c r="N596" i="3"/>
  <c r="O596" i="3"/>
  <c r="P596" i="3"/>
  <c r="Q596" i="3"/>
  <c r="R596" i="3"/>
  <c r="S596" i="3"/>
  <c r="T596" i="3"/>
  <c r="Y596" i="3"/>
  <c r="Z596" i="3"/>
  <c r="AA596" i="3"/>
  <c r="AB596" i="3"/>
  <c r="AD596" i="3"/>
  <c r="AE596" i="3"/>
  <c r="AG596" i="3"/>
  <c r="A597" i="3"/>
  <c r="C597" i="3"/>
  <c r="E597" i="3"/>
  <c r="F597" i="3"/>
  <c r="G597" i="3"/>
  <c r="H597" i="3"/>
  <c r="I597" i="3"/>
  <c r="J597" i="3"/>
  <c r="AH597" i="3" s="1"/>
  <c r="K597" i="3"/>
  <c r="L597" i="3"/>
  <c r="M597" i="3"/>
  <c r="N597" i="3"/>
  <c r="O597" i="3"/>
  <c r="P597" i="3"/>
  <c r="Q597" i="3"/>
  <c r="R597" i="3"/>
  <c r="S597" i="3"/>
  <c r="T597" i="3"/>
  <c r="Y597" i="3"/>
  <c r="Z597" i="3"/>
  <c r="AA597" i="3"/>
  <c r="AB597" i="3"/>
  <c r="AD597" i="3"/>
  <c r="AE597" i="3"/>
  <c r="AG597" i="3"/>
  <c r="A598" i="3"/>
  <c r="C598" i="3"/>
  <c r="E598" i="3"/>
  <c r="F598" i="3"/>
  <c r="G598" i="3"/>
  <c r="H598" i="3"/>
  <c r="I598" i="3"/>
  <c r="J598" i="3"/>
  <c r="AH598" i="3" s="1"/>
  <c r="K598" i="3"/>
  <c r="L598" i="3"/>
  <c r="M598" i="3"/>
  <c r="N598" i="3"/>
  <c r="O598" i="3"/>
  <c r="P598" i="3"/>
  <c r="Q598" i="3"/>
  <c r="R598" i="3"/>
  <c r="S598" i="3"/>
  <c r="T598" i="3"/>
  <c r="Y598" i="3"/>
  <c r="Z598" i="3"/>
  <c r="AA598" i="3"/>
  <c r="AB598" i="3"/>
  <c r="AD598" i="3"/>
  <c r="AE598" i="3"/>
  <c r="AG598" i="3"/>
  <c r="A599" i="3"/>
  <c r="C599" i="3"/>
  <c r="E599" i="3"/>
  <c r="F599" i="3"/>
  <c r="G599" i="3"/>
  <c r="H599" i="3"/>
  <c r="I599" i="3"/>
  <c r="J599" i="3"/>
  <c r="AH599" i="3" s="1"/>
  <c r="K599" i="3"/>
  <c r="L599" i="3"/>
  <c r="M599" i="3"/>
  <c r="N599" i="3"/>
  <c r="O599" i="3"/>
  <c r="P599" i="3"/>
  <c r="Q599" i="3"/>
  <c r="R599" i="3"/>
  <c r="S599" i="3"/>
  <c r="T599" i="3"/>
  <c r="Y599" i="3"/>
  <c r="Z599" i="3"/>
  <c r="AA599" i="3"/>
  <c r="AB599" i="3"/>
  <c r="AD599" i="3"/>
  <c r="AE599" i="3"/>
  <c r="AG599" i="3"/>
  <c r="A600" i="3"/>
  <c r="C600" i="3"/>
  <c r="E600" i="3"/>
  <c r="F600" i="3"/>
  <c r="G600" i="3"/>
  <c r="H600" i="3"/>
  <c r="I600" i="3"/>
  <c r="J600" i="3"/>
  <c r="AH600" i="3" s="1"/>
  <c r="K600" i="3"/>
  <c r="L600" i="3"/>
  <c r="M600" i="3"/>
  <c r="N600" i="3"/>
  <c r="O600" i="3"/>
  <c r="P600" i="3"/>
  <c r="Q600" i="3"/>
  <c r="R600" i="3"/>
  <c r="S600" i="3"/>
  <c r="T600" i="3"/>
  <c r="Y600" i="3"/>
  <c r="Z600" i="3"/>
  <c r="AA600" i="3"/>
  <c r="AB600" i="3"/>
  <c r="AD600" i="3"/>
  <c r="AE600" i="3"/>
  <c r="AG600" i="3"/>
  <c r="A601" i="3"/>
  <c r="C601" i="3"/>
  <c r="E601" i="3"/>
  <c r="F601" i="3"/>
  <c r="G601" i="3"/>
  <c r="H601" i="3"/>
  <c r="I601" i="3"/>
  <c r="J601" i="3"/>
  <c r="AH601" i="3" s="1"/>
  <c r="K601" i="3"/>
  <c r="L601" i="3"/>
  <c r="M601" i="3"/>
  <c r="N601" i="3"/>
  <c r="O601" i="3"/>
  <c r="P601" i="3"/>
  <c r="Q601" i="3"/>
  <c r="R601" i="3"/>
  <c r="S601" i="3"/>
  <c r="T601" i="3"/>
  <c r="Y601" i="3"/>
  <c r="Z601" i="3"/>
  <c r="AA601" i="3"/>
  <c r="AB601" i="3"/>
  <c r="AD601" i="3"/>
  <c r="AE601" i="3"/>
  <c r="AG601" i="3"/>
  <c r="A602" i="3"/>
  <c r="C602" i="3"/>
  <c r="E602" i="3"/>
  <c r="F602" i="3"/>
  <c r="G602" i="3"/>
  <c r="H602" i="3"/>
  <c r="I602" i="3"/>
  <c r="J602" i="3"/>
  <c r="AH602" i="3" s="1"/>
  <c r="K602" i="3"/>
  <c r="L602" i="3"/>
  <c r="M602" i="3"/>
  <c r="N602" i="3"/>
  <c r="O602" i="3"/>
  <c r="P602" i="3"/>
  <c r="Q602" i="3"/>
  <c r="R602" i="3"/>
  <c r="S602" i="3"/>
  <c r="T602" i="3"/>
  <c r="Y602" i="3"/>
  <c r="Z602" i="3"/>
  <c r="AA602" i="3"/>
  <c r="AB602" i="3"/>
  <c r="AD602" i="3"/>
  <c r="AE602" i="3"/>
  <c r="AG602" i="3"/>
  <c r="A603" i="3"/>
  <c r="C603" i="3"/>
  <c r="E603" i="3"/>
  <c r="F603" i="3"/>
  <c r="G603" i="3"/>
  <c r="H603" i="3"/>
  <c r="I603" i="3"/>
  <c r="J603" i="3"/>
  <c r="AH603" i="3" s="1"/>
  <c r="K603" i="3"/>
  <c r="L603" i="3"/>
  <c r="M603" i="3"/>
  <c r="N603" i="3"/>
  <c r="O603" i="3"/>
  <c r="P603" i="3"/>
  <c r="Q603" i="3"/>
  <c r="R603" i="3"/>
  <c r="S603" i="3"/>
  <c r="T603" i="3"/>
  <c r="Y603" i="3"/>
  <c r="Z603" i="3"/>
  <c r="AA603" i="3"/>
  <c r="AB603" i="3"/>
  <c r="AD603" i="3"/>
  <c r="AE603" i="3"/>
  <c r="AG603" i="3"/>
  <c r="A604" i="3"/>
  <c r="C604" i="3"/>
  <c r="E604" i="3"/>
  <c r="F604" i="3"/>
  <c r="G604" i="3"/>
  <c r="H604" i="3"/>
  <c r="I604" i="3"/>
  <c r="J604" i="3"/>
  <c r="AH604" i="3" s="1"/>
  <c r="K604" i="3"/>
  <c r="L604" i="3"/>
  <c r="M604" i="3"/>
  <c r="N604" i="3"/>
  <c r="O604" i="3"/>
  <c r="P604" i="3"/>
  <c r="Q604" i="3"/>
  <c r="R604" i="3"/>
  <c r="S604" i="3"/>
  <c r="T604" i="3"/>
  <c r="Y604" i="3"/>
  <c r="Z604" i="3"/>
  <c r="AA604" i="3"/>
  <c r="AB604" i="3"/>
  <c r="AD604" i="3"/>
  <c r="AE604" i="3"/>
  <c r="AG604" i="3"/>
  <c r="A605" i="3"/>
  <c r="C605" i="3"/>
  <c r="E605" i="3"/>
  <c r="F605" i="3"/>
  <c r="G605" i="3"/>
  <c r="H605" i="3"/>
  <c r="I605" i="3"/>
  <c r="J605" i="3"/>
  <c r="AH605" i="3" s="1"/>
  <c r="K605" i="3"/>
  <c r="L605" i="3"/>
  <c r="M605" i="3"/>
  <c r="N605" i="3"/>
  <c r="O605" i="3"/>
  <c r="P605" i="3"/>
  <c r="Q605" i="3"/>
  <c r="R605" i="3"/>
  <c r="S605" i="3"/>
  <c r="T605" i="3"/>
  <c r="Y605" i="3"/>
  <c r="Z605" i="3"/>
  <c r="AA605" i="3"/>
  <c r="AB605" i="3"/>
  <c r="AD605" i="3"/>
  <c r="AE605" i="3"/>
  <c r="AG605" i="3"/>
  <c r="A606" i="3"/>
  <c r="C606" i="3"/>
  <c r="E606" i="3"/>
  <c r="F606" i="3"/>
  <c r="G606" i="3"/>
  <c r="H606" i="3"/>
  <c r="I606" i="3"/>
  <c r="J606" i="3"/>
  <c r="AH606" i="3" s="1"/>
  <c r="K606" i="3"/>
  <c r="L606" i="3"/>
  <c r="M606" i="3"/>
  <c r="N606" i="3"/>
  <c r="O606" i="3"/>
  <c r="P606" i="3"/>
  <c r="Q606" i="3"/>
  <c r="R606" i="3"/>
  <c r="S606" i="3"/>
  <c r="T606" i="3"/>
  <c r="Y606" i="3"/>
  <c r="Z606" i="3"/>
  <c r="AA606" i="3"/>
  <c r="AB606" i="3"/>
  <c r="AD606" i="3"/>
  <c r="AE606" i="3"/>
  <c r="AG606" i="3"/>
  <c r="A607" i="3"/>
  <c r="C607" i="3"/>
  <c r="E607" i="3"/>
  <c r="F607" i="3"/>
  <c r="G607" i="3"/>
  <c r="H607" i="3"/>
  <c r="I607" i="3"/>
  <c r="J607" i="3"/>
  <c r="AH607" i="3" s="1"/>
  <c r="K607" i="3"/>
  <c r="L607" i="3"/>
  <c r="M607" i="3"/>
  <c r="N607" i="3"/>
  <c r="O607" i="3"/>
  <c r="P607" i="3"/>
  <c r="Q607" i="3"/>
  <c r="R607" i="3"/>
  <c r="S607" i="3"/>
  <c r="T607" i="3"/>
  <c r="Y607" i="3"/>
  <c r="Z607" i="3"/>
  <c r="AA607" i="3"/>
  <c r="AB607" i="3"/>
  <c r="AD607" i="3"/>
  <c r="AE607" i="3"/>
  <c r="AG607" i="3"/>
  <c r="A608" i="3"/>
  <c r="C608" i="3"/>
  <c r="E608" i="3"/>
  <c r="F608" i="3"/>
  <c r="G608" i="3"/>
  <c r="H608" i="3"/>
  <c r="I608" i="3"/>
  <c r="J608" i="3"/>
  <c r="K608" i="3"/>
  <c r="L608" i="3"/>
  <c r="M608" i="3"/>
  <c r="N608" i="3"/>
  <c r="O608" i="3"/>
  <c r="P608" i="3"/>
  <c r="Q608" i="3"/>
  <c r="R608" i="3"/>
  <c r="S608" i="3"/>
  <c r="T608" i="3"/>
  <c r="Y608" i="3"/>
  <c r="Z608" i="3"/>
  <c r="AA608" i="3"/>
  <c r="AB608" i="3"/>
  <c r="AD608" i="3"/>
  <c r="AE608" i="3"/>
  <c r="AG608" i="3"/>
  <c r="AH608" i="3"/>
  <c r="A609" i="3"/>
  <c r="C609" i="3"/>
  <c r="E609" i="3"/>
  <c r="F609" i="3"/>
  <c r="G609" i="3"/>
  <c r="H609" i="3"/>
  <c r="I609" i="3"/>
  <c r="J609" i="3"/>
  <c r="AH609" i="3" s="1"/>
  <c r="K609" i="3"/>
  <c r="L609" i="3"/>
  <c r="M609" i="3"/>
  <c r="N609" i="3"/>
  <c r="O609" i="3"/>
  <c r="P609" i="3"/>
  <c r="Q609" i="3"/>
  <c r="R609" i="3"/>
  <c r="S609" i="3"/>
  <c r="T609" i="3"/>
  <c r="Y609" i="3"/>
  <c r="Z609" i="3"/>
  <c r="AA609" i="3"/>
  <c r="AB609" i="3"/>
  <c r="AD609" i="3"/>
  <c r="AE609" i="3"/>
  <c r="AG609" i="3"/>
  <c r="A610" i="3"/>
  <c r="C610" i="3"/>
  <c r="E610" i="3"/>
  <c r="F610" i="3"/>
  <c r="G610" i="3"/>
  <c r="H610" i="3"/>
  <c r="I610" i="3"/>
  <c r="J610" i="3"/>
  <c r="AH610" i="3" s="1"/>
  <c r="K610" i="3"/>
  <c r="L610" i="3"/>
  <c r="M610" i="3"/>
  <c r="N610" i="3"/>
  <c r="O610" i="3"/>
  <c r="P610" i="3"/>
  <c r="Q610" i="3"/>
  <c r="R610" i="3"/>
  <c r="S610" i="3"/>
  <c r="T610" i="3"/>
  <c r="Y610" i="3"/>
  <c r="Z610" i="3"/>
  <c r="AA610" i="3"/>
  <c r="AB610" i="3"/>
  <c r="AD610" i="3"/>
  <c r="AE610" i="3"/>
  <c r="AG610" i="3"/>
  <c r="A611" i="3"/>
  <c r="C611" i="3"/>
  <c r="E611" i="3"/>
  <c r="F611" i="3"/>
  <c r="G611" i="3"/>
  <c r="H611" i="3"/>
  <c r="I611" i="3"/>
  <c r="J611" i="3"/>
  <c r="K611" i="3"/>
  <c r="L611" i="3"/>
  <c r="M611" i="3"/>
  <c r="N611" i="3"/>
  <c r="O611" i="3"/>
  <c r="P611" i="3"/>
  <c r="Q611" i="3"/>
  <c r="R611" i="3"/>
  <c r="S611" i="3"/>
  <c r="T611" i="3"/>
  <c r="Y611" i="3"/>
  <c r="Z611" i="3"/>
  <c r="AA611" i="3"/>
  <c r="AB611" i="3"/>
  <c r="AD611" i="3"/>
  <c r="AE611" i="3"/>
  <c r="AG611" i="3"/>
  <c r="AH611" i="3"/>
  <c r="A612" i="3"/>
  <c r="C612" i="3"/>
  <c r="E612" i="3"/>
  <c r="F612" i="3"/>
  <c r="G612" i="3"/>
  <c r="H612" i="3"/>
  <c r="I612" i="3"/>
  <c r="J612" i="3"/>
  <c r="AH612" i="3" s="1"/>
  <c r="K612" i="3"/>
  <c r="L612" i="3"/>
  <c r="M612" i="3"/>
  <c r="N612" i="3"/>
  <c r="O612" i="3"/>
  <c r="P612" i="3"/>
  <c r="Q612" i="3"/>
  <c r="R612" i="3"/>
  <c r="S612" i="3"/>
  <c r="T612" i="3"/>
  <c r="Y612" i="3"/>
  <c r="Z612" i="3"/>
  <c r="AA612" i="3"/>
  <c r="AB612" i="3"/>
  <c r="AD612" i="3"/>
  <c r="AE612" i="3"/>
  <c r="AG612" i="3"/>
  <c r="A613" i="3"/>
  <c r="C613" i="3"/>
  <c r="E613" i="3"/>
  <c r="F613" i="3"/>
  <c r="G613" i="3"/>
  <c r="H613" i="3"/>
  <c r="I613" i="3"/>
  <c r="J613" i="3"/>
  <c r="AH613" i="3" s="1"/>
  <c r="K613" i="3"/>
  <c r="L613" i="3"/>
  <c r="M613" i="3"/>
  <c r="N613" i="3"/>
  <c r="O613" i="3"/>
  <c r="P613" i="3"/>
  <c r="Q613" i="3"/>
  <c r="R613" i="3"/>
  <c r="S613" i="3"/>
  <c r="T613" i="3"/>
  <c r="Y613" i="3"/>
  <c r="Z613" i="3"/>
  <c r="AA613" i="3"/>
  <c r="AB613" i="3"/>
  <c r="AD613" i="3"/>
  <c r="AE613" i="3"/>
  <c r="AG613" i="3"/>
  <c r="A614" i="3"/>
  <c r="C614" i="3"/>
  <c r="E614" i="3"/>
  <c r="F614" i="3"/>
  <c r="G614" i="3"/>
  <c r="H614" i="3"/>
  <c r="I614" i="3"/>
  <c r="J614" i="3"/>
  <c r="AH614" i="3" s="1"/>
  <c r="K614" i="3"/>
  <c r="L614" i="3"/>
  <c r="M614" i="3"/>
  <c r="N614" i="3"/>
  <c r="O614" i="3"/>
  <c r="P614" i="3"/>
  <c r="Q614" i="3"/>
  <c r="R614" i="3"/>
  <c r="S614" i="3"/>
  <c r="T614" i="3"/>
  <c r="Y614" i="3"/>
  <c r="Z614" i="3"/>
  <c r="AA614" i="3"/>
  <c r="AB614" i="3"/>
  <c r="AD614" i="3"/>
  <c r="AE614" i="3"/>
  <c r="AG614" i="3"/>
  <c r="A615" i="3"/>
  <c r="C615" i="3"/>
  <c r="E615" i="3"/>
  <c r="F615" i="3"/>
  <c r="G615" i="3"/>
  <c r="H615" i="3"/>
  <c r="I615" i="3"/>
  <c r="J615" i="3"/>
  <c r="AH615" i="3" s="1"/>
  <c r="K615" i="3"/>
  <c r="L615" i="3"/>
  <c r="M615" i="3"/>
  <c r="N615" i="3"/>
  <c r="O615" i="3"/>
  <c r="P615" i="3"/>
  <c r="Q615" i="3"/>
  <c r="R615" i="3"/>
  <c r="S615" i="3"/>
  <c r="T615" i="3"/>
  <c r="Y615" i="3"/>
  <c r="Z615" i="3"/>
  <c r="AA615" i="3"/>
  <c r="AB615" i="3"/>
  <c r="AD615" i="3"/>
  <c r="AE615" i="3"/>
  <c r="AG615" i="3"/>
  <c r="A616" i="3"/>
  <c r="C616" i="3"/>
  <c r="E616" i="3"/>
  <c r="F616" i="3"/>
  <c r="G616" i="3"/>
  <c r="H616" i="3"/>
  <c r="I616" i="3"/>
  <c r="J616" i="3"/>
  <c r="AH616" i="3" s="1"/>
  <c r="K616" i="3"/>
  <c r="L616" i="3"/>
  <c r="M616" i="3"/>
  <c r="N616" i="3"/>
  <c r="O616" i="3"/>
  <c r="P616" i="3"/>
  <c r="Q616" i="3"/>
  <c r="R616" i="3"/>
  <c r="S616" i="3"/>
  <c r="T616" i="3"/>
  <c r="Y616" i="3"/>
  <c r="Z616" i="3"/>
  <c r="AA616" i="3"/>
  <c r="AB616" i="3"/>
  <c r="AD616" i="3"/>
  <c r="AE616" i="3"/>
  <c r="AG616" i="3"/>
  <c r="A617" i="3"/>
  <c r="C617" i="3"/>
  <c r="E617" i="3"/>
  <c r="F617" i="3"/>
  <c r="G617" i="3"/>
  <c r="H617" i="3"/>
  <c r="I617" i="3"/>
  <c r="J617" i="3"/>
  <c r="AH617" i="3" s="1"/>
  <c r="K617" i="3"/>
  <c r="L617" i="3"/>
  <c r="M617" i="3"/>
  <c r="N617" i="3"/>
  <c r="O617" i="3"/>
  <c r="P617" i="3"/>
  <c r="Q617" i="3"/>
  <c r="R617" i="3"/>
  <c r="S617" i="3"/>
  <c r="T617" i="3"/>
  <c r="Y617" i="3"/>
  <c r="Z617" i="3"/>
  <c r="AA617" i="3"/>
  <c r="AB617" i="3"/>
  <c r="AD617" i="3"/>
  <c r="AE617" i="3"/>
  <c r="AG617" i="3"/>
  <c r="A618" i="3"/>
  <c r="C618" i="3"/>
  <c r="E618" i="3"/>
  <c r="F618" i="3"/>
  <c r="G618" i="3"/>
  <c r="H618" i="3"/>
  <c r="I618" i="3"/>
  <c r="J618" i="3"/>
  <c r="AH618" i="3" s="1"/>
  <c r="K618" i="3"/>
  <c r="L618" i="3"/>
  <c r="M618" i="3"/>
  <c r="N618" i="3"/>
  <c r="O618" i="3"/>
  <c r="P618" i="3"/>
  <c r="Q618" i="3"/>
  <c r="R618" i="3"/>
  <c r="S618" i="3"/>
  <c r="T618" i="3"/>
  <c r="Y618" i="3"/>
  <c r="Z618" i="3"/>
  <c r="AA618" i="3"/>
  <c r="AB618" i="3"/>
  <c r="AD618" i="3"/>
  <c r="AE618" i="3"/>
  <c r="AG618" i="3"/>
  <c r="A619" i="3"/>
  <c r="C619" i="3"/>
  <c r="E619" i="3"/>
  <c r="F619" i="3"/>
  <c r="G619" i="3"/>
  <c r="H619" i="3"/>
  <c r="I619" i="3"/>
  <c r="J619" i="3"/>
  <c r="AH619" i="3" s="1"/>
  <c r="K619" i="3"/>
  <c r="L619" i="3"/>
  <c r="M619" i="3"/>
  <c r="N619" i="3"/>
  <c r="O619" i="3"/>
  <c r="P619" i="3"/>
  <c r="Q619" i="3"/>
  <c r="R619" i="3"/>
  <c r="S619" i="3"/>
  <c r="T619" i="3"/>
  <c r="Y619" i="3"/>
  <c r="Z619" i="3"/>
  <c r="AA619" i="3"/>
  <c r="AB619" i="3"/>
  <c r="AD619" i="3"/>
  <c r="AE619" i="3"/>
  <c r="AG619" i="3"/>
  <c r="A620" i="3"/>
  <c r="C620" i="3"/>
  <c r="E620" i="3"/>
  <c r="F620" i="3"/>
  <c r="G620" i="3"/>
  <c r="H620" i="3"/>
  <c r="I620" i="3"/>
  <c r="J620" i="3"/>
  <c r="AH620" i="3" s="1"/>
  <c r="K620" i="3"/>
  <c r="L620" i="3"/>
  <c r="M620" i="3"/>
  <c r="N620" i="3"/>
  <c r="O620" i="3"/>
  <c r="P620" i="3"/>
  <c r="Q620" i="3"/>
  <c r="R620" i="3"/>
  <c r="S620" i="3"/>
  <c r="T620" i="3"/>
  <c r="Y620" i="3"/>
  <c r="Z620" i="3"/>
  <c r="AA620" i="3"/>
  <c r="AB620" i="3"/>
  <c r="AD620" i="3"/>
  <c r="AE620" i="3"/>
  <c r="AG620" i="3"/>
  <c r="A621" i="3"/>
  <c r="C621" i="3"/>
  <c r="E621" i="3"/>
  <c r="F621" i="3"/>
  <c r="G621" i="3"/>
  <c r="H621" i="3"/>
  <c r="I621" i="3"/>
  <c r="J621" i="3"/>
  <c r="AH621" i="3" s="1"/>
  <c r="K621" i="3"/>
  <c r="L621" i="3"/>
  <c r="M621" i="3"/>
  <c r="N621" i="3"/>
  <c r="O621" i="3"/>
  <c r="P621" i="3"/>
  <c r="Q621" i="3"/>
  <c r="R621" i="3"/>
  <c r="S621" i="3"/>
  <c r="T621" i="3"/>
  <c r="Y621" i="3"/>
  <c r="Z621" i="3"/>
  <c r="AA621" i="3"/>
  <c r="AB621" i="3"/>
  <c r="AD621" i="3"/>
  <c r="AE621" i="3"/>
  <c r="AG621" i="3"/>
  <c r="A622" i="3"/>
  <c r="C622" i="3"/>
  <c r="E622" i="3"/>
  <c r="F622" i="3"/>
  <c r="G622" i="3"/>
  <c r="H622" i="3"/>
  <c r="I622" i="3"/>
  <c r="J622" i="3"/>
  <c r="AH622" i="3" s="1"/>
  <c r="K622" i="3"/>
  <c r="L622" i="3"/>
  <c r="M622" i="3"/>
  <c r="N622" i="3"/>
  <c r="O622" i="3"/>
  <c r="P622" i="3"/>
  <c r="Q622" i="3"/>
  <c r="R622" i="3"/>
  <c r="S622" i="3"/>
  <c r="T622" i="3"/>
  <c r="Y622" i="3"/>
  <c r="Z622" i="3"/>
  <c r="AA622" i="3"/>
  <c r="AB622" i="3"/>
  <c r="AD622" i="3"/>
  <c r="AE622" i="3"/>
  <c r="AG622" i="3"/>
  <c r="A623" i="3"/>
  <c r="C623" i="3"/>
  <c r="E623" i="3"/>
  <c r="F623" i="3"/>
  <c r="G623" i="3"/>
  <c r="H623" i="3"/>
  <c r="I623" i="3"/>
  <c r="J623" i="3"/>
  <c r="AH623" i="3" s="1"/>
  <c r="K623" i="3"/>
  <c r="L623" i="3"/>
  <c r="M623" i="3"/>
  <c r="N623" i="3"/>
  <c r="O623" i="3"/>
  <c r="P623" i="3"/>
  <c r="Q623" i="3"/>
  <c r="R623" i="3"/>
  <c r="S623" i="3"/>
  <c r="T623" i="3"/>
  <c r="Y623" i="3"/>
  <c r="Z623" i="3"/>
  <c r="AA623" i="3"/>
  <c r="AB623" i="3"/>
  <c r="AD623" i="3"/>
  <c r="AE623" i="3"/>
  <c r="AG623" i="3"/>
  <c r="A624" i="3"/>
  <c r="C624" i="3"/>
  <c r="E624" i="3"/>
  <c r="F624" i="3"/>
  <c r="G624" i="3"/>
  <c r="H624" i="3"/>
  <c r="I624" i="3"/>
  <c r="J624" i="3"/>
  <c r="K624" i="3"/>
  <c r="L624" i="3"/>
  <c r="M624" i="3"/>
  <c r="N624" i="3"/>
  <c r="O624" i="3"/>
  <c r="P624" i="3"/>
  <c r="Q624" i="3"/>
  <c r="R624" i="3"/>
  <c r="S624" i="3"/>
  <c r="T624" i="3"/>
  <c r="Y624" i="3"/>
  <c r="Z624" i="3"/>
  <c r="AA624" i="3"/>
  <c r="AB624" i="3"/>
  <c r="AD624" i="3"/>
  <c r="AE624" i="3"/>
  <c r="AG624" i="3"/>
  <c r="AH624" i="3"/>
  <c r="A625" i="3"/>
  <c r="C625" i="3"/>
  <c r="E625" i="3"/>
  <c r="F625" i="3"/>
  <c r="G625" i="3"/>
  <c r="H625" i="3"/>
  <c r="I625" i="3"/>
  <c r="J625" i="3"/>
  <c r="AH625" i="3" s="1"/>
  <c r="K625" i="3"/>
  <c r="L625" i="3"/>
  <c r="M625" i="3"/>
  <c r="N625" i="3"/>
  <c r="O625" i="3"/>
  <c r="P625" i="3"/>
  <c r="Q625" i="3"/>
  <c r="R625" i="3"/>
  <c r="S625" i="3"/>
  <c r="T625" i="3"/>
  <c r="Y625" i="3"/>
  <c r="Z625" i="3"/>
  <c r="AA625" i="3"/>
  <c r="AB625" i="3"/>
  <c r="AD625" i="3"/>
  <c r="AE625" i="3"/>
  <c r="AG625" i="3"/>
  <c r="A626" i="3"/>
  <c r="C626" i="3"/>
  <c r="E626" i="3"/>
  <c r="F626" i="3"/>
  <c r="G626" i="3"/>
  <c r="H626" i="3"/>
  <c r="I626" i="3"/>
  <c r="J626" i="3"/>
  <c r="AH626" i="3" s="1"/>
  <c r="K626" i="3"/>
  <c r="L626" i="3"/>
  <c r="M626" i="3"/>
  <c r="N626" i="3"/>
  <c r="O626" i="3"/>
  <c r="P626" i="3"/>
  <c r="Q626" i="3"/>
  <c r="R626" i="3"/>
  <c r="S626" i="3"/>
  <c r="T626" i="3"/>
  <c r="Y626" i="3"/>
  <c r="Z626" i="3"/>
  <c r="AA626" i="3"/>
  <c r="AB626" i="3"/>
  <c r="AD626" i="3"/>
  <c r="AE626" i="3"/>
  <c r="AG626" i="3"/>
  <c r="A627" i="3"/>
  <c r="C627" i="3"/>
  <c r="E627" i="3"/>
  <c r="F627" i="3"/>
  <c r="G627" i="3"/>
  <c r="H627" i="3"/>
  <c r="I627" i="3"/>
  <c r="J627" i="3"/>
  <c r="K627" i="3"/>
  <c r="L627" i="3"/>
  <c r="M627" i="3"/>
  <c r="N627" i="3"/>
  <c r="O627" i="3"/>
  <c r="P627" i="3"/>
  <c r="Q627" i="3"/>
  <c r="R627" i="3"/>
  <c r="S627" i="3"/>
  <c r="T627" i="3"/>
  <c r="Y627" i="3"/>
  <c r="Z627" i="3"/>
  <c r="AA627" i="3"/>
  <c r="AB627" i="3"/>
  <c r="AD627" i="3"/>
  <c r="AE627" i="3"/>
  <c r="AG627" i="3"/>
  <c r="AH627" i="3"/>
  <c r="A628" i="3"/>
  <c r="C628" i="3"/>
  <c r="E628" i="3"/>
  <c r="F628" i="3"/>
  <c r="G628" i="3"/>
  <c r="H628" i="3"/>
  <c r="I628" i="3"/>
  <c r="J628" i="3"/>
  <c r="AH628" i="3" s="1"/>
  <c r="K628" i="3"/>
  <c r="L628" i="3"/>
  <c r="M628" i="3"/>
  <c r="N628" i="3"/>
  <c r="O628" i="3"/>
  <c r="P628" i="3"/>
  <c r="Q628" i="3"/>
  <c r="R628" i="3"/>
  <c r="S628" i="3"/>
  <c r="T628" i="3"/>
  <c r="Y628" i="3"/>
  <c r="Z628" i="3"/>
  <c r="AA628" i="3"/>
  <c r="AB628" i="3"/>
  <c r="AD628" i="3"/>
  <c r="AE628" i="3"/>
  <c r="AG628" i="3"/>
  <c r="A629" i="3"/>
  <c r="C629" i="3"/>
  <c r="E629" i="3"/>
  <c r="F629" i="3"/>
  <c r="G629" i="3"/>
  <c r="H629" i="3"/>
  <c r="I629" i="3"/>
  <c r="J629" i="3"/>
  <c r="AH629" i="3" s="1"/>
  <c r="K629" i="3"/>
  <c r="L629" i="3"/>
  <c r="M629" i="3"/>
  <c r="N629" i="3"/>
  <c r="O629" i="3"/>
  <c r="P629" i="3"/>
  <c r="Q629" i="3"/>
  <c r="R629" i="3"/>
  <c r="S629" i="3"/>
  <c r="T629" i="3"/>
  <c r="Y629" i="3"/>
  <c r="Z629" i="3"/>
  <c r="AA629" i="3"/>
  <c r="AB629" i="3"/>
  <c r="AD629" i="3"/>
  <c r="AE629" i="3"/>
  <c r="AG629" i="3"/>
  <c r="A630" i="3"/>
  <c r="C630" i="3"/>
  <c r="E630" i="3"/>
  <c r="F630" i="3"/>
  <c r="G630" i="3"/>
  <c r="H630" i="3"/>
  <c r="I630" i="3"/>
  <c r="J630" i="3"/>
  <c r="K630" i="3"/>
  <c r="L630" i="3"/>
  <c r="M630" i="3"/>
  <c r="N630" i="3"/>
  <c r="O630" i="3"/>
  <c r="P630" i="3"/>
  <c r="Q630" i="3"/>
  <c r="R630" i="3"/>
  <c r="S630" i="3"/>
  <c r="T630" i="3"/>
  <c r="Y630" i="3"/>
  <c r="Z630" i="3"/>
  <c r="AA630" i="3"/>
  <c r="AB630" i="3"/>
  <c r="AD630" i="3"/>
  <c r="AE630" i="3"/>
  <c r="AG630" i="3"/>
  <c r="AH630" i="3"/>
  <c r="A631" i="3"/>
  <c r="C631" i="3"/>
  <c r="E631" i="3"/>
  <c r="F631" i="3"/>
  <c r="G631" i="3"/>
  <c r="H631" i="3"/>
  <c r="I631" i="3"/>
  <c r="J631" i="3"/>
  <c r="AH631" i="3" s="1"/>
  <c r="K631" i="3"/>
  <c r="L631" i="3"/>
  <c r="M631" i="3"/>
  <c r="N631" i="3"/>
  <c r="O631" i="3"/>
  <c r="P631" i="3"/>
  <c r="Q631" i="3"/>
  <c r="R631" i="3"/>
  <c r="S631" i="3"/>
  <c r="T631" i="3"/>
  <c r="Y631" i="3"/>
  <c r="Z631" i="3"/>
  <c r="AA631" i="3"/>
  <c r="AB631" i="3"/>
  <c r="AD631" i="3"/>
  <c r="AE631" i="3"/>
  <c r="AG631" i="3"/>
  <c r="A632" i="3"/>
  <c r="C632" i="3"/>
  <c r="E632" i="3"/>
  <c r="F632" i="3"/>
  <c r="G632" i="3"/>
  <c r="H632" i="3"/>
  <c r="I632" i="3"/>
  <c r="J632" i="3"/>
  <c r="AH632" i="3" s="1"/>
  <c r="K632" i="3"/>
  <c r="L632" i="3"/>
  <c r="M632" i="3"/>
  <c r="N632" i="3"/>
  <c r="O632" i="3"/>
  <c r="P632" i="3"/>
  <c r="Q632" i="3"/>
  <c r="R632" i="3"/>
  <c r="S632" i="3"/>
  <c r="T632" i="3"/>
  <c r="Y632" i="3"/>
  <c r="Z632" i="3"/>
  <c r="AA632" i="3"/>
  <c r="AB632" i="3"/>
  <c r="AD632" i="3"/>
  <c r="AE632" i="3"/>
  <c r="AG632" i="3"/>
  <c r="A633" i="3"/>
  <c r="C633" i="3"/>
  <c r="E633" i="3"/>
  <c r="F633" i="3"/>
  <c r="G633" i="3"/>
  <c r="H633" i="3"/>
  <c r="I633" i="3"/>
  <c r="J633" i="3"/>
  <c r="K633" i="3"/>
  <c r="L633" i="3"/>
  <c r="M633" i="3"/>
  <c r="N633" i="3"/>
  <c r="O633" i="3"/>
  <c r="P633" i="3"/>
  <c r="Q633" i="3"/>
  <c r="R633" i="3"/>
  <c r="S633" i="3"/>
  <c r="T633" i="3"/>
  <c r="Y633" i="3"/>
  <c r="Z633" i="3"/>
  <c r="AA633" i="3"/>
  <c r="AB633" i="3"/>
  <c r="AD633" i="3"/>
  <c r="AE633" i="3"/>
  <c r="AG633" i="3"/>
  <c r="AH633" i="3"/>
  <c r="A634" i="3"/>
  <c r="C634" i="3"/>
  <c r="E634" i="3"/>
  <c r="F634" i="3"/>
  <c r="G634" i="3"/>
  <c r="H634" i="3"/>
  <c r="I634" i="3"/>
  <c r="J634" i="3"/>
  <c r="AH634" i="3" s="1"/>
  <c r="K634" i="3"/>
  <c r="L634" i="3"/>
  <c r="M634" i="3"/>
  <c r="N634" i="3"/>
  <c r="O634" i="3"/>
  <c r="P634" i="3"/>
  <c r="Q634" i="3"/>
  <c r="R634" i="3"/>
  <c r="S634" i="3"/>
  <c r="T634" i="3"/>
  <c r="Y634" i="3"/>
  <c r="Z634" i="3"/>
  <c r="AA634" i="3"/>
  <c r="AB634" i="3"/>
  <c r="AD634" i="3"/>
  <c r="AE634" i="3"/>
  <c r="AG634" i="3"/>
  <c r="A635" i="3"/>
  <c r="C635" i="3"/>
  <c r="E635" i="3"/>
  <c r="F635" i="3"/>
  <c r="G635" i="3"/>
  <c r="H635" i="3"/>
  <c r="I635" i="3"/>
  <c r="J635" i="3"/>
  <c r="AH635" i="3" s="1"/>
  <c r="K635" i="3"/>
  <c r="L635" i="3"/>
  <c r="M635" i="3"/>
  <c r="N635" i="3"/>
  <c r="O635" i="3"/>
  <c r="P635" i="3"/>
  <c r="Q635" i="3"/>
  <c r="R635" i="3"/>
  <c r="S635" i="3"/>
  <c r="T635" i="3"/>
  <c r="Y635" i="3"/>
  <c r="Z635" i="3"/>
  <c r="AA635" i="3"/>
  <c r="AB635" i="3"/>
  <c r="AD635" i="3"/>
  <c r="AE635" i="3"/>
  <c r="AG635" i="3"/>
  <c r="A636" i="3"/>
  <c r="C636" i="3"/>
  <c r="E636" i="3"/>
  <c r="F636" i="3"/>
  <c r="G636" i="3"/>
  <c r="H636" i="3"/>
  <c r="I636" i="3"/>
  <c r="J636" i="3"/>
  <c r="AH636" i="3" s="1"/>
  <c r="K636" i="3"/>
  <c r="L636" i="3"/>
  <c r="M636" i="3"/>
  <c r="N636" i="3"/>
  <c r="O636" i="3"/>
  <c r="P636" i="3"/>
  <c r="Q636" i="3"/>
  <c r="R636" i="3"/>
  <c r="S636" i="3"/>
  <c r="T636" i="3"/>
  <c r="Y636" i="3"/>
  <c r="Z636" i="3"/>
  <c r="AA636" i="3"/>
  <c r="AB636" i="3"/>
  <c r="AD636" i="3"/>
  <c r="AE636" i="3"/>
  <c r="AG636" i="3"/>
  <c r="A637" i="3"/>
  <c r="C637" i="3"/>
  <c r="E637" i="3"/>
  <c r="F637" i="3"/>
  <c r="G637" i="3"/>
  <c r="H637" i="3"/>
  <c r="I637" i="3"/>
  <c r="J637" i="3"/>
  <c r="AH637" i="3" s="1"/>
  <c r="K637" i="3"/>
  <c r="L637" i="3"/>
  <c r="M637" i="3"/>
  <c r="N637" i="3"/>
  <c r="O637" i="3"/>
  <c r="P637" i="3"/>
  <c r="Q637" i="3"/>
  <c r="R637" i="3"/>
  <c r="S637" i="3"/>
  <c r="T637" i="3"/>
  <c r="Y637" i="3"/>
  <c r="Z637" i="3"/>
  <c r="AA637" i="3"/>
  <c r="AB637" i="3"/>
  <c r="AD637" i="3"/>
  <c r="AE637" i="3"/>
  <c r="AG637" i="3"/>
  <c r="A638" i="3"/>
  <c r="C638" i="3"/>
  <c r="E638" i="3"/>
  <c r="F638" i="3"/>
  <c r="G638" i="3"/>
  <c r="H638" i="3"/>
  <c r="I638" i="3"/>
  <c r="J638" i="3"/>
  <c r="AH638" i="3" s="1"/>
  <c r="K638" i="3"/>
  <c r="L638" i="3"/>
  <c r="M638" i="3"/>
  <c r="N638" i="3"/>
  <c r="O638" i="3"/>
  <c r="P638" i="3"/>
  <c r="Q638" i="3"/>
  <c r="R638" i="3"/>
  <c r="S638" i="3"/>
  <c r="T638" i="3"/>
  <c r="Y638" i="3"/>
  <c r="Z638" i="3"/>
  <c r="AA638" i="3"/>
  <c r="AB638" i="3"/>
  <c r="AD638" i="3"/>
  <c r="AE638" i="3"/>
  <c r="AG638" i="3"/>
  <c r="A639" i="3"/>
  <c r="C639" i="3"/>
  <c r="E639" i="3"/>
  <c r="F639" i="3"/>
  <c r="G639" i="3"/>
  <c r="H639" i="3"/>
  <c r="I639" i="3"/>
  <c r="J639" i="3"/>
  <c r="AH639" i="3" s="1"/>
  <c r="K639" i="3"/>
  <c r="L639" i="3"/>
  <c r="M639" i="3"/>
  <c r="N639" i="3"/>
  <c r="O639" i="3"/>
  <c r="P639" i="3"/>
  <c r="Q639" i="3"/>
  <c r="R639" i="3"/>
  <c r="S639" i="3"/>
  <c r="T639" i="3"/>
  <c r="Y639" i="3"/>
  <c r="Z639" i="3"/>
  <c r="AA639" i="3"/>
  <c r="AB639" i="3"/>
  <c r="AD639" i="3"/>
  <c r="AE639" i="3"/>
  <c r="AG639" i="3"/>
  <c r="A640" i="3"/>
  <c r="C640" i="3"/>
  <c r="E640" i="3"/>
  <c r="F640" i="3"/>
  <c r="G640" i="3"/>
  <c r="H640" i="3"/>
  <c r="I640" i="3"/>
  <c r="J640" i="3"/>
  <c r="AH640" i="3" s="1"/>
  <c r="K640" i="3"/>
  <c r="L640" i="3"/>
  <c r="M640" i="3"/>
  <c r="N640" i="3"/>
  <c r="O640" i="3"/>
  <c r="P640" i="3"/>
  <c r="Q640" i="3"/>
  <c r="R640" i="3"/>
  <c r="S640" i="3"/>
  <c r="T640" i="3"/>
  <c r="Y640" i="3"/>
  <c r="Z640" i="3"/>
  <c r="AA640" i="3"/>
  <c r="AB640" i="3"/>
  <c r="AD640" i="3"/>
  <c r="AE640" i="3"/>
  <c r="AG640" i="3"/>
  <c r="A641" i="3"/>
  <c r="C641" i="3"/>
  <c r="E641" i="3"/>
  <c r="F641" i="3"/>
  <c r="G641" i="3"/>
  <c r="H641" i="3"/>
  <c r="I641" i="3"/>
  <c r="J641" i="3"/>
  <c r="AH641" i="3" s="1"/>
  <c r="K641" i="3"/>
  <c r="L641" i="3"/>
  <c r="M641" i="3"/>
  <c r="N641" i="3"/>
  <c r="O641" i="3"/>
  <c r="P641" i="3"/>
  <c r="Q641" i="3"/>
  <c r="R641" i="3"/>
  <c r="S641" i="3"/>
  <c r="T641" i="3"/>
  <c r="Y641" i="3"/>
  <c r="Z641" i="3"/>
  <c r="AA641" i="3"/>
  <c r="AB641" i="3"/>
  <c r="AD641" i="3"/>
  <c r="AE641" i="3"/>
  <c r="AG641" i="3"/>
  <c r="A642" i="3"/>
  <c r="C642" i="3"/>
  <c r="E642" i="3"/>
  <c r="F642" i="3"/>
  <c r="G642" i="3"/>
  <c r="H642" i="3"/>
  <c r="I642" i="3"/>
  <c r="J642" i="3"/>
  <c r="AH642" i="3" s="1"/>
  <c r="K642" i="3"/>
  <c r="L642" i="3"/>
  <c r="M642" i="3"/>
  <c r="N642" i="3"/>
  <c r="O642" i="3"/>
  <c r="P642" i="3"/>
  <c r="Q642" i="3"/>
  <c r="R642" i="3"/>
  <c r="S642" i="3"/>
  <c r="T642" i="3"/>
  <c r="Y642" i="3"/>
  <c r="Z642" i="3"/>
  <c r="AA642" i="3"/>
  <c r="AB642" i="3"/>
  <c r="AD642" i="3"/>
  <c r="AE642" i="3"/>
  <c r="AG642" i="3"/>
  <c r="A643" i="3"/>
  <c r="C643" i="3"/>
  <c r="E643" i="3"/>
  <c r="F643" i="3"/>
  <c r="G643" i="3"/>
  <c r="H643" i="3"/>
  <c r="I643" i="3"/>
  <c r="J643" i="3"/>
  <c r="AH643" i="3" s="1"/>
  <c r="K643" i="3"/>
  <c r="L643" i="3"/>
  <c r="M643" i="3"/>
  <c r="N643" i="3"/>
  <c r="O643" i="3"/>
  <c r="P643" i="3"/>
  <c r="Q643" i="3"/>
  <c r="R643" i="3"/>
  <c r="S643" i="3"/>
  <c r="T643" i="3"/>
  <c r="Y643" i="3"/>
  <c r="Z643" i="3"/>
  <c r="AA643" i="3"/>
  <c r="AB643" i="3"/>
  <c r="AD643" i="3"/>
  <c r="AE643" i="3"/>
  <c r="AG643" i="3"/>
  <c r="A644" i="3"/>
  <c r="C644" i="3"/>
  <c r="E644" i="3"/>
  <c r="F644" i="3"/>
  <c r="G644" i="3"/>
  <c r="H644" i="3"/>
  <c r="I644" i="3"/>
  <c r="J644" i="3"/>
  <c r="AH644" i="3" s="1"/>
  <c r="K644" i="3"/>
  <c r="L644" i="3"/>
  <c r="M644" i="3"/>
  <c r="N644" i="3"/>
  <c r="O644" i="3"/>
  <c r="P644" i="3"/>
  <c r="Q644" i="3"/>
  <c r="R644" i="3"/>
  <c r="S644" i="3"/>
  <c r="T644" i="3"/>
  <c r="Y644" i="3"/>
  <c r="Z644" i="3"/>
  <c r="AA644" i="3"/>
  <c r="AB644" i="3"/>
  <c r="AD644" i="3"/>
  <c r="AE644" i="3"/>
  <c r="AG644" i="3"/>
  <c r="A645" i="3"/>
  <c r="C645" i="3"/>
  <c r="E645" i="3"/>
  <c r="F645" i="3"/>
  <c r="G645" i="3"/>
  <c r="H645" i="3"/>
  <c r="I645" i="3"/>
  <c r="J645" i="3"/>
  <c r="AH645" i="3" s="1"/>
  <c r="K645" i="3"/>
  <c r="L645" i="3"/>
  <c r="M645" i="3"/>
  <c r="N645" i="3"/>
  <c r="O645" i="3"/>
  <c r="P645" i="3"/>
  <c r="Q645" i="3"/>
  <c r="R645" i="3"/>
  <c r="S645" i="3"/>
  <c r="T645" i="3"/>
  <c r="Y645" i="3"/>
  <c r="Z645" i="3"/>
  <c r="AA645" i="3"/>
  <c r="AB645" i="3"/>
  <c r="AD645" i="3"/>
  <c r="AE645" i="3"/>
  <c r="AG645" i="3"/>
  <c r="A646" i="3"/>
  <c r="C646" i="3"/>
  <c r="E646" i="3"/>
  <c r="F646" i="3"/>
  <c r="G646" i="3"/>
  <c r="H646" i="3"/>
  <c r="I646" i="3"/>
  <c r="J646" i="3"/>
  <c r="K646" i="3"/>
  <c r="L646" i="3"/>
  <c r="M646" i="3"/>
  <c r="N646" i="3"/>
  <c r="O646" i="3"/>
  <c r="P646" i="3"/>
  <c r="Q646" i="3"/>
  <c r="R646" i="3"/>
  <c r="S646" i="3"/>
  <c r="T646" i="3"/>
  <c r="Y646" i="3"/>
  <c r="Z646" i="3"/>
  <c r="AA646" i="3"/>
  <c r="AB646" i="3"/>
  <c r="AD646" i="3"/>
  <c r="AE646" i="3"/>
  <c r="AG646" i="3"/>
  <c r="AH646" i="3"/>
  <c r="A647" i="3"/>
  <c r="C647" i="3"/>
  <c r="E647" i="3"/>
  <c r="F647" i="3"/>
  <c r="G647" i="3"/>
  <c r="H647" i="3"/>
  <c r="I647" i="3"/>
  <c r="J647" i="3"/>
  <c r="AH647" i="3" s="1"/>
  <c r="K647" i="3"/>
  <c r="L647" i="3"/>
  <c r="M647" i="3"/>
  <c r="N647" i="3"/>
  <c r="O647" i="3"/>
  <c r="P647" i="3"/>
  <c r="Q647" i="3"/>
  <c r="R647" i="3"/>
  <c r="S647" i="3"/>
  <c r="T647" i="3"/>
  <c r="Y647" i="3"/>
  <c r="Z647" i="3"/>
  <c r="AA647" i="3"/>
  <c r="AB647" i="3"/>
  <c r="AD647" i="3"/>
  <c r="AE647" i="3"/>
  <c r="AG647" i="3"/>
  <c r="A648" i="3"/>
  <c r="C648" i="3"/>
  <c r="E648" i="3"/>
  <c r="F648" i="3"/>
  <c r="G648" i="3"/>
  <c r="H648" i="3"/>
  <c r="I648" i="3"/>
  <c r="J648" i="3"/>
  <c r="AH648" i="3" s="1"/>
  <c r="K648" i="3"/>
  <c r="L648" i="3"/>
  <c r="M648" i="3"/>
  <c r="N648" i="3"/>
  <c r="O648" i="3"/>
  <c r="P648" i="3"/>
  <c r="Q648" i="3"/>
  <c r="R648" i="3"/>
  <c r="S648" i="3"/>
  <c r="T648" i="3"/>
  <c r="Y648" i="3"/>
  <c r="Z648" i="3"/>
  <c r="AA648" i="3"/>
  <c r="AB648" i="3"/>
  <c r="AD648" i="3"/>
  <c r="AE648" i="3"/>
  <c r="AG648" i="3"/>
  <c r="A649" i="3"/>
  <c r="C649" i="3"/>
  <c r="E649" i="3"/>
  <c r="F649" i="3"/>
  <c r="G649" i="3"/>
  <c r="H649" i="3"/>
  <c r="I649" i="3"/>
  <c r="J649" i="3"/>
  <c r="K649" i="3"/>
  <c r="L649" i="3"/>
  <c r="M649" i="3"/>
  <c r="N649" i="3"/>
  <c r="O649" i="3"/>
  <c r="P649" i="3"/>
  <c r="Q649" i="3"/>
  <c r="R649" i="3"/>
  <c r="S649" i="3"/>
  <c r="T649" i="3"/>
  <c r="Y649" i="3"/>
  <c r="Z649" i="3"/>
  <c r="AA649" i="3"/>
  <c r="AB649" i="3"/>
  <c r="AD649" i="3"/>
  <c r="AE649" i="3"/>
  <c r="AG649" i="3"/>
  <c r="AH649" i="3"/>
  <c r="A650" i="3"/>
  <c r="C650" i="3"/>
  <c r="E650" i="3"/>
  <c r="F650" i="3"/>
  <c r="G650" i="3"/>
  <c r="H650" i="3"/>
  <c r="I650" i="3"/>
  <c r="J650" i="3"/>
  <c r="AH650" i="3" s="1"/>
  <c r="K650" i="3"/>
  <c r="L650" i="3"/>
  <c r="M650" i="3"/>
  <c r="N650" i="3"/>
  <c r="O650" i="3"/>
  <c r="P650" i="3"/>
  <c r="Q650" i="3"/>
  <c r="R650" i="3"/>
  <c r="S650" i="3"/>
  <c r="T650" i="3"/>
  <c r="Y650" i="3"/>
  <c r="Z650" i="3"/>
  <c r="AA650" i="3"/>
  <c r="AB650" i="3"/>
  <c r="AD650" i="3"/>
  <c r="AE650" i="3"/>
  <c r="AG650" i="3"/>
  <c r="A651" i="3"/>
  <c r="C651" i="3"/>
  <c r="E651" i="3"/>
  <c r="F651" i="3"/>
  <c r="G651" i="3"/>
  <c r="H651" i="3"/>
  <c r="I651" i="3"/>
  <c r="J651" i="3"/>
  <c r="AH651" i="3" s="1"/>
  <c r="K651" i="3"/>
  <c r="L651" i="3"/>
  <c r="M651" i="3"/>
  <c r="N651" i="3"/>
  <c r="O651" i="3"/>
  <c r="P651" i="3"/>
  <c r="Q651" i="3"/>
  <c r="R651" i="3"/>
  <c r="S651" i="3"/>
  <c r="T651" i="3"/>
  <c r="Y651" i="3"/>
  <c r="Z651" i="3"/>
  <c r="AA651" i="3"/>
  <c r="AB651" i="3"/>
  <c r="AD651" i="3"/>
  <c r="AE651" i="3"/>
  <c r="AG651" i="3"/>
  <c r="A652" i="3"/>
  <c r="C652" i="3"/>
  <c r="E652" i="3"/>
  <c r="F652" i="3"/>
  <c r="G652" i="3"/>
  <c r="H652" i="3"/>
  <c r="I652" i="3"/>
  <c r="J652" i="3"/>
  <c r="K652" i="3"/>
  <c r="L652" i="3"/>
  <c r="M652" i="3"/>
  <c r="N652" i="3"/>
  <c r="O652" i="3"/>
  <c r="P652" i="3"/>
  <c r="Q652" i="3"/>
  <c r="R652" i="3"/>
  <c r="S652" i="3"/>
  <c r="T652" i="3"/>
  <c r="Y652" i="3"/>
  <c r="Z652" i="3"/>
  <c r="AA652" i="3"/>
  <c r="AB652" i="3"/>
  <c r="AD652" i="3"/>
  <c r="AE652" i="3"/>
  <c r="AG652" i="3"/>
  <c r="AH652" i="3"/>
  <c r="A653" i="3"/>
  <c r="C653" i="3"/>
  <c r="E653" i="3"/>
  <c r="F653" i="3"/>
  <c r="G653" i="3"/>
  <c r="H653" i="3"/>
  <c r="I653" i="3"/>
  <c r="J653" i="3"/>
  <c r="AH653" i="3" s="1"/>
  <c r="K653" i="3"/>
  <c r="L653" i="3"/>
  <c r="M653" i="3"/>
  <c r="N653" i="3"/>
  <c r="O653" i="3"/>
  <c r="P653" i="3"/>
  <c r="Q653" i="3"/>
  <c r="R653" i="3"/>
  <c r="S653" i="3"/>
  <c r="T653" i="3"/>
  <c r="Y653" i="3"/>
  <c r="Z653" i="3"/>
  <c r="AA653" i="3"/>
  <c r="AB653" i="3"/>
  <c r="AD653" i="3"/>
  <c r="AE653" i="3"/>
  <c r="AG653" i="3"/>
  <c r="A654" i="3"/>
  <c r="C654" i="3"/>
  <c r="E654" i="3"/>
  <c r="F654" i="3"/>
  <c r="G654" i="3"/>
  <c r="H654" i="3"/>
  <c r="I654" i="3"/>
  <c r="J654" i="3"/>
  <c r="AH654" i="3" s="1"/>
  <c r="K654" i="3"/>
  <c r="L654" i="3"/>
  <c r="M654" i="3"/>
  <c r="N654" i="3"/>
  <c r="O654" i="3"/>
  <c r="P654" i="3"/>
  <c r="Q654" i="3"/>
  <c r="R654" i="3"/>
  <c r="S654" i="3"/>
  <c r="T654" i="3"/>
  <c r="Y654" i="3"/>
  <c r="Z654" i="3"/>
  <c r="AA654" i="3"/>
  <c r="AB654" i="3"/>
  <c r="AD654" i="3"/>
  <c r="AE654" i="3"/>
  <c r="AG654" i="3"/>
  <c r="A655" i="3"/>
  <c r="C655" i="3"/>
  <c r="E655" i="3"/>
  <c r="F655" i="3"/>
  <c r="G655" i="3"/>
  <c r="H655" i="3"/>
  <c r="I655" i="3"/>
  <c r="J655" i="3"/>
  <c r="K655" i="3"/>
  <c r="L655" i="3"/>
  <c r="M655" i="3"/>
  <c r="N655" i="3"/>
  <c r="O655" i="3"/>
  <c r="P655" i="3"/>
  <c r="Q655" i="3"/>
  <c r="R655" i="3"/>
  <c r="S655" i="3"/>
  <c r="T655" i="3"/>
  <c r="Y655" i="3"/>
  <c r="Z655" i="3"/>
  <c r="AA655" i="3"/>
  <c r="AB655" i="3"/>
  <c r="AD655" i="3"/>
  <c r="AE655" i="3"/>
  <c r="AG655" i="3"/>
  <c r="AH655" i="3"/>
  <c r="A656" i="3"/>
  <c r="C656" i="3"/>
  <c r="E656" i="3"/>
  <c r="F656" i="3"/>
  <c r="G656" i="3"/>
  <c r="H656" i="3"/>
  <c r="I656" i="3"/>
  <c r="J656" i="3"/>
  <c r="AH656" i="3" s="1"/>
  <c r="K656" i="3"/>
  <c r="L656" i="3"/>
  <c r="M656" i="3"/>
  <c r="N656" i="3"/>
  <c r="O656" i="3"/>
  <c r="P656" i="3"/>
  <c r="Q656" i="3"/>
  <c r="R656" i="3"/>
  <c r="S656" i="3"/>
  <c r="T656" i="3"/>
  <c r="Y656" i="3"/>
  <c r="Z656" i="3"/>
  <c r="AA656" i="3"/>
  <c r="AB656" i="3"/>
  <c r="AD656" i="3"/>
  <c r="AE656" i="3"/>
  <c r="AG656" i="3"/>
  <c r="A657" i="3"/>
  <c r="C657" i="3"/>
  <c r="E657" i="3"/>
  <c r="F657" i="3"/>
  <c r="G657" i="3"/>
  <c r="H657" i="3"/>
  <c r="I657" i="3"/>
  <c r="J657" i="3"/>
  <c r="AH657" i="3" s="1"/>
  <c r="K657" i="3"/>
  <c r="L657" i="3"/>
  <c r="M657" i="3"/>
  <c r="N657" i="3"/>
  <c r="O657" i="3"/>
  <c r="P657" i="3"/>
  <c r="Q657" i="3"/>
  <c r="R657" i="3"/>
  <c r="S657" i="3"/>
  <c r="T657" i="3"/>
  <c r="Y657" i="3"/>
  <c r="Z657" i="3"/>
  <c r="AA657" i="3"/>
  <c r="AB657" i="3"/>
  <c r="AD657" i="3"/>
  <c r="AE657" i="3"/>
  <c r="AG657" i="3"/>
  <c r="A658" i="3"/>
  <c r="C658" i="3"/>
  <c r="E658" i="3"/>
  <c r="F658" i="3"/>
  <c r="G658" i="3"/>
  <c r="H658" i="3"/>
  <c r="I658" i="3"/>
  <c r="J658" i="3"/>
  <c r="AH658" i="3" s="1"/>
  <c r="K658" i="3"/>
  <c r="L658" i="3"/>
  <c r="M658" i="3"/>
  <c r="N658" i="3"/>
  <c r="O658" i="3"/>
  <c r="P658" i="3"/>
  <c r="Q658" i="3"/>
  <c r="R658" i="3"/>
  <c r="S658" i="3"/>
  <c r="T658" i="3"/>
  <c r="Y658" i="3"/>
  <c r="Z658" i="3"/>
  <c r="AA658" i="3"/>
  <c r="AB658" i="3"/>
  <c r="AD658" i="3"/>
  <c r="AE658" i="3"/>
  <c r="AG658" i="3"/>
  <c r="A659" i="3"/>
  <c r="C659" i="3"/>
  <c r="E659" i="3"/>
  <c r="F659" i="3"/>
  <c r="G659" i="3"/>
  <c r="H659" i="3"/>
  <c r="I659" i="3"/>
  <c r="J659" i="3"/>
  <c r="AH659" i="3" s="1"/>
  <c r="K659" i="3"/>
  <c r="L659" i="3"/>
  <c r="M659" i="3"/>
  <c r="N659" i="3"/>
  <c r="O659" i="3"/>
  <c r="P659" i="3"/>
  <c r="Q659" i="3"/>
  <c r="R659" i="3"/>
  <c r="S659" i="3"/>
  <c r="T659" i="3"/>
  <c r="Y659" i="3"/>
  <c r="Z659" i="3"/>
  <c r="AA659" i="3"/>
  <c r="AB659" i="3"/>
  <c r="AD659" i="3"/>
  <c r="AE659" i="3"/>
  <c r="AG659" i="3"/>
  <c r="A660" i="3"/>
  <c r="C660" i="3"/>
  <c r="E660" i="3"/>
  <c r="F660" i="3"/>
  <c r="G660" i="3"/>
  <c r="H660" i="3"/>
  <c r="I660" i="3"/>
  <c r="J660" i="3"/>
  <c r="AH660" i="3" s="1"/>
  <c r="K660" i="3"/>
  <c r="L660" i="3"/>
  <c r="M660" i="3"/>
  <c r="N660" i="3"/>
  <c r="O660" i="3"/>
  <c r="P660" i="3"/>
  <c r="Q660" i="3"/>
  <c r="R660" i="3"/>
  <c r="S660" i="3"/>
  <c r="T660" i="3"/>
  <c r="Y660" i="3"/>
  <c r="Z660" i="3"/>
  <c r="AA660" i="3"/>
  <c r="AB660" i="3"/>
  <c r="AD660" i="3"/>
  <c r="AE660" i="3"/>
  <c r="AG660" i="3"/>
  <c r="A661" i="3"/>
  <c r="C661" i="3"/>
  <c r="E661" i="3"/>
  <c r="F661" i="3"/>
  <c r="G661" i="3"/>
  <c r="H661" i="3"/>
  <c r="I661" i="3"/>
  <c r="J661" i="3"/>
  <c r="AH661" i="3" s="1"/>
  <c r="K661" i="3"/>
  <c r="L661" i="3"/>
  <c r="M661" i="3"/>
  <c r="N661" i="3"/>
  <c r="O661" i="3"/>
  <c r="P661" i="3"/>
  <c r="Q661" i="3"/>
  <c r="R661" i="3"/>
  <c r="S661" i="3"/>
  <c r="T661" i="3"/>
  <c r="Y661" i="3"/>
  <c r="Z661" i="3"/>
  <c r="AA661" i="3"/>
  <c r="AB661" i="3"/>
  <c r="AD661" i="3"/>
  <c r="AE661" i="3"/>
  <c r="AG661" i="3"/>
  <c r="A662" i="3"/>
  <c r="C662" i="3"/>
  <c r="E662" i="3"/>
  <c r="F662" i="3"/>
  <c r="G662" i="3"/>
  <c r="H662" i="3"/>
  <c r="I662" i="3"/>
  <c r="J662" i="3"/>
  <c r="AH662" i="3" s="1"/>
  <c r="K662" i="3"/>
  <c r="L662" i="3"/>
  <c r="M662" i="3"/>
  <c r="N662" i="3"/>
  <c r="O662" i="3"/>
  <c r="P662" i="3"/>
  <c r="Q662" i="3"/>
  <c r="R662" i="3"/>
  <c r="S662" i="3"/>
  <c r="T662" i="3"/>
  <c r="Y662" i="3"/>
  <c r="Z662" i="3"/>
  <c r="AA662" i="3"/>
  <c r="AB662" i="3"/>
  <c r="AD662" i="3"/>
  <c r="AE662" i="3"/>
  <c r="AG662" i="3"/>
  <c r="A663" i="3"/>
  <c r="C663" i="3"/>
  <c r="E663" i="3"/>
  <c r="F663" i="3"/>
  <c r="G663" i="3"/>
  <c r="H663" i="3"/>
  <c r="I663" i="3"/>
  <c r="J663" i="3"/>
  <c r="AH663" i="3" s="1"/>
  <c r="K663" i="3"/>
  <c r="L663" i="3"/>
  <c r="M663" i="3"/>
  <c r="N663" i="3"/>
  <c r="O663" i="3"/>
  <c r="P663" i="3"/>
  <c r="Q663" i="3"/>
  <c r="R663" i="3"/>
  <c r="S663" i="3"/>
  <c r="T663" i="3"/>
  <c r="Y663" i="3"/>
  <c r="Z663" i="3"/>
  <c r="AA663" i="3"/>
  <c r="AB663" i="3"/>
  <c r="AD663" i="3"/>
  <c r="AE663" i="3"/>
  <c r="AG663" i="3"/>
  <c r="A664" i="3"/>
  <c r="C664" i="3"/>
  <c r="E664" i="3"/>
  <c r="F664" i="3"/>
  <c r="G664" i="3"/>
  <c r="H664" i="3"/>
  <c r="I664" i="3"/>
  <c r="J664" i="3"/>
  <c r="AH664" i="3" s="1"/>
  <c r="K664" i="3"/>
  <c r="L664" i="3"/>
  <c r="M664" i="3"/>
  <c r="N664" i="3"/>
  <c r="O664" i="3"/>
  <c r="P664" i="3"/>
  <c r="Q664" i="3"/>
  <c r="R664" i="3"/>
  <c r="S664" i="3"/>
  <c r="T664" i="3"/>
  <c r="Y664" i="3"/>
  <c r="Z664" i="3"/>
  <c r="AA664" i="3"/>
  <c r="AB664" i="3"/>
  <c r="AD664" i="3"/>
  <c r="AE664" i="3"/>
  <c r="AG664" i="3"/>
  <c r="A665" i="3"/>
  <c r="C665" i="3"/>
  <c r="E665" i="3"/>
  <c r="F665" i="3"/>
  <c r="G665" i="3"/>
  <c r="H665" i="3"/>
  <c r="I665" i="3"/>
  <c r="J665" i="3"/>
  <c r="AH665" i="3" s="1"/>
  <c r="K665" i="3"/>
  <c r="L665" i="3"/>
  <c r="M665" i="3"/>
  <c r="N665" i="3"/>
  <c r="O665" i="3"/>
  <c r="P665" i="3"/>
  <c r="Q665" i="3"/>
  <c r="R665" i="3"/>
  <c r="S665" i="3"/>
  <c r="T665" i="3"/>
  <c r="Y665" i="3"/>
  <c r="Z665" i="3"/>
  <c r="AA665" i="3"/>
  <c r="AB665" i="3"/>
  <c r="AD665" i="3"/>
  <c r="AE665" i="3"/>
  <c r="AG665" i="3"/>
  <c r="A666" i="3"/>
  <c r="C666" i="3"/>
  <c r="E666" i="3"/>
  <c r="F666" i="3"/>
  <c r="G666" i="3"/>
  <c r="H666" i="3"/>
  <c r="I666" i="3"/>
  <c r="J666" i="3"/>
  <c r="AH666" i="3" s="1"/>
  <c r="K666" i="3"/>
  <c r="L666" i="3"/>
  <c r="M666" i="3"/>
  <c r="N666" i="3"/>
  <c r="O666" i="3"/>
  <c r="P666" i="3"/>
  <c r="Q666" i="3"/>
  <c r="R666" i="3"/>
  <c r="S666" i="3"/>
  <c r="T666" i="3"/>
  <c r="Y666" i="3"/>
  <c r="Z666" i="3"/>
  <c r="AA666" i="3"/>
  <c r="AB666" i="3"/>
  <c r="AD666" i="3"/>
  <c r="AE666" i="3"/>
  <c r="AG666" i="3"/>
  <c r="A667" i="3"/>
  <c r="C667" i="3"/>
  <c r="E667" i="3"/>
  <c r="F667" i="3"/>
  <c r="G667" i="3"/>
  <c r="H667" i="3"/>
  <c r="I667" i="3"/>
  <c r="J667" i="3"/>
  <c r="AH667" i="3" s="1"/>
  <c r="K667" i="3"/>
  <c r="L667" i="3"/>
  <c r="M667" i="3"/>
  <c r="N667" i="3"/>
  <c r="O667" i="3"/>
  <c r="P667" i="3"/>
  <c r="Q667" i="3"/>
  <c r="R667" i="3"/>
  <c r="S667" i="3"/>
  <c r="T667" i="3"/>
  <c r="Y667" i="3"/>
  <c r="Z667" i="3"/>
  <c r="AA667" i="3"/>
  <c r="AB667" i="3"/>
  <c r="AD667" i="3"/>
  <c r="AE667" i="3"/>
  <c r="AG667" i="3"/>
  <c r="A668" i="3"/>
  <c r="C668" i="3"/>
  <c r="E668" i="3"/>
  <c r="F668" i="3"/>
  <c r="G668" i="3"/>
  <c r="H668" i="3"/>
  <c r="I668" i="3"/>
  <c r="J668" i="3"/>
  <c r="K668" i="3"/>
  <c r="L668" i="3"/>
  <c r="M668" i="3"/>
  <c r="N668" i="3"/>
  <c r="O668" i="3"/>
  <c r="P668" i="3"/>
  <c r="Q668" i="3"/>
  <c r="R668" i="3"/>
  <c r="S668" i="3"/>
  <c r="T668" i="3"/>
  <c r="Y668" i="3"/>
  <c r="Z668" i="3"/>
  <c r="AA668" i="3"/>
  <c r="AB668" i="3"/>
  <c r="AD668" i="3"/>
  <c r="AE668" i="3"/>
  <c r="AG668" i="3"/>
  <c r="AH668" i="3"/>
  <c r="A669" i="3"/>
  <c r="C669" i="3"/>
  <c r="E669" i="3"/>
  <c r="F669" i="3"/>
  <c r="G669" i="3"/>
  <c r="H669" i="3"/>
  <c r="I669" i="3"/>
  <c r="J669" i="3"/>
  <c r="AH669" i="3" s="1"/>
  <c r="K669" i="3"/>
  <c r="L669" i="3"/>
  <c r="M669" i="3"/>
  <c r="N669" i="3"/>
  <c r="O669" i="3"/>
  <c r="P669" i="3"/>
  <c r="Q669" i="3"/>
  <c r="R669" i="3"/>
  <c r="S669" i="3"/>
  <c r="T669" i="3"/>
  <c r="Y669" i="3"/>
  <c r="Z669" i="3"/>
  <c r="AA669" i="3"/>
  <c r="AB669" i="3"/>
  <c r="AD669" i="3"/>
  <c r="AE669" i="3"/>
  <c r="AG669" i="3"/>
  <c r="A670" i="3"/>
  <c r="C670" i="3"/>
  <c r="E670" i="3"/>
  <c r="F670" i="3"/>
  <c r="G670" i="3"/>
  <c r="H670" i="3"/>
  <c r="I670" i="3"/>
  <c r="J670" i="3"/>
  <c r="AH670" i="3" s="1"/>
  <c r="K670" i="3"/>
  <c r="L670" i="3"/>
  <c r="M670" i="3"/>
  <c r="N670" i="3"/>
  <c r="O670" i="3"/>
  <c r="P670" i="3"/>
  <c r="Q670" i="3"/>
  <c r="R670" i="3"/>
  <c r="S670" i="3"/>
  <c r="T670" i="3"/>
  <c r="Y670" i="3"/>
  <c r="Z670" i="3"/>
  <c r="AA670" i="3"/>
  <c r="AB670" i="3"/>
  <c r="AD670" i="3"/>
  <c r="AE670" i="3"/>
  <c r="AG670" i="3"/>
  <c r="A671" i="3"/>
  <c r="C671" i="3"/>
  <c r="E671" i="3"/>
  <c r="F671" i="3"/>
  <c r="G671" i="3"/>
  <c r="H671" i="3"/>
  <c r="I671" i="3"/>
  <c r="J671" i="3"/>
  <c r="AH671" i="3" s="1"/>
  <c r="K671" i="3"/>
  <c r="L671" i="3"/>
  <c r="M671" i="3"/>
  <c r="N671" i="3"/>
  <c r="O671" i="3"/>
  <c r="P671" i="3"/>
  <c r="Q671" i="3"/>
  <c r="R671" i="3"/>
  <c r="S671" i="3"/>
  <c r="T671" i="3"/>
  <c r="Y671" i="3"/>
  <c r="Z671" i="3"/>
  <c r="AA671" i="3"/>
  <c r="AB671" i="3"/>
  <c r="AD671" i="3"/>
  <c r="AE671" i="3"/>
  <c r="AG671" i="3"/>
  <c r="A672" i="3"/>
  <c r="C672" i="3"/>
  <c r="E672" i="3"/>
  <c r="F672" i="3"/>
  <c r="G672" i="3"/>
  <c r="H672" i="3"/>
  <c r="I672" i="3"/>
  <c r="J672" i="3"/>
  <c r="AH672" i="3" s="1"/>
  <c r="K672" i="3"/>
  <c r="L672" i="3"/>
  <c r="M672" i="3"/>
  <c r="N672" i="3"/>
  <c r="O672" i="3"/>
  <c r="P672" i="3"/>
  <c r="Q672" i="3"/>
  <c r="R672" i="3"/>
  <c r="S672" i="3"/>
  <c r="T672" i="3"/>
  <c r="Y672" i="3"/>
  <c r="Z672" i="3"/>
  <c r="AA672" i="3"/>
  <c r="AB672" i="3"/>
  <c r="AD672" i="3"/>
  <c r="AE672" i="3"/>
  <c r="AG672" i="3"/>
  <c r="A673" i="3"/>
  <c r="C673" i="3"/>
  <c r="E673" i="3"/>
  <c r="F673" i="3"/>
  <c r="G673" i="3"/>
  <c r="H673" i="3"/>
  <c r="I673" i="3"/>
  <c r="J673" i="3"/>
  <c r="AH673" i="3" s="1"/>
  <c r="K673" i="3"/>
  <c r="L673" i="3"/>
  <c r="M673" i="3"/>
  <c r="N673" i="3"/>
  <c r="O673" i="3"/>
  <c r="P673" i="3"/>
  <c r="Q673" i="3"/>
  <c r="R673" i="3"/>
  <c r="S673" i="3"/>
  <c r="T673" i="3"/>
  <c r="Y673" i="3"/>
  <c r="Z673" i="3"/>
  <c r="AA673" i="3"/>
  <c r="AB673" i="3"/>
  <c r="AD673" i="3"/>
  <c r="AE673" i="3"/>
  <c r="AG673" i="3"/>
  <c r="A674" i="3"/>
  <c r="C674" i="3"/>
  <c r="E674" i="3"/>
  <c r="F674" i="3"/>
  <c r="G674" i="3"/>
  <c r="H674" i="3"/>
  <c r="I674" i="3"/>
  <c r="J674" i="3"/>
  <c r="AH674" i="3" s="1"/>
  <c r="K674" i="3"/>
  <c r="L674" i="3"/>
  <c r="M674" i="3"/>
  <c r="N674" i="3"/>
  <c r="O674" i="3"/>
  <c r="P674" i="3"/>
  <c r="Q674" i="3"/>
  <c r="R674" i="3"/>
  <c r="S674" i="3"/>
  <c r="T674" i="3"/>
  <c r="Y674" i="3"/>
  <c r="Z674" i="3"/>
  <c r="AA674" i="3"/>
  <c r="AB674" i="3"/>
  <c r="AD674" i="3"/>
  <c r="AE674" i="3"/>
  <c r="AG674" i="3"/>
  <c r="A675" i="3"/>
  <c r="C675" i="3"/>
  <c r="E675" i="3"/>
  <c r="F675" i="3"/>
  <c r="G675" i="3"/>
  <c r="H675" i="3"/>
  <c r="I675" i="3"/>
  <c r="J675" i="3"/>
  <c r="AH675" i="3" s="1"/>
  <c r="K675" i="3"/>
  <c r="L675" i="3"/>
  <c r="M675" i="3"/>
  <c r="N675" i="3"/>
  <c r="O675" i="3"/>
  <c r="P675" i="3"/>
  <c r="Q675" i="3"/>
  <c r="R675" i="3"/>
  <c r="S675" i="3"/>
  <c r="T675" i="3"/>
  <c r="Y675" i="3"/>
  <c r="Z675" i="3"/>
  <c r="AA675" i="3"/>
  <c r="AB675" i="3"/>
  <c r="AD675" i="3"/>
  <c r="AE675" i="3"/>
  <c r="AG675" i="3"/>
  <c r="A676" i="3"/>
  <c r="C676" i="3"/>
  <c r="E676" i="3"/>
  <c r="F676" i="3"/>
  <c r="G676" i="3"/>
  <c r="H676" i="3"/>
  <c r="I676" i="3"/>
  <c r="J676" i="3"/>
  <c r="AH676" i="3" s="1"/>
  <c r="K676" i="3"/>
  <c r="L676" i="3"/>
  <c r="M676" i="3"/>
  <c r="N676" i="3"/>
  <c r="O676" i="3"/>
  <c r="P676" i="3"/>
  <c r="Q676" i="3"/>
  <c r="R676" i="3"/>
  <c r="S676" i="3"/>
  <c r="T676" i="3"/>
  <c r="Y676" i="3"/>
  <c r="Z676" i="3"/>
  <c r="AA676" i="3"/>
  <c r="AB676" i="3"/>
  <c r="AD676" i="3"/>
  <c r="AE676" i="3"/>
  <c r="AG676" i="3"/>
  <c r="A677" i="3"/>
  <c r="C677" i="3"/>
  <c r="E677" i="3"/>
  <c r="F677" i="3"/>
  <c r="G677" i="3"/>
  <c r="H677" i="3"/>
  <c r="I677" i="3"/>
  <c r="J677" i="3"/>
  <c r="AH677" i="3" s="1"/>
  <c r="K677" i="3"/>
  <c r="L677" i="3"/>
  <c r="M677" i="3"/>
  <c r="N677" i="3"/>
  <c r="O677" i="3"/>
  <c r="P677" i="3"/>
  <c r="Q677" i="3"/>
  <c r="R677" i="3"/>
  <c r="S677" i="3"/>
  <c r="T677" i="3"/>
  <c r="Y677" i="3"/>
  <c r="Z677" i="3"/>
  <c r="AA677" i="3"/>
  <c r="AB677" i="3"/>
  <c r="AD677" i="3"/>
  <c r="AE677" i="3"/>
  <c r="AG677" i="3"/>
  <c r="A678" i="3"/>
  <c r="C678" i="3"/>
  <c r="E678" i="3"/>
  <c r="F678" i="3"/>
  <c r="G678" i="3"/>
  <c r="H678" i="3"/>
  <c r="I678" i="3"/>
  <c r="J678" i="3"/>
  <c r="AH678" i="3" s="1"/>
  <c r="K678" i="3"/>
  <c r="L678" i="3"/>
  <c r="M678" i="3"/>
  <c r="N678" i="3"/>
  <c r="O678" i="3"/>
  <c r="P678" i="3"/>
  <c r="Q678" i="3"/>
  <c r="R678" i="3"/>
  <c r="S678" i="3"/>
  <c r="T678" i="3"/>
  <c r="Y678" i="3"/>
  <c r="Z678" i="3"/>
  <c r="AA678" i="3"/>
  <c r="AB678" i="3"/>
  <c r="AD678" i="3"/>
  <c r="AE678" i="3"/>
  <c r="AG678" i="3"/>
  <c r="A679" i="3"/>
  <c r="C679" i="3"/>
  <c r="E679" i="3"/>
  <c r="F679" i="3"/>
  <c r="G679" i="3"/>
  <c r="H679" i="3"/>
  <c r="I679" i="3"/>
  <c r="J679" i="3"/>
  <c r="AH679" i="3" s="1"/>
  <c r="K679" i="3"/>
  <c r="L679" i="3"/>
  <c r="M679" i="3"/>
  <c r="N679" i="3"/>
  <c r="O679" i="3"/>
  <c r="P679" i="3"/>
  <c r="Q679" i="3"/>
  <c r="R679" i="3"/>
  <c r="S679" i="3"/>
  <c r="T679" i="3"/>
  <c r="Y679" i="3"/>
  <c r="Z679" i="3"/>
  <c r="AA679" i="3"/>
  <c r="AB679" i="3"/>
  <c r="AD679" i="3"/>
  <c r="AE679" i="3"/>
  <c r="AG679" i="3"/>
  <c r="A680" i="3"/>
  <c r="C680" i="3"/>
  <c r="E680" i="3"/>
  <c r="F680" i="3"/>
  <c r="G680" i="3"/>
  <c r="H680" i="3"/>
  <c r="I680" i="3"/>
  <c r="J680" i="3"/>
  <c r="AH680" i="3" s="1"/>
  <c r="K680" i="3"/>
  <c r="L680" i="3"/>
  <c r="M680" i="3"/>
  <c r="N680" i="3"/>
  <c r="O680" i="3"/>
  <c r="P680" i="3"/>
  <c r="Q680" i="3"/>
  <c r="R680" i="3"/>
  <c r="S680" i="3"/>
  <c r="T680" i="3"/>
  <c r="Y680" i="3"/>
  <c r="Z680" i="3"/>
  <c r="AA680" i="3"/>
  <c r="AB680" i="3"/>
  <c r="AD680" i="3"/>
  <c r="AE680" i="3"/>
  <c r="AG680" i="3"/>
  <c r="A681" i="3"/>
  <c r="C681" i="3"/>
  <c r="E681" i="3"/>
  <c r="F681" i="3"/>
  <c r="G681" i="3"/>
  <c r="H681" i="3"/>
  <c r="I681" i="3"/>
  <c r="J681" i="3"/>
  <c r="AH681" i="3" s="1"/>
  <c r="K681" i="3"/>
  <c r="L681" i="3"/>
  <c r="M681" i="3"/>
  <c r="N681" i="3"/>
  <c r="O681" i="3"/>
  <c r="P681" i="3"/>
  <c r="Q681" i="3"/>
  <c r="R681" i="3"/>
  <c r="S681" i="3"/>
  <c r="T681" i="3"/>
  <c r="Y681" i="3"/>
  <c r="Z681" i="3"/>
  <c r="AA681" i="3"/>
  <c r="AB681" i="3"/>
  <c r="AD681" i="3"/>
  <c r="AE681" i="3"/>
  <c r="AG681" i="3"/>
  <c r="A682" i="3"/>
  <c r="C682" i="3"/>
  <c r="E682" i="3"/>
  <c r="F682" i="3"/>
  <c r="G682" i="3"/>
  <c r="H682" i="3"/>
  <c r="I682" i="3"/>
  <c r="J682" i="3"/>
  <c r="AH682" i="3" s="1"/>
  <c r="K682" i="3"/>
  <c r="L682" i="3"/>
  <c r="M682" i="3"/>
  <c r="N682" i="3"/>
  <c r="O682" i="3"/>
  <c r="P682" i="3"/>
  <c r="Q682" i="3"/>
  <c r="R682" i="3"/>
  <c r="S682" i="3"/>
  <c r="T682" i="3"/>
  <c r="Y682" i="3"/>
  <c r="Z682" i="3"/>
  <c r="AA682" i="3"/>
  <c r="AB682" i="3"/>
  <c r="AD682" i="3"/>
  <c r="AE682" i="3"/>
  <c r="AG682" i="3"/>
  <c r="A683" i="3"/>
  <c r="C683" i="3"/>
  <c r="E683" i="3"/>
  <c r="F683" i="3"/>
  <c r="G683" i="3"/>
  <c r="H683" i="3"/>
  <c r="I683" i="3"/>
  <c r="J683" i="3"/>
  <c r="AH683" i="3" s="1"/>
  <c r="K683" i="3"/>
  <c r="L683" i="3"/>
  <c r="M683" i="3"/>
  <c r="N683" i="3"/>
  <c r="O683" i="3"/>
  <c r="P683" i="3"/>
  <c r="Q683" i="3"/>
  <c r="R683" i="3"/>
  <c r="S683" i="3"/>
  <c r="T683" i="3"/>
  <c r="Y683" i="3"/>
  <c r="Z683" i="3"/>
  <c r="AA683" i="3"/>
  <c r="AB683" i="3"/>
  <c r="AD683" i="3"/>
  <c r="AE683" i="3"/>
  <c r="AG683" i="3"/>
  <c r="A684" i="3"/>
  <c r="C684" i="3"/>
  <c r="E684" i="3"/>
  <c r="F684" i="3"/>
  <c r="G684" i="3"/>
  <c r="H684" i="3"/>
  <c r="I684" i="3"/>
  <c r="J684" i="3"/>
  <c r="AH684" i="3" s="1"/>
  <c r="K684" i="3"/>
  <c r="L684" i="3"/>
  <c r="M684" i="3"/>
  <c r="N684" i="3"/>
  <c r="O684" i="3"/>
  <c r="P684" i="3"/>
  <c r="Q684" i="3"/>
  <c r="R684" i="3"/>
  <c r="S684" i="3"/>
  <c r="T684" i="3"/>
  <c r="Y684" i="3"/>
  <c r="Z684" i="3"/>
  <c r="AA684" i="3"/>
  <c r="AB684" i="3"/>
  <c r="AD684" i="3"/>
  <c r="AE684" i="3"/>
  <c r="AG684" i="3"/>
  <c r="A685" i="3"/>
  <c r="C685" i="3"/>
  <c r="E685" i="3"/>
  <c r="F685" i="3"/>
  <c r="G685" i="3"/>
  <c r="H685" i="3"/>
  <c r="I685" i="3"/>
  <c r="J685" i="3"/>
  <c r="AH685" i="3" s="1"/>
  <c r="K685" i="3"/>
  <c r="L685" i="3"/>
  <c r="M685" i="3"/>
  <c r="N685" i="3"/>
  <c r="O685" i="3"/>
  <c r="P685" i="3"/>
  <c r="Q685" i="3"/>
  <c r="R685" i="3"/>
  <c r="S685" i="3"/>
  <c r="T685" i="3"/>
  <c r="Y685" i="3"/>
  <c r="Z685" i="3"/>
  <c r="AA685" i="3"/>
  <c r="AB685" i="3"/>
  <c r="AD685" i="3"/>
  <c r="AE685" i="3"/>
  <c r="AG685" i="3"/>
  <c r="A686" i="3"/>
  <c r="C686" i="3"/>
  <c r="E686" i="3"/>
  <c r="F686" i="3"/>
  <c r="G686" i="3"/>
  <c r="H686" i="3"/>
  <c r="I686" i="3"/>
  <c r="J686" i="3"/>
  <c r="AH686" i="3" s="1"/>
  <c r="K686" i="3"/>
  <c r="L686" i="3"/>
  <c r="M686" i="3"/>
  <c r="N686" i="3"/>
  <c r="O686" i="3"/>
  <c r="P686" i="3"/>
  <c r="Q686" i="3"/>
  <c r="R686" i="3"/>
  <c r="S686" i="3"/>
  <c r="T686" i="3"/>
  <c r="Y686" i="3"/>
  <c r="Z686" i="3"/>
  <c r="AA686" i="3"/>
  <c r="AB686" i="3"/>
  <c r="AD686" i="3"/>
  <c r="AE686" i="3"/>
  <c r="AG686" i="3"/>
  <c r="A687" i="3"/>
  <c r="C687" i="3"/>
  <c r="E687" i="3"/>
  <c r="F687" i="3"/>
  <c r="G687" i="3"/>
  <c r="H687" i="3"/>
  <c r="I687" i="3"/>
  <c r="J687" i="3"/>
  <c r="AH687" i="3" s="1"/>
  <c r="K687" i="3"/>
  <c r="L687" i="3"/>
  <c r="M687" i="3"/>
  <c r="N687" i="3"/>
  <c r="O687" i="3"/>
  <c r="P687" i="3"/>
  <c r="Q687" i="3"/>
  <c r="R687" i="3"/>
  <c r="S687" i="3"/>
  <c r="T687" i="3"/>
  <c r="Y687" i="3"/>
  <c r="Z687" i="3"/>
  <c r="AA687" i="3"/>
  <c r="AB687" i="3"/>
  <c r="AD687" i="3"/>
  <c r="AE687" i="3"/>
  <c r="AG687" i="3"/>
  <c r="A688" i="3"/>
  <c r="C688" i="3"/>
  <c r="E688" i="3"/>
  <c r="F688" i="3"/>
  <c r="G688" i="3"/>
  <c r="H688" i="3"/>
  <c r="I688" i="3"/>
  <c r="J688" i="3"/>
  <c r="K688" i="3"/>
  <c r="L688" i="3"/>
  <c r="M688" i="3"/>
  <c r="N688" i="3"/>
  <c r="O688" i="3"/>
  <c r="P688" i="3"/>
  <c r="Q688" i="3"/>
  <c r="R688" i="3"/>
  <c r="S688" i="3"/>
  <c r="T688" i="3"/>
  <c r="Y688" i="3"/>
  <c r="Z688" i="3"/>
  <c r="AA688" i="3"/>
  <c r="AB688" i="3"/>
  <c r="AD688" i="3"/>
  <c r="AE688" i="3"/>
  <c r="AG688" i="3"/>
  <c r="AH688" i="3"/>
  <c r="A689" i="3"/>
  <c r="C689" i="3"/>
  <c r="E689" i="3"/>
  <c r="F689" i="3"/>
  <c r="G689" i="3"/>
  <c r="H689" i="3"/>
  <c r="I689" i="3"/>
  <c r="J689" i="3"/>
  <c r="AH689" i="3" s="1"/>
  <c r="K689" i="3"/>
  <c r="L689" i="3"/>
  <c r="M689" i="3"/>
  <c r="N689" i="3"/>
  <c r="O689" i="3"/>
  <c r="P689" i="3"/>
  <c r="Q689" i="3"/>
  <c r="R689" i="3"/>
  <c r="S689" i="3"/>
  <c r="T689" i="3"/>
  <c r="Y689" i="3"/>
  <c r="Z689" i="3"/>
  <c r="AA689" i="3"/>
  <c r="AB689" i="3"/>
  <c r="AD689" i="3"/>
  <c r="AE689" i="3"/>
  <c r="AG689" i="3"/>
  <c r="A690" i="3"/>
  <c r="C690" i="3"/>
  <c r="E690" i="3"/>
  <c r="F690" i="3"/>
  <c r="G690" i="3"/>
  <c r="H690" i="3"/>
  <c r="I690" i="3"/>
  <c r="J690" i="3"/>
  <c r="AH690" i="3" s="1"/>
  <c r="K690" i="3"/>
  <c r="L690" i="3"/>
  <c r="M690" i="3"/>
  <c r="N690" i="3"/>
  <c r="O690" i="3"/>
  <c r="P690" i="3"/>
  <c r="Q690" i="3"/>
  <c r="R690" i="3"/>
  <c r="S690" i="3"/>
  <c r="T690" i="3"/>
  <c r="Y690" i="3"/>
  <c r="Z690" i="3"/>
  <c r="AA690" i="3"/>
  <c r="AB690" i="3"/>
  <c r="AD690" i="3"/>
  <c r="AE690" i="3"/>
  <c r="AG690" i="3"/>
  <c r="A691" i="3"/>
  <c r="C691" i="3"/>
  <c r="E691" i="3"/>
  <c r="F691" i="3"/>
  <c r="G691" i="3"/>
  <c r="H691" i="3"/>
  <c r="I691" i="3"/>
  <c r="J691" i="3"/>
  <c r="AH691" i="3" s="1"/>
  <c r="K691" i="3"/>
  <c r="L691" i="3"/>
  <c r="M691" i="3"/>
  <c r="N691" i="3"/>
  <c r="O691" i="3"/>
  <c r="P691" i="3"/>
  <c r="Q691" i="3"/>
  <c r="R691" i="3"/>
  <c r="S691" i="3"/>
  <c r="T691" i="3"/>
  <c r="Y691" i="3"/>
  <c r="Z691" i="3"/>
  <c r="AA691" i="3"/>
  <c r="AB691" i="3"/>
  <c r="AD691" i="3"/>
  <c r="AE691" i="3"/>
  <c r="AG691" i="3"/>
  <c r="A692" i="3"/>
  <c r="C692" i="3"/>
  <c r="E692" i="3"/>
  <c r="F692" i="3"/>
  <c r="G692" i="3"/>
  <c r="H692" i="3"/>
  <c r="I692" i="3"/>
  <c r="J692" i="3"/>
  <c r="AH692" i="3" s="1"/>
  <c r="K692" i="3"/>
  <c r="L692" i="3"/>
  <c r="M692" i="3"/>
  <c r="N692" i="3"/>
  <c r="O692" i="3"/>
  <c r="P692" i="3"/>
  <c r="Q692" i="3"/>
  <c r="R692" i="3"/>
  <c r="S692" i="3"/>
  <c r="T692" i="3"/>
  <c r="Y692" i="3"/>
  <c r="Z692" i="3"/>
  <c r="AA692" i="3"/>
  <c r="AB692" i="3"/>
  <c r="AD692" i="3"/>
  <c r="AE692" i="3"/>
  <c r="AG692" i="3"/>
  <c r="A693" i="3"/>
  <c r="C693" i="3"/>
  <c r="E693" i="3"/>
  <c r="F693" i="3"/>
  <c r="G693" i="3"/>
  <c r="H693" i="3"/>
  <c r="I693" i="3"/>
  <c r="J693" i="3"/>
  <c r="AH693" i="3" s="1"/>
  <c r="K693" i="3"/>
  <c r="L693" i="3"/>
  <c r="M693" i="3"/>
  <c r="N693" i="3"/>
  <c r="O693" i="3"/>
  <c r="P693" i="3"/>
  <c r="Q693" i="3"/>
  <c r="R693" i="3"/>
  <c r="S693" i="3"/>
  <c r="T693" i="3"/>
  <c r="Y693" i="3"/>
  <c r="Z693" i="3"/>
  <c r="AA693" i="3"/>
  <c r="AB693" i="3"/>
  <c r="AD693" i="3"/>
  <c r="AE693" i="3"/>
  <c r="AG693" i="3"/>
  <c r="A694" i="3"/>
  <c r="C694" i="3"/>
  <c r="E694" i="3"/>
  <c r="F694" i="3"/>
  <c r="G694" i="3"/>
  <c r="H694" i="3"/>
  <c r="I694" i="3"/>
  <c r="J694" i="3"/>
  <c r="AH694" i="3" s="1"/>
  <c r="K694" i="3"/>
  <c r="L694" i="3"/>
  <c r="M694" i="3"/>
  <c r="N694" i="3"/>
  <c r="O694" i="3"/>
  <c r="P694" i="3"/>
  <c r="Q694" i="3"/>
  <c r="R694" i="3"/>
  <c r="S694" i="3"/>
  <c r="T694" i="3"/>
  <c r="Y694" i="3"/>
  <c r="Z694" i="3"/>
  <c r="AA694" i="3"/>
  <c r="AB694" i="3"/>
  <c r="AD694" i="3"/>
  <c r="AE694" i="3"/>
  <c r="AG694" i="3"/>
  <c r="A695" i="3"/>
  <c r="C695" i="3"/>
  <c r="E695" i="3"/>
  <c r="F695" i="3"/>
  <c r="G695" i="3"/>
  <c r="H695" i="3"/>
  <c r="I695" i="3"/>
  <c r="J695" i="3"/>
  <c r="AH695" i="3" s="1"/>
  <c r="K695" i="3"/>
  <c r="L695" i="3"/>
  <c r="M695" i="3"/>
  <c r="N695" i="3"/>
  <c r="O695" i="3"/>
  <c r="P695" i="3"/>
  <c r="Q695" i="3"/>
  <c r="R695" i="3"/>
  <c r="S695" i="3"/>
  <c r="T695" i="3"/>
  <c r="Y695" i="3"/>
  <c r="Z695" i="3"/>
  <c r="AA695" i="3"/>
  <c r="AB695" i="3"/>
  <c r="AD695" i="3"/>
  <c r="AE695" i="3"/>
  <c r="AG695" i="3"/>
  <c r="A696" i="3"/>
  <c r="C696" i="3"/>
  <c r="E696" i="3"/>
  <c r="F696" i="3"/>
  <c r="G696" i="3"/>
  <c r="H696" i="3"/>
  <c r="I696" i="3"/>
  <c r="J696" i="3"/>
  <c r="AH696" i="3" s="1"/>
  <c r="K696" i="3"/>
  <c r="L696" i="3"/>
  <c r="M696" i="3"/>
  <c r="N696" i="3"/>
  <c r="O696" i="3"/>
  <c r="P696" i="3"/>
  <c r="Q696" i="3"/>
  <c r="R696" i="3"/>
  <c r="S696" i="3"/>
  <c r="T696" i="3"/>
  <c r="Y696" i="3"/>
  <c r="Z696" i="3"/>
  <c r="AA696" i="3"/>
  <c r="AB696" i="3"/>
  <c r="AD696" i="3"/>
  <c r="AE696" i="3"/>
  <c r="AG696" i="3"/>
  <c r="A697" i="3"/>
  <c r="C697" i="3"/>
  <c r="E697" i="3"/>
  <c r="F697" i="3"/>
  <c r="G697" i="3"/>
  <c r="H697" i="3"/>
  <c r="I697" i="3"/>
  <c r="J697" i="3"/>
  <c r="AH697" i="3" s="1"/>
  <c r="K697" i="3"/>
  <c r="L697" i="3"/>
  <c r="M697" i="3"/>
  <c r="N697" i="3"/>
  <c r="O697" i="3"/>
  <c r="P697" i="3"/>
  <c r="Q697" i="3"/>
  <c r="R697" i="3"/>
  <c r="S697" i="3"/>
  <c r="T697" i="3"/>
  <c r="Y697" i="3"/>
  <c r="Z697" i="3"/>
  <c r="AA697" i="3"/>
  <c r="AB697" i="3"/>
  <c r="AD697" i="3"/>
  <c r="AE697" i="3"/>
  <c r="AG697" i="3"/>
  <c r="A698" i="3"/>
  <c r="C698" i="3"/>
  <c r="E698" i="3"/>
  <c r="F698" i="3"/>
  <c r="G698" i="3"/>
  <c r="H698" i="3"/>
  <c r="I698" i="3"/>
  <c r="J698" i="3"/>
  <c r="AH698" i="3" s="1"/>
  <c r="K698" i="3"/>
  <c r="L698" i="3"/>
  <c r="M698" i="3"/>
  <c r="N698" i="3"/>
  <c r="O698" i="3"/>
  <c r="P698" i="3"/>
  <c r="Q698" i="3"/>
  <c r="R698" i="3"/>
  <c r="S698" i="3"/>
  <c r="T698" i="3"/>
  <c r="Y698" i="3"/>
  <c r="Z698" i="3"/>
  <c r="AA698" i="3"/>
  <c r="AB698" i="3"/>
  <c r="AD698" i="3"/>
  <c r="AE698" i="3"/>
  <c r="AG698" i="3"/>
  <c r="A699" i="3"/>
  <c r="C699" i="3"/>
  <c r="E699" i="3"/>
  <c r="F699" i="3"/>
  <c r="G699" i="3"/>
  <c r="H699" i="3"/>
  <c r="I699" i="3"/>
  <c r="J699" i="3"/>
  <c r="AH699" i="3" s="1"/>
  <c r="K699" i="3"/>
  <c r="L699" i="3"/>
  <c r="M699" i="3"/>
  <c r="N699" i="3"/>
  <c r="O699" i="3"/>
  <c r="P699" i="3"/>
  <c r="Q699" i="3"/>
  <c r="R699" i="3"/>
  <c r="S699" i="3"/>
  <c r="T699" i="3"/>
  <c r="Y699" i="3"/>
  <c r="Z699" i="3"/>
  <c r="AA699" i="3"/>
  <c r="AB699" i="3"/>
  <c r="AD699" i="3"/>
  <c r="AE699" i="3"/>
  <c r="AG699" i="3"/>
  <c r="A700" i="3"/>
  <c r="C700" i="3"/>
  <c r="E700" i="3"/>
  <c r="F700" i="3"/>
  <c r="G700" i="3"/>
  <c r="H700" i="3"/>
  <c r="I700" i="3"/>
  <c r="J700" i="3"/>
  <c r="AH700" i="3" s="1"/>
  <c r="K700" i="3"/>
  <c r="L700" i="3"/>
  <c r="M700" i="3"/>
  <c r="N700" i="3"/>
  <c r="O700" i="3"/>
  <c r="P700" i="3"/>
  <c r="Q700" i="3"/>
  <c r="R700" i="3"/>
  <c r="S700" i="3"/>
  <c r="T700" i="3"/>
  <c r="Y700" i="3"/>
  <c r="Z700" i="3"/>
  <c r="AA700" i="3"/>
  <c r="AB700" i="3"/>
  <c r="AD700" i="3"/>
  <c r="AE700" i="3"/>
  <c r="AG700" i="3"/>
  <c r="A701" i="3"/>
  <c r="C701" i="3"/>
  <c r="E701" i="3"/>
  <c r="F701" i="3"/>
  <c r="G701" i="3"/>
  <c r="H701" i="3"/>
  <c r="I701" i="3"/>
  <c r="J701" i="3"/>
  <c r="AH701" i="3" s="1"/>
  <c r="K701" i="3"/>
  <c r="L701" i="3"/>
  <c r="M701" i="3"/>
  <c r="N701" i="3"/>
  <c r="O701" i="3"/>
  <c r="P701" i="3"/>
  <c r="Q701" i="3"/>
  <c r="R701" i="3"/>
  <c r="S701" i="3"/>
  <c r="T701" i="3"/>
  <c r="Y701" i="3"/>
  <c r="Z701" i="3"/>
  <c r="AA701" i="3"/>
  <c r="AB701" i="3"/>
  <c r="AD701" i="3"/>
  <c r="AE701" i="3"/>
  <c r="AG701" i="3"/>
  <c r="A702" i="3"/>
  <c r="C702" i="3"/>
  <c r="E702" i="3"/>
  <c r="F702" i="3"/>
  <c r="G702" i="3"/>
  <c r="H702" i="3"/>
  <c r="I702" i="3"/>
  <c r="J702" i="3"/>
  <c r="AH702" i="3" s="1"/>
  <c r="K702" i="3"/>
  <c r="L702" i="3"/>
  <c r="M702" i="3"/>
  <c r="N702" i="3"/>
  <c r="O702" i="3"/>
  <c r="P702" i="3"/>
  <c r="Q702" i="3"/>
  <c r="R702" i="3"/>
  <c r="S702" i="3"/>
  <c r="T702" i="3"/>
  <c r="Y702" i="3"/>
  <c r="Z702" i="3"/>
  <c r="AA702" i="3"/>
  <c r="AB702" i="3"/>
  <c r="AD702" i="3"/>
  <c r="AE702" i="3"/>
  <c r="AG702" i="3"/>
  <c r="A703" i="3"/>
  <c r="C703" i="3"/>
  <c r="E703" i="3"/>
  <c r="F703" i="3"/>
  <c r="G703" i="3"/>
  <c r="H703" i="3"/>
  <c r="I703" i="3"/>
  <c r="J703" i="3"/>
  <c r="AH703" i="3" s="1"/>
  <c r="K703" i="3"/>
  <c r="L703" i="3"/>
  <c r="M703" i="3"/>
  <c r="N703" i="3"/>
  <c r="O703" i="3"/>
  <c r="P703" i="3"/>
  <c r="Q703" i="3"/>
  <c r="R703" i="3"/>
  <c r="S703" i="3"/>
  <c r="T703" i="3"/>
  <c r="Y703" i="3"/>
  <c r="Z703" i="3"/>
  <c r="AA703" i="3"/>
  <c r="AB703" i="3"/>
  <c r="AD703" i="3"/>
  <c r="AE703" i="3"/>
  <c r="AG703" i="3"/>
  <c r="A704" i="3"/>
  <c r="C704" i="3"/>
  <c r="E704" i="3"/>
  <c r="F704" i="3"/>
  <c r="G704" i="3"/>
  <c r="H704" i="3"/>
  <c r="I704" i="3"/>
  <c r="J704" i="3"/>
  <c r="AH704" i="3" s="1"/>
  <c r="K704" i="3"/>
  <c r="L704" i="3"/>
  <c r="M704" i="3"/>
  <c r="N704" i="3"/>
  <c r="O704" i="3"/>
  <c r="P704" i="3"/>
  <c r="Q704" i="3"/>
  <c r="R704" i="3"/>
  <c r="S704" i="3"/>
  <c r="T704" i="3"/>
  <c r="Y704" i="3"/>
  <c r="Z704" i="3"/>
  <c r="AA704" i="3"/>
  <c r="AB704" i="3"/>
  <c r="AD704" i="3"/>
  <c r="AE704" i="3"/>
  <c r="AG704" i="3"/>
  <c r="A705" i="3"/>
  <c r="C705" i="3"/>
  <c r="E705" i="3"/>
  <c r="F705" i="3"/>
  <c r="G705" i="3"/>
  <c r="H705" i="3"/>
  <c r="I705" i="3"/>
  <c r="J705" i="3"/>
  <c r="AH705" i="3" s="1"/>
  <c r="K705" i="3"/>
  <c r="L705" i="3"/>
  <c r="M705" i="3"/>
  <c r="N705" i="3"/>
  <c r="O705" i="3"/>
  <c r="P705" i="3"/>
  <c r="Q705" i="3"/>
  <c r="R705" i="3"/>
  <c r="S705" i="3"/>
  <c r="T705" i="3"/>
  <c r="Y705" i="3"/>
  <c r="Z705" i="3"/>
  <c r="AA705" i="3"/>
  <c r="AB705" i="3"/>
  <c r="AD705" i="3"/>
  <c r="AE705" i="3"/>
  <c r="AG705" i="3"/>
  <c r="A706" i="3"/>
  <c r="C706" i="3"/>
  <c r="E706" i="3"/>
  <c r="F706" i="3"/>
  <c r="G706" i="3"/>
  <c r="H706" i="3"/>
  <c r="I706" i="3"/>
  <c r="J706" i="3"/>
  <c r="AH706" i="3" s="1"/>
  <c r="K706" i="3"/>
  <c r="L706" i="3"/>
  <c r="M706" i="3"/>
  <c r="N706" i="3"/>
  <c r="O706" i="3"/>
  <c r="P706" i="3"/>
  <c r="Q706" i="3"/>
  <c r="R706" i="3"/>
  <c r="S706" i="3"/>
  <c r="T706" i="3"/>
  <c r="Y706" i="3"/>
  <c r="Z706" i="3"/>
  <c r="AA706" i="3"/>
  <c r="AB706" i="3"/>
  <c r="AD706" i="3"/>
  <c r="AE706" i="3"/>
  <c r="AG706" i="3"/>
  <c r="A707" i="3"/>
  <c r="C707" i="3"/>
  <c r="E707" i="3"/>
  <c r="F707" i="3"/>
  <c r="G707" i="3"/>
  <c r="H707" i="3"/>
  <c r="I707" i="3"/>
  <c r="J707" i="3"/>
  <c r="K707" i="3"/>
  <c r="L707" i="3"/>
  <c r="M707" i="3"/>
  <c r="N707" i="3"/>
  <c r="O707" i="3"/>
  <c r="P707" i="3"/>
  <c r="Q707" i="3"/>
  <c r="R707" i="3"/>
  <c r="S707" i="3"/>
  <c r="T707" i="3"/>
  <c r="Y707" i="3"/>
  <c r="Z707" i="3"/>
  <c r="AA707" i="3"/>
  <c r="AB707" i="3"/>
  <c r="AD707" i="3"/>
  <c r="AE707" i="3"/>
  <c r="AG707" i="3"/>
  <c r="AH707" i="3"/>
  <c r="A708" i="3"/>
  <c r="C708" i="3"/>
  <c r="E708" i="3"/>
  <c r="F708" i="3"/>
  <c r="G708" i="3"/>
  <c r="H708" i="3"/>
  <c r="I708" i="3"/>
  <c r="J708" i="3"/>
  <c r="AH708" i="3" s="1"/>
  <c r="K708" i="3"/>
  <c r="L708" i="3"/>
  <c r="M708" i="3"/>
  <c r="N708" i="3"/>
  <c r="O708" i="3"/>
  <c r="P708" i="3"/>
  <c r="Q708" i="3"/>
  <c r="R708" i="3"/>
  <c r="S708" i="3"/>
  <c r="T708" i="3"/>
  <c r="Y708" i="3"/>
  <c r="Z708" i="3"/>
  <c r="AA708" i="3"/>
  <c r="AB708" i="3"/>
  <c r="AD708" i="3"/>
  <c r="AE708" i="3"/>
  <c r="AG708" i="3"/>
  <c r="A709" i="3"/>
  <c r="C709" i="3"/>
  <c r="E709" i="3"/>
  <c r="F709" i="3"/>
  <c r="G709" i="3"/>
  <c r="H709" i="3"/>
  <c r="I709" i="3"/>
  <c r="J709" i="3"/>
  <c r="AH709" i="3" s="1"/>
  <c r="K709" i="3"/>
  <c r="L709" i="3"/>
  <c r="M709" i="3"/>
  <c r="N709" i="3"/>
  <c r="O709" i="3"/>
  <c r="P709" i="3"/>
  <c r="Q709" i="3"/>
  <c r="R709" i="3"/>
  <c r="S709" i="3"/>
  <c r="T709" i="3"/>
  <c r="Y709" i="3"/>
  <c r="Z709" i="3"/>
  <c r="AA709" i="3"/>
  <c r="AB709" i="3"/>
  <c r="AD709" i="3"/>
  <c r="AE709" i="3"/>
  <c r="AG709" i="3"/>
  <c r="A710" i="3"/>
  <c r="C710" i="3"/>
  <c r="E710" i="3"/>
  <c r="F710" i="3"/>
  <c r="G710" i="3"/>
  <c r="H710" i="3"/>
  <c r="I710" i="3"/>
  <c r="J710" i="3"/>
  <c r="K710" i="3"/>
  <c r="L710" i="3"/>
  <c r="M710" i="3"/>
  <c r="N710" i="3"/>
  <c r="O710" i="3"/>
  <c r="P710" i="3"/>
  <c r="Q710" i="3"/>
  <c r="R710" i="3"/>
  <c r="S710" i="3"/>
  <c r="T710" i="3"/>
  <c r="Y710" i="3"/>
  <c r="Z710" i="3"/>
  <c r="AA710" i="3"/>
  <c r="AB710" i="3"/>
  <c r="AD710" i="3"/>
  <c r="AE710" i="3"/>
  <c r="AG710" i="3"/>
  <c r="AH710" i="3"/>
  <c r="A711" i="3"/>
  <c r="C711" i="3"/>
  <c r="E711" i="3"/>
  <c r="F711" i="3"/>
  <c r="G711" i="3"/>
  <c r="H711" i="3"/>
  <c r="I711" i="3"/>
  <c r="J711" i="3"/>
  <c r="AH711" i="3" s="1"/>
  <c r="K711" i="3"/>
  <c r="L711" i="3"/>
  <c r="M711" i="3"/>
  <c r="N711" i="3"/>
  <c r="O711" i="3"/>
  <c r="P711" i="3"/>
  <c r="Q711" i="3"/>
  <c r="R711" i="3"/>
  <c r="S711" i="3"/>
  <c r="T711" i="3"/>
  <c r="Y711" i="3"/>
  <c r="Z711" i="3"/>
  <c r="AA711" i="3"/>
  <c r="AB711" i="3"/>
  <c r="AD711" i="3"/>
  <c r="AE711" i="3"/>
  <c r="AG711" i="3"/>
  <c r="A712" i="3"/>
  <c r="C712" i="3"/>
  <c r="E712" i="3"/>
  <c r="F712" i="3"/>
  <c r="G712" i="3"/>
  <c r="H712" i="3"/>
  <c r="I712" i="3"/>
  <c r="J712" i="3"/>
  <c r="AH712" i="3" s="1"/>
  <c r="K712" i="3"/>
  <c r="L712" i="3"/>
  <c r="M712" i="3"/>
  <c r="N712" i="3"/>
  <c r="O712" i="3"/>
  <c r="P712" i="3"/>
  <c r="Q712" i="3"/>
  <c r="R712" i="3"/>
  <c r="S712" i="3"/>
  <c r="T712" i="3"/>
  <c r="Y712" i="3"/>
  <c r="Z712" i="3"/>
  <c r="AA712" i="3"/>
  <c r="AB712" i="3"/>
  <c r="AD712" i="3"/>
  <c r="AE712" i="3"/>
  <c r="AG712" i="3"/>
  <c r="A713" i="3"/>
  <c r="C713" i="3"/>
  <c r="E713" i="3"/>
  <c r="F713" i="3"/>
  <c r="G713" i="3"/>
  <c r="H713" i="3"/>
  <c r="I713" i="3"/>
  <c r="J713" i="3"/>
  <c r="AH713" i="3" s="1"/>
  <c r="K713" i="3"/>
  <c r="L713" i="3"/>
  <c r="M713" i="3"/>
  <c r="N713" i="3"/>
  <c r="O713" i="3"/>
  <c r="P713" i="3"/>
  <c r="Q713" i="3"/>
  <c r="R713" i="3"/>
  <c r="S713" i="3"/>
  <c r="T713" i="3"/>
  <c r="Y713" i="3"/>
  <c r="Z713" i="3"/>
  <c r="AA713" i="3"/>
  <c r="AB713" i="3"/>
  <c r="AD713" i="3"/>
  <c r="AE713" i="3"/>
  <c r="AG713" i="3"/>
  <c r="A714" i="3"/>
  <c r="C714" i="3"/>
  <c r="E714" i="3"/>
  <c r="F714" i="3"/>
  <c r="G714" i="3"/>
  <c r="H714" i="3"/>
  <c r="I714" i="3"/>
  <c r="J714" i="3"/>
  <c r="AH714" i="3" s="1"/>
  <c r="K714" i="3"/>
  <c r="L714" i="3"/>
  <c r="M714" i="3"/>
  <c r="N714" i="3"/>
  <c r="O714" i="3"/>
  <c r="P714" i="3"/>
  <c r="Q714" i="3"/>
  <c r="R714" i="3"/>
  <c r="S714" i="3"/>
  <c r="T714" i="3"/>
  <c r="Y714" i="3"/>
  <c r="Z714" i="3"/>
  <c r="AA714" i="3"/>
  <c r="AB714" i="3"/>
  <c r="AD714" i="3"/>
  <c r="AE714" i="3"/>
  <c r="AG714" i="3"/>
  <c r="A715" i="3"/>
  <c r="C715" i="3"/>
  <c r="E715" i="3"/>
  <c r="F715" i="3"/>
  <c r="G715" i="3"/>
  <c r="H715" i="3"/>
  <c r="I715" i="3"/>
  <c r="J715" i="3"/>
  <c r="AH715" i="3" s="1"/>
  <c r="K715" i="3"/>
  <c r="L715" i="3"/>
  <c r="M715" i="3"/>
  <c r="N715" i="3"/>
  <c r="O715" i="3"/>
  <c r="P715" i="3"/>
  <c r="Q715" i="3"/>
  <c r="R715" i="3"/>
  <c r="S715" i="3"/>
  <c r="T715" i="3"/>
  <c r="Y715" i="3"/>
  <c r="Z715" i="3"/>
  <c r="AA715" i="3"/>
  <c r="AB715" i="3"/>
  <c r="AD715" i="3"/>
  <c r="AE715" i="3"/>
  <c r="AG715" i="3"/>
  <c r="A716" i="3"/>
  <c r="C716" i="3"/>
  <c r="E716" i="3"/>
  <c r="F716" i="3"/>
  <c r="G716" i="3"/>
  <c r="H716" i="3"/>
  <c r="I716" i="3"/>
  <c r="J716" i="3"/>
  <c r="AH716" i="3" s="1"/>
  <c r="K716" i="3"/>
  <c r="L716" i="3"/>
  <c r="M716" i="3"/>
  <c r="N716" i="3"/>
  <c r="O716" i="3"/>
  <c r="P716" i="3"/>
  <c r="Q716" i="3"/>
  <c r="R716" i="3"/>
  <c r="S716" i="3"/>
  <c r="T716" i="3"/>
  <c r="Y716" i="3"/>
  <c r="Z716" i="3"/>
  <c r="AA716" i="3"/>
  <c r="AB716" i="3"/>
  <c r="AD716" i="3"/>
  <c r="AE716" i="3"/>
  <c r="AG716" i="3"/>
  <c r="A717" i="3"/>
  <c r="C717" i="3"/>
  <c r="E717" i="3"/>
  <c r="F717" i="3"/>
  <c r="G717" i="3"/>
  <c r="H717" i="3"/>
  <c r="I717" i="3"/>
  <c r="J717" i="3"/>
  <c r="AH717" i="3" s="1"/>
  <c r="K717" i="3"/>
  <c r="L717" i="3"/>
  <c r="M717" i="3"/>
  <c r="N717" i="3"/>
  <c r="O717" i="3"/>
  <c r="P717" i="3"/>
  <c r="Q717" i="3"/>
  <c r="R717" i="3"/>
  <c r="S717" i="3"/>
  <c r="T717" i="3"/>
  <c r="Y717" i="3"/>
  <c r="Z717" i="3"/>
  <c r="AA717" i="3"/>
  <c r="AB717" i="3"/>
  <c r="AD717" i="3"/>
  <c r="AE717" i="3"/>
  <c r="AG717" i="3"/>
  <c r="A718" i="3"/>
  <c r="C718" i="3"/>
  <c r="E718" i="3"/>
  <c r="F718" i="3"/>
  <c r="G718" i="3"/>
  <c r="H718" i="3"/>
  <c r="I718" i="3"/>
  <c r="J718" i="3"/>
  <c r="AH718" i="3" s="1"/>
  <c r="K718" i="3"/>
  <c r="L718" i="3"/>
  <c r="M718" i="3"/>
  <c r="N718" i="3"/>
  <c r="O718" i="3"/>
  <c r="P718" i="3"/>
  <c r="Q718" i="3"/>
  <c r="R718" i="3"/>
  <c r="S718" i="3"/>
  <c r="T718" i="3"/>
  <c r="Y718" i="3"/>
  <c r="Z718" i="3"/>
  <c r="AA718" i="3"/>
  <c r="AB718" i="3"/>
  <c r="AD718" i="3"/>
  <c r="AE718" i="3"/>
  <c r="AG718" i="3"/>
  <c r="A719" i="3"/>
  <c r="C719" i="3"/>
  <c r="E719" i="3"/>
  <c r="F719" i="3"/>
  <c r="G719" i="3"/>
  <c r="H719" i="3"/>
  <c r="I719" i="3"/>
  <c r="J719" i="3"/>
  <c r="AH719" i="3" s="1"/>
  <c r="K719" i="3"/>
  <c r="L719" i="3"/>
  <c r="M719" i="3"/>
  <c r="N719" i="3"/>
  <c r="O719" i="3"/>
  <c r="P719" i="3"/>
  <c r="Q719" i="3"/>
  <c r="R719" i="3"/>
  <c r="S719" i="3"/>
  <c r="T719" i="3"/>
  <c r="Y719" i="3"/>
  <c r="Z719" i="3"/>
  <c r="AA719" i="3"/>
  <c r="AB719" i="3"/>
  <c r="AD719" i="3"/>
  <c r="AE719" i="3"/>
  <c r="AG719" i="3"/>
  <c r="A720" i="3"/>
  <c r="C720" i="3"/>
  <c r="E720" i="3"/>
  <c r="F720" i="3"/>
  <c r="G720" i="3"/>
  <c r="H720" i="3"/>
  <c r="I720" i="3"/>
  <c r="J720" i="3"/>
  <c r="AH720" i="3" s="1"/>
  <c r="K720" i="3"/>
  <c r="L720" i="3"/>
  <c r="M720" i="3"/>
  <c r="N720" i="3"/>
  <c r="O720" i="3"/>
  <c r="P720" i="3"/>
  <c r="Q720" i="3"/>
  <c r="R720" i="3"/>
  <c r="S720" i="3"/>
  <c r="T720" i="3"/>
  <c r="Y720" i="3"/>
  <c r="Z720" i="3"/>
  <c r="AA720" i="3"/>
  <c r="AB720" i="3"/>
  <c r="AD720" i="3"/>
  <c r="AE720" i="3"/>
  <c r="AG720" i="3"/>
  <c r="A721" i="3"/>
  <c r="C721" i="3"/>
  <c r="E721" i="3"/>
  <c r="F721" i="3"/>
  <c r="G721" i="3"/>
  <c r="H721" i="3"/>
  <c r="I721" i="3"/>
  <c r="J721" i="3"/>
  <c r="AH721" i="3" s="1"/>
  <c r="K721" i="3"/>
  <c r="L721" i="3"/>
  <c r="M721" i="3"/>
  <c r="N721" i="3"/>
  <c r="O721" i="3"/>
  <c r="P721" i="3"/>
  <c r="Q721" i="3"/>
  <c r="R721" i="3"/>
  <c r="S721" i="3"/>
  <c r="T721" i="3"/>
  <c r="Y721" i="3"/>
  <c r="Z721" i="3"/>
  <c r="AA721" i="3"/>
  <c r="AB721" i="3"/>
  <c r="AD721" i="3"/>
  <c r="AE721" i="3"/>
  <c r="AG721" i="3"/>
  <c r="A722" i="3"/>
  <c r="C722" i="3"/>
  <c r="E722" i="3"/>
  <c r="F722" i="3"/>
  <c r="G722" i="3"/>
  <c r="H722" i="3"/>
  <c r="I722" i="3"/>
  <c r="J722" i="3"/>
  <c r="AH722" i="3" s="1"/>
  <c r="K722" i="3"/>
  <c r="L722" i="3"/>
  <c r="M722" i="3"/>
  <c r="N722" i="3"/>
  <c r="O722" i="3"/>
  <c r="P722" i="3"/>
  <c r="Q722" i="3"/>
  <c r="R722" i="3"/>
  <c r="S722" i="3"/>
  <c r="T722" i="3"/>
  <c r="Y722" i="3"/>
  <c r="Z722" i="3"/>
  <c r="AA722" i="3"/>
  <c r="AB722" i="3"/>
  <c r="AD722" i="3"/>
  <c r="AE722" i="3"/>
  <c r="AG722" i="3"/>
  <c r="A723" i="3"/>
  <c r="C723" i="3"/>
  <c r="E723" i="3"/>
  <c r="F723" i="3"/>
  <c r="G723" i="3"/>
  <c r="H723" i="3"/>
  <c r="I723" i="3"/>
  <c r="J723" i="3"/>
  <c r="AH723" i="3" s="1"/>
  <c r="K723" i="3"/>
  <c r="L723" i="3"/>
  <c r="M723" i="3"/>
  <c r="N723" i="3"/>
  <c r="O723" i="3"/>
  <c r="P723" i="3"/>
  <c r="Q723" i="3"/>
  <c r="R723" i="3"/>
  <c r="S723" i="3"/>
  <c r="T723" i="3"/>
  <c r="Y723" i="3"/>
  <c r="Z723" i="3"/>
  <c r="AA723" i="3"/>
  <c r="AB723" i="3"/>
  <c r="AD723" i="3"/>
  <c r="AE723" i="3"/>
  <c r="AG723" i="3"/>
  <c r="A724" i="3"/>
  <c r="C724" i="3"/>
  <c r="E724" i="3"/>
  <c r="F724" i="3"/>
  <c r="G724" i="3"/>
  <c r="H724" i="3"/>
  <c r="I724" i="3"/>
  <c r="J724" i="3"/>
  <c r="AH724" i="3" s="1"/>
  <c r="K724" i="3"/>
  <c r="L724" i="3"/>
  <c r="M724" i="3"/>
  <c r="N724" i="3"/>
  <c r="O724" i="3"/>
  <c r="P724" i="3"/>
  <c r="Q724" i="3"/>
  <c r="R724" i="3"/>
  <c r="S724" i="3"/>
  <c r="T724" i="3"/>
  <c r="Y724" i="3"/>
  <c r="Z724" i="3"/>
  <c r="AA724" i="3"/>
  <c r="AB724" i="3"/>
  <c r="AD724" i="3"/>
  <c r="AE724" i="3"/>
  <c r="AG724" i="3"/>
  <c r="A725" i="3"/>
  <c r="C725" i="3"/>
  <c r="E725" i="3"/>
  <c r="F725" i="3"/>
  <c r="G725" i="3"/>
  <c r="H725" i="3"/>
  <c r="I725" i="3"/>
  <c r="J725" i="3"/>
  <c r="AH725" i="3" s="1"/>
  <c r="K725" i="3"/>
  <c r="L725" i="3"/>
  <c r="M725" i="3"/>
  <c r="N725" i="3"/>
  <c r="O725" i="3"/>
  <c r="P725" i="3"/>
  <c r="Q725" i="3"/>
  <c r="R725" i="3"/>
  <c r="S725" i="3"/>
  <c r="T725" i="3"/>
  <c r="Y725" i="3"/>
  <c r="Z725" i="3"/>
  <c r="AA725" i="3"/>
  <c r="AB725" i="3"/>
  <c r="AD725" i="3"/>
  <c r="AE725" i="3"/>
  <c r="AG725" i="3"/>
  <c r="A726" i="3"/>
  <c r="C726" i="3"/>
  <c r="E726" i="3"/>
  <c r="F726" i="3"/>
  <c r="G726" i="3"/>
  <c r="H726" i="3"/>
  <c r="I726" i="3"/>
  <c r="J726" i="3"/>
  <c r="K726" i="3"/>
  <c r="L726" i="3"/>
  <c r="M726" i="3"/>
  <c r="N726" i="3"/>
  <c r="O726" i="3"/>
  <c r="P726" i="3"/>
  <c r="Q726" i="3"/>
  <c r="R726" i="3"/>
  <c r="S726" i="3"/>
  <c r="T726" i="3"/>
  <c r="Y726" i="3"/>
  <c r="Z726" i="3"/>
  <c r="AA726" i="3"/>
  <c r="AB726" i="3"/>
  <c r="AD726" i="3"/>
  <c r="AE726" i="3"/>
  <c r="AG726" i="3"/>
  <c r="AH726" i="3"/>
  <c r="A727" i="3"/>
  <c r="C727" i="3"/>
  <c r="E727" i="3"/>
  <c r="F727" i="3"/>
  <c r="G727" i="3"/>
  <c r="H727" i="3"/>
  <c r="I727" i="3"/>
  <c r="J727" i="3"/>
  <c r="AH727" i="3" s="1"/>
  <c r="K727" i="3"/>
  <c r="L727" i="3"/>
  <c r="M727" i="3"/>
  <c r="N727" i="3"/>
  <c r="O727" i="3"/>
  <c r="P727" i="3"/>
  <c r="Q727" i="3"/>
  <c r="R727" i="3"/>
  <c r="S727" i="3"/>
  <c r="T727" i="3"/>
  <c r="Y727" i="3"/>
  <c r="Z727" i="3"/>
  <c r="AA727" i="3"/>
  <c r="AB727" i="3"/>
  <c r="AD727" i="3"/>
  <c r="AE727" i="3"/>
  <c r="AG727" i="3"/>
  <c r="A728" i="3"/>
  <c r="C728" i="3"/>
  <c r="E728" i="3"/>
  <c r="F728" i="3"/>
  <c r="G728" i="3"/>
  <c r="H728" i="3"/>
  <c r="I728" i="3"/>
  <c r="J728" i="3"/>
  <c r="AH728" i="3" s="1"/>
  <c r="K728" i="3"/>
  <c r="L728" i="3"/>
  <c r="M728" i="3"/>
  <c r="N728" i="3"/>
  <c r="O728" i="3"/>
  <c r="P728" i="3"/>
  <c r="Q728" i="3"/>
  <c r="R728" i="3"/>
  <c r="S728" i="3"/>
  <c r="T728" i="3"/>
  <c r="Y728" i="3"/>
  <c r="Z728" i="3"/>
  <c r="AA728" i="3"/>
  <c r="AB728" i="3"/>
  <c r="AD728" i="3"/>
  <c r="AE728" i="3"/>
  <c r="AG728" i="3"/>
  <c r="A729" i="3"/>
  <c r="C729" i="3"/>
  <c r="E729" i="3"/>
  <c r="F729" i="3"/>
  <c r="G729" i="3"/>
  <c r="H729" i="3"/>
  <c r="I729" i="3"/>
  <c r="J729" i="3"/>
  <c r="K729" i="3"/>
  <c r="L729" i="3"/>
  <c r="M729" i="3"/>
  <c r="N729" i="3"/>
  <c r="O729" i="3"/>
  <c r="P729" i="3"/>
  <c r="Q729" i="3"/>
  <c r="R729" i="3"/>
  <c r="S729" i="3"/>
  <c r="T729" i="3"/>
  <c r="Y729" i="3"/>
  <c r="Z729" i="3"/>
  <c r="AA729" i="3"/>
  <c r="AB729" i="3"/>
  <c r="AD729" i="3"/>
  <c r="AE729" i="3"/>
  <c r="AG729" i="3"/>
  <c r="AH729" i="3"/>
  <c r="A730" i="3"/>
  <c r="C730" i="3"/>
  <c r="E730" i="3"/>
  <c r="F730" i="3"/>
  <c r="G730" i="3"/>
  <c r="H730" i="3"/>
  <c r="I730" i="3"/>
  <c r="J730" i="3"/>
  <c r="AH730" i="3" s="1"/>
  <c r="K730" i="3"/>
  <c r="L730" i="3"/>
  <c r="M730" i="3"/>
  <c r="N730" i="3"/>
  <c r="O730" i="3"/>
  <c r="P730" i="3"/>
  <c r="Q730" i="3"/>
  <c r="R730" i="3"/>
  <c r="S730" i="3"/>
  <c r="T730" i="3"/>
  <c r="Y730" i="3"/>
  <c r="Z730" i="3"/>
  <c r="AA730" i="3"/>
  <c r="AB730" i="3"/>
  <c r="AD730" i="3"/>
  <c r="AE730" i="3"/>
  <c r="AG730" i="3"/>
  <c r="A731" i="3"/>
  <c r="C731" i="3"/>
  <c r="E731" i="3"/>
  <c r="F731" i="3"/>
  <c r="G731" i="3"/>
  <c r="H731" i="3"/>
  <c r="I731" i="3"/>
  <c r="J731" i="3"/>
  <c r="AH731" i="3" s="1"/>
  <c r="K731" i="3"/>
  <c r="L731" i="3"/>
  <c r="M731" i="3"/>
  <c r="N731" i="3"/>
  <c r="O731" i="3"/>
  <c r="P731" i="3"/>
  <c r="Q731" i="3"/>
  <c r="R731" i="3"/>
  <c r="S731" i="3"/>
  <c r="T731" i="3"/>
  <c r="Y731" i="3"/>
  <c r="Z731" i="3"/>
  <c r="AA731" i="3"/>
  <c r="AB731" i="3"/>
  <c r="AD731" i="3"/>
  <c r="AE731" i="3"/>
  <c r="AG731" i="3"/>
  <c r="A732" i="3"/>
  <c r="C732" i="3"/>
  <c r="E732" i="3"/>
  <c r="F732" i="3"/>
  <c r="G732" i="3"/>
  <c r="H732" i="3"/>
  <c r="I732" i="3"/>
  <c r="J732" i="3"/>
  <c r="K732" i="3"/>
  <c r="L732" i="3"/>
  <c r="M732" i="3"/>
  <c r="N732" i="3"/>
  <c r="O732" i="3"/>
  <c r="P732" i="3"/>
  <c r="Q732" i="3"/>
  <c r="R732" i="3"/>
  <c r="S732" i="3"/>
  <c r="T732" i="3"/>
  <c r="Y732" i="3"/>
  <c r="Z732" i="3"/>
  <c r="AA732" i="3"/>
  <c r="AB732" i="3"/>
  <c r="AD732" i="3"/>
  <c r="AE732" i="3"/>
  <c r="AG732" i="3"/>
  <c r="AH732" i="3"/>
  <c r="A733" i="3"/>
  <c r="C733" i="3"/>
  <c r="E733" i="3"/>
  <c r="F733" i="3"/>
  <c r="G733" i="3"/>
  <c r="H733" i="3"/>
  <c r="I733" i="3"/>
  <c r="J733" i="3"/>
  <c r="AH733" i="3" s="1"/>
  <c r="K733" i="3"/>
  <c r="L733" i="3"/>
  <c r="M733" i="3"/>
  <c r="N733" i="3"/>
  <c r="O733" i="3"/>
  <c r="P733" i="3"/>
  <c r="Q733" i="3"/>
  <c r="R733" i="3"/>
  <c r="S733" i="3"/>
  <c r="T733" i="3"/>
  <c r="Y733" i="3"/>
  <c r="Z733" i="3"/>
  <c r="AA733" i="3"/>
  <c r="AB733" i="3"/>
  <c r="AD733" i="3"/>
  <c r="AE733" i="3"/>
  <c r="AG733" i="3"/>
  <c r="A734" i="3"/>
  <c r="C734" i="3"/>
  <c r="E734" i="3"/>
  <c r="F734" i="3"/>
  <c r="G734" i="3"/>
  <c r="H734" i="3"/>
  <c r="I734" i="3"/>
  <c r="J734" i="3"/>
  <c r="AH734" i="3" s="1"/>
  <c r="K734" i="3"/>
  <c r="L734" i="3"/>
  <c r="M734" i="3"/>
  <c r="N734" i="3"/>
  <c r="O734" i="3"/>
  <c r="P734" i="3"/>
  <c r="Q734" i="3"/>
  <c r="R734" i="3"/>
  <c r="S734" i="3"/>
  <c r="T734" i="3"/>
  <c r="Y734" i="3"/>
  <c r="Z734" i="3"/>
  <c r="AA734" i="3"/>
  <c r="AB734" i="3"/>
  <c r="AD734" i="3"/>
  <c r="AE734" i="3"/>
  <c r="AG734" i="3"/>
  <c r="A735" i="3"/>
  <c r="C735" i="3"/>
  <c r="E735" i="3"/>
  <c r="F735" i="3"/>
  <c r="G735" i="3"/>
  <c r="H735" i="3"/>
  <c r="I735" i="3"/>
  <c r="J735" i="3"/>
  <c r="AH735" i="3" s="1"/>
  <c r="K735" i="3"/>
  <c r="L735" i="3"/>
  <c r="M735" i="3"/>
  <c r="N735" i="3"/>
  <c r="O735" i="3"/>
  <c r="P735" i="3"/>
  <c r="Q735" i="3"/>
  <c r="R735" i="3"/>
  <c r="S735" i="3"/>
  <c r="T735" i="3"/>
  <c r="Y735" i="3"/>
  <c r="Z735" i="3"/>
  <c r="AA735" i="3"/>
  <c r="AB735" i="3"/>
  <c r="AD735" i="3"/>
  <c r="AE735" i="3"/>
  <c r="AG735" i="3"/>
  <c r="A736" i="3"/>
  <c r="C736" i="3"/>
  <c r="E736" i="3"/>
  <c r="F736" i="3"/>
  <c r="G736" i="3"/>
  <c r="H736" i="3"/>
  <c r="I736" i="3"/>
  <c r="J736" i="3"/>
  <c r="AH736" i="3" s="1"/>
  <c r="K736" i="3"/>
  <c r="L736" i="3"/>
  <c r="M736" i="3"/>
  <c r="N736" i="3"/>
  <c r="O736" i="3"/>
  <c r="P736" i="3"/>
  <c r="Q736" i="3"/>
  <c r="R736" i="3"/>
  <c r="S736" i="3"/>
  <c r="T736" i="3"/>
  <c r="Y736" i="3"/>
  <c r="Z736" i="3"/>
  <c r="AA736" i="3"/>
  <c r="AB736" i="3"/>
  <c r="AD736" i="3"/>
  <c r="AE736" i="3"/>
  <c r="AG736" i="3"/>
  <c r="A737" i="3"/>
  <c r="C737" i="3"/>
  <c r="E737" i="3"/>
  <c r="F737" i="3"/>
  <c r="G737" i="3"/>
  <c r="H737" i="3"/>
  <c r="I737" i="3"/>
  <c r="J737" i="3"/>
  <c r="AH737" i="3" s="1"/>
  <c r="K737" i="3"/>
  <c r="L737" i="3"/>
  <c r="M737" i="3"/>
  <c r="N737" i="3"/>
  <c r="O737" i="3"/>
  <c r="P737" i="3"/>
  <c r="Q737" i="3"/>
  <c r="R737" i="3"/>
  <c r="S737" i="3"/>
  <c r="T737" i="3"/>
  <c r="Y737" i="3"/>
  <c r="Z737" i="3"/>
  <c r="AA737" i="3"/>
  <c r="AB737" i="3"/>
  <c r="AD737" i="3"/>
  <c r="AE737" i="3"/>
  <c r="AG737" i="3"/>
  <c r="A738" i="3"/>
  <c r="C738" i="3"/>
  <c r="E738" i="3"/>
  <c r="F738" i="3"/>
  <c r="G738" i="3"/>
  <c r="H738" i="3"/>
  <c r="I738" i="3"/>
  <c r="J738" i="3"/>
  <c r="AH738" i="3" s="1"/>
  <c r="K738" i="3"/>
  <c r="L738" i="3"/>
  <c r="M738" i="3"/>
  <c r="N738" i="3"/>
  <c r="O738" i="3"/>
  <c r="P738" i="3"/>
  <c r="Q738" i="3"/>
  <c r="R738" i="3"/>
  <c r="S738" i="3"/>
  <c r="T738" i="3"/>
  <c r="Y738" i="3"/>
  <c r="Z738" i="3"/>
  <c r="AA738" i="3"/>
  <c r="AB738" i="3"/>
  <c r="AD738" i="3"/>
  <c r="AE738" i="3"/>
  <c r="AG738" i="3"/>
  <c r="A739" i="3"/>
  <c r="C739" i="3"/>
  <c r="E739" i="3"/>
  <c r="F739" i="3"/>
  <c r="G739" i="3"/>
  <c r="H739" i="3"/>
  <c r="I739" i="3"/>
  <c r="J739" i="3"/>
  <c r="AH739" i="3" s="1"/>
  <c r="K739" i="3"/>
  <c r="L739" i="3"/>
  <c r="M739" i="3"/>
  <c r="N739" i="3"/>
  <c r="O739" i="3"/>
  <c r="P739" i="3"/>
  <c r="Q739" i="3"/>
  <c r="R739" i="3"/>
  <c r="S739" i="3"/>
  <c r="T739" i="3"/>
  <c r="Y739" i="3"/>
  <c r="Z739" i="3"/>
  <c r="AA739" i="3"/>
  <c r="AB739" i="3"/>
  <c r="AD739" i="3"/>
  <c r="AE739" i="3"/>
  <c r="AG739" i="3"/>
  <c r="A740" i="3"/>
  <c r="C740" i="3"/>
  <c r="E740" i="3"/>
  <c r="F740" i="3"/>
  <c r="G740" i="3"/>
  <c r="H740" i="3"/>
  <c r="I740" i="3"/>
  <c r="J740" i="3"/>
  <c r="AH740" i="3" s="1"/>
  <c r="K740" i="3"/>
  <c r="L740" i="3"/>
  <c r="M740" i="3"/>
  <c r="N740" i="3"/>
  <c r="O740" i="3"/>
  <c r="P740" i="3"/>
  <c r="Q740" i="3"/>
  <c r="R740" i="3"/>
  <c r="S740" i="3"/>
  <c r="T740" i="3"/>
  <c r="Y740" i="3"/>
  <c r="Z740" i="3"/>
  <c r="AA740" i="3"/>
  <c r="AB740" i="3"/>
  <c r="AD740" i="3"/>
  <c r="AE740" i="3"/>
  <c r="AG740" i="3"/>
  <c r="A741" i="3"/>
  <c r="C741" i="3"/>
  <c r="E741" i="3"/>
  <c r="F741" i="3"/>
  <c r="G741" i="3"/>
  <c r="H741" i="3"/>
  <c r="I741" i="3"/>
  <c r="J741" i="3"/>
  <c r="AH741" i="3" s="1"/>
  <c r="K741" i="3"/>
  <c r="L741" i="3"/>
  <c r="M741" i="3"/>
  <c r="N741" i="3"/>
  <c r="O741" i="3"/>
  <c r="P741" i="3"/>
  <c r="Q741" i="3"/>
  <c r="R741" i="3"/>
  <c r="S741" i="3"/>
  <c r="T741" i="3"/>
  <c r="Y741" i="3"/>
  <c r="Z741" i="3"/>
  <c r="AA741" i="3"/>
  <c r="AB741" i="3"/>
  <c r="AD741" i="3"/>
  <c r="AE741" i="3"/>
  <c r="AG741" i="3"/>
  <c r="A742" i="3"/>
  <c r="C742" i="3"/>
  <c r="E742" i="3"/>
  <c r="F742" i="3"/>
  <c r="G742" i="3"/>
  <c r="H742" i="3"/>
  <c r="I742" i="3"/>
  <c r="J742" i="3"/>
  <c r="AH742" i="3" s="1"/>
  <c r="K742" i="3"/>
  <c r="L742" i="3"/>
  <c r="M742" i="3"/>
  <c r="N742" i="3"/>
  <c r="O742" i="3"/>
  <c r="P742" i="3"/>
  <c r="Q742" i="3"/>
  <c r="R742" i="3"/>
  <c r="S742" i="3"/>
  <c r="T742" i="3"/>
  <c r="Y742" i="3"/>
  <c r="Z742" i="3"/>
  <c r="AA742" i="3"/>
  <c r="AB742" i="3"/>
  <c r="AD742" i="3"/>
  <c r="AE742" i="3"/>
  <c r="AG742" i="3"/>
  <c r="A743" i="3"/>
  <c r="C743" i="3"/>
  <c r="E743" i="3"/>
  <c r="F743" i="3"/>
  <c r="G743" i="3"/>
  <c r="H743" i="3"/>
  <c r="I743" i="3"/>
  <c r="J743" i="3"/>
  <c r="AH743" i="3" s="1"/>
  <c r="K743" i="3"/>
  <c r="L743" i="3"/>
  <c r="M743" i="3"/>
  <c r="N743" i="3"/>
  <c r="O743" i="3"/>
  <c r="P743" i="3"/>
  <c r="Q743" i="3"/>
  <c r="R743" i="3"/>
  <c r="S743" i="3"/>
  <c r="T743" i="3"/>
  <c r="Y743" i="3"/>
  <c r="Z743" i="3"/>
  <c r="AA743" i="3"/>
  <c r="AB743" i="3"/>
  <c r="AD743" i="3"/>
  <c r="AE743" i="3"/>
  <c r="AG743" i="3"/>
  <c r="A744" i="3"/>
  <c r="C744" i="3"/>
  <c r="E744" i="3"/>
  <c r="F744" i="3"/>
  <c r="G744" i="3"/>
  <c r="H744" i="3"/>
  <c r="I744" i="3"/>
  <c r="J744" i="3"/>
  <c r="AH744" i="3" s="1"/>
  <c r="K744" i="3"/>
  <c r="L744" i="3"/>
  <c r="M744" i="3"/>
  <c r="N744" i="3"/>
  <c r="O744" i="3"/>
  <c r="P744" i="3"/>
  <c r="Q744" i="3"/>
  <c r="R744" i="3"/>
  <c r="S744" i="3"/>
  <c r="T744" i="3"/>
  <c r="Y744" i="3"/>
  <c r="Z744" i="3"/>
  <c r="AA744" i="3"/>
  <c r="AB744" i="3"/>
  <c r="AD744" i="3"/>
  <c r="AE744" i="3"/>
  <c r="AG744" i="3"/>
  <c r="A745" i="3"/>
  <c r="C745" i="3"/>
  <c r="E745" i="3"/>
  <c r="F745" i="3"/>
  <c r="G745" i="3"/>
  <c r="H745" i="3"/>
  <c r="I745" i="3"/>
  <c r="J745" i="3"/>
  <c r="K745" i="3"/>
  <c r="L745" i="3"/>
  <c r="M745" i="3"/>
  <c r="N745" i="3"/>
  <c r="O745" i="3"/>
  <c r="P745" i="3"/>
  <c r="Q745" i="3"/>
  <c r="R745" i="3"/>
  <c r="S745" i="3"/>
  <c r="T745" i="3"/>
  <c r="Y745" i="3"/>
  <c r="Z745" i="3"/>
  <c r="AA745" i="3"/>
  <c r="AB745" i="3"/>
  <c r="AD745" i="3"/>
  <c r="AE745" i="3"/>
  <c r="AG745" i="3"/>
  <c r="AH745" i="3"/>
  <c r="A746" i="3"/>
  <c r="C746" i="3"/>
  <c r="E746" i="3"/>
  <c r="F746" i="3"/>
  <c r="G746" i="3"/>
  <c r="H746" i="3"/>
  <c r="I746" i="3"/>
  <c r="J746" i="3"/>
  <c r="AH746" i="3" s="1"/>
  <c r="K746" i="3"/>
  <c r="L746" i="3"/>
  <c r="M746" i="3"/>
  <c r="N746" i="3"/>
  <c r="O746" i="3"/>
  <c r="P746" i="3"/>
  <c r="Q746" i="3"/>
  <c r="R746" i="3"/>
  <c r="S746" i="3"/>
  <c r="T746" i="3"/>
  <c r="Y746" i="3"/>
  <c r="Z746" i="3"/>
  <c r="AA746" i="3"/>
  <c r="AB746" i="3"/>
  <c r="AD746" i="3"/>
  <c r="AE746" i="3"/>
  <c r="AG746" i="3"/>
  <c r="A747" i="3"/>
  <c r="C747" i="3"/>
  <c r="E747" i="3"/>
  <c r="F747" i="3"/>
  <c r="G747" i="3"/>
  <c r="H747" i="3"/>
  <c r="I747" i="3"/>
  <c r="J747" i="3"/>
  <c r="AH747" i="3" s="1"/>
  <c r="K747" i="3"/>
  <c r="L747" i="3"/>
  <c r="M747" i="3"/>
  <c r="N747" i="3"/>
  <c r="O747" i="3"/>
  <c r="P747" i="3"/>
  <c r="Q747" i="3"/>
  <c r="R747" i="3"/>
  <c r="S747" i="3"/>
  <c r="T747" i="3"/>
  <c r="Y747" i="3"/>
  <c r="Z747" i="3"/>
  <c r="AA747" i="3"/>
  <c r="AB747" i="3"/>
  <c r="AD747" i="3"/>
  <c r="AE747" i="3"/>
  <c r="AG747" i="3"/>
  <c r="A748" i="3"/>
  <c r="C748" i="3"/>
  <c r="E748" i="3"/>
  <c r="F748" i="3"/>
  <c r="G748" i="3"/>
  <c r="H748" i="3"/>
  <c r="I748" i="3"/>
  <c r="J748" i="3"/>
  <c r="K748" i="3"/>
  <c r="L748" i="3"/>
  <c r="M748" i="3"/>
  <c r="N748" i="3"/>
  <c r="O748" i="3"/>
  <c r="P748" i="3"/>
  <c r="Q748" i="3"/>
  <c r="R748" i="3"/>
  <c r="S748" i="3"/>
  <c r="T748" i="3"/>
  <c r="Y748" i="3"/>
  <c r="Z748" i="3"/>
  <c r="AA748" i="3"/>
  <c r="AB748" i="3"/>
  <c r="AD748" i="3"/>
  <c r="AE748" i="3"/>
  <c r="AG748" i="3"/>
  <c r="AH748" i="3"/>
  <c r="A749" i="3"/>
  <c r="C749" i="3"/>
  <c r="E749" i="3"/>
  <c r="F749" i="3"/>
  <c r="G749" i="3"/>
  <c r="H749" i="3"/>
  <c r="I749" i="3"/>
  <c r="J749" i="3"/>
  <c r="AH749" i="3" s="1"/>
  <c r="K749" i="3"/>
  <c r="L749" i="3"/>
  <c r="M749" i="3"/>
  <c r="N749" i="3"/>
  <c r="O749" i="3"/>
  <c r="P749" i="3"/>
  <c r="Q749" i="3"/>
  <c r="R749" i="3"/>
  <c r="S749" i="3"/>
  <c r="T749" i="3"/>
  <c r="Y749" i="3"/>
  <c r="Z749" i="3"/>
  <c r="AA749" i="3"/>
  <c r="AB749" i="3"/>
  <c r="AD749" i="3"/>
  <c r="AE749" i="3"/>
  <c r="AG749" i="3"/>
  <c r="A750" i="3"/>
  <c r="C750" i="3"/>
  <c r="E750" i="3"/>
  <c r="F750" i="3"/>
  <c r="G750" i="3"/>
  <c r="H750" i="3"/>
  <c r="I750" i="3"/>
  <c r="J750" i="3"/>
  <c r="AH750" i="3" s="1"/>
  <c r="K750" i="3"/>
  <c r="L750" i="3"/>
  <c r="M750" i="3"/>
  <c r="N750" i="3"/>
  <c r="O750" i="3"/>
  <c r="P750" i="3"/>
  <c r="Q750" i="3"/>
  <c r="R750" i="3"/>
  <c r="S750" i="3"/>
  <c r="T750" i="3"/>
  <c r="Y750" i="3"/>
  <c r="Z750" i="3"/>
  <c r="AA750" i="3"/>
  <c r="AB750" i="3"/>
  <c r="AD750" i="3"/>
  <c r="AE750" i="3"/>
  <c r="AG750" i="3"/>
  <c r="A751" i="3"/>
  <c r="C751" i="3"/>
  <c r="E751" i="3"/>
  <c r="F751" i="3"/>
  <c r="G751" i="3"/>
  <c r="H751" i="3"/>
  <c r="I751" i="3"/>
  <c r="J751" i="3"/>
  <c r="K751" i="3"/>
  <c r="L751" i="3"/>
  <c r="M751" i="3"/>
  <c r="N751" i="3"/>
  <c r="O751" i="3"/>
  <c r="P751" i="3"/>
  <c r="Q751" i="3"/>
  <c r="R751" i="3"/>
  <c r="S751" i="3"/>
  <c r="T751" i="3"/>
  <c r="Y751" i="3"/>
  <c r="Z751" i="3"/>
  <c r="AA751" i="3"/>
  <c r="AB751" i="3"/>
  <c r="AD751" i="3"/>
  <c r="AE751" i="3"/>
  <c r="AG751" i="3"/>
  <c r="AH751" i="3"/>
  <c r="A752" i="3"/>
  <c r="C752" i="3"/>
  <c r="E752" i="3"/>
  <c r="F752" i="3"/>
  <c r="G752" i="3"/>
  <c r="H752" i="3"/>
  <c r="I752" i="3"/>
  <c r="J752" i="3"/>
  <c r="AH752" i="3" s="1"/>
  <c r="K752" i="3"/>
  <c r="L752" i="3"/>
  <c r="M752" i="3"/>
  <c r="N752" i="3"/>
  <c r="O752" i="3"/>
  <c r="P752" i="3"/>
  <c r="Q752" i="3"/>
  <c r="R752" i="3"/>
  <c r="S752" i="3"/>
  <c r="T752" i="3"/>
  <c r="Y752" i="3"/>
  <c r="Z752" i="3"/>
  <c r="AA752" i="3"/>
  <c r="AB752" i="3"/>
  <c r="AD752" i="3"/>
  <c r="AE752" i="3"/>
  <c r="AG752" i="3"/>
  <c r="A753" i="3"/>
  <c r="C753" i="3"/>
  <c r="E753" i="3"/>
  <c r="F753" i="3"/>
  <c r="G753" i="3"/>
  <c r="H753" i="3"/>
  <c r="I753" i="3"/>
  <c r="J753" i="3"/>
  <c r="AH753" i="3" s="1"/>
  <c r="K753" i="3"/>
  <c r="L753" i="3"/>
  <c r="M753" i="3"/>
  <c r="N753" i="3"/>
  <c r="O753" i="3"/>
  <c r="P753" i="3"/>
  <c r="Q753" i="3"/>
  <c r="R753" i="3"/>
  <c r="S753" i="3"/>
  <c r="T753" i="3"/>
  <c r="Y753" i="3"/>
  <c r="Z753" i="3"/>
  <c r="AA753" i="3"/>
  <c r="AB753" i="3"/>
  <c r="AD753" i="3"/>
  <c r="AE753" i="3"/>
  <c r="AG753" i="3"/>
  <c r="A754" i="3"/>
  <c r="C754" i="3"/>
  <c r="E754" i="3"/>
  <c r="F754" i="3"/>
  <c r="G754" i="3"/>
  <c r="H754" i="3"/>
  <c r="I754" i="3"/>
  <c r="J754" i="3"/>
  <c r="K754" i="3"/>
  <c r="L754" i="3"/>
  <c r="M754" i="3"/>
  <c r="N754" i="3"/>
  <c r="O754" i="3"/>
  <c r="P754" i="3"/>
  <c r="Q754" i="3"/>
  <c r="R754" i="3"/>
  <c r="S754" i="3"/>
  <c r="T754" i="3"/>
  <c r="Y754" i="3"/>
  <c r="Z754" i="3"/>
  <c r="AA754" i="3"/>
  <c r="AB754" i="3"/>
  <c r="AD754" i="3"/>
  <c r="AE754" i="3"/>
  <c r="AG754" i="3"/>
  <c r="AH754" i="3"/>
  <c r="A755" i="3"/>
  <c r="C755" i="3"/>
  <c r="E755" i="3"/>
  <c r="F755" i="3"/>
  <c r="G755" i="3"/>
  <c r="H755" i="3"/>
  <c r="I755" i="3"/>
  <c r="J755" i="3"/>
  <c r="AH755" i="3" s="1"/>
  <c r="K755" i="3"/>
  <c r="L755" i="3"/>
  <c r="M755" i="3"/>
  <c r="N755" i="3"/>
  <c r="O755" i="3"/>
  <c r="P755" i="3"/>
  <c r="Q755" i="3"/>
  <c r="R755" i="3"/>
  <c r="S755" i="3"/>
  <c r="T755" i="3"/>
  <c r="Y755" i="3"/>
  <c r="Z755" i="3"/>
  <c r="AA755" i="3"/>
  <c r="AB755" i="3"/>
  <c r="AD755" i="3"/>
  <c r="AE755" i="3"/>
  <c r="AG755" i="3"/>
  <c r="A756" i="3"/>
  <c r="C756" i="3"/>
  <c r="E756" i="3"/>
  <c r="F756" i="3"/>
  <c r="G756" i="3"/>
  <c r="H756" i="3"/>
  <c r="I756" i="3"/>
  <c r="J756" i="3"/>
  <c r="AH756" i="3" s="1"/>
  <c r="K756" i="3"/>
  <c r="L756" i="3"/>
  <c r="M756" i="3"/>
  <c r="N756" i="3"/>
  <c r="O756" i="3"/>
  <c r="P756" i="3"/>
  <c r="Q756" i="3"/>
  <c r="R756" i="3"/>
  <c r="S756" i="3"/>
  <c r="T756" i="3"/>
  <c r="Y756" i="3"/>
  <c r="Z756" i="3"/>
  <c r="AA756" i="3"/>
  <c r="AB756" i="3"/>
  <c r="AD756" i="3"/>
  <c r="AE756" i="3"/>
  <c r="AG756" i="3"/>
  <c r="A757" i="3"/>
  <c r="C757" i="3"/>
  <c r="E757" i="3"/>
  <c r="F757" i="3"/>
  <c r="G757" i="3"/>
  <c r="H757" i="3"/>
  <c r="I757" i="3"/>
  <c r="J757" i="3"/>
  <c r="AH757" i="3" s="1"/>
  <c r="K757" i="3"/>
  <c r="L757" i="3"/>
  <c r="M757" i="3"/>
  <c r="N757" i="3"/>
  <c r="O757" i="3"/>
  <c r="P757" i="3"/>
  <c r="Q757" i="3"/>
  <c r="R757" i="3"/>
  <c r="S757" i="3"/>
  <c r="T757" i="3"/>
  <c r="Y757" i="3"/>
  <c r="Z757" i="3"/>
  <c r="AA757" i="3"/>
  <c r="AB757" i="3"/>
  <c r="AD757" i="3"/>
  <c r="AE757" i="3"/>
  <c r="AG757" i="3"/>
  <c r="A758" i="3"/>
  <c r="C758" i="3"/>
  <c r="E758" i="3"/>
  <c r="F758" i="3"/>
  <c r="G758" i="3"/>
  <c r="H758" i="3"/>
  <c r="I758" i="3"/>
  <c r="J758" i="3"/>
  <c r="AH758" i="3" s="1"/>
  <c r="K758" i="3"/>
  <c r="L758" i="3"/>
  <c r="M758" i="3"/>
  <c r="N758" i="3"/>
  <c r="O758" i="3"/>
  <c r="P758" i="3"/>
  <c r="Q758" i="3"/>
  <c r="R758" i="3"/>
  <c r="S758" i="3"/>
  <c r="T758" i="3"/>
  <c r="Y758" i="3"/>
  <c r="Z758" i="3"/>
  <c r="AA758" i="3"/>
  <c r="AB758" i="3"/>
  <c r="AD758" i="3"/>
  <c r="AE758" i="3"/>
  <c r="AG758" i="3"/>
  <c r="A759" i="3"/>
  <c r="C759" i="3"/>
  <c r="E759" i="3"/>
  <c r="F759" i="3"/>
  <c r="G759" i="3"/>
  <c r="H759" i="3"/>
  <c r="I759" i="3"/>
  <c r="J759" i="3"/>
  <c r="AH759" i="3" s="1"/>
  <c r="K759" i="3"/>
  <c r="L759" i="3"/>
  <c r="M759" i="3"/>
  <c r="N759" i="3"/>
  <c r="O759" i="3"/>
  <c r="P759" i="3"/>
  <c r="Q759" i="3"/>
  <c r="R759" i="3"/>
  <c r="S759" i="3"/>
  <c r="T759" i="3"/>
  <c r="Y759" i="3"/>
  <c r="Z759" i="3"/>
  <c r="AA759" i="3"/>
  <c r="AB759" i="3"/>
  <c r="AD759" i="3"/>
  <c r="AE759" i="3"/>
  <c r="AG759" i="3"/>
  <c r="A760" i="3"/>
  <c r="C760" i="3"/>
  <c r="E760" i="3"/>
  <c r="F760" i="3"/>
  <c r="G760" i="3"/>
  <c r="H760" i="3"/>
  <c r="I760" i="3"/>
  <c r="J760" i="3"/>
  <c r="AH760" i="3" s="1"/>
  <c r="K760" i="3"/>
  <c r="L760" i="3"/>
  <c r="M760" i="3"/>
  <c r="N760" i="3"/>
  <c r="O760" i="3"/>
  <c r="P760" i="3"/>
  <c r="Q760" i="3"/>
  <c r="R760" i="3"/>
  <c r="S760" i="3"/>
  <c r="T760" i="3"/>
  <c r="Y760" i="3"/>
  <c r="Z760" i="3"/>
  <c r="AA760" i="3"/>
  <c r="AB760" i="3"/>
  <c r="AD760" i="3"/>
  <c r="AE760" i="3"/>
  <c r="AG760" i="3"/>
  <c r="A761" i="3"/>
  <c r="C761" i="3"/>
  <c r="E761" i="3"/>
  <c r="F761" i="3"/>
  <c r="G761" i="3"/>
  <c r="H761" i="3"/>
  <c r="I761" i="3"/>
  <c r="J761" i="3"/>
  <c r="AH761" i="3" s="1"/>
  <c r="K761" i="3"/>
  <c r="L761" i="3"/>
  <c r="M761" i="3"/>
  <c r="N761" i="3"/>
  <c r="O761" i="3"/>
  <c r="P761" i="3"/>
  <c r="Q761" i="3"/>
  <c r="R761" i="3"/>
  <c r="S761" i="3"/>
  <c r="T761" i="3"/>
  <c r="Y761" i="3"/>
  <c r="Z761" i="3"/>
  <c r="AA761" i="3"/>
  <c r="AB761" i="3"/>
  <c r="AD761" i="3"/>
  <c r="AE761" i="3"/>
  <c r="AG761" i="3"/>
  <c r="A762" i="3"/>
  <c r="C762" i="3"/>
  <c r="E762" i="3"/>
  <c r="F762" i="3"/>
  <c r="G762" i="3"/>
  <c r="H762" i="3"/>
  <c r="I762" i="3"/>
  <c r="J762" i="3"/>
  <c r="AH762" i="3" s="1"/>
  <c r="K762" i="3"/>
  <c r="L762" i="3"/>
  <c r="M762" i="3"/>
  <c r="N762" i="3"/>
  <c r="O762" i="3"/>
  <c r="P762" i="3"/>
  <c r="Q762" i="3"/>
  <c r="R762" i="3"/>
  <c r="S762" i="3"/>
  <c r="T762" i="3"/>
  <c r="Y762" i="3"/>
  <c r="Z762" i="3"/>
  <c r="AA762" i="3"/>
  <c r="AB762" i="3"/>
  <c r="AD762" i="3"/>
  <c r="AE762" i="3"/>
  <c r="AG762" i="3"/>
  <c r="A763" i="3"/>
  <c r="C763" i="3"/>
  <c r="E763" i="3"/>
  <c r="F763" i="3"/>
  <c r="G763" i="3"/>
  <c r="H763" i="3"/>
  <c r="I763" i="3"/>
  <c r="J763" i="3"/>
  <c r="AH763" i="3" s="1"/>
  <c r="K763" i="3"/>
  <c r="L763" i="3"/>
  <c r="M763" i="3"/>
  <c r="N763" i="3"/>
  <c r="O763" i="3"/>
  <c r="P763" i="3"/>
  <c r="Q763" i="3"/>
  <c r="R763" i="3"/>
  <c r="S763" i="3"/>
  <c r="T763" i="3"/>
  <c r="Y763" i="3"/>
  <c r="Z763" i="3"/>
  <c r="AA763" i="3"/>
  <c r="AB763" i="3"/>
  <c r="AD763" i="3"/>
  <c r="AE763" i="3"/>
  <c r="AG763" i="3"/>
  <c r="A764" i="3"/>
  <c r="C764" i="3"/>
  <c r="E764" i="3"/>
  <c r="F764" i="3"/>
  <c r="G764" i="3"/>
  <c r="H764" i="3"/>
  <c r="I764" i="3"/>
  <c r="J764" i="3"/>
  <c r="AH764" i="3" s="1"/>
  <c r="K764" i="3"/>
  <c r="L764" i="3"/>
  <c r="M764" i="3"/>
  <c r="N764" i="3"/>
  <c r="O764" i="3"/>
  <c r="P764" i="3"/>
  <c r="Q764" i="3"/>
  <c r="R764" i="3"/>
  <c r="S764" i="3"/>
  <c r="T764" i="3"/>
  <c r="Y764" i="3"/>
  <c r="Z764" i="3"/>
  <c r="AA764" i="3"/>
  <c r="AB764" i="3"/>
  <c r="AD764" i="3"/>
  <c r="AE764" i="3"/>
  <c r="AG764" i="3"/>
  <c r="A765" i="3"/>
  <c r="C765" i="3"/>
  <c r="E765" i="3"/>
  <c r="F765" i="3"/>
  <c r="G765" i="3"/>
  <c r="H765" i="3"/>
  <c r="I765" i="3"/>
  <c r="J765" i="3"/>
  <c r="AH765" i="3" s="1"/>
  <c r="K765" i="3"/>
  <c r="L765" i="3"/>
  <c r="M765" i="3"/>
  <c r="N765" i="3"/>
  <c r="O765" i="3"/>
  <c r="P765" i="3"/>
  <c r="Q765" i="3"/>
  <c r="R765" i="3"/>
  <c r="S765" i="3"/>
  <c r="T765" i="3"/>
  <c r="Y765" i="3"/>
  <c r="Z765" i="3"/>
  <c r="AA765" i="3"/>
  <c r="AB765" i="3"/>
  <c r="AC765" i="3"/>
  <c r="AD765" i="3"/>
  <c r="AE765" i="3"/>
  <c r="AG765" i="3"/>
  <c r="A766" i="3"/>
  <c r="C766" i="3"/>
  <c r="E766" i="3"/>
  <c r="F766" i="3"/>
  <c r="G766" i="3"/>
  <c r="H766" i="3"/>
  <c r="I766" i="3"/>
  <c r="J766" i="3"/>
  <c r="AH766" i="3" s="1"/>
  <c r="K766" i="3"/>
  <c r="L766" i="3"/>
  <c r="M766" i="3"/>
  <c r="N766" i="3"/>
  <c r="O766" i="3"/>
  <c r="P766" i="3"/>
  <c r="Q766" i="3"/>
  <c r="R766" i="3"/>
  <c r="S766" i="3"/>
  <c r="T766" i="3"/>
  <c r="Y766" i="3"/>
  <c r="Z766" i="3"/>
  <c r="AA766" i="3"/>
  <c r="AB766" i="3"/>
  <c r="AC766" i="3"/>
  <c r="AD766" i="3"/>
  <c r="AE766" i="3"/>
  <c r="AG766" i="3"/>
  <c r="A767" i="3"/>
  <c r="C767" i="3"/>
  <c r="E767" i="3"/>
  <c r="F767" i="3"/>
  <c r="G767" i="3"/>
  <c r="H767" i="3"/>
  <c r="I767" i="3"/>
  <c r="J767" i="3"/>
  <c r="AH767" i="3" s="1"/>
  <c r="K767" i="3"/>
  <c r="L767" i="3"/>
  <c r="M767" i="3"/>
  <c r="N767" i="3"/>
  <c r="O767" i="3"/>
  <c r="P767" i="3"/>
  <c r="Q767" i="3"/>
  <c r="R767" i="3"/>
  <c r="S767" i="3"/>
  <c r="T767" i="3"/>
  <c r="Y767" i="3"/>
  <c r="Z767" i="3"/>
  <c r="AA767" i="3"/>
  <c r="AB767" i="3"/>
  <c r="AC767" i="3"/>
  <c r="AD767" i="3"/>
  <c r="AE767" i="3"/>
  <c r="AF767" i="3"/>
  <c r="AG767" i="3"/>
  <c r="A768" i="3"/>
  <c r="C768" i="3"/>
  <c r="E768" i="3"/>
  <c r="F768" i="3"/>
  <c r="G768" i="3"/>
  <c r="H768" i="3"/>
  <c r="I768" i="3"/>
  <c r="J768" i="3"/>
  <c r="AH768" i="3" s="1"/>
  <c r="K768" i="3"/>
  <c r="L768" i="3"/>
  <c r="M768" i="3"/>
  <c r="N768" i="3"/>
  <c r="O768" i="3"/>
  <c r="P768" i="3"/>
  <c r="Q768" i="3"/>
  <c r="R768" i="3"/>
  <c r="S768" i="3"/>
  <c r="T768" i="3"/>
  <c r="Y768" i="3"/>
  <c r="Z768" i="3"/>
  <c r="AA768" i="3"/>
  <c r="AB768" i="3"/>
  <c r="AD768" i="3"/>
  <c r="AE768" i="3"/>
  <c r="AF768" i="3"/>
  <c r="AG768" i="3"/>
  <c r="A769" i="3"/>
  <c r="C769" i="3"/>
  <c r="E769" i="3"/>
  <c r="F769" i="3"/>
  <c r="G769" i="3"/>
  <c r="H769" i="3"/>
  <c r="I769" i="3"/>
  <c r="J769" i="3"/>
  <c r="K769" i="3"/>
  <c r="L769" i="3"/>
  <c r="M769" i="3"/>
  <c r="N769" i="3"/>
  <c r="O769" i="3"/>
  <c r="P769" i="3"/>
  <c r="Q769" i="3"/>
  <c r="R769" i="3"/>
  <c r="S769" i="3"/>
  <c r="T769" i="3"/>
  <c r="Y769" i="3"/>
  <c r="Z769" i="3"/>
  <c r="AA769" i="3"/>
  <c r="AB769" i="3"/>
  <c r="AD769" i="3"/>
  <c r="AE769" i="3"/>
  <c r="AF769" i="3"/>
  <c r="AG769" i="3"/>
  <c r="AH769" i="3"/>
  <c r="A770" i="3"/>
  <c r="C770" i="3"/>
  <c r="E770" i="3"/>
  <c r="F770" i="3"/>
  <c r="G770" i="3"/>
  <c r="H770" i="3"/>
  <c r="I770" i="3"/>
  <c r="J770" i="3"/>
  <c r="AH770" i="3" s="1"/>
  <c r="K770" i="3"/>
  <c r="L770" i="3"/>
  <c r="M770" i="3"/>
  <c r="N770" i="3"/>
  <c r="O770" i="3"/>
  <c r="P770" i="3"/>
  <c r="Q770" i="3"/>
  <c r="R770" i="3"/>
  <c r="S770" i="3"/>
  <c r="T770" i="3"/>
  <c r="Y770" i="3"/>
  <c r="Z770" i="3"/>
  <c r="AA770" i="3"/>
  <c r="AB770" i="3"/>
  <c r="AD770" i="3"/>
  <c r="AE770" i="3"/>
  <c r="AF770" i="3"/>
  <c r="AG770" i="3"/>
  <c r="A771" i="3"/>
  <c r="C771" i="3"/>
  <c r="E771" i="3"/>
  <c r="F771" i="3"/>
  <c r="G771" i="3"/>
  <c r="H771" i="3"/>
  <c r="I771" i="3"/>
  <c r="J771" i="3"/>
  <c r="AH771" i="3" s="1"/>
  <c r="K771" i="3"/>
  <c r="L771" i="3"/>
  <c r="M771" i="3"/>
  <c r="N771" i="3"/>
  <c r="O771" i="3"/>
  <c r="P771" i="3"/>
  <c r="Q771" i="3"/>
  <c r="R771" i="3"/>
  <c r="S771" i="3"/>
  <c r="T771" i="3"/>
  <c r="Y771" i="3"/>
  <c r="Z771" i="3"/>
  <c r="AA771" i="3"/>
  <c r="AB771" i="3"/>
  <c r="AD771" i="3"/>
  <c r="AE771" i="3"/>
  <c r="AF771" i="3"/>
  <c r="AG771" i="3"/>
  <c r="A772" i="3"/>
  <c r="C772" i="3"/>
  <c r="E772" i="3"/>
  <c r="F772" i="3"/>
  <c r="G772" i="3"/>
  <c r="H772" i="3"/>
  <c r="I772" i="3"/>
  <c r="J772" i="3"/>
  <c r="AH772" i="3" s="1"/>
  <c r="K772" i="3"/>
  <c r="L772" i="3"/>
  <c r="M772" i="3"/>
  <c r="N772" i="3"/>
  <c r="O772" i="3"/>
  <c r="P772" i="3"/>
  <c r="Q772" i="3"/>
  <c r="R772" i="3"/>
  <c r="S772" i="3"/>
  <c r="T772" i="3"/>
  <c r="Y772" i="3"/>
  <c r="Z772" i="3"/>
  <c r="AA772" i="3"/>
  <c r="AB772" i="3"/>
  <c r="AD772" i="3"/>
  <c r="AE772" i="3"/>
  <c r="AF772" i="3"/>
  <c r="AG772" i="3"/>
  <c r="A773" i="3"/>
  <c r="C773" i="3"/>
  <c r="E773" i="3"/>
  <c r="F773" i="3"/>
  <c r="G773" i="3"/>
  <c r="H773" i="3"/>
  <c r="I773" i="3"/>
  <c r="J773" i="3"/>
  <c r="AH773" i="3" s="1"/>
  <c r="K773" i="3"/>
  <c r="L773" i="3"/>
  <c r="M773" i="3"/>
  <c r="N773" i="3"/>
  <c r="O773" i="3"/>
  <c r="P773" i="3"/>
  <c r="Q773" i="3"/>
  <c r="R773" i="3"/>
  <c r="S773" i="3"/>
  <c r="T773" i="3"/>
  <c r="Y773" i="3"/>
  <c r="Z773" i="3"/>
  <c r="AA773" i="3"/>
  <c r="AB773" i="3"/>
  <c r="AD773" i="3"/>
  <c r="AE773" i="3"/>
  <c r="AF773" i="3"/>
  <c r="AG773" i="3"/>
  <c r="A774" i="3"/>
  <c r="C774" i="3"/>
  <c r="E774" i="3"/>
  <c r="F774" i="3"/>
  <c r="G774" i="3"/>
  <c r="H774" i="3"/>
  <c r="I774" i="3"/>
  <c r="J774" i="3"/>
  <c r="AH774" i="3" s="1"/>
  <c r="K774" i="3"/>
  <c r="L774" i="3"/>
  <c r="M774" i="3"/>
  <c r="N774" i="3"/>
  <c r="O774" i="3"/>
  <c r="P774" i="3"/>
  <c r="Q774" i="3"/>
  <c r="R774" i="3"/>
  <c r="S774" i="3"/>
  <c r="T774" i="3"/>
  <c r="Y774" i="3"/>
  <c r="Z774" i="3"/>
  <c r="AA774" i="3"/>
  <c r="AB774" i="3"/>
  <c r="AD774" i="3"/>
  <c r="AE774" i="3"/>
  <c r="AF774" i="3"/>
  <c r="AG774" i="3"/>
  <c r="A775" i="3"/>
  <c r="C775" i="3"/>
  <c r="E775" i="3"/>
  <c r="F775" i="3"/>
  <c r="G775" i="3"/>
  <c r="H775" i="3"/>
  <c r="I775" i="3"/>
  <c r="J775" i="3"/>
  <c r="AH775" i="3" s="1"/>
  <c r="K775" i="3"/>
  <c r="L775" i="3"/>
  <c r="M775" i="3"/>
  <c r="N775" i="3"/>
  <c r="O775" i="3"/>
  <c r="P775" i="3"/>
  <c r="Q775" i="3"/>
  <c r="R775" i="3"/>
  <c r="S775" i="3"/>
  <c r="T775" i="3"/>
  <c r="Y775" i="3"/>
  <c r="Z775" i="3"/>
  <c r="AA775" i="3"/>
  <c r="AB775" i="3"/>
  <c r="AD775" i="3"/>
  <c r="AE775" i="3"/>
  <c r="AF775" i="3"/>
  <c r="AG775" i="3"/>
  <c r="A776" i="3"/>
  <c r="C776" i="3"/>
  <c r="E776" i="3"/>
  <c r="F776" i="3"/>
  <c r="G776" i="3"/>
  <c r="H776" i="3"/>
  <c r="I776" i="3"/>
  <c r="J776" i="3"/>
  <c r="AH776" i="3" s="1"/>
  <c r="K776" i="3"/>
  <c r="L776" i="3"/>
  <c r="M776" i="3"/>
  <c r="N776" i="3"/>
  <c r="O776" i="3"/>
  <c r="P776" i="3"/>
  <c r="Q776" i="3"/>
  <c r="R776" i="3"/>
  <c r="S776" i="3"/>
  <c r="T776" i="3"/>
  <c r="Y776" i="3"/>
  <c r="Z776" i="3"/>
  <c r="AA776" i="3"/>
  <c r="AB776" i="3"/>
  <c r="AD776" i="3"/>
  <c r="AE776" i="3"/>
  <c r="AF776" i="3"/>
  <c r="AG776" i="3"/>
  <c r="A777" i="3"/>
  <c r="C777" i="3"/>
  <c r="E777" i="3"/>
  <c r="F777" i="3"/>
  <c r="G777" i="3"/>
  <c r="H777" i="3"/>
  <c r="I777" i="3"/>
  <c r="J777" i="3"/>
  <c r="AH777" i="3" s="1"/>
  <c r="K777" i="3"/>
  <c r="L777" i="3"/>
  <c r="M777" i="3"/>
  <c r="N777" i="3"/>
  <c r="O777" i="3"/>
  <c r="P777" i="3"/>
  <c r="Q777" i="3"/>
  <c r="R777" i="3"/>
  <c r="S777" i="3"/>
  <c r="T777" i="3"/>
  <c r="Y777" i="3"/>
  <c r="Z777" i="3"/>
  <c r="AA777" i="3"/>
  <c r="AB777" i="3"/>
  <c r="AD777" i="3"/>
  <c r="AE777" i="3"/>
  <c r="AF777" i="3"/>
  <c r="AG777" i="3"/>
  <c r="A778" i="3"/>
  <c r="C778" i="3"/>
  <c r="E778" i="3"/>
  <c r="F778" i="3"/>
  <c r="G778" i="3"/>
  <c r="H778" i="3"/>
  <c r="I778" i="3"/>
  <c r="J778" i="3"/>
  <c r="AH778" i="3" s="1"/>
  <c r="K778" i="3"/>
  <c r="L778" i="3"/>
  <c r="M778" i="3"/>
  <c r="N778" i="3"/>
  <c r="O778" i="3"/>
  <c r="P778" i="3"/>
  <c r="Q778" i="3"/>
  <c r="R778" i="3"/>
  <c r="S778" i="3"/>
  <c r="T778" i="3"/>
  <c r="Y778" i="3"/>
  <c r="Z778" i="3"/>
  <c r="AA778" i="3"/>
  <c r="AB778" i="3"/>
  <c r="AD778" i="3"/>
  <c r="AE778" i="3"/>
  <c r="AF778" i="3"/>
  <c r="AG778" i="3"/>
  <c r="A779" i="3"/>
  <c r="C779" i="3"/>
  <c r="E779" i="3"/>
  <c r="F779" i="3"/>
  <c r="G779" i="3"/>
  <c r="H779" i="3"/>
  <c r="I779" i="3"/>
  <c r="J779" i="3"/>
  <c r="AH779" i="3" s="1"/>
  <c r="K779" i="3"/>
  <c r="L779" i="3"/>
  <c r="M779" i="3"/>
  <c r="N779" i="3"/>
  <c r="O779" i="3"/>
  <c r="P779" i="3"/>
  <c r="Q779" i="3"/>
  <c r="R779" i="3"/>
  <c r="S779" i="3"/>
  <c r="T779" i="3"/>
  <c r="Y779" i="3"/>
  <c r="Z779" i="3"/>
  <c r="AA779" i="3"/>
  <c r="AB779" i="3"/>
  <c r="AD779" i="3"/>
  <c r="AE779" i="3"/>
  <c r="AF779" i="3"/>
  <c r="AG779" i="3"/>
  <c r="A780" i="3"/>
  <c r="C780" i="3"/>
  <c r="E780" i="3"/>
  <c r="F780" i="3"/>
  <c r="G780" i="3"/>
  <c r="H780" i="3"/>
  <c r="I780" i="3"/>
  <c r="J780" i="3"/>
  <c r="AH780" i="3" s="1"/>
  <c r="K780" i="3"/>
  <c r="L780" i="3"/>
  <c r="M780" i="3"/>
  <c r="N780" i="3"/>
  <c r="O780" i="3"/>
  <c r="P780" i="3"/>
  <c r="Q780" i="3"/>
  <c r="R780" i="3"/>
  <c r="S780" i="3"/>
  <c r="T780" i="3"/>
  <c r="Y780" i="3"/>
  <c r="Z780" i="3"/>
  <c r="AA780" i="3"/>
  <c r="AB780" i="3"/>
  <c r="AD780" i="3"/>
  <c r="AE780" i="3"/>
  <c r="AF780" i="3"/>
  <c r="AG780" i="3"/>
  <c r="A781" i="3"/>
  <c r="C781" i="3"/>
  <c r="E781" i="3"/>
  <c r="F781" i="3"/>
  <c r="G781" i="3"/>
  <c r="H781" i="3"/>
  <c r="I781" i="3"/>
  <c r="J781" i="3"/>
  <c r="AH781" i="3" s="1"/>
  <c r="K781" i="3"/>
  <c r="L781" i="3"/>
  <c r="M781" i="3"/>
  <c r="N781" i="3"/>
  <c r="O781" i="3"/>
  <c r="P781" i="3"/>
  <c r="Q781" i="3"/>
  <c r="R781" i="3"/>
  <c r="S781" i="3"/>
  <c r="T781" i="3"/>
  <c r="Y781" i="3"/>
  <c r="Z781" i="3"/>
  <c r="AA781" i="3"/>
  <c r="AB781" i="3"/>
  <c r="AD781" i="3"/>
  <c r="AE781" i="3"/>
  <c r="AF781" i="3"/>
  <c r="AG781" i="3"/>
  <c r="A782" i="3"/>
  <c r="C782" i="3"/>
  <c r="E782" i="3"/>
  <c r="F782" i="3"/>
  <c r="G782" i="3"/>
  <c r="H782" i="3"/>
  <c r="I782" i="3"/>
  <c r="J782" i="3"/>
  <c r="K782" i="3"/>
  <c r="L782" i="3"/>
  <c r="M782" i="3"/>
  <c r="N782" i="3"/>
  <c r="O782" i="3"/>
  <c r="P782" i="3"/>
  <c r="Q782" i="3"/>
  <c r="R782" i="3"/>
  <c r="S782" i="3"/>
  <c r="T782" i="3"/>
  <c r="Y782" i="3"/>
  <c r="Z782" i="3"/>
  <c r="AA782" i="3"/>
  <c r="AB782" i="3"/>
  <c r="AD782" i="3"/>
  <c r="AE782" i="3"/>
  <c r="AF782" i="3"/>
  <c r="AG782" i="3"/>
  <c r="AH782" i="3"/>
  <c r="A783" i="3"/>
  <c r="C783" i="3"/>
  <c r="E783" i="3"/>
  <c r="F783" i="3"/>
  <c r="G783" i="3"/>
  <c r="H783" i="3"/>
  <c r="I783" i="3"/>
  <c r="J783" i="3"/>
  <c r="AH783" i="3" s="1"/>
  <c r="K783" i="3"/>
  <c r="L783" i="3"/>
  <c r="M783" i="3"/>
  <c r="N783" i="3"/>
  <c r="O783" i="3"/>
  <c r="P783" i="3"/>
  <c r="Q783" i="3"/>
  <c r="R783" i="3"/>
  <c r="S783" i="3"/>
  <c r="T783" i="3"/>
  <c r="Y783" i="3"/>
  <c r="Z783" i="3"/>
  <c r="AA783" i="3"/>
  <c r="AB783" i="3"/>
  <c r="AD783" i="3"/>
  <c r="AE783" i="3"/>
  <c r="AF783" i="3"/>
  <c r="AG783" i="3"/>
  <c r="A784" i="3"/>
  <c r="C784" i="3"/>
  <c r="E784" i="3"/>
  <c r="F784" i="3"/>
  <c r="G784" i="3"/>
  <c r="H784" i="3"/>
  <c r="I784" i="3"/>
  <c r="J784" i="3"/>
  <c r="K784" i="3"/>
  <c r="L784" i="3"/>
  <c r="M784" i="3"/>
  <c r="N784" i="3"/>
  <c r="O784" i="3"/>
  <c r="P784" i="3"/>
  <c r="Q784" i="3"/>
  <c r="R784" i="3"/>
  <c r="S784" i="3"/>
  <c r="T784" i="3"/>
  <c r="Y784" i="3"/>
  <c r="Z784" i="3"/>
  <c r="AA784" i="3"/>
  <c r="AB784" i="3"/>
  <c r="AD784" i="3"/>
  <c r="AE784" i="3"/>
  <c r="AF784" i="3"/>
  <c r="AG784" i="3"/>
  <c r="AH784" i="3"/>
  <c r="A785" i="3"/>
  <c r="C785" i="3"/>
  <c r="E785" i="3"/>
  <c r="F785" i="3"/>
  <c r="G785" i="3"/>
  <c r="H785" i="3"/>
  <c r="I785" i="3"/>
  <c r="J785" i="3"/>
  <c r="AH785" i="3" s="1"/>
  <c r="K785" i="3"/>
  <c r="L785" i="3"/>
  <c r="M785" i="3"/>
  <c r="N785" i="3"/>
  <c r="O785" i="3"/>
  <c r="P785" i="3"/>
  <c r="Q785" i="3"/>
  <c r="R785" i="3"/>
  <c r="S785" i="3"/>
  <c r="T785" i="3"/>
  <c r="Y785" i="3"/>
  <c r="Z785" i="3"/>
  <c r="AA785" i="3"/>
  <c r="AB785" i="3"/>
  <c r="AD785" i="3"/>
  <c r="AE785" i="3"/>
  <c r="AF785" i="3"/>
  <c r="AG785" i="3"/>
  <c r="A786" i="3"/>
  <c r="C786" i="3"/>
  <c r="E786" i="3"/>
  <c r="F786" i="3"/>
  <c r="G786" i="3"/>
  <c r="H786" i="3"/>
  <c r="I786" i="3"/>
  <c r="J786" i="3"/>
  <c r="AH786" i="3" s="1"/>
  <c r="K786" i="3"/>
  <c r="L786" i="3"/>
  <c r="M786" i="3"/>
  <c r="N786" i="3"/>
  <c r="O786" i="3"/>
  <c r="P786" i="3"/>
  <c r="Q786" i="3"/>
  <c r="R786" i="3"/>
  <c r="S786" i="3"/>
  <c r="T786" i="3"/>
  <c r="Y786" i="3"/>
  <c r="Z786" i="3"/>
  <c r="AA786" i="3"/>
  <c r="AB786" i="3"/>
  <c r="AC786" i="3"/>
  <c r="AD786" i="3"/>
  <c r="AE786" i="3"/>
  <c r="AF786" i="3"/>
  <c r="AG786" i="3"/>
  <c r="A787" i="3"/>
  <c r="C787" i="3"/>
  <c r="E787" i="3"/>
  <c r="F787" i="3"/>
  <c r="G787" i="3"/>
  <c r="H787" i="3"/>
  <c r="I787" i="3"/>
  <c r="J787" i="3"/>
  <c r="AH787" i="3" s="1"/>
  <c r="K787" i="3"/>
  <c r="L787" i="3"/>
  <c r="M787" i="3"/>
  <c r="N787" i="3"/>
  <c r="O787" i="3"/>
  <c r="P787" i="3"/>
  <c r="Q787" i="3"/>
  <c r="R787" i="3"/>
  <c r="S787" i="3"/>
  <c r="T787" i="3"/>
  <c r="Y787" i="3"/>
  <c r="Z787" i="3"/>
  <c r="AA787" i="3"/>
  <c r="AB787" i="3"/>
  <c r="AD787" i="3"/>
  <c r="AE787" i="3"/>
  <c r="AF787" i="3"/>
  <c r="AG787" i="3"/>
  <c r="A788" i="3"/>
  <c r="C788" i="3"/>
  <c r="E788" i="3"/>
  <c r="F788" i="3"/>
  <c r="G788" i="3"/>
  <c r="H788" i="3"/>
  <c r="I788" i="3"/>
  <c r="J788" i="3"/>
  <c r="AH788" i="3" s="1"/>
  <c r="K788" i="3"/>
  <c r="L788" i="3"/>
  <c r="M788" i="3"/>
  <c r="N788" i="3"/>
  <c r="O788" i="3"/>
  <c r="P788" i="3"/>
  <c r="Q788" i="3"/>
  <c r="R788" i="3"/>
  <c r="S788" i="3"/>
  <c r="T788" i="3"/>
  <c r="Y788" i="3"/>
  <c r="Z788" i="3"/>
  <c r="AA788" i="3"/>
  <c r="AB788" i="3"/>
  <c r="AD788" i="3"/>
  <c r="AE788" i="3"/>
  <c r="AF788" i="3"/>
  <c r="AG788" i="3"/>
  <c r="A789" i="3"/>
  <c r="C789" i="3"/>
  <c r="E789" i="3"/>
  <c r="F789" i="3"/>
  <c r="G789" i="3"/>
  <c r="H789" i="3"/>
  <c r="I789" i="3"/>
  <c r="J789" i="3"/>
  <c r="AH789" i="3" s="1"/>
  <c r="K789" i="3"/>
  <c r="L789" i="3"/>
  <c r="M789" i="3"/>
  <c r="N789" i="3"/>
  <c r="O789" i="3"/>
  <c r="P789" i="3"/>
  <c r="Q789" i="3"/>
  <c r="R789" i="3"/>
  <c r="S789" i="3"/>
  <c r="T789" i="3"/>
  <c r="Y789" i="3"/>
  <c r="Z789" i="3"/>
  <c r="AA789" i="3"/>
  <c r="AB789" i="3"/>
  <c r="AD789" i="3"/>
  <c r="AE789" i="3"/>
  <c r="AF789" i="3"/>
  <c r="AG789" i="3"/>
  <c r="A790" i="3"/>
  <c r="C790" i="3"/>
  <c r="E790" i="3"/>
  <c r="F790" i="3"/>
  <c r="G790" i="3"/>
  <c r="H790" i="3"/>
  <c r="I790" i="3"/>
  <c r="J790" i="3"/>
  <c r="AH790" i="3" s="1"/>
  <c r="K790" i="3"/>
  <c r="L790" i="3"/>
  <c r="M790" i="3"/>
  <c r="N790" i="3"/>
  <c r="O790" i="3"/>
  <c r="P790" i="3"/>
  <c r="Q790" i="3"/>
  <c r="R790" i="3"/>
  <c r="S790" i="3"/>
  <c r="T790" i="3"/>
  <c r="Y790" i="3"/>
  <c r="Z790" i="3"/>
  <c r="AA790" i="3"/>
  <c r="AB790" i="3"/>
  <c r="AD790" i="3"/>
  <c r="AE790" i="3"/>
  <c r="AF790" i="3"/>
  <c r="AG790" i="3"/>
  <c r="A791" i="3"/>
  <c r="C791" i="3"/>
  <c r="E791" i="3"/>
  <c r="F791" i="3"/>
  <c r="G791" i="3"/>
  <c r="H791" i="3"/>
  <c r="I791" i="3"/>
  <c r="J791" i="3"/>
  <c r="AH791" i="3" s="1"/>
  <c r="K791" i="3"/>
  <c r="L791" i="3"/>
  <c r="M791" i="3"/>
  <c r="N791" i="3"/>
  <c r="O791" i="3"/>
  <c r="P791" i="3"/>
  <c r="Q791" i="3"/>
  <c r="R791" i="3"/>
  <c r="S791" i="3"/>
  <c r="T791" i="3"/>
  <c r="Y791" i="3"/>
  <c r="Z791" i="3"/>
  <c r="AA791" i="3"/>
  <c r="AB791" i="3"/>
  <c r="AD791" i="3"/>
  <c r="AE791" i="3"/>
  <c r="AF791" i="3"/>
  <c r="AG791" i="3"/>
  <c r="A792" i="3"/>
  <c r="C792" i="3"/>
  <c r="E792" i="3"/>
  <c r="F792" i="3"/>
  <c r="G792" i="3"/>
  <c r="H792" i="3"/>
  <c r="I792" i="3"/>
  <c r="J792" i="3"/>
  <c r="K792" i="3"/>
  <c r="L792" i="3"/>
  <c r="M792" i="3"/>
  <c r="N792" i="3"/>
  <c r="O792" i="3"/>
  <c r="P792" i="3"/>
  <c r="Q792" i="3"/>
  <c r="R792" i="3"/>
  <c r="S792" i="3"/>
  <c r="T792" i="3"/>
  <c r="Y792" i="3"/>
  <c r="Z792" i="3"/>
  <c r="AA792" i="3"/>
  <c r="AB792" i="3"/>
  <c r="AD792" i="3"/>
  <c r="AE792" i="3"/>
  <c r="AF792" i="3"/>
  <c r="AG792" i="3"/>
  <c r="AH792" i="3"/>
  <c r="A793" i="3"/>
  <c r="C793" i="3"/>
  <c r="E793" i="3"/>
  <c r="F793" i="3"/>
  <c r="G793" i="3"/>
  <c r="H793" i="3"/>
  <c r="I793" i="3"/>
  <c r="J793" i="3"/>
  <c r="AH793" i="3" s="1"/>
  <c r="K793" i="3"/>
  <c r="L793" i="3"/>
  <c r="M793" i="3"/>
  <c r="N793" i="3"/>
  <c r="O793" i="3"/>
  <c r="P793" i="3"/>
  <c r="Q793" i="3"/>
  <c r="R793" i="3"/>
  <c r="S793" i="3"/>
  <c r="T793" i="3"/>
  <c r="Y793" i="3"/>
  <c r="Z793" i="3"/>
  <c r="AA793" i="3"/>
  <c r="AB793" i="3"/>
  <c r="AD793" i="3"/>
  <c r="AE793" i="3"/>
  <c r="AF793" i="3"/>
  <c r="AG793" i="3"/>
  <c r="A794" i="3"/>
  <c r="C794" i="3"/>
  <c r="E794" i="3"/>
  <c r="F794" i="3"/>
  <c r="G794" i="3"/>
  <c r="H794" i="3"/>
  <c r="I794" i="3"/>
  <c r="J794" i="3"/>
  <c r="AH794" i="3" s="1"/>
  <c r="K794" i="3"/>
  <c r="L794" i="3"/>
  <c r="M794" i="3"/>
  <c r="N794" i="3"/>
  <c r="O794" i="3"/>
  <c r="P794" i="3"/>
  <c r="Q794" i="3"/>
  <c r="R794" i="3"/>
  <c r="S794" i="3"/>
  <c r="T794" i="3"/>
  <c r="Y794" i="3"/>
  <c r="Z794" i="3"/>
  <c r="AA794" i="3"/>
  <c r="AB794" i="3"/>
  <c r="AD794" i="3"/>
  <c r="AE794" i="3"/>
  <c r="AF794" i="3"/>
  <c r="AG794" i="3"/>
  <c r="A795" i="3"/>
  <c r="C795" i="3"/>
  <c r="E795" i="3"/>
  <c r="F795" i="3"/>
  <c r="G795" i="3"/>
  <c r="H795" i="3"/>
  <c r="I795" i="3"/>
  <c r="J795" i="3"/>
  <c r="AH795" i="3" s="1"/>
  <c r="K795" i="3"/>
  <c r="L795" i="3"/>
  <c r="M795" i="3"/>
  <c r="N795" i="3"/>
  <c r="O795" i="3"/>
  <c r="P795" i="3"/>
  <c r="Q795" i="3"/>
  <c r="R795" i="3"/>
  <c r="S795" i="3"/>
  <c r="T795" i="3"/>
  <c r="Y795" i="3"/>
  <c r="Z795" i="3"/>
  <c r="AA795" i="3"/>
  <c r="AB795" i="3"/>
  <c r="AD795" i="3"/>
  <c r="AE795" i="3"/>
  <c r="AF795" i="3"/>
  <c r="AG795" i="3"/>
  <c r="A796" i="3"/>
  <c r="C796" i="3"/>
  <c r="E796" i="3"/>
  <c r="F796" i="3"/>
  <c r="G796" i="3"/>
  <c r="H796" i="3"/>
  <c r="I796" i="3"/>
  <c r="J796" i="3"/>
  <c r="AH796" i="3" s="1"/>
  <c r="K796" i="3"/>
  <c r="L796" i="3"/>
  <c r="M796" i="3"/>
  <c r="N796" i="3"/>
  <c r="O796" i="3"/>
  <c r="P796" i="3"/>
  <c r="Q796" i="3"/>
  <c r="R796" i="3"/>
  <c r="S796" i="3"/>
  <c r="T796" i="3"/>
  <c r="Y796" i="3"/>
  <c r="Z796" i="3"/>
  <c r="AA796" i="3"/>
  <c r="AB796" i="3"/>
  <c r="AD796" i="3"/>
  <c r="AE796" i="3"/>
  <c r="AF796" i="3"/>
  <c r="AG796" i="3"/>
  <c r="A797" i="3"/>
  <c r="C797" i="3"/>
  <c r="E797" i="3"/>
  <c r="F797" i="3"/>
  <c r="G797" i="3"/>
  <c r="H797" i="3"/>
  <c r="I797" i="3"/>
  <c r="J797" i="3"/>
  <c r="K797" i="3"/>
  <c r="L797" i="3"/>
  <c r="M797" i="3"/>
  <c r="N797" i="3"/>
  <c r="O797" i="3"/>
  <c r="P797" i="3"/>
  <c r="Q797" i="3"/>
  <c r="R797" i="3"/>
  <c r="S797" i="3"/>
  <c r="T797" i="3"/>
  <c r="Y797" i="3"/>
  <c r="Z797" i="3"/>
  <c r="AA797" i="3"/>
  <c r="AB797" i="3"/>
  <c r="AD797" i="3"/>
  <c r="AE797" i="3"/>
  <c r="AF797" i="3"/>
  <c r="AG797" i="3"/>
  <c r="AH797" i="3"/>
  <c r="A798" i="3"/>
  <c r="C798" i="3"/>
  <c r="E798" i="3"/>
  <c r="F798" i="3"/>
  <c r="G798" i="3"/>
  <c r="H798" i="3"/>
  <c r="I798" i="3"/>
  <c r="J798" i="3"/>
  <c r="AH798" i="3" s="1"/>
  <c r="K798" i="3"/>
  <c r="L798" i="3"/>
  <c r="M798" i="3"/>
  <c r="N798" i="3"/>
  <c r="O798" i="3"/>
  <c r="P798" i="3"/>
  <c r="Q798" i="3"/>
  <c r="R798" i="3"/>
  <c r="S798" i="3"/>
  <c r="T798" i="3"/>
  <c r="Y798" i="3"/>
  <c r="Z798" i="3"/>
  <c r="AA798" i="3"/>
  <c r="AB798" i="3"/>
  <c r="AD798" i="3"/>
  <c r="AE798" i="3"/>
  <c r="AF798" i="3"/>
  <c r="AG798" i="3"/>
  <c r="A799" i="3"/>
  <c r="C799" i="3"/>
  <c r="E799" i="3"/>
  <c r="F799" i="3"/>
  <c r="G799" i="3"/>
  <c r="H799" i="3"/>
  <c r="I799" i="3"/>
  <c r="J799" i="3"/>
  <c r="K799" i="3"/>
  <c r="L799" i="3"/>
  <c r="M799" i="3"/>
  <c r="N799" i="3"/>
  <c r="O799" i="3"/>
  <c r="P799" i="3"/>
  <c r="Q799" i="3"/>
  <c r="R799" i="3"/>
  <c r="S799" i="3"/>
  <c r="T799" i="3"/>
  <c r="Y799" i="3"/>
  <c r="Z799" i="3"/>
  <c r="AA799" i="3"/>
  <c r="AB799" i="3"/>
  <c r="AD799" i="3"/>
  <c r="AE799" i="3"/>
  <c r="AF799" i="3"/>
  <c r="AG799" i="3"/>
  <c r="AH799" i="3"/>
  <c r="A800" i="3"/>
  <c r="C800" i="3"/>
  <c r="E800" i="3"/>
  <c r="F800" i="3"/>
  <c r="G800" i="3"/>
  <c r="H800" i="3"/>
  <c r="I800" i="3"/>
  <c r="J800" i="3"/>
  <c r="AH800" i="3" s="1"/>
  <c r="K800" i="3"/>
  <c r="L800" i="3"/>
  <c r="M800" i="3"/>
  <c r="N800" i="3"/>
  <c r="O800" i="3"/>
  <c r="P800" i="3"/>
  <c r="Q800" i="3"/>
  <c r="R800" i="3"/>
  <c r="S800" i="3"/>
  <c r="T800" i="3"/>
  <c r="Y800" i="3"/>
  <c r="Z800" i="3"/>
  <c r="AA800" i="3"/>
  <c r="AB800" i="3"/>
  <c r="AD800" i="3"/>
  <c r="AE800" i="3"/>
  <c r="AF800" i="3"/>
  <c r="AG800" i="3"/>
  <c r="A801" i="3"/>
  <c r="C801" i="3"/>
  <c r="E801" i="3"/>
  <c r="F801" i="3"/>
  <c r="G801" i="3"/>
  <c r="H801" i="3"/>
  <c r="I801" i="3"/>
  <c r="J801" i="3"/>
  <c r="AH801" i="3" s="1"/>
  <c r="K801" i="3"/>
  <c r="L801" i="3"/>
  <c r="M801" i="3"/>
  <c r="N801" i="3"/>
  <c r="O801" i="3"/>
  <c r="P801" i="3"/>
  <c r="Q801" i="3"/>
  <c r="R801" i="3"/>
  <c r="S801" i="3"/>
  <c r="T801" i="3"/>
  <c r="Y801" i="3"/>
  <c r="Z801" i="3"/>
  <c r="AA801" i="3"/>
  <c r="AB801" i="3"/>
  <c r="AD801" i="3"/>
  <c r="AE801" i="3"/>
  <c r="AF801" i="3"/>
  <c r="AG801" i="3"/>
  <c r="A802" i="3"/>
  <c r="C802" i="3"/>
  <c r="E802" i="3"/>
  <c r="F802" i="3"/>
  <c r="G802" i="3"/>
  <c r="H802" i="3"/>
  <c r="I802" i="3"/>
  <c r="J802" i="3"/>
  <c r="AH802" i="3" s="1"/>
  <c r="K802" i="3"/>
  <c r="L802" i="3"/>
  <c r="M802" i="3"/>
  <c r="N802" i="3"/>
  <c r="O802" i="3"/>
  <c r="P802" i="3"/>
  <c r="Q802" i="3"/>
  <c r="R802" i="3"/>
  <c r="S802" i="3"/>
  <c r="T802" i="3"/>
  <c r="Y802" i="3"/>
  <c r="Z802" i="3"/>
  <c r="AA802" i="3"/>
  <c r="AB802" i="3"/>
  <c r="AD802" i="3"/>
  <c r="AE802" i="3"/>
  <c r="AF802" i="3"/>
  <c r="AG802" i="3"/>
  <c r="A803" i="3"/>
  <c r="C803" i="3"/>
  <c r="E803" i="3"/>
  <c r="F803" i="3"/>
  <c r="G803" i="3"/>
  <c r="H803" i="3"/>
  <c r="I803" i="3"/>
  <c r="J803" i="3"/>
  <c r="AH803" i="3" s="1"/>
  <c r="K803" i="3"/>
  <c r="L803" i="3"/>
  <c r="M803" i="3"/>
  <c r="N803" i="3"/>
  <c r="O803" i="3"/>
  <c r="P803" i="3"/>
  <c r="Q803" i="3"/>
  <c r="R803" i="3"/>
  <c r="S803" i="3"/>
  <c r="T803" i="3"/>
  <c r="Y803" i="3"/>
  <c r="Z803" i="3"/>
  <c r="AA803" i="3"/>
  <c r="AB803" i="3"/>
  <c r="AD803" i="3"/>
  <c r="AE803" i="3"/>
  <c r="AF803" i="3"/>
  <c r="AG803" i="3"/>
  <c r="A804" i="3"/>
  <c r="C804" i="3"/>
  <c r="E804" i="3"/>
  <c r="F804" i="3"/>
  <c r="G804" i="3"/>
  <c r="H804" i="3"/>
  <c r="I804" i="3"/>
  <c r="J804" i="3"/>
  <c r="AH804" i="3" s="1"/>
  <c r="K804" i="3"/>
  <c r="L804" i="3"/>
  <c r="M804" i="3"/>
  <c r="N804" i="3"/>
  <c r="O804" i="3"/>
  <c r="P804" i="3"/>
  <c r="Q804" i="3"/>
  <c r="R804" i="3"/>
  <c r="S804" i="3"/>
  <c r="T804" i="3"/>
  <c r="Y804" i="3"/>
  <c r="Z804" i="3"/>
  <c r="AA804" i="3"/>
  <c r="AB804" i="3"/>
  <c r="AD804" i="3"/>
  <c r="AE804" i="3"/>
  <c r="AF804" i="3"/>
  <c r="AG804" i="3"/>
  <c r="A805" i="3"/>
  <c r="C805" i="3"/>
  <c r="E805" i="3"/>
  <c r="F805" i="3"/>
  <c r="G805" i="3"/>
  <c r="H805" i="3"/>
  <c r="I805" i="3"/>
  <c r="J805" i="3"/>
  <c r="AH805" i="3" s="1"/>
  <c r="K805" i="3"/>
  <c r="L805" i="3"/>
  <c r="M805" i="3"/>
  <c r="N805" i="3"/>
  <c r="O805" i="3"/>
  <c r="P805" i="3"/>
  <c r="Q805" i="3"/>
  <c r="R805" i="3"/>
  <c r="S805" i="3"/>
  <c r="T805" i="3"/>
  <c r="Y805" i="3"/>
  <c r="Z805" i="3"/>
  <c r="AA805" i="3"/>
  <c r="AB805" i="3"/>
  <c r="AD805" i="3"/>
  <c r="AE805" i="3"/>
  <c r="AF805" i="3"/>
  <c r="AG805" i="3"/>
  <c r="A806" i="3"/>
  <c r="C806" i="3"/>
  <c r="E806" i="3"/>
  <c r="F806" i="3"/>
  <c r="G806" i="3"/>
  <c r="H806" i="3"/>
  <c r="I806" i="3"/>
  <c r="J806" i="3"/>
  <c r="K806" i="3"/>
  <c r="L806" i="3"/>
  <c r="M806" i="3"/>
  <c r="N806" i="3"/>
  <c r="O806" i="3"/>
  <c r="P806" i="3"/>
  <c r="Q806" i="3"/>
  <c r="R806" i="3"/>
  <c r="S806" i="3"/>
  <c r="T806" i="3"/>
  <c r="Y806" i="3"/>
  <c r="Z806" i="3"/>
  <c r="AA806" i="3"/>
  <c r="AB806" i="3"/>
  <c r="AD806" i="3"/>
  <c r="AE806" i="3"/>
  <c r="AF806" i="3"/>
  <c r="AG806" i="3"/>
  <c r="AH806" i="3"/>
  <c r="A807" i="3"/>
  <c r="C807" i="3"/>
  <c r="E807" i="3"/>
  <c r="F807" i="3"/>
  <c r="G807" i="3"/>
  <c r="H807" i="3"/>
  <c r="I807" i="3"/>
  <c r="J807" i="3"/>
  <c r="AH807" i="3" s="1"/>
  <c r="K807" i="3"/>
  <c r="L807" i="3"/>
  <c r="M807" i="3"/>
  <c r="N807" i="3"/>
  <c r="O807" i="3"/>
  <c r="P807" i="3"/>
  <c r="Q807" i="3"/>
  <c r="R807" i="3"/>
  <c r="S807" i="3"/>
  <c r="T807" i="3"/>
  <c r="Y807" i="3"/>
  <c r="Z807" i="3"/>
  <c r="AA807" i="3"/>
  <c r="AB807" i="3"/>
  <c r="AD807" i="3"/>
  <c r="AE807" i="3"/>
  <c r="AF807" i="3"/>
  <c r="AG807" i="3"/>
  <c r="A808" i="3"/>
  <c r="C808" i="3"/>
  <c r="E808" i="3"/>
  <c r="F808" i="3"/>
  <c r="G808" i="3"/>
  <c r="H808" i="3"/>
  <c r="I808" i="3"/>
  <c r="J808" i="3"/>
  <c r="AH808" i="3" s="1"/>
  <c r="K808" i="3"/>
  <c r="L808" i="3"/>
  <c r="M808" i="3"/>
  <c r="N808" i="3"/>
  <c r="O808" i="3"/>
  <c r="P808" i="3"/>
  <c r="Q808" i="3"/>
  <c r="R808" i="3"/>
  <c r="S808" i="3"/>
  <c r="T808" i="3"/>
  <c r="Y808" i="3"/>
  <c r="Z808" i="3"/>
  <c r="AA808" i="3"/>
  <c r="AB808" i="3"/>
  <c r="AD808" i="3"/>
  <c r="AE808" i="3"/>
  <c r="AF808" i="3"/>
  <c r="AG808" i="3"/>
  <c r="A809" i="3"/>
  <c r="C809" i="3"/>
  <c r="E809" i="3"/>
  <c r="F809" i="3"/>
  <c r="G809" i="3"/>
  <c r="H809" i="3"/>
  <c r="I809" i="3"/>
  <c r="J809" i="3"/>
  <c r="AH809" i="3" s="1"/>
  <c r="K809" i="3"/>
  <c r="L809" i="3"/>
  <c r="M809" i="3"/>
  <c r="N809" i="3"/>
  <c r="O809" i="3"/>
  <c r="P809" i="3"/>
  <c r="Q809" i="3"/>
  <c r="R809" i="3"/>
  <c r="S809" i="3"/>
  <c r="T809" i="3"/>
  <c r="Y809" i="3"/>
  <c r="Z809" i="3"/>
  <c r="AA809" i="3"/>
  <c r="AB809" i="3"/>
  <c r="AD809" i="3"/>
  <c r="AE809" i="3"/>
  <c r="AF809" i="3"/>
  <c r="AG809" i="3"/>
  <c r="A810" i="3"/>
  <c r="C810" i="3"/>
  <c r="E810" i="3"/>
  <c r="F810" i="3"/>
  <c r="G810" i="3"/>
  <c r="H810" i="3"/>
  <c r="I810" i="3"/>
  <c r="J810" i="3"/>
  <c r="AH810" i="3" s="1"/>
  <c r="K810" i="3"/>
  <c r="L810" i="3"/>
  <c r="M810" i="3"/>
  <c r="N810" i="3"/>
  <c r="O810" i="3"/>
  <c r="P810" i="3"/>
  <c r="Q810" i="3"/>
  <c r="R810" i="3"/>
  <c r="S810" i="3"/>
  <c r="T810" i="3"/>
  <c r="Y810" i="3"/>
  <c r="Z810" i="3"/>
  <c r="AA810" i="3"/>
  <c r="AB810" i="3"/>
  <c r="AD810" i="3"/>
  <c r="AE810" i="3"/>
  <c r="AF810" i="3"/>
  <c r="AG810" i="3"/>
  <c r="A811" i="3"/>
  <c r="C811" i="3"/>
  <c r="E811" i="3"/>
  <c r="F811" i="3"/>
  <c r="G811" i="3"/>
  <c r="H811" i="3"/>
  <c r="I811" i="3"/>
  <c r="J811" i="3"/>
  <c r="AH811" i="3" s="1"/>
  <c r="K811" i="3"/>
  <c r="L811" i="3"/>
  <c r="M811" i="3"/>
  <c r="N811" i="3"/>
  <c r="O811" i="3"/>
  <c r="P811" i="3"/>
  <c r="Q811" i="3"/>
  <c r="R811" i="3"/>
  <c r="S811" i="3"/>
  <c r="T811" i="3"/>
  <c r="Y811" i="3"/>
  <c r="Z811" i="3"/>
  <c r="AA811" i="3"/>
  <c r="AB811" i="3"/>
  <c r="AD811" i="3"/>
  <c r="AE811" i="3"/>
  <c r="AF811" i="3"/>
  <c r="AG811" i="3"/>
  <c r="A812" i="3"/>
  <c r="C812" i="3"/>
  <c r="E812" i="3"/>
  <c r="F812" i="3"/>
  <c r="G812" i="3"/>
  <c r="H812" i="3"/>
  <c r="I812" i="3"/>
  <c r="J812" i="3"/>
  <c r="AH812" i="3" s="1"/>
  <c r="K812" i="3"/>
  <c r="L812" i="3"/>
  <c r="M812" i="3"/>
  <c r="N812" i="3"/>
  <c r="O812" i="3"/>
  <c r="P812" i="3"/>
  <c r="Q812" i="3"/>
  <c r="R812" i="3"/>
  <c r="S812" i="3"/>
  <c r="T812" i="3"/>
  <c r="Y812" i="3"/>
  <c r="Z812" i="3"/>
  <c r="AA812" i="3"/>
  <c r="AB812" i="3"/>
  <c r="AD812" i="3"/>
  <c r="AE812" i="3"/>
  <c r="AF812" i="3"/>
  <c r="AG812" i="3"/>
  <c r="A813" i="3"/>
  <c r="C813" i="3"/>
  <c r="E813" i="3"/>
  <c r="F813" i="3"/>
  <c r="G813" i="3"/>
  <c r="H813" i="3"/>
  <c r="I813" i="3"/>
  <c r="J813" i="3"/>
  <c r="AH813" i="3" s="1"/>
  <c r="K813" i="3"/>
  <c r="L813" i="3"/>
  <c r="M813" i="3"/>
  <c r="N813" i="3"/>
  <c r="O813" i="3"/>
  <c r="P813" i="3"/>
  <c r="Q813" i="3"/>
  <c r="R813" i="3"/>
  <c r="S813" i="3"/>
  <c r="T813" i="3"/>
  <c r="Y813" i="3"/>
  <c r="Z813" i="3"/>
  <c r="AA813" i="3"/>
  <c r="AB813" i="3"/>
  <c r="AD813" i="3"/>
  <c r="AE813" i="3"/>
  <c r="AF813" i="3"/>
  <c r="AG813" i="3"/>
  <c r="A814" i="3"/>
  <c r="C814" i="3"/>
  <c r="E814" i="3"/>
  <c r="F814" i="3"/>
  <c r="G814" i="3"/>
  <c r="H814" i="3"/>
  <c r="I814" i="3"/>
  <c r="J814" i="3"/>
  <c r="AH814" i="3" s="1"/>
  <c r="K814" i="3"/>
  <c r="L814" i="3"/>
  <c r="M814" i="3"/>
  <c r="N814" i="3"/>
  <c r="O814" i="3"/>
  <c r="P814" i="3"/>
  <c r="Q814" i="3"/>
  <c r="R814" i="3"/>
  <c r="S814" i="3"/>
  <c r="T814" i="3"/>
  <c r="Y814" i="3"/>
  <c r="Z814" i="3"/>
  <c r="AA814" i="3"/>
  <c r="AB814" i="3"/>
  <c r="AD814" i="3"/>
  <c r="AE814" i="3"/>
  <c r="AF814" i="3"/>
  <c r="AG814" i="3"/>
  <c r="A815" i="3"/>
  <c r="C815" i="3"/>
  <c r="E815" i="3"/>
  <c r="F815" i="3"/>
  <c r="G815" i="3"/>
  <c r="H815" i="3"/>
  <c r="I815" i="3"/>
  <c r="J815" i="3"/>
  <c r="K815" i="3"/>
  <c r="L815" i="3"/>
  <c r="M815" i="3"/>
  <c r="N815" i="3"/>
  <c r="O815" i="3"/>
  <c r="P815" i="3"/>
  <c r="Q815" i="3"/>
  <c r="R815" i="3"/>
  <c r="S815" i="3"/>
  <c r="T815" i="3"/>
  <c r="Y815" i="3"/>
  <c r="Z815" i="3"/>
  <c r="AA815" i="3"/>
  <c r="AB815" i="3"/>
  <c r="AD815" i="3"/>
  <c r="AE815" i="3"/>
  <c r="AF815" i="3"/>
  <c r="AG815" i="3"/>
  <c r="AH815" i="3"/>
  <c r="A816" i="3"/>
  <c r="C816" i="3"/>
  <c r="E816" i="3"/>
  <c r="F816" i="3"/>
  <c r="G816" i="3"/>
  <c r="H816" i="3"/>
  <c r="I816" i="3"/>
  <c r="J816" i="3"/>
  <c r="AH816" i="3" s="1"/>
  <c r="K816" i="3"/>
  <c r="L816" i="3"/>
  <c r="M816" i="3"/>
  <c r="N816" i="3"/>
  <c r="O816" i="3"/>
  <c r="P816" i="3"/>
  <c r="Q816" i="3"/>
  <c r="R816" i="3"/>
  <c r="S816" i="3"/>
  <c r="T816" i="3"/>
  <c r="Y816" i="3"/>
  <c r="Z816" i="3"/>
  <c r="AA816" i="3"/>
  <c r="AB816" i="3"/>
  <c r="AD816" i="3"/>
  <c r="AE816" i="3"/>
  <c r="AF816" i="3"/>
  <c r="AG816" i="3"/>
  <c r="A817" i="3"/>
  <c r="C817" i="3"/>
  <c r="E817" i="3"/>
  <c r="F817" i="3"/>
  <c r="G817" i="3"/>
  <c r="H817" i="3"/>
  <c r="I817" i="3"/>
  <c r="J817" i="3"/>
  <c r="K817" i="3"/>
  <c r="L817" i="3"/>
  <c r="M817" i="3"/>
  <c r="N817" i="3"/>
  <c r="O817" i="3"/>
  <c r="P817" i="3"/>
  <c r="Q817" i="3"/>
  <c r="R817" i="3"/>
  <c r="S817" i="3"/>
  <c r="T817" i="3"/>
  <c r="Y817" i="3"/>
  <c r="Z817" i="3"/>
  <c r="AA817" i="3"/>
  <c r="AB817" i="3"/>
  <c r="AD817" i="3"/>
  <c r="AE817" i="3"/>
  <c r="AF817" i="3"/>
  <c r="AG817" i="3"/>
  <c r="AH817" i="3"/>
  <c r="A818" i="3"/>
  <c r="C818" i="3"/>
  <c r="E818" i="3"/>
  <c r="F818" i="3"/>
  <c r="G818" i="3"/>
  <c r="H818" i="3"/>
  <c r="I818" i="3"/>
  <c r="J818" i="3"/>
  <c r="AH818" i="3" s="1"/>
  <c r="K818" i="3"/>
  <c r="L818" i="3"/>
  <c r="M818" i="3"/>
  <c r="N818" i="3"/>
  <c r="O818" i="3"/>
  <c r="P818" i="3"/>
  <c r="Q818" i="3"/>
  <c r="R818" i="3"/>
  <c r="S818" i="3"/>
  <c r="T818" i="3"/>
  <c r="Y818" i="3"/>
  <c r="Z818" i="3"/>
  <c r="AA818" i="3"/>
  <c r="AB818" i="3"/>
  <c r="AD818" i="3"/>
  <c r="AE818" i="3"/>
  <c r="AF818" i="3"/>
  <c r="AG818" i="3"/>
  <c r="A819" i="3"/>
  <c r="C819" i="3"/>
  <c r="E819" i="3"/>
  <c r="F819" i="3"/>
  <c r="G819" i="3"/>
  <c r="H819" i="3"/>
  <c r="I819" i="3"/>
  <c r="J819" i="3"/>
  <c r="AH819" i="3" s="1"/>
  <c r="K819" i="3"/>
  <c r="L819" i="3"/>
  <c r="M819" i="3"/>
  <c r="N819" i="3"/>
  <c r="O819" i="3"/>
  <c r="P819" i="3"/>
  <c r="Q819" i="3"/>
  <c r="R819" i="3"/>
  <c r="S819" i="3"/>
  <c r="T819" i="3"/>
  <c r="Y819" i="3"/>
  <c r="Z819" i="3"/>
  <c r="AA819" i="3"/>
  <c r="AB819" i="3"/>
  <c r="AD819" i="3"/>
  <c r="AE819" i="3"/>
  <c r="AF819" i="3"/>
  <c r="AG819" i="3"/>
  <c r="A820" i="3"/>
  <c r="C820" i="3"/>
  <c r="E820" i="3"/>
  <c r="F820" i="3"/>
  <c r="G820" i="3"/>
  <c r="H820" i="3"/>
  <c r="I820" i="3"/>
  <c r="J820" i="3"/>
  <c r="AH820" i="3" s="1"/>
  <c r="K820" i="3"/>
  <c r="L820" i="3"/>
  <c r="M820" i="3"/>
  <c r="N820" i="3"/>
  <c r="O820" i="3"/>
  <c r="P820" i="3"/>
  <c r="Q820" i="3"/>
  <c r="R820" i="3"/>
  <c r="S820" i="3"/>
  <c r="T820" i="3"/>
  <c r="Y820" i="3"/>
  <c r="Z820" i="3"/>
  <c r="AA820" i="3"/>
  <c r="AB820" i="3"/>
  <c r="AD820" i="3"/>
  <c r="AE820" i="3"/>
  <c r="AF820" i="3"/>
  <c r="AG820" i="3"/>
  <c r="A821" i="3"/>
  <c r="C821" i="3"/>
  <c r="E821" i="3"/>
  <c r="F821" i="3"/>
  <c r="G821" i="3"/>
  <c r="H821" i="3"/>
  <c r="I821" i="3"/>
  <c r="J821" i="3"/>
  <c r="AH821" i="3" s="1"/>
  <c r="K821" i="3"/>
  <c r="L821" i="3"/>
  <c r="M821" i="3"/>
  <c r="N821" i="3"/>
  <c r="O821" i="3"/>
  <c r="P821" i="3"/>
  <c r="Q821" i="3"/>
  <c r="R821" i="3"/>
  <c r="S821" i="3"/>
  <c r="T821" i="3"/>
  <c r="Y821" i="3"/>
  <c r="Z821" i="3"/>
  <c r="AA821" i="3"/>
  <c r="AB821" i="3"/>
  <c r="AD821" i="3"/>
  <c r="AE821" i="3"/>
  <c r="AF821" i="3"/>
  <c r="AG821" i="3"/>
  <c r="A822" i="3"/>
  <c r="C822" i="3"/>
  <c r="E822" i="3"/>
  <c r="F822" i="3"/>
  <c r="G822" i="3"/>
  <c r="H822" i="3"/>
  <c r="I822" i="3"/>
  <c r="J822" i="3"/>
  <c r="AH822" i="3" s="1"/>
  <c r="K822" i="3"/>
  <c r="L822" i="3"/>
  <c r="M822" i="3"/>
  <c r="N822" i="3"/>
  <c r="O822" i="3"/>
  <c r="P822" i="3"/>
  <c r="Q822" i="3"/>
  <c r="R822" i="3"/>
  <c r="S822" i="3"/>
  <c r="T822" i="3"/>
  <c r="Y822" i="3"/>
  <c r="Z822" i="3"/>
  <c r="AA822" i="3"/>
  <c r="AB822" i="3"/>
  <c r="AD822" i="3"/>
  <c r="AE822" i="3"/>
  <c r="AF822" i="3"/>
  <c r="AG822" i="3"/>
  <c r="A823" i="3"/>
  <c r="C823" i="3"/>
  <c r="E823" i="3"/>
  <c r="F823" i="3"/>
  <c r="G823" i="3"/>
  <c r="H823" i="3"/>
  <c r="I823" i="3"/>
  <c r="J823" i="3"/>
  <c r="AH823" i="3" s="1"/>
  <c r="K823" i="3"/>
  <c r="L823" i="3"/>
  <c r="M823" i="3"/>
  <c r="N823" i="3"/>
  <c r="O823" i="3"/>
  <c r="P823" i="3"/>
  <c r="Q823" i="3"/>
  <c r="R823" i="3"/>
  <c r="S823" i="3"/>
  <c r="T823" i="3"/>
  <c r="Y823" i="3"/>
  <c r="Z823" i="3"/>
  <c r="AA823" i="3"/>
  <c r="AB823" i="3"/>
  <c r="AD823" i="3"/>
  <c r="AE823" i="3"/>
  <c r="AF823" i="3"/>
  <c r="AG823" i="3"/>
  <c r="A824" i="3"/>
  <c r="C824" i="3"/>
  <c r="E824" i="3"/>
  <c r="F824" i="3"/>
  <c r="G824" i="3"/>
  <c r="H824" i="3"/>
  <c r="I824" i="3"/>
  <c r="J824" i="3"/>
  <c r="AH824" i="3" s="1"/>
  <c r="K824" i="3"/>
  <c r="L824" i="3"/>
  <c r="M824" i="3"/>
  <c r="N824" i="3"/>
  <c r="O824" i="3"/>
  <c r="P824" i="3"/>
  <c r="Q824" i="3"/>
  <c r="R824" i="3"/>
  <c r="S824" i="3"/>
  <c r="T824" i="3"/>
  <c r="Y824" i="3"/>
  <c r="Z824" i="3"/>
  <c r="AA824" i="3"/>
  <c r="AB824" i="3"/>
  <c r="AD824" i="3"/>
  <c r="AE824" i="3"/>
  <c r="AF824" i="3"/>
  <c r="AG824" i="3"/>
  <c r="A825" i="3"/>
  <c r="C825" i="3"/>
  <c r="E825" i="3"/>
  <c r="F825" i="3"/>
  <c r="G825" i="3"/>
  <c r="H825" i="3"/>
  <c r="I825" i="3"/>
  <c r="J825" i="3"/>
  <c r="AH825" i="3" s="1"/>
  <c r="K825" i="3"/>
  <c r="L825" i="3"/>
  <c r="M825" i="3"/>
  <c r="N825" i="3"/>
  <c r="O825" i="3"/>
  <c r="P825" i="3"/>
  <c r="Q825" i="3"/>
  <c r="R825" i="3"/>
  <c r="S825" i="3"/>
  <c r="T825" i="3"/>
  <c r="Y825" i="3"/>
  <c r="Z825" i="3"/>
  <c r="AA825" i="3"/>
  <c r="AB825" i="3"/>
  <c r="AD825" i="3"/>
  <c r="AE825" i="3"/>
  <c r="AF825" i="3"/>
  <c r="AG825" i="3"/>
  <c r="A826" i="3"/>
  <c r="C826" i="3"/>
  <c r="E826" i="3"/>
  <c r="F826" i="3"/>
  <c r="G826" i="3"/>
  <c r="H826" i="3"/>
  <c r="I826" i="3"/>
  <c r="J826" i="3"/>
  <c r="AH826" i="3" s="1"/>
  <c r="K826" i="3"/>
  <c r="L826" i="3"/>
  <c r="M826" i="3"/>
  <c r="N826" i="3"/>
  <c r="O826" i="3"/>
  <c r="P826" i="3"/>
  <c r="Q826" i="3"/>
  <c r="R826" i="3"/>
  <c r="S826" i="3"/>
  <c r="T826" i="3"/>
  <c r="Y826" i="3"/>
  <c r="Z826" i="3"/>
  <c r="AA826" i="3"/>
  <c r="AB826" i="3"/>
  <c r="AD826" i="3"/>
  <c r="AE826" i="3"/>
  <c r="AF826" i="3"/>
  <c r="AG826" i="3"/>
  <c r="A827" i="3"/>
  <c r="C827" i="3"/>
  <c r="E827" i="3"/>
  <c r="F827" i="3"/>
  <c r="G827" i="3"/>
  <c r="H827" i="3"/>
  <c r="I827" i="3"/>
  <c r="J827" i="3"/>
  <c r="AH827" i="3" s="1"/>
  <c r="K827" i="3"/>
  <c r="L827" i="3"/>
  <c r="M827" i="3"/>
  <c r="N827" i="3"/>
  <c r="O827" i="3"/>
  <c r="P827" i="3"/>
  <c r="Q827" i="3"/>
  <c r="R827" i="3"/>
  <c r="S827" i="3"/>
  <c r="T827" i="3"/>
  <c r="Y827" i="3"/>
  <c r="Z827" i="3"/>
  <c r="AA827" i="3"/>
  <c r="AB827" i="3"/>
  <c r="AD827" i="3"/>
  <c r="AE827" i="3"/>
  <c r="AF827" i="3"/>
  <c r="AG827" i="3"/>
  <c r="A828" i="3"/>
  <c r="C828" i="3"/>
  <c r="E828" i="3"/>
  <c r="F828" i="3"/>
  <c r="G828" i="3"/>
  <c r="H828" i="3"/>
  <c r="I828" i="3"/>
  <c r="J828" i="3"/>
  <c r="AH828" i="3" s="1"/>
  <c r="K828" i="3"/>
  <c r="L828" i="3"/>
  <c r="M828" i="3"/>
  <c r="N828" i="3"/>
  <c r="O828" i="3"/>
  <c r="P828" i="3"/>
  <c r="Q828" i="3"/>
  <c r="R828" i="3"/>
  <c r="S828" i="3"/>
  <c r="T828" i="3"/>
  <c r="Y828" i="3"/>
  <c r="Z828" i="3"/>
  <c r="AA828" i="3"/>
  <c r="AB828" i="3"/>
  <c r="AD828" i="3"/>
  <c r="AE828" i="3"/>
  <c r="AF828" i="3"/>
  <c r="AG828" i="3"/>
  <c r="A829" i="3"/>
  <c r="C829" i="3"/>
  <c r="E829" i="3"/>
  <c r="F829" i="3"/>
  <c r="G829" i="3"/>
  <c r="H829" i="3"/>
  <c r="I829" i="3"/>
  <c r="J829" i="3"/>
  <c r="AH829" i="3" s="1"/>
  <c r="K829" i="3"/>
  <c r="L829" i="3"/>
  <c r="M829" i="3"/>
  <c r="N829" i="3"/>
  <c r="O829" i="3"/>
  <c r="P829" i="3"/>
  <c r="Q829" i="3"/>
  <c r="R829" i="3"/>
  <c r="S829" i="3"/>
  <c r="T829" i="3"/>
  <c r="Y829" i="3"/>
  <c r="Z829" i="3"/>
  <c r="AA829" i="3"/>
  <c r="AB829" i="3"/>
  <c r="AD829" i="3"/>
  <c r="AE829" i="3"/>
  <c r="AF829" i="3"/>
  <c r="AG829" i="3"/>
  <c r="A830" i="3"/>
  <c r="C830" i="3"/>
  <c r="E830" i="3"/>
  <c r="F830" i="3"/>
  <c r="G830" i="3"/>
  <c r="H830" i="3"/>
  <c r="I830" i="3"/>
  <c r="J830" i="3"/>
  <c r="AH830" i="3" s="1"/>
  <c r="K830" i="3"/>
  <c r="L830" i="3"/>
  <c r="M830" i="3"/>
  <c r="N830" i="3"/>
  <c r="O830" i="3"/>
  <c r="P830" i="3"/>
  <c r="Q830" i="3"/>
  <c r="R830" i="3"/>
  <c r="S830" i="3"/>
  <c r="T830" i="3"/>
  <c r="Y830" i="3"/>
  <c r="Z830" i="3"/>
  <c r="AA830" i="3"/>
  <c r="AB830" i="3"/>
  <c r="AD830" i="3"/>
  <c r="AE830" i="3"/>
  <c r="AF830" i="3"/>
  <c r="AG830" i="3"/>
  <c r="A831" i="3"/>
  <c r="C831" i="3"/>
  <c r="E831" i="3"/>
  <c r="F831" i="3"/>
  <c r="G831" i="3"/>
  <c r="H831" i="3"/>
  <c r="I831" i="3"/>
  <c r="J831" i="3"/>
  <c r="AH831" i="3" s="1"/>
  <c r="K831" i="3"/>
  <c r="L831" i="3"/>
  <c r="M831" i="3"/>
  <c r="N831" i="3"/>
  <c r="O831" i="3"/>
  <c r="P831" i="3"/>
  <c r="Q831" i="3"/>
  <c r="R831" i="3"/>
  <c r="S831" i="3"/>
  <c r="T831" i="3"/>
  <c r="Y831" i="3"/>
  <c r="Z831" i="3"/>
  <c r="AA831" i="3"/>
  <c r="AB831" i="3"/>
  <c r="AD831" i="3"/>
  <c r="AE831" i="3"/>
  <c r="AF831" i="3"/>
  <c r="AG831" i="3"/>
  <c r="A832" i="3"/>
  <c r="C832" i="3"/>
  <c r="E832" i="3"/>
  <c r="F832" i="3"/>
  <c r="G832" i="3"/>
  <c r="H832" i="3"/>
  <c r="I832" i="3"/>
  <c r="J832" i="3"/>
  <c r="AH832" i="3" s="1"/>
  <c r="K832" i="3"/>
  <c r="L832" i="3"/>
  <c r="M832" i="3"/>
  <c r="N832" i="3"/>
  <c r="O832" i="3"/>
  <c r="P832" i="3"/>
  <c r="Q832" i="3"/>
  <c r="R832" i="3"/>
  <c r="S832" i="3"/>
  <c r="T832" i="3"/>
  <c r="Y832" i="3"/>
  <c r="Z832" i="3"/>
  <c r="AA832" i="3"/>
  <c r="AB832" i="3"/>
  <c r="AD832" i="3"/>
  <c r="AE832" i="3"/>
  <c r="AF832" i="3"/>
  <c r="AG832" i="3"/>
  <c r="A833" i="3"/>
  <c r="C833" i="3"/>
  <c r="E833" i="3"/>
  <c r="F833" i="3"/>
  <c r="G833" i="3"/>
  <c r="H833" i="3"/>
  <c r="I833" i="3"/>
  <c r="J833" i="3"/>
  <c r="AH833" i="3" s="1"/>
  <c r="K833" i="3"/>
  <c r="L833" i="3"/>
  <c r="M833" i="3"/>
  <c r="N833" i="3"/>
  <c r="O833" i="3"/>
  <c r="P833" i="3"/>
  <c r="Q833" i="3"/>
  <c r="R833" i="3"/>
  <c r="S833" i="3"/>
  <c r="T833" i="3"/>
  <c r="Y833" i="3"/>
  <c r="Z833" i="3"/>
  <c r="AA833" i="3"/>
  <c r="AB833" i="3"/>
  <c r="AD833" i="3"/>
  <c r="AE833" i="3"/>
  <c r="AF833" i="3"/>
  <c r="AG833" i="3"/>
  <c r="A834" i="3"/>
  <c r="C834" i="3"/>
  <c r="E834" i="3"/>
  <c r="F834" i="3"/>
  <c r="G834" i="3"/>
  <c r="H834" i="3"/>
  <c r="I834" i="3"/>
  <c r="J834" i="3"/>
  <c r="AH834" i="3" s="1"/>
  <c r="K834" i="3"/>
  <c r="L834" i="3"/>
  <c r="M834" i="3"/>
  <c r="N834" i="3"/>
  <c r="O834" i="3"/>
  <c r="P834" i="3"/>
  <c r="Q834" i="3"/>
  <c r="R834" i="3"/>
  <c r="S834" i="3"/>
  <c r="T834" i="3"/>
  <c r="Y834" i="3"/>
  <c r="Z834" i="3"/>
  <c r="AA834" i="3"/>
  <c r="AB834" i="3"/>
  <c r="AD834" i="3"/>
  <c r="AE834" i="3"/>
  <c r="AF834" i="3"/>
  <c r="AG834" i="3"/>
  <c r="A835" i="3"/>
  <c r="C835" i="3"/>
  <c r="E835" i="3"/>
  <c r="F835" i="3"/>
  <c r="G835" i="3"/>
  <c r="H835" i="3"/>
  <c r="I835" i="3"/>
  <c r="J835" i="3"/>
  <c r="AH835" i="3" s="1"/>
  <c r="K835" i="3"/>
  <c r="L835" i="3"/>
  <c r="M835" i="3"/>
  <c r="N835" i="3"/>
  <c r="O835" i="3"/>
  <c r="P835" i="3"/>
  <c r="Q835" i="3"/>
  <c r="R835" i="3"/>
  <c r="S835" i="3"/>
  <c r="T835" i="3"/>
  <c r="Y835" i="3"/>
  <c r="Z835" i="3"/>
  <c r="AA835" i="3"/>
  <c r="AB835" i="3"/>
  <c r="AD835" i="3"/>
  <c r="AE835" i="3"/>
  <c r="AF835" i="3"/>
  <c r="AG835" i="3"/>
  <c r="A836" i="3"/>
  <c r="C836" i="3"/>
  <c r="E836" i="3"/>
  <c r="F836" i="3"/>
  <c r="G836" i="3"/>
  <c r="H836" i="3"/>
  <c r="I836" i="3"/>
  <c r="J836" i="3"/>
  <c r="AH836" i="3" s="1"/>
  <c r="K836" i="3"/>
  <c r="L836" i="3"/>
  <c r="M836" i="3"/>
  <c r="N836" i="3"/>
  <c r="O836" i="3"/>
  <c r="P836" i="3"/>
  <c r="Q836" i="3"/>
  <c r="R836" i="3"/>
  <c r="S836" i="3"/>
  <c r="T836" i="3"/>
  <c r="Y836" i="3"/>
  <c r="Z836" i="3"/>
  <c r="AA836" i="3"/>
  <c r="AB836" i="3"/>
  <c r="AD836" i="3"/>
  <c r="AE836" i="3"/>
  <c r="AF836" i="3"/>
  <c r="AG836" i="3"/>
  <c r="A837" i="3"/>
  <c r="C837" i="3"/>
  <c r="E837" i="3"/>
  <c r="F837" i="3"/>
  <c r="G837" i="3"/>
  <c r="H837" i="3"/>
  <c r="I837" i="3"/>
  <c r="J837" i="3"/>
  <c r="AH837" i="3" s="1"/>
  <c r="K837" i="3"/>
  <c r="L837" i="3"/>
  <c r="M837" i="3"/>
  <c r="N837" i="3"/>
  <c r="O837" i="3"/>
  <c r="P837" i="3"/>
  <c r="Q837" i="3"/>
  <c r="R837" i="3"/>
  <c r="S837" i="3"/>
  <c r="T837" i="3"/>
  <c r="Y837" i="3"/>
  <c r="Z837" i="3"/>
  <c r="AA837" i="3"/>
  <c r="AB837" i="3"/>
  <c r="AD837" i="3"/>
  <c r="AE837" i="3"/>
  <c r="AF837" i="3"/>
  <c r="AG837" i="3"/>
  <c r="A838" i="3"/>
  <c r="C838" i="3"/>
  <c r="E838" i="3"/>
  <c r="F838" i="3"/>
  <c r="G838" i="3"/>
  <c r="H838" i="3"/>
  <c r="I838" i="3"/>
  <c r="J838" i="3"/>
  <c r="AH838" i="3" s="1"/>
  <c r="K838" i="3"/>
  <c r="L838" i="3"/>
  <c r="M838" i="3"/>
  <c r="N838" i="3"/>
  <c r="O838" i="3"/>
  <c r="P838" i="3"/>
  <c r="Q838" i="3"/>
  <c r="R838" i="3"/>
  <c r="S838" i="3"/>
  <c r="T838" i="3"/>
  <c r="Y838" i="3"/>
  <c r="Z838" i="3"/>
  <c r="AA838" i="3"/>
  <c r="AB838" i="3"/>
  <c r="AD838" i="3"/>
  <c r="AE838" i="3"/>
  <c r="AF838" i="3"/>
  <c r="AG838" i="3"/>
  <c r="A839" i="3"/>
  <c r="C839" i="3"/>
  <c r="E839" i="3"/>
  <c r="F839" i="3"/>
  <c r="G839" i="3"/>
  <c r="H839" i="3"/>
  <c r="I839" i="3"/>
  <c r="J839" i="3"/>
  <c r="K839" i="3"/>
  <c r="L839" i="3"/>
  <c r="M839" i="3"/>
  <c r="N839" i="3"/>
  <c r="O839" i="3"/>
  <c r="P839" i="3"/>
  <c r="Q839" i="3"/>
  <c r="R839" i="3"/>
  <c r="S839" i="3"/>
  <c r="T839" i="3"/>
  <c r="Y839" i="3"/>
  <c r="Z839" i="3"/>
  <c r="AA839" i="3"/>
  <c r="AB839" i="3"/>
  <c r="AD839" i="3"/>
  <c r="AE839" i="3"/>
  <c r="AF839" i="3"/>
  <c r="AG839" i="3"/>
  <c r="AH839" i="3"/>
  <c r="A840" i="3"/>
  <c r="C840" i="3"/>
  <c r="E840" i="3"/>
  <c r="F840" i="3"/>
  <c r="G840" i="3"/>
  <c r="H840" i="3"/>
  <c r="I840" i="3"/>
  <c r="J840" i="3"/>
  <c r="AH840" i="3" s="1"/>
  <c r="K840" i="3"/>
  <c r="L840" i="3"/>
  <c r="M840" i="3"/>
  <c r="N840" i="3"/>
  <c r="O840" i="3"/>
  <c r="P840" i="3"/>
  <c r="Q840" i="3"/>
  <c r="R840" i="3"/>
  <c r="S840" i="3"/>
  <c r="T840" i="3"/>
  <c r="Y840" i="3"/>
  <c r="Z840" i="3"/>
  <c r="AA840" i="3"/>
  <c r="AB840" i="3"/>
  <c r="AD840" i="3"/>
  <c r="AE840" i="3"/>
  <c r="AF840" i="3"/>
  <c r="AG840" i="3"/>
  <c r="A841" i="3"/>
  <c r="C841" i="3"/>
  <c r="E841" i="3"/>
  <c r="F841" i="3"/>
  <c r="G841" i="3"/>
  <c r="H841" i="3"/>
  <c r="I841" i="3"/>
  <c r="J841" i="3"/>
  <c r="AH841" i="3" s="1"/>
  <c r="K841" i="3"/>
  <c r="L841" i="3"/>
  <c r="M841" i="3"/>
  <c r="N841" i="3"/>
  <c r="O841" i="3"/>
  <c r="P841" i="3"/>
  <c r="Q841" i="3"/>
  <c r="R841" i="3"/>
  <c r="S841" i="3"/>
  <c r="T841" i="3"/>
  <c r="Y841" i="3"/>
  <c r="Z841" i="3"/>
  <c r="AA841" i="3"/>
  <c r="AB841" i="3"/>
  <c r="AD841" i="3"/>
  <c r="AE841" i="3"/>
  <c r="AF841" i="3"/>
  <c r="AG841" i="3"/>
  <c r="A842" i="3"/>
  <c r="C842" i="3"/>
  <c r="E842" i="3"/>
  <c r="F842" i="3"/>
  <c r="G842" i="3"/>
  <c r="H842" i="3"/>
  <c r="I842" i="3"/>
  <c r="J842" i="3"/>
  <c r="AH842" i="3" s="1"/>
  <c r="K842" i="3"/>
  <c r="L842" i="3"/>
  <c r="M842" i="3"/>
  <c r="N842" i="3"/>
  <c r="O842" i="3"/>
  <c r="P842" i="3"/>
  <c r="Q842" i="3"/>
  <c r="R842" i="3"/>
  <c r="S842" i="3"/>
  <c r="T842" i="3"/>
  <c r="Y842" i="3"/>
  <c r="Z842" i="3"/>
  <c r="AA842" i="3"/>
  <c r="AB842" i="3"/>
  <c r="AD842" i="3"/>
  <c r="AE842" i="3"/>
  <c r="AF842" i="3"/>
  <c r="AG842" i="3"/>
  <c r="A843" i="3"/>
  <c r="C843" i="3"/>
  <c r="E843" i="3"/>
  <c r="F843" i="3"/>
  <c r="G843" i="3"/>
  <c r="H843" i="3"/>
  <c r="I843" i="3"/>
  <c r="J843" i="3"/>
  <c r="AH843" i="3" s="1"/>
  <c r="K843" i="3"/>
  <c r="L843" i="3"/>
  <c r="M843" i="3"/>
  <c r="N843" i="3"/>
  <c r="O843" i="3"/>
  <c r="P843" i="3"/>
  <c r="Q843" i="3"/>
  <c r="R843" i="3"/>
  <c r="S843" i="3"/>
  <c r="T843" i="3"/>
  <c r="Y843" i="3"/>
  <c r="Z843" i="3"/>
  <c r="AA843" i="3"/>
  <c r="AB843" i="3"/>
  <c r="AD843" i="3"/>
  <c r="AE843" i="3"/>
  <c r="AF843" i="3"/>
  <c r="AG843" i="3"/>
  <c r="A844" i="3"/>
  <c r="C844" i="3"/>
  <c r="E844" i="3"/>
  <c r="F844" i="3"/>
  <c r="G844" i="3"/>
  <c r="H844" i="3"/>
  <c r="I844" i="3"/>
  <c r="J844" i="3"/>
  <c r="AH844" i="3" s="1"/>
  <c r="K844" i="3"/>
  <c r="L844" i="3"/>
  <c r="M844" i="3"/>
  <c r="N844" i="3"/>
  <c r="O844" i="3"/>
  <c r="P844" i="3"/>
  <c r="Q844" i="3"/>
  <c r="R844" i="3"/>
  <c r="S844" i="3"/>
  <c r="T844" i="3"/>
  <c r="Y844" i="3"/>
  <c r="Z844" i="3"/>
  <c r="AA844" i="3"/>
  <c r="AB844" i="3"/>
  <c r="AD844" i="3"/>
  <c r="AE844" i="3"/>
  <c r="AF844" i="3"/>
  <c r="AG844" i="3"/>
  <c r="A845" i="3"/>
  <c r="C845" i="3"/>
  <c r="E845" i="3"/>
  <c r="F845" i="3"/>
  <c r="G845" i="3"/>
  <c r="H845" i="3"/>
  <c r="I845" i="3"/>
  <c r="J845" i="3"/>
  <c r="K845" i="3"/>
  <c r="L845" i="3"/>
  <c r="M845" i="3"/>
  <c r="N845" i="3"/>
  <c r="O845" i="3"/>
  <c r="P845" i="3"/>
  <c r="Q845" i="3"/>
  <c r="R845" i="3"/>
  <c r="S845" i="3"/>
  <c r="T845" i="3"/>
  <c r="Y845" i="3"/>
  <c r="Z845" i="3"/>
  <c r="AA845" i="3"/>
  <c r="AB845" i="3"/>
  <c r="AD845" i="3"/>
  <c r="AE845" i="3"/>
  <c r="AF845" i="3"/>
  <c r="AG845" i="3"/>
  <c r="AH845" i="3"/>
  <c r="A846" i="3"/>
  <c r="C846" i="3"/>
  <c r="E846" i="3"/>
  <c r="F846" i="3"/>
  <c r="G846" i="3"/>
  <c r="H846" i="3"/>
  <c r="I846" i="3"/>
  <c r="J846" i="3"/>
  <c r="AH846" i="3" s="1"/>
  <c r="K846" i="3"/>
  <c r="L846" i="3"/>
  <c r="M846" i="3"/>
  <c r="N846" i="3"/>
  <c r="O846" i="3"/>
  <c r="P846" i="3"/>
  <c r="Q846" i="3"/>
  <c r="R846" i="3"/>
  <c r="S846" i="3"/>
  <c r="T846" i="3"/>
  <c r="Y846" i="3"/>
  <c r="Z846" i="3"/>
  <c r="AA846" i="3"/>
  <c r="AB846" i="3"/>
  <c r="AD846" i="3"/>
  <c r="AE846" i="3"/>
  <c r="AF846" i="3"/>
  <c r="AG846" i="3"/>
  <c r="A847" i="3"/>
  <c r="C847" i="3"/>
  <c r="E847" i="3"/>
  <c r="F847" i="3"/>
  <c r="G847" i="3"/>
  <c r="H847" i="3"/>
  <c r="I847" i="3"/>
  <c r="J847" i="3"/>
  <c r="AH847" i="3" s="1"/>
  <c r="K847" i="3"/>
  <c r="L847" i="3"/>
  <c r="M847" i="3"/>
  <c r="N847" i="3"/>
  <c r="O847" i="3"/>
  <c r="P847" i="3"/>
  <c r="Q847" i="3"/>
  <c r="R847" i="3"/>
  <c r="S847" i="3"/>
  <c r="T847" i="3"/>
  <c r="Y847" i="3"/>
  <c r="Z847" i="3"/>
  <c r="AA847" i="3"/>
  <c r="AB847" i="3"/>
  <c r="AD847" i="3"/>
  <c r="AE847" i="3"/>
  <c r="AF847" i="3"/>
  <c r="AG847" i="3"/>
  <c r="A848" i="3"/>
  <c r="C848" i="3"/>
  <c r="E848" i="3"/>
  <c r="F848" i="3"/>
  <c r="G848" i="3"/>
  <c r="H848" i="3"/>
  <c r="I848" i="3"/>
  <c r="J848" i="3"/>
  <c r="AH848" i="3" s="1"/>
  <c r="K848" i="3"/>
  <c r="L848" i="3"/>
  <c r="M848" i="3"/>
  <c r="N848" i="3"/>
  <c r="O848" i="3"/>
  <c r="P848" i="3"/>
  <c r="Q848" i="3"/>
  <c r="R848" i="3"/>
  <c r="S848" i="3"/>
  <c r="T848" i="3"/>
  <c r="Y848" i="3"/>
  <c r="Z848" i="3"/>
  <c r="AA848" i="3"/>
  <c r="AB848" i="3"/>
  <c r="AD848" i="3"/>
  <c r="AE848" i="3"/>
  <c r="AF848" i="3"/>
  <c r="AG848" i="3"/>
  <c r="A849" i="3"/>
  <c r="C849" i="3"/>
  <c r="E849" i="3"/>
  <c r="F849" i="3"/>
  <c r="G849" i="3"/>
  <c r="H849" i="3"/>
  <c r="I849" i="3"/>
  <c r="J849" i="3"/>
  <c r="AH849" i="3" s="1"/>
  <c r="K849" i="3"/>
  <c r="L849" i="3"/>
  <c r="M849" i="3"/>
  <c r="N849" i="3"/>
  <c r="O849" i="3"/>
  <c r="P849" i="3"/>
  <c r="Q849" i="3"/>
  <c r="R849" i="3"/>
  <c r="S849" i="3"/>
  <c r="T849" i="3"/>
  <c r="Y849" i="3"/>
  <c r="Z849" i="3"/>
  <c r="AA849" i="3"/>
  <c r="AB849" i="3"/>
  <c r="AD849" i="3"/>
  <c r="AE849" i="3"/>
  <c r="AF849" i="3"/>
  <c r="AG849" i="3"/>
  <c r="A850" i="3"/>
  <c r="C850" i="3"/>
  <c r="E850" i="3"/>
  <c r="F850" i="3"/>
  <c r="G850" i="3"/>
  <c r="H850" i="3"/>
  <c r="I850" i="3"/>
  <c r="J850" i="3"/>
  <c r="K850" i="3"/>
  <c r="L850" i="3"/>
  <c r="M850" i="3"/>
  <c r="N850" i="3"/>
  <c r="O850" i="3"/>
  <c r="P850" i="3"/>
  <c r="Q850" i="3"/>
  <c r="R850" i="3"/>
  <c r="S850" i="3"/>
  <c r="T850" i="3"/>
  <c r="Y850" i="3"/>
  <c r="Z850" i="3"/>
  <c r="AA850" i="3"/>
  <c r="AB850" i="3"/>
  <c r="AD850" i="3"/>
  <c r="AE850" i="3"/>
  <c r="AF850" i="3"/>
  <c r="AG850" i="3"/>
  <c r="AH850" i="3"/>
  <c r="A851" i="3"/>
  <c r="C851" i="3"/>
  <c r="E851" i="3"/>
  <c r="F851" i="3"/>
  <c r="G851" i="3"/>
  <c r="H851" i="3"/>
  <c r="I851" i="3"/>
  <c r="J851" i="3"/>
  <c r="AH851" i="3" s="1"/>
  <c r="K851" i="3"/>
  <c r="L851" i="3"/>
  <c r="M851" i="3"/>
  <c r="N851" i="3"/>
  <c r="O851" i="3"/>
  <c r="P851" i="3"/>
  <c r="Q851" i="3"/>
  <c r="R851" i="3"/>
  <c r="S851" i="3"/>
  <c r="T851" i="3"/>
  <c r="Y851" i="3"/>
  <c r="Z851" i="3"/>
  <c r="AA851" i="3"/>
  <c r="AB851" i="3"/>
  <c r="AD851" i="3"/>
  <c r="AE851" i="3"/>
  <c r="AF851" i="3"/>
  <c r="AG851" i="3"/>
  <c r="A852" i="3"/>
  <c r="C852" i="3"/>
  <c r="E852" i="3"/>
  <c r="F852" i="3"/>
  <c r="G852" i="3"/>
  <c r="H852" i="3"/>
  <c r="I852" i="3"/>
  <c r="J852" i="3"/>
  <c r="AH852" i="3" s="1"/>
  <c r="K852" i="3"/>
  <c r="L852" i="3"/>
  <c r="M852" i="3"/>
  <c r="N852" i="3"/>
  <c r="O852" i="3"/>
  <c r="P852" i="3"/>
  <c r="Q852" i="3"/>
  <c r="R852" i="3"/>
  <c r="S852" i="3"/>
  <c r="T852" i="3"/>
  <c r="Y852" i="3"/>
  <c r="Z852" i="3"/>
  <c r="AA852" i="3"/>
  <c r="AB852" i="3"/>
  <c r="AD852" i="3"/>
  <c r="AE852" i="3"/>
  <c r="AF852" i="3"/>
  <c r="AG852" i="3"/>
  <c r="A853" i="3"/>
  <c r="C853" i="3"/>
  <c r="E853" i="3"/>
  <c r="F853" i="3"/>
  <c r="G853" i="3"/>
  <c r="H853" i="3"/>
  <c r="I853" i="3"/>
  <c r="J853" i="3"/>
  <c r="AH853" i="3" s="1"/>
  <c r="K853" i="3"/>
  <c r="L853" i="3"/>
  <c r="M853" i="3"/>
  <c r="N853" i="3"/>
  <c r="O853" i="3"/>
  <c r="P853" i="3"/>
  <c r="Q853" i="3"/>
  <c r="R853" i="3"/>
  <c r="S853" i="3"/>
  <c r="T853" i="3"/>
  <c r="Y853" i="3"/>
  <c r="Z853" i="3"/>
  <c r="AA853" i="3"/>
  <c r="AB853" i="3"/>
  <c r="AD853" i="3"/>
  <c r="AE853" i="3"/>
  <c r="AF853" i="3"/>
  <c r="AG853" i="3"/>
  <c r="A854" i="3"/>
  <c r="C854" i="3"/>
  <c r="E854" i="3"/>
  <c r="F854" i="3"/>
  <c r="G854" i="3"/>
  <c r="H854" i="3"/>
  <c r="I854" i="3"/>
  <c r="J854" i="3"/>
  <c r="AH854" i="3" s="1"/>
  <c r="K854" i="3"/>
  <c r="L854" i="3"/>
  <c r="M854" i="3"/>
  <c r="N854" i="3"/>
  <c r="O854" i="3"/>
  <c r="P854" i="3"/>
  <c r="Q854" i="3"/>
  <c r="R854" i="3"/>
  <c r="S854" i="3"/>
  <c r="T854" i="3"/>
  <c r="Y854" i="3"/>
  <c r="Z854" i="3"/>
  <c r="AA854" i="3"/>
  <c r="AB854" i="3"/>
  <c r="AD854" i="3"/>
  <c r="AE854" i="3"/>
  <c r="AF854" i="3"/>
  <c r="AG854" i="3"/>
  <c r="A855" i="3"/>
  <c r="C855" i="3"/>
  <c r="E855" i="3"/>
  <c r="F855" i="3"/>
  <c r="G855" i="3"/>
  <c r="H855" i="3"/>
  <c r="I855" i="3"/>
  <c r="J855" i="3"/>
  <c r="AH855" i="3" s="1"/>
  <c r="K855" i="3"/>
  <c r="L855" i="3"/>
  <c r="M855" i="3"/>
  <c r="N855" i="3"/>
  <c r="O855" i="3"/>
  <c r="P855" i="3"/>
  <c r="Q855" i="3"/>
  <c r="R855" i="3"/>
  <c r="S855" i="3"/>
  <c r="T855" i="3"/>
  <c r="Y855" i="3"/>
  <c r="Z855" i="3"/>
  <c r="AA855" i="3"/>
  <c r="AB855" i="3"/>
  <c r="AD855" i="3"/>
  <c r="AE855" i="3"/>
  <c r="AF855" i="3"/>
  <c r="AG855" i="3"/>
  <c r="A856" i="3"/>
  <c r="C856" i="3"/>
  <c r="E856" i="3"/>
  <c r="F856" i="3"/>
  <c r="G856" i="3"/>
  <c r="H856" i="3"/>
  <c r="I856" i="3"/>
  <c r="J856" i="3"/>
  <c r="AH856" i="3" s="1"/>
  <c r="K856" i="3"/>
  <c r="L856" i="3"/>
  <c r="M856" i="3"/>
  <c r="N856" i="3"/>
  <c r="O856" i="3"/>
  <c r="P856" i="3"/>
  <c r="Q856" i="3"/>
  <c r="R856" i="3"/>
  <c r="S856" i="3"/>
  <c r="T856" i="3"/>
  <c r="Y856" i="3"/>
  <c r="Z856" i="3"/>
  <c r="AA856" i="3"/>
  <c r="AB856" i="3"/>
  <c r="AD856" i="3"/>
  <c r="AE856" i="3"/>
  <c r="AF856" i="3"/>
  <c r="AG856" i="3"/>
  <c r="A857" i="3"/>
  <c r="C857" i="3"/>
  <c r="E857" i="3"/>
  <c r="F857" i="3"/>
  <c r="G857" i="3"/>
  <c r="H857" i="3"/>
  <c r="I857" i="3"/>
  <c r="J857" i="3"/>
  <c r="AH857" i="3" s="1"/>
  <c r="K857" i="3"/>
  <c r="L857" i="3"/>
  <c r="M857" i="3"/>
  <c r="N857" i="3"/>
  <c r="O857" i="3"/>
  <c r="P857" i="3"/>
  <c r="Q857" i="3"/>
  <c r="R857" i="3"/>
  <c r="S857" i="3"/>
  <c r="T857" i="3"/>
  <c r="Y857" i="3"/>
  <c r="Z857" i="3"/>
  <c r="AA857" i="3"/>
  <c r="AB857" i="3"/>
  <c r="AD857" i="3"/>
  <c r="AE857" i="3"/>
  <c r="AF857" i="3"/>
  <c r="AG857" i="3"/>
  <c r="A858" i="3"/>
  <c r="C858" i="3"/>
  <c r="E858" i="3"/>
  <c r="F858" i="3"/>
  <c r="G858" i="3"/>
  <c r="H858" i="3"/>
  <c r="I858" i="3"/>
  <c r="J858" i="3"/>
  <c r="AH858" i="3" s="1"/>
  <c r="K858" i="3"/>
  <c r="L858" i="3"/>
  <c r="M858" i="3"/>
  <c r="N858" i="3"/>
  <c r="O858" i="3"/>
  <c r="P858" i="3"/>
  <c r="Q858" i="3"/>
  <c r="R858" i="3"/>
  <c r="S858" i="3"/>
  <c r="T858" i="3"/>
  <c r="Y858" i="3"/>
  <c r="Z858" i="3"/>
  <c r="AA858" i="3"/>
  <c r="AB858" i="3"/>
  <c r="AD858" i="3"/>
  <c r="AE858" i="3"/>
  <c r="AF858" i="3"/>
  <c r="AG858" i="3"/>
  <c r="A859" i="3"/>
  <c r="C859" i="3"/>
  <c r="E859" i="3"/>
  <c r="F859" i="3"/>
  <c r="G859" i="3"/>
  <c r="H859" i="3"/>
  <c r="I859" i="3"/>
  <c r="J859" i="3"/>
  <c r="AH859" i="3" s="1"/>
  <c r="K859" i="3"/>
  <c r="L859" i="3"/>
  <c r="M859" i="3"/>
  <c r="N859" i="3"/>
  <c r="O859" i="3"/>
  <c r="P859" i="3"/>
  <c r="Q859" i="3"/>
  <c r="R859" i="3"/>
  <c r="S859" i="3"/>
  <c r="T859" i="3"/>
  <c r="Y859" i="3"/>
  <c r="Z859" i="3"/>
  <c r="AA859" i="3"/>
  <c r="AB859" i="3"/>
  <c r="AD859" i="3"/>
  <c r="AE859" i="3"/>
  <c r="AF859" i="3"/>
  <c r="AG859" i="3"/>
  <c r="A860" i="3"/>
  <c r="C860" i="3"/>
  <c r="E860" i="3"/>
  <c r="F860" i="3"/>
  <c r="G860" i="3"/>
  <c r="H860" i="3"/>
  <c r="I860" i="3"/>
  <c r="J860" i="3"/>
  <c r="AH860" i="3" s="1"/>
  <c r="K860" i="3"/>
  <c r="L860" i="3"/>
  <c r="M860" i="3"/>
  <c r="N860" i="3"/>
  <c r="O860" i="3"/>
  <c r="P860" i="3"/>
  <c r="Q860" i="3"/>
  <c r="R860" i="3"/>
  <c r="S860" i="3"/>
  <c r="T860" i="3"/>
  <c r="Y860" i="3"/>
  <c r="Z860" i="3"/>
  <c r="AA860" i="3"/>
  <c r="AB860" i="3"/>
  <c r="AD860" i="3"/>
  <c r="AE860" i="3"/>
  <c r="AF860" i="3"/>
  <c r="AG860" i="3"/>
  <c r="A861" i="3"/>
  <c r="C861" i="3"/>
  <c r="E861" i="3"/>
  <c r="F861" i="3"/>
  <c r="G861" i="3"/>
  <c r="H861" i="3"/>
  <c r="I861" i="3"/>
  <c r="J861" i="3"/>
  <c r="AH861" i="3" s="1"/>
  <c r="K861" i="3"/>
  <c r="L861" i="3"/>
  <c r="M861" i="3"/>
  <c r="N861" i="3"/>
  <c r="O861" i="3"/>
  <c r="P861" i="3"/>
  <c r="Q861" i="3"/>
  <c r="R861" i="3"/>
  <c r="S861" i="3"/>
  <c r="T861" i="3"/>
  <c r="Y861" i="3"/>
  <c r="Z861" i="3"/>
  <c r="AA861" i="3"/>
  <c r="AB861" i="3"/>
  <c r="AD861" i="3"/>
  <c r="AE861" i="3"/>
  <c r="AF861" i="3"/>
  <c r="AG861" i="3"/>
  <c r="A862" i="3"/>
  <c r="C862" i="3"/>
  <c r="E862" i="3"/>
  <c r="F862" i="3"/>
  <c r="G862" i="3"/>
  <c r="H862" i="3"/>
  <c r="I862" i="3"/>
  <c r="J862" i="3"/>
  <c r="AH862" i="3" s="1"/>
  <c r="K862" i="3"/>
  <c r="L862" i="3"/>
  <c r="M862" i="3"/>
  <c r="N862" i="3"/>
  <c r="O862" i="3"/>
  <c r="P862" i="3"/>
  <c r="Q862" i="3"/>
  <c r="R862" i="3"/>
  <c r="S862" i="3"/>
  <c r="T862" i="3"/>
  <c r="Y862" i="3"/>
  <c r="Z862" i="3"/>
  <c r="AA862" i="3"/>
  <c r="AB862" i="3"/>
  <c r="AD862" i="3"/>
  <c r="AE862" i="3"/>
  <c r="AF862" i="3"/>
  <c r="AG862" i="3"/>
  <c r="A863" i="3"/>
  <c r="C863" i="3"/>
  <c r="E863" i="3"/>
  <c r="F863" i="3"/>
  <c r="G863" i="3"/>
  <c r="H863" i="3"/>
  <c r="I863" i="3"/>
  <c r="J863" i="3"/>
  <c r="K863" i="3"/>
  <c r="L863" i="3"/>
  <c r="M863" i="3"/>
  <c r="N863" i="3"/>
  <c r="O863" i="3"/>
  <c r="P863" i="3"/>
  <c r="Q863" i="3"/>
  <c r="R863" i="3"/>
  <c r="S863" i="3"/>
  <c r="T863" i="3"/>
  <c r="Y863" i="3"/>
  <c r="Z863" i="3"/>
  <c r="AA863" i="3"/>
  <c r="AB863" i="3"/>
  <c r="AD863" i="3"/>
  <c r="AE863" i="3"/>
  <c r="AF863" i="3"/>
  <c r="AG863" i="3"/>
  <c r="AH863" i="3"/>
  <c r="A864" i="3"/>
  <c r="C864" i="3"/>
  <c r="E864" i="3"/>
  <c r="F864" i="3"/>
  <c r="G864" i="3"/>
  <c r="H864" i="3"/>
  <c r="I864" i="3"/>
  <c r="J864" i="3"/>
  <c r="AH864" i="3" s="1"/>
  <c r="K864" i="3"/>
  <c r="L864" i="3"/>
  <c r="M864" i="3"/>
  <c r="N864" i="3"/>
  <c r="O864" i="3"/>
  <c r="P864" i="3"/>
  <c r="Q864" i="3"/>
  <c r="R864" i="3"/>
  <c r="S864" i="3"/>
  <c r="T864" i="3"/>
  <c r="Y864" i="3"/>
  <c r="Z864" i="3"/>
  <c r="AA864" i="3"/>
  <c r="AB864" i="3"/>
  <c r="AD864" i="3"/>
  <c r="AE864" i="3"/>
  <c r="AF864" i="3"/>
  <c r="AG864" i="3"/>
  <c r="A865" i="3"/>
  <c r="C865" i="3"/>
  <c r="E865" i="3"/>
  <c r="F865" i="3"/>
  <c r="G865" i="3"/>
  <c r="H865" i="3"/>
  <c r="I865" i="3"/>
  <c r="J865" i="3"/>
  <c r="AH865" i="3" s="1"/>
  <c r="K865" i="3"/>
  <c r="L865" i="3"/>
  <c r="M865" i="3"/>
  <c r="N865" i="3"/>
  <c r="O865" i="3"/>
  <c r="P865" i="3"/>
  <c r="Q865" i="3"/>
  <c r="R865" i="3"/>
  <c r="S865" i="3"/>
  <c r="T865" i="3"/>
  <c r="Y865" i="3"/>
  <c r="Z865" i="3"/>
  <c r="AA865" i="3"/>
  <c r="AB865" i="3"/>
  <c r="AD865" i="3"/>
  <c r="AE865" i="3"/>
  <c r="AF865" i="3"/>
  <c r="AG865" i="3"/>
  <c r="A866" i="3"/>
  <c r="C866" i="3"/>
  <c r="E866" i="3"/>
  <c r="F866" i="3"/>
  <c r="G866" i="3"/>
  <c r="H866" i="3"/>
  <c r="I866" i="3"/>
  <c r="J866" i="3"/>
  <c r="AH866" i="3" s="1"/>
  <c r="K866" i="3"/>
  <c r="L866" i="3"/>
  <c r="M866" i="3"/>
  <c r="N866" i="3"/>
  <c r="O866" i="3"/>
  <c r="P866" i="3"/>
  <c r="Q866" i="3"/>
  <c r="R866" i="3"/>
  <c r="S866" i="3"/>
  <c r="T866" i="3"/>
  <c r="Y866" i="3"/>
  <c r="Z866" i="3"/>
  <c r="AA866" i="3"/>
  <c r="AB866" i="3"/>
  <c r="AD866" i="3"/>
  <c r="AE866" i="3"/>
  <c r="AF866" i="3"/>
  <c r="AG866" i="3"/>
  <c r="A867" i="3"/>
  <c r="C867" i="3"/>
  <c r="E867" i="3"/>
  <c r="F867" i="3"/>
  <c r="G867" i="3"/>
  <c r="H867" i="3"/>
  <c r="I867" i="3"/>
  <c r="J867" i="3"/>
  <c r="AH867" i="3" s="1"/>
  <c r="K867" i="3"/>
  <c r="L867" i="3"/>
  <c r="M867" i="3"/>
  <c r="N867" i="3"/>
  <c r="O867" i="3"/>
  <c r="P867" i="3"/>
  <c r="Q867" i="3"/>
  <c r="R867" i="3"/>
  <c r="S867" i="3"/>
  <c r="T867" i="3"/>
  <c r="Y867" i="3"/>
  <c r="Z867" i="3"/>
  <c r="AA867" i="3"/>
  <c r="AB867" i="3"/>
  <c r="AD867" i="3"/>
  <c r="AE867" i="3"/>
  <c r="AF867" i="3"/>
  <c r="AG867" i="3"/>
  <c r="A868" i="3"/>
  <c r="C868" i="3"/>
  <c r="E868" i="3"/>
  <c r="F868" i="3"/>
  <c r="G868" i="3"/>
  <c r="H868" i="3"/>
  <c r="I868" i="3"/>
  <c r="J868" i="3"/>
  <c r="AH868" i="3" s="1"/>
  <c r="K868" i="3"/>
  <c r="L868" i="3"/>
  <c r="M868" i="3"/>
  <c r="N868" i="3"/>
  <c r="O868" i="3"/>
  <c r="P868" i="3"/>
  <c r="Q868" i="3"/>
  <c r="R868" i="3"/>
  <c r="S868" i="3"/>
  <c r="T868" i="3"/>
  <c r="Y868" i="3"/>
  <c r="Z868" i="3"/>
  <c r="AA868" i="3"/>
  <c r="AB868" i="3"/>
  <c r="AD868" i="3"/>
  <c r="AE868" i="3"/>
  <c r="AF868" i="3"/>
  <c r="AG868" i="3"/>
  <c r="A869" i="3"/>
  <c r="C869" i="3"/>
  <c r="E869" i="3"/>
  <c r="F869" i="3"/>
  <c r="G869" i="3"/>
  <c r="H869" i="3"/>
  <c r="I869" i="3"/>
  <c r="J869" i="3"/>
  <c r="AH869" i="3" s="1"/>
  <c r="K869" i="3"/>
  <c r="L869" i="3"/>
  <c r="M869" i="3"/>
  <c r="N869" i="3"/>
  <c r="O869" i="3"/>
  <c r="P869" i="3"/>
  <c r="Q869" i="3"/>
  <c r="R869" i="3"/>
  <c r="S869" i="3"/>
  <c r="T869" i="3"/>
  <c r="Y869" i="3"/>
  <c r="Z869" i="3"/>
  <c r="AA869" i="3"/>
  <c r="AB869" i="3"/>
  <c r="AD869" i="3"/>
  <c r="AE869" i="3"/>
  <c r="AF869" i="3"/>
  <c r="AG869" i="3"/>
  <c r="A870" i="3"/>
  <c r="C870" i="3"/>
  <c r="E870" i="3"/>
  <c r="F870" i="3"/>
  <c r="G870" i="3"/>
  <c r="H870" i="3"/>
  <c r="I870" i="3"/>
  <c r="J870" i="3"/>
  <c r="AH870" i="3" s="1"/>
  <c r="K870" i="3"/>
  <c r="L870" i="3"/>
  <c r="M870" i="3"/>
  <c r="N870" i="3"/>
  <c r="O870" i="3"/>
  <c r="P870" i="3"/>
  <c r="Q870" i="3"/>
  <c r="R870" i="3"/>
  <c r="S870" i="3"/>
  <c r="T870" i="3"/>
  <c r="Y870" i="3"/>
  <c r="Z870" i="3"/>
  <c r="AA870" i="3"/>
  <c r="AB870" i="3"/>
  <c r="AD870" i="3"/>
  <c r="AE870" i="3"/>
  <c r="AF870" i="3"/>
  <c r="AG870" i="3"/>
  <c r="A871" i="3"/>
  <c r="C871" i="3"/>
  <c r="E871" i="3"/>
  <c r="F871" i="3"/>
  <c r="G871" i="3"/>
  <c r="H871" i="3"/>
  <c r="I871" i="3"/>
  <c r="J871" i="3"/>
  <c r="AH871" i="3" s="1"/>
  <c r="K871" i="3"/>
  <c r="L871" i="3"/>
  <c r="M871" i="3"/>
  <c r="N871" i="3"/>
  <c r="O871" i="3"/>
  <c r="P871" i="3"/>
  <c r="Q871" i="3"/>
  <c r="R871" i="3"/>
  <c r="S871" i="3"/>
  <c r="T871" i="3"/>
  <c r="Y871" i="3"/>
  <c r="Z871" i="3"/>
  <c r="AA871" i="3"/>
  <c r="AB871" i="3"/>
  <c r="AD871" i="3"/>
  <c r="AE871" i="3"/>
  <c r="AF871" i="3"/>
  <c r="AG871" i="3"/>
  <c r="A872" i="3"/>
  <c r="C872" i="3"/>
  <c r="E872" i="3"/>
  <c r="F872" i="3"/>
  <c r="G872" i="3"/>
  <c r="H872" i="3"/>
  <c r="I872" i="3"/>
  <c r="J872" i="3"/>
  <c r="K872" i="3"/>
  <c r="L872" i="3"/>
  <c r="M872" i="3"/>
  <c r="N872" i="3"/>
  <c r="O872" i="3"/>
  <c r="P872" i="3"/>
  <c r="Q872" i="3"/>
  <c r="R872" i="3"/>
  <c r="S872" i="3"/>
  <c r="T872" i="3"/>
  <c r="Y872" i="3"/>
  <c r="Z872" i="3"/>
  <c r="AA872" i="3"/>
  <c r="AB872" i="3"/>
  <c r="AD872" i="3"/>
  <c r="AE872" i="3"/>
  <c r="AF872" i="3"/>
  <c r="AG872" i="3"/>
  <c r="AH872" i="3"/>
  <c r="A873" i="3"/>
  <c r="C873" i="3"/>
  <c r="E873" i="3"/>
  <c r="F873" i="3"/>
  <c r="G873" i="3"/>
  <c r="H873" i="3"/>
  <c r="I873" i="3"/>
  <c r="J873" i="3"/>
  <c r="K873" i="3"/>
  <c r="L873" i="3"/>
  <c r="M873" i="3"/>
  <c r="N873" i="3"/>
  <c r="O873" i="3"/>
  <c r="P873" i="3"/>
  <c r="Q873" i="3"/>
  <c r="R873" i="3"/>
  <c r="S873" i="3"/>
  <c r="T873" i="3"/>
  <c r="Y873" i="3"/>
  <c r="Z873" i="3"/>
  <c r="AA873" i="3"/>
  <c r="AB873" i="3"/>
  <c r="AD873" i="3"/>
  <c r="AE873" i="3"/>
  <c r="AF873" i="3"/>
  <c r="AG873" i="3"/>
  <c r="AH873" i="3"/>
  <c r="A874" i="3"/>
  <c r="C874" i="3"/>
  <c r="E874" i="3"/>
  <c r="F874" i="3"/>
  <c r="G874" i="3"/>
  <c r="H874" i="3"/>
  <c r="I874" i="3"/>
  <c r="J874" i="3"/>
  <c r="AH874" i="3" s="1"/>
  <c r="K874" i="3"/>
  <c r="L874" i="3"/>
  <c r="M874" i="3"/>
  <c r="N874" i="3"/>
  <c r="O874" i="3"/>
  <c r="P874" i="3"/>
  <c r="Q874" i="3"/>
  <c r="R874" i="3"/>
  <c r="S874" i="3"/>
  <c r="T874" i="3"/>
  <c r="Y874" i="3"/>
  <c r="Z874" i="3"/>
  <c r="AA874" i="3"/>
  <c r="AB874" i="3"/>
  <c r="AD874" i="3"/>
  <c r="AE874" i="3"/>
  <c r="AF874" i="3"/>
  <c r="AG874" i="3"/>
  <c r="A875" i="3"/>
  <c r="C875" i="3"/>
  <c r="E875" i="3"/>
  <c r="F875" i="3"/>
  <c r="G875" i="3"/>
  <c r="H875" i="3"/>
  <c r="I875" i="3"/>
  <c r="J875" i="3"/>
  <c r="AH875" i="3" s="1"/>
  <c r="K875" i="3"/>
  <c r="L875" i="3"/>
  <c r="M875" i="3"/>
  <c r="N875" i="3"/>
  <c r="O875" i="3"/>
  <c r="P875" i="3"/>
  <c r="Q875" i="3"/>
  <c r="R875" i="3"/>
  <c r="S875" i="3"/>
  <c r="T875" i="3"/>
  <c r="Y875" i="3"/>
  <c r="Z875" i="3"/>
  <c r="AA875" i="3"/>
  <c r="AB875" i="3"/>
  <c r="AD875" i="3"/>
  <c r="AE875" i="3"/>
  <c r="AF875" i="3"/>
  <c r="AG875" i="3"/>
  <c r="A876" i="3"/>
  <c r="C876" i="3"/>
  <c r="E876" i="3"/>
  <c r="F876" i="3"/>
  <c r="G876" i="3"/>
  <c r="H876" i="3"/>
  <c r="I876" i="3"/>
  <c r="J876" i="3"/>
  <c r="AH876" i="3" s="1"/>
  <c r="K876" i="3"/>
  <c r="L876" i="3"/>
  <c r="M876" i="3"/>
  <c r="N876" i="3"/>
  <c r="O876" i="3"/>
  <c r="P876" i="3"/>
  <c r="Q876" i="3"/>
  <c r="R876" i="3"/>
  <c r="S876" i="3"/>
  <c r="T876" i="3"/>
  <c r="Y876" i="3"/>
  <c r="Z876" i="3"/>
  <c r="AA876" i="3"/>
  <c r="AB876" i="3"/>
  <c r="AD876" i="3"/>
  <c r="AE876" i="3"/>
  <c r="AF876" i="3"/>
  <c r="AG876" i="3"/>
  <c r="A877" i="3"/>
  <c r="C877" i="3"/>
  <c r="E877" i="3"/>
  <c r="F877" i="3"/>
  <c r="G877" i="3"/>
  <c r="H877" i="3"/>
  <c r="I877" i="3"/>
  <c r="J877" i="3"/>
  <c r="AH877" i="3" s="1"/>
  <c r="K877" i="3"/>
  <c r="L877" i="3"/>
  <c r="M877" i="3"/>
  <c r="N877" i="3"/>
  <c r="O877" i="3"/>
  <c r="P877" i="3"/>
  <c r="Q877" i="3"/>
  <c r="R877" i="3"/>
  <c r="S877" i="3"/>
  <c r="T877" i="3"/>
  <c r="Y877" i="3"/>
  <c r="Z877" i="3"/>
  <c r="AA877" i="3"/>
  <c r="AB877" i="3"/>
  <c r="AD877" i="3"/>
  <c r="AE877" i="3"/>
  <c r="AF877" i="3"/>
  <c r="AG877" i="3"/>
  <c r="A878" i="3"/>
  <c r="C878" i="3"/>
  <c r="E878" i="3"/>
  <c r="F878" i="3"/>
  <c r="G878" i="3"/>
  <c r="H878" i="3"/>
  <c r="I878" i="3"/>
  <c r="J878" i="3"/>
  <c r="K878" i="3"/>
  <c r="L878" i="3"/>
  <c r="M878" i="3"/>
  <c r="N878" i="3"/>
  <c r="O878" i="3"/>
  <c r="P878" i="3"/>
  <c r="Q878" i="3"/>
  <c r="R878" i="3"/>
  <c r="S878" i="3"/>
  <c r="T878" i="3"/>
  <c r="Y878" i="3"/>
  <c r="Z878" i="3"/>
  <c r="AA878" i="3"/>
  <c r="AB878" i="3"/>
  <c r="AD878" i="3"/>
  <c r="AE878" i="3"/>
  <c r="AF878" i="3"/>
  <c r="AG878" i="3"/>
  <c r="AH878" i="3"/>
  <c r="A879" i="3"/>
  <c r="C879" i="3"/>
  <c r="E879" i="3"/>
  <c r="F879" i="3"/>
  <c r="G879" i="3"/>
  <c r="H879" i="3"/>
  <c r="I879" i="3"/>
  <c r="J879" i="3"/>
  <c r="AH879" i="3" s="1"/>
  <c r="K879" i="3"/>
  <c r="L879" i="3"/>
  <c r="M879" i="3"/>
  <c r="N879" i="3"/>
  <c r="O879" i="3"/>
  <c r="P879" i="3"/>
  <c r="Q879" i="3"/>
  <c r="R879" i="3"/>
  <c r="S879" i="3"/>
  <c r="T879" i="3"/>
  <c r="Y879" i="3"/>
  <c r="Z879" i="3"/>
  <c r="AA879" i="3"/>
  <c r="AB879" i="3"/>
  <c r="AD879" i="3"/>
  <c r="AE879" i="3"/>
  <c r="AF879" i="3"/>
  <c r="AG879" i="3"/>
  <c r="A880" i="3"/>
  <c r="C880" i="3"/>
  <c r="E880" i="3"/>
  <c r="F880" i="3"/>
  <c r="G880" i="3"/>
  <c r="H880" i="3"/>
  <c r="I880" i="3"/>
  <c r="J880" i="3"/>
  <c r="K880" i="3"/>
  <c r="L880" i="3"/>
  <c r="M880" i="3"/>
  <c r="N880" i="3"/>
  <c r="O880" i="3"/>
  <c r="P880" i="3"/>
  <c r="Q880" i="3"/>
  <c r="R880" i="3"/>
  <c r="S880" i="3"/>
  <c r="T880" i="3"/>
  <c r="Y880" i="3"/>
  <c r="Z880" i="3"/>
  <c r="AA880" i="3"/>
  <c r="AB880" i="3"/>
  <c r="AD880" i="3"/>
  <c r="AE880" i="3"/>
  <c r="AF880" i="3"/>
  <c r="AG880" i="3"/>
  <c r="AH880" i="3"/>
  <c r="A881" i="3"/>
  <c r="C881" i="3"/>
  <c r="E881" i="3"/>
  <c r="F881" i="3"/>
  <c r="G881" i="3"/>
  <c r="H881" i="3"/>
  <c r="I881" i="3"/>
  <c r="J881" i="3"/>
  <c r="AH881" i="3" s="1"/>
  <c r="K881" i="3"/>
  <c r="L881" i="3"/>
  <c r="M881" i="3"/>
  <c r="N881" i="3"/>
  <c r="O881" i="3"/>
  <c r="P881" i="3"/>
  <c r="Q881" i="3"/>
  <c r="R881" i="3"/>
  <c r="S881" i="3"/>
  <c r="T881" i="3"/>
  <c r="Y881" i="3"/>
  <c r="Z881" i="3"/>
  <c r="AA881" i="3"/>
  <c r="AB881" i="3"/>
  <c r="AD881" i="3"/>
  <c r="AE881" i="3"/>
  <c r="AF881" i="3"/>
  <c r="AG881" i="3"/>
  <c r="A882" i="3"/>
  <c r="C882" i="3"/>
  <c r="E882" i="3"/>
  <c r="F882" i="3"/>
  <c r="G882" i="3"/>
  <c r="H882" i="3"/>
  <c r="I882" i="3"/>
  <c r="J882" i="3"/>
  <c r="AH882" i="3" s="1"/>
  <c r="K882" i="3"/>
  <c r="L882" i="3"/>
  <c r="M882" i="3"/>
  <c r="N882" i="3"/>
  <c r="O882" i="3"/>
  <c r="P882" i="3"/>
  <c r="Q882" i="3"/>
  <c r="R882" i="3"/>
  <c r="S882" i="3"/>
  <c r="T882" i="3"/>
  <c r="Y882" i="3"/>
  <c r="Z882" i="3"/>
  <c r="AA882" i="3"/>
  <c r="AB882" i="3"/>
  <c r="AD882" i="3"/>
  <c r="AE882" i="3"/>
  <c r="AF882" i="3"/>
  <c r="AG882" i="3"/>
  <c r="A883" i="3"/>
  <c r="C883" i="3"/>
  <c r="E883" i="3"/>
  <c r="F883" i="3"/>
  <c r="G883" i="3"/>
  <c r="H883" i="3"/>
  <c r="I883" i="3"/>
  <c r="J883" i="3"/>
  <c r="AH883" i="3" s="1"/>
  <c r="K883" i="3"/>
  <c r="L883" i="3"/>
  <c r="M883" i="3"/>
  <c r="N883" i="3"/>
  <c r="O883" i="3"/>
  <c r="P883" i="3"/>
  <c r="Q883" i="3"/>
  <c r="R883" i="3"/>
  <c r="S883" i="3"/>
  <c r="T883" i="3"/>
  <c r="Y883" i="3"/>
  <c r="Z883" i="3"/>
  <c r="AA883" i="3"/>
  <c r="AB883" i="3"/>
  <c r="AD883" i="3"/>
  <c r="AE883" i="3"/>
  <c r="AF883" i="3"/>
  <c r="AG883" i="3"/>
  <c r="A884" i="3"/>
  <c r="C884" i="3"/>
  <c r="E884" i="3"/>
  <c r="F884" i="3"/>
  <c r="G884" i="3"/>
  <c r="H884" i="3"/>
  <c r="I884" i="3"/>
  <c r="J884" i="3"/>
  <c r="AH884" i="3" s="1"/>
  <c r="K884" i="3"/>
  <c r="L884" i="3"/>
  <c r="M884" i="3"/>
  <c r="N884" i="3"/>
  <c r="O884" i="3"/>
  <c r="P884" i="3"/>
  <c r="Q884" i="3"/>
  <c r="R884" i="3"/>
  <c r="S884" i="3"/>
  <c r="T884" i="3"/>
  <c r="Y884" i="3"/>
  <c r="Z884" i="3"/>
  <c r="AA884" i="3"/>
  <c r="AB884" i="3"/>
  <c r="AD884" i="3"/>
  <c r="AE884" i="3"/>
  <c r="AF884" i="3"/>
  <c r="AG884" i="3"/>
  <c r="A885" i="3"/>
  <c r="C885" i="3"/>
  <c r="E885" i="3"/>
  <c r="F885" i="3"/>
  <c r="G885" i="3"/>
  <c r="H885" i="3"/>
  <c r="I885" i="3"/>
  <c r="J885" i="3"/>
  <c r="K885" i="3"/>
  <c r="L885" i="3"/>
  <c r="M885" i="3"/>
  <c r="N885" i="3"/>
  <c r="O885" i="3"/>
  <c r="P885" i="3"/>
  <c r="Q885" i="3"/>
  <c r="R885" i="3"/>
  <c r="S885" i="3"/>
  <c r="T885" i="3"/>
  <c r="Y885" i="3"/>
  <c r="Z885" i="3"/>
  <c r="AA885" i="3"/>
  <c r="AB885" i="3"/>
  <c r="AD885" i="3"/>
  <c r="AE885" i="3"/>
  <c r="AF885" i="3"/>
  <c r="AG885" i="3"/>
  <c r="AH885" i="3"/>
  <c r="A886" i="3"/>
  <c r="C886" i="3"/>
  <c r="E886" i="3"/>
  <c r="F886" i="3"/>
  <c r="G886" i="3"/>
  <c r="H886" i="3"/>
  <c r="I886" i="3"/>
  <c r="J886" i="3"/>
  <c r="AH886" i="3" s="1"/>
  <c r="K886" i="3"/>
  <c r="L886" i="3"/>
  <c r="M886" i="3"/>
  <c r="N886" i="3"/>
  <c r="O886" i="3"/>
  <c r="P886" i="3"/>
  <c r="Q886" i="3"/>
  <c r="R886" i="3"/>
  <c r="S886" i="3"/>
  <c r="T886" i="3"/>
  <c r="Y886" i="3"/>
  <c r="Z886" i="3"/>
  <c r="AA886" i="3"/>
  <c r="AB886" i="3"/>
  <c r="AD886" i="3"/>
  <c r="AE886" i="3"/>
  <c r="AF886" i="3"/>
  <c r="AG886" i="3"/>
  <c r="A887" i="3"/>
  <c r="C887" i="3"/>
  <c r="E887" i="3"/>
  <c r="F887" i="3"/>
  <c r="G887" i="3"/>
  <c r="H887" i="3"/>
  <c r="I887" i="3"/>
  <c r="J887" i="3"/>
  <c r="AH887" i="3" s="1"/>
  <c r="K887" i="3"/>
  <c r="L887" i="3"/>
  <c r="M887" i="3"/>
  <c r="N887" i="3"/>
  <c r="O887" i="3"/>
  <c r="P887" i="3"/>
  <c r="Q887" i="3"/>
  <c r="R887" i="3"/>
  <c r="S887" i="3"/>
  <c r="T887" i="3"/>
  <c r="Y887" i="3"/>
  <c r="Z887" i="3"/>
  <c r="AA887" i="3"/>
  <c r="AB887" i="3"/>
  <c r="AD887" i="3"/>
  <c r="AE887" i="3"/>
  <c r="AF887" i="3"/>
  <c r="AG887" i="3"/>
  <c r="A888" i="3"/>
  <c r="C888" i="3"/>
  <c r="E888" i="3"/>
  <c r="F888" i="3"/>
  <c r="G888" i="3"/>
  <c r="H888" i="3"/>
  <c r="I888" i="3"/>
  <c r="J888" i="3"/>
  <c r="AH888" i="3" s="1"/>
  <c r="K888" i="3"/>
  <c r="L888" i="3"/>
  <c r="M888" i="3"/>
  <c r="N888" i="3"/>
  <c r="O888" i="3"/>
  <c r="P888" i="3"/>
  <c r="Q888" i="3"/>
  <c r="R888" i="3"/>
  <c r="S888" i="3"/>
  <c r="T888" i="3"/>
  <c r="Y888" i="3"/>
  <c r="Z888" i="3"/>
  <c r="AA888" i="3"/>
  <c r="AB888" i="3"/>
  <c r="AD888" i="3"/>
  <c r="AE888" i="3"/>
  <c r="AF888" i="3"/>
  <c r="AG888" i="3"/>
  <c r="A889" i="3"/>
  <c r="C889" i="3"/>
  <c r="E889" i="3"/>
  <c r="F889" i="3"/>
  <c r="G889" i="3"/>
  <c r="H889" i="3"/>
  <c r="I889" i="3"/>
  <c r="J889" i="3"/>
  <c r="AH889" i="3" s="1"/>
  <c r="K889" i="3"/>
  <c r="L889" i="3"/>
  <c r="M889" i="3"/>
  <c r="N889" i="3"/>
  <c r="O889" i="3"/>
  <c r="P889" i="3"/>
  <c r="Q889" i="3"/>
  <c r="R889" i="3"/>
  <c r="S889" i="3"/>
  <c r="T889" i="3"/>
  <c r="Y889" i="3"/>
  <c r="Z889" i="3"/>
  <c r="AA889" i="3"/>
  <c r="AB889" i="3"/>
  <c r="AD889" i="3"/>
  <c r="AE889" i="3"/>
  <c r="AF889" i="3"/>
  <c r="AG889" i="3"/>
  <c r="A890" i="3"/>
  <c r="C890" i="3"/>
  <c r="E890" i="3"/>
  <c r="F890" i="3"/>
  <c r="G890" i="3"/>
  <c r="H890" i="3"/>
  <c r="I890" i="3"/>
  <c r="J890" i="3"/>
  <c r="AH890" i="3" s="1"/>
  <c r="K890" i="3"/>
  <c r="L890" i="3"/>
  <c r="M890" i="3"/>
  <c r="N890" i="3"/>
  <c r="O890" i="3"/>
  <c r="P890" i="3"/>
  <c r="Q890" i="3"/>
  <c r="R890" i="3"/>
  <c r="S890" i="3"/>
  <c r="T890" i="3"/>
  <c r="Y890" i="3"/>
  <c r="Z890" i="3"/>
  <c r="AA890" i="3"/>
  <c r="AB890" i="3"/>
  <c r="AD890" i="3"/>
  <c r="AE890" i="3"/>
  <c r="AF890" i="3"/>
  <c r="AG890" i="3"/>
  <c r="A891" i="3"/>
  <c r="C891" i="3"/>
  <c r="E891" i="3"/>
  <c r="F891" i="3"/>
  <c r="G891" i="3"/>
  <c r="H891" i="3"/>
  <c r="I891" i="3"/>
  <c r="J891" i="3"/>
  <c r="AH891" i="3" s="1"/>
  <c r="K891" i="3"/>
  <c r="L891" i="3"/>
  <c r="M891" i="3"/>
  <c r="N891" i="3"/>
  <c r="O891" i="3"/>
  <c r="P891" i="3"/>
  <c r="Q891" i="3"/>
  <c r="R891" i="3"/>
  <c r="S891" i="3"/>
  <c r="T891" i="3"/>
  <c r="Y891" i="3"/>
  <c r="Z891" i="3"/>
  <c r="AA891" i="3"/>
  <c r="AB891" i="3"/>
  <c r="AD891" i="3"/>
  <c r="AE891" i="3"/>
  <c r="AF891" i="3"/>
  <c r="AG891" i="3"/>
  <c r="A892" i="3"/>
  <c r="C892" i="3"/>
  <c r="E892" i="3"/>
  <c r="F892" i="3"/>
  <c r="G892" i="3"/>
  <c r="H892" i="3"/>
  <c r="I892" i="3"/>
  <c r="J892" i="3"/>
  <c r="AH892" i="3" s="1"/>
  <c r="K892" i="3"/>
  <c r="L892" i="3"/>
  <c r="M892" i="3"/>
  <c r="N892" i="3"/>
  <c r="O892" i="3"/>
  <c r="P892" i="3"/>
  <c r="Q892" i="3"/>
  <c r="R892" i="3"/>
  <c r="S892" i="3"/>
  <c r="T892" i="3"/>
  <c r="Y892" i="3"/>
  <c r="Z892" i="3"/>
  <c r="AA892" i="3"/>
  <c r="AB892" i="3"/>
  <c r="AD892" i="3"/>
  <c r="AE892" i="3"/>
  <c r="AF892" i="3"/>
  <c r="AG892" i="3"/>
  <c r="A893" i="3"/>
  <c r="C893" i="3"/>
  <c r="E893" i="3"/>
  <c r="F893" i="3"/>
  <c r="G893" i="3"/>
  <c r="H893" i="3"/>
  <c r="I893" i="3"/>
  <c r="J893" i="3"/>
  <c r="AH893" i="3" s="1"/>
  <c r="K893" i="3"/>
  <c r="L893" i="3"/>
  <c r="M893" i="3"/>
  <c r="N893" i="3"/>
  <c r="O893" i="3"/>
  <c r="P893" i="3"/>
  <c r="Q893" i="3"/>
  <c r="R893" i="3"/>
  <c r="S893" i="3"/>
  <c r="T893" i="3"/>
  <c r="Y893" i="3"/>
  <c r="Z893" i="3"/>
  <c r="AA893" i="3"/>
  <c r="AB893" i="3"/>
  <c r="AD893" i="3"/>
  <c r="AE893" i="3"/>
  <c r="AF893" i="3"/>
  <c r="AG893" i="3"/>
  <c r="A894" i="3"/>
  <c r="C894" i="3"/>
  <c r="E894" i="3"/>
  <c r="F894" i="3"/>
  <c r="G894" i="3"/>
  <c r="H894" i="3"/>
  <c r="I894" i="3"/>
  <c r="J894" i="3"/>
  <c r="AH894" i="3" s="1"/>
  <c r="K894" i="3"/>
  <c r="L894" i="3"/>
  <c r="M894" i="3"/>
  <c r="N894" i="3"/>
  <c r="O894" i="3"/>
  <c r="P894" i="3"/>
  <c r="Q894" i="3"/>
  <c r="R894" i="3"/>
  <c r="S894" i="3"/>
  <c r="T894" i="3"/>
  <c r="Y894" i="3"/>
  <c r="Z894" i="3"/>
  <c r="AA894" i="3"/>
  <c r="AB894" i="3"/>
  <c r="AD894" i="3"/>
  <c r="AE894" i="3"/>
  <c r="AF894" i="3"/>
  <c r="AG894" i="3"/>
  <c r="A895" i="3"/>
  <c r="C895" i="3"/>
  <c r="E895" i="3"/>
  <c r="F895" i="3"/>
  <c r="G895" i="3"/>
  <c r="H895" i="3"/>
  <c r="I895" i="3"/>
  <c r="J895" i="3"/>
  <c r="AH895" i="3" s="1"/>
  <c r="K895" i="3"/>
  <c r="L895" i="3"/>
  <c r="M895" i="3"/>
  <c r="N895" i="3"/>
  <c r="O895" i="3"/>
  <c r="P895" i="3"/>
  <c r="Q895" i="3"/>
  <c r="R895" i="3"/>
  <c r="S895" i="3"/>
  <c r="T895" i="3"/>
  <c r="Y895" i="3"/>
  <c r="Z895" i="3"/>
  <c r="AA895" i="3"/>
  <c r="AB895" i="3"/>
  <c r="AD895" i="3"/>
  <c r="AE895" i="3"/>
  <c r="AF895" i="3"/>
  <c r="AG895" i="3"/>
  <c r="A896" i="3"/>
  <c r="C896" i="3"/>
  <c r="E896" i="3"/>
  <c r="F896" i="3"/>
  <c r="G896" i="3"/>
  <c r="H896" i="3"/>
  <c r="I896" i="3"/>
  <c r="J896" i="3"/>
  <c r="AH896" i="3" s="1"/>
  <c r="K896" i="3"/>
  <c r="L896" i="3"/>
  <c r="M896" i="3"/>
  <c r="N896" i="3"/>
  <c r="O896" i="3"/>
  <c r="P896" i="3"/>
  <c r="Q896" i="3"/>
  <c r="R896" i="3"/>
  <c r="S896" i="3"/>
  <c r="T896" i="3"/>
  <c r="Y896" i="3"/>
  <c r="Z896" i="3"/>
  <c r="AA896" i="3"/>
  <c r="AB896" i="3"/>
  <c r="AD896" i="3"/>
  <c r="AE896" i="3"/>
  <c r="AF896" i="3"/>
  <c r="AG896" i="3"/>
  <c r="A897" i="3"/>
  <c r="C897" i="3"/>
  <c r="E897" i="3"/>
  <c r="F897" i="3"/>
  <c r="G897" i="3"/>
  <c r="H897" i="3"/>
  <c r="I897" i="3"/>
  <c r="J897" i="3"/>
  <c r="AH897" i="3" s="1"/>
  <c r="K897" i="3"/>
  <c r="L897" i="3"/>
  <c r="M897" i="3"/>
  <c r="N897" i="3"/>
  <c r="O897" i="3"/>
  <c r="P897" i="3"/>
  <c r="Q897" i="3"/>
  <c r="R897" i="3"/>
  <c r="S897" i="3"/>
  <c r="T897" i="3"/>
  <c r="Y897" i="3"/>
  <c r="Z897" i="3"/>
  <c r="AA897" i="3"/>
  <c r="AB897" i="3"/>
  <c r="AD897" i="3"/>
  <c r="AE897" i="3"/>
  <c r="AF897" i="3"/>
  <c r="AG897" i="3"/>
  <c r="A898" i="3"/>
  <c r="C898" i="3"/>
  <c r="E898" i="3"/>
  <c r="F898" i="3"/>
  <c r="G898" i="3"/>
  <c r="H898" i="3"/>
  <c r="I898" i="3"/>
  <c r="J898" i="3"/>
  <c r="AH898" i="3" s="1"/>
  <c r="K898" i="3"/>
  <c r="L898" i="3"/>
  <c r="M898" i="3"/>
  <c r="N898" i="3"/>
  <c r="O898" i="3"/>
  <c r="P898" i="3"/>
  <c r="Q898" i="3"/>
  <c r="R898" i="3"/>
  <c r="S898" i="3"/>
  <c r="T898" i="3"/>
  <c r="Y898" i="3"/>
  <c r="Z898" i="3"/>
  <c r="AA898" i="3"/>
  <c r="AB898" i="3"/>
  <c r="AD898" i="3"/>
  <c r="AE898" i="3"/>
  <c r="AF898" i="3"/>
  <c r="AG898" i="3"/>
  <c r="A899" i="3"/>
  <c r="C899" i="3"/>
  <c r="E899" i="3"/>
  <c r="F899" i="3"/>
  <c r="G899" i="3"/>
  <c r="H899" i="3"/>
  <c r="I899" i="3"/>
  <c r="J899" i="3"/>
  <c r="AH899" i="3" s="1"/>
  <c r="K899" i="3"/>
  <c r="L899" i="3"/>
  <c r="M899" i="3"/>
  <c r="N899" i="3"/>
  <c r="O899" i="3"/>
  <c r="P899" i="3"/>
  <c r="Q899" i="3"/>
  <c r="R899" i="3"/>
  <c r="S899" i="3"/>
  <c r="T899" i="3"/>
  <c r="Y899" i="3"/>
  <c r="Z899" i="3"/>
  <c r="AA899" i="3"/>
  <c r="AB899" i="3"/>
  <c r="AD899" i="3"/>
  <c r="AE899" i="3"/>
  <c r="AF899" i="3"/>
  <c r="AG899" i="3"/>
  <c r="A900" i="3"/>
  <c r="C900" i="3"/>
  <c r="E900" i="3"/>
  <c r="F900" i="3"/>
  <c r="G900" i="3"/>
  <c r="H900" i="3"/>
  <c r="I900" i="3"/>
  <c r="J900" i="3"/>
  <c r="AH900" i="3" s="1"/>
  <c r="K900" i="3"/>
  <c r="L900" i="3"/>
  <c r="M900" i="3"/>
  <c r="N900" i="3"/>
  <c r="O900" i="3"/>
  <c r="P900" i="3"/>
  <c r="Q900" i="3"/>
  <c r="R900" i="3"/>
  <c r="S900" i="3"/>
  <c r="T900" i="3"/>
  <c r="Y900" i="3"/>
  <c r="Z900" i="3"/>
  <c r="AA900" i="3"/>
  <c r="AB900" i="3"/>
  <c r="AD900" i="3"/>
  <c r="AE900" i="3"/>
  <c r="AF900" i="3"/>
  <c r="AG900" i="3"/>
  <c r="A901" i="3"/>
  <c r="C901" i="3"/>
  <c r="E901" i="3"/>
  <c r="F901" i="3"/>
  <c r="G901" i="3"/>
  <c r="H901" i="3"/>
  <c r="I901" i="3"/>
  <c r="J901" i="3"/>
  <c r="AH901" i="3" s="1"/>
  <c r="K901" i="3"/>
  <c r="L901" i="3"/>
  <c r="M901" i="3"/>
  <c r="N901" i="3"/>
  <c r="O901" i="3"/>
  <c r="P901" i="3"/>
  <c r="Q901" i="3"/>
  <c r="R901" i="3"/>
  <c r="S901" i="3"/>
  <c r="T901" i="3"/>
  <c r="Y901" i="3"/>
  <c r="Z901" i="3"/>
  <c r="AA901" i="3"/>
  <c r="AB901" i="3"/>
  <c r="AD901" i="3"/>
  <c r="AE901" i="3"/>
  <c r="AF901" i="3"/>
  <c r="AG901" i="3"/>
  <c r="A902" i="3"/>
  <c r="C902" i="3"/>
  <c r="E902" i="3"/>
  <c r="F902" i="3"/>
  <c r="G902" i="3"/>
  <c r="H902" i="3"/>
  <c r="I902" i="3"/>
  <c r="J902" i="3"/>
  <c r="AH902" i="3" s="1"/>
  <c r="K902" i="3"/>
  <c r="L902" i="3"/>
  <c r="M902" i="3"/>
  <c r="N902" i="3"/>
  <c r="O902" i="3"/>
  <c r="P902" i="3"/>
  <c r="Q902" i="3"/>
  <c r="R902" i="3"/>
  <c r="S902" i="3"/>
  <c r="T902" i="3"/>
  <c r="Y902" i="3"/>
  <c r="Z902" i="3"/>
  <c r="AA902" i="3"/>
  <c r="AB902" i="3"/>
  <c r="AD902" i="3"/>
  <c r="AE902" i="3"/>
  <c r="AF902" i="3"/>
  <c r="AG902" i="3"/>
  <c r="A903" i="3"/>
  <c r="C903" i="3"/>
  <c r="E903" i="3"/>
  <c r="F903" i="3"/>
  <c r="G903" i="3"/>
  <c r="H903" i="3"/>
  <c r="I903" i="3"/>
  <c r="J903" i="3"/>
  <c r="K903" i="3"/>
  <c r="L903" i="3"/>
  <c r="M903" i="3"/>
  <c r="N903" i="3"/>
  <c r="O903" i="3"/>
  <c r="P903" i="3"/>
  <c r="Q903" i="3"/>
  <c r="R903" i="3"/>
  <c r="S903" i="3"/>
  <c r="T903" i="3"/>
  <c r="Y903" i="3"/>
  <c r="Z903" i="3"/>
  <c r="AA903" i="3"/>
  <c r="AB903" i="3"/>
  <c r="AD903" i="3"/>
  <c r="AE903" i="3"/>
  <c r="AF903" i="3"/>
  <c r="AG903" i="3"/>
  <c r="AH903" i="3"/>
  <c r="A904" i="3"/>
  <c r="C904" i="3"/>
  <c r="E904" i="3"/>
  <c r="F904" i="3"/>
  <c r="G904" i="3"/>
  <c r="H904" i="3"/>
  <c r="I904" i="3"/>
  <c r="J904" i="3"/>
  <c r="AH904" i="3" s="1"/>
  <c r="K904" i="3"/>
  <c r="L904" i="3"/>
  <c r="M904" i="3"/>
  <c r="N904" i="3"/>
  <c r="O904" i="3"/>
  <c r="P904" i="3"/>
  <c r="Q904" i="3"/>
  <c r="R904" i="3"/>
  <c r="S904" i="3"/>
  <c r="T904" i="3"/>
  <c r="Y904" i="3"/>
  <c r="Z904" i="3"/>
  <c r="AA904" i="3"/>
  <c r="AB904" i="3"/>
  <c r="AD904" i="3"/>
  <c r="AE904" i="3"/>
  <c r="AF904" i="3"/>
  <c r="AG904" i="3"/>
  <c r="A905" i="3"/>
  <c r="C905" i="3"/>
  <c r="E905" i="3"/>
  <c r="F905" i="3"/>
  <c r="G905" i="3"/>
  <c r="H905" i="3"/>
  <c r="I905" i="3"/>
  <c r="J905" i="3"/>
  <c r="K905" i="3"/>
  <c r="L905" i="3"/>
  <c r="M905" i="3"/>
  <c r="N905" i="3"/>
  <c r="O905" i="3"/>
  <c r="P905" i="3"/>
  <c r="Q905" i="3"/>
  <c r="R905" i="3"/>
  <c r="S905" i="3"/>
  <c r="T905" i="3"/>
  <c r="Y905" i="3"/>
  <c r="Z905" i="3"/>
  <c r="AA905" i="3"/>
  <c r="AB905" i="3"/>
  <c r="AD905" i="3"/>
  <c r="AE905" i="3"/>
  <c r="AF905" i="3"/>
  <c r="AG905" i="3"/>
  <c r="AH905" i="3"/>
  <c r="A906" i="3"/>
  <c r="C906" i="3"/>
  <c r="E906" i="3"/>
  <c r="F906" i="3"/>
  <c r="G906" i="3"/>
  <c r="H906" i="3"/>
  <c r="I906" i="3"/>
  <c r="J906" i="3"/>
  <c r="AH906" i="3" s="1"/>
  <c r="K906" i="3"/>
  <c r="L906" i="3"/>
  <c r="M906" i="3"/>
  <c r="N906" i="3"/>
  <c r="O906" i="3"/>
  <c r="P906" i="3"/>
  <c r="Q906" i="3"/>
  <c r="R906" i="3"/>
  <c r="S906" i="3"/>
  <c r="T906" i="3"/>
  <c r="Y906" i="3"/>
  <c r="Z906" i="3"/>
  <c r="AA906" i="3"/>
  <c r="AB906" i="3"/>
  <c r="AD906" i="3"/>
  <c r="AE906" i="3"/>
  <c r="AF906" i="3"/>
  <c r="AG906" i="3"/>
  <c r="A907" i="3"/>
  <c r="C907" i="3"/>
  <c r="E907" i="3"/>
  <c r="F907" i="3"/>
  <c r="G907" i="3"/>
  <c r="H907" i="3"/>
  <c r="I907" i="3"/>
  <c r="J907" i="3"/>
  <c r="AH907" i="3" s="1"/>
  <c r="K907" i="3"/>
  <c r="L907" i="3"/>
  <c r="M907" i="3"/>
  <c r="N907" i="3"/>
  <c r="O907" i="3"/>
  <c r="P907" i="3"/>
  <c r="Q907" i="3"/>
  <c r="R907" i="3"/>
  <c r="S907" i="3"/>
  <c r="T907" i="3"/>
  <c r="Y907" i="3"/>
  <c r="Z907" i="3"/>
  <c r="AA907" i="3"/>
  <c r="AB907" i="3"/>
  <c r="AD907" i="3"/>
  <c r="AE907" i="3"/>
  <c r="AF907" i="3"/>
  <c r="AG907" i="3"/>
  <c r="A908" i="3"/>
  <c r="C908" i="3"/>
  <c r="E908" i="3"/>
  <c r="F908" i="3"/>
  <c r="G908" i="3"/>
  <c r="H908" i="3"/>
  <c r="I908" i="3"/>
  <c r="J908" i="3"/>
  <c r="AH908" i="3" s="1"/>
  <c r="K908" i="3"/>
  <c r="L908" i="3"/>
  <c r="M908" i="3"/>
  <c r="N908" i="3"/>
  <c r="O908" i="3"/>
  <c r="P908" i="3"/>
  <c r="Q908" i="3"/>
  <c r="R908" i="3"/>
  <c r="S908" i="3"/>
  <c r="T908" i="3"/>
  <c r="Y908" i="3"/>
  <c r="Z908" i="3"/>
  <c r="AA908" i="3"/>
  <c r="AB908" i="3"/>
  <c r="AD908" i="3"/>
  <c r="AE908" i="3"/>
  <c r="AF908" i="3"/>
  <c r="AG908" i="3"/>
  <c r="A909" i="3"/>
  <c r="C909" i="3"/>
  <c r="E909" i="3"/>
  <c r="F909" i="3"/>
  <c r="G909" i="3"/>
  <c r="H909" i="3"/>
  <c r="I909" i="3"/>
  <c r="J909" i="3"/>
  <c r="AH909" i="3" s="1"/>
  <c r="K909" i="3"/>
  <c r="L909" i="3"/>
  <c r="M909" i="3"/>
  <c r="N909" i="3"/>
  <c r="O909" i="3"/>
  <c r="P909" i="3"/>
  <c r="Q909" i="3"/>
  <c r="R909" i="3"/>
  <c r="S909" i="3"/>
  <c r="T909" i="3"/>
  <c r="Y909" i="3"/>
  <c r="Z909" i="3"/>
  <c r="AA909" i="3"/>
  <c r="AB909" i="3"/>
  <c r="AD909" i="3"/>
  <c r="AE909" i="3"/>
  <c r="AF909" i="3"/>
  <c r="AG909" i="3"/>
  <c r="A910" i="3"/>
  <c r="C910" i="3"/>
  <c r="E910" i="3"/>
  <c r="F910" i="3"/>
  <c r="G910" i="3"/>
  <c r="H910" i="3"/>
  <c r="I910" i="3"/>
  <c r="J910" i="3"/>
  <c r="AH910" i="3" s="1"/>
  <c r="K910" i="3"/>
  <c r="L910" i="3"/>
  <c r="M910" i="3"/>
  <c r="N910" i="3"/>
  <c r="O910" i="3"/>
  <c r="P910" i="3"/>
  <c r="Q910" i="3"/>
  <c r="R910" i="3"/>
  <c r="S910" i="3"/>
  <c r="T910" i="3"/>
  <c r="Y910" i="3"/>
  <c r="Z910" i="3"/>
  <c r="AA910" i="3"/>
  <c r="AB910" i="3"/>
  <c r="AD910" i="3"/>
  <c r="AE910" i="3"/>
  <c r="AF910" i="3"/>
  <c r="AG910" i="3"/>
  <c r="A911" i="3"/>
  <c r="C911" i="3"/>
  <c r="E911" i="3"/>
  <c r="F911" i="3"/>
  <c r="G911" i="3"/>
  <c r="H911" i="3"/>
  <c r="I911" i="3"/>
  <c r="J911" i="3"/>
  <c r="AH911" i="3" s="1"/>
  <c r="K911" i="3"/>
  <c r="L911" i="3"/>
  <c r="M911" i="3"/>
  <c r="N911" i="3"/>
  <c r="O911" i="3"/>
  <c r="P911" i="3"/>
  <c r="Q911" i="3"/>
  <c r="R911" i="3"/>
  <c r="S911" i="3"/>
  <c r="T911" i="3"/>
  <c r="Y911" i="3"/>
  <c r="Z911" i="3"/>
  <c r="AA911" i="3"/>
  <c r="AB911" i="3"/>
  <c r="AD911" i="3"/>
  <c r="AE911" i="3"/>
  <c r="AF911" i="3"/>
  <c r="AG911" i="3"/>
  <c r="A912" i="3"/>
  <c r="C912" i="3"/>
  <c r="E912" i="3"/>
  <c r="F912" i="3"/>
  <c r="G912" i="3"/>
  <c r="H912" i="3"/>
  <c r="I912" i="3"/>
  <c r="J912" i="3"/>
  <c r="AH912" i="3" s="1"/>
  <c r="K912" i="3"/>
  <c r="L912" i="3"/>
  <c r="M912" i="3"/>
  <c r="N912" i="3"/>
  <c r="O912" i="3"/>
  <c r="P912" i="3"/>
  <c r="Q912" i="3"/>
  <c r="R912" i="3"/>
  <c r="S912" i="3"/>
  <c r="T912" i="3"/>
  <c r="Y912" i="3"/>
  <c r="Z912" i="3"/>
  <c r="AA912" i="3"/>
  <c r="AB912" i="3"/>
  <c r="AD912" i="3"/>
  <c r="AE912" i="3"/>
  <c r="AF912" i="3"/>
  <c r="AG912" i="3"/>
  <c r="A913" i="3"/>
  <c r="C913" i="3"/>
  <c r="E913" i="3"/>
  <c r="F913" i="3"/>
  <c r="G913" i="3"/>
  <c r="H913" i="3"/>
  <c r="I913" i="3"/>
  <c r="J913" i="3"/>
  <c r="AH913" i="3" s="1"/>
  <c r="K913" i="3"/>
  <c r="L913" i="3"/>
  <c r="M913" i="3"/>
  <c r="N913" i="3"/>
  <c r="O913" i="3"/>
  <c r="P913" i="3"/>
  <c r="Q913" i="3"/>
  <c r="R913" i="3"/>
  <c r="S913" i="3"/>
  <c r="T913" i="3"/>
  <c r="Y913" i="3"/>
  <c r="Z913" i="3"/>
  <c r="AA913" i="3"/>
  <c r="AB913" i="3"/>
  <c r="AD913" i="3"/>
  <c r="AE913" i="3"/>
  <c r="AF913" i="3"/>
  <c r="AG913" i="3"/>
  <c r="A914" i="3"/>
  <c r="C914" i="3"/>
  <c r="E914" i="3"/>
  <c r="F914" i="3"/>
  <c r="G914" i="3"/>
  <c r="H914" i="3"/>
  <c r="I914" i="3"/>
  <c r="J914" i="3"/>
  <c r="AH914" i="3" s="1"/>
  <c r="K914" i="3"/>
  <c r="L914" i="3"/>
  <c r="M914" i="3"/>
  <c r="N914" i="3"/>
  <c r="O914" i="3"/>
  <c r="P914" i="3"/>
  <c r="Q914" i="3"/>
  <c r="R914" i="3"/>
  <c r="S914" i="3"/>
  <c r="T914" i="3"/>
  <c r="Y914" i="3"/>
  <c r="Z914" i="3"/>
  <c r="AA914" i="3"/>
  <c r="AB914" i="3"/>
  <c r="AD914" i="3"/>
  <c r="AE914" i="3"/>
  <c r="AF914" i="3"/>
  <c r="AG914" i="3"/>
  <c r="A915" i="3"/>
  <c r="C915" i="3"/>
  <c r="E915" i="3"/>
  <c r="F915" i="3"/>
  <c r="G915" i="3"/>
  <c r="H915" i="3"/>
  <c r="I915" i="3"/>
  <c r="J915" i="3"/>
  <c r="AH915" i="3" s="1"/>
  <c r="K915" i="3"/>
  <c r="L915" i="3"/>
  <c r="M915" i="3"/>
  <c r="N915" i="3"/>
  <c r="O915" i="3"/>
  <c r="P915" i="3"/>
  <c r="Q915" i="3"/>
  <c r="R915" i="3"/>
  <c r="S915" i="3"/>
  <c r="T915" i="3"/>
  <c r="Y915" i="3"/>
  <c r="Z915" i="3"/>
  <c r="AA915" i="3"/>
  <c r="AB915" i="3"/>
  <c r="AD915" i="3"/>
  <c r="AE915" i="3"/>
  <c r="AF915" i="3"/>
  <c r="AG915" i="3"/>
  <c r="A916" i="3"/>
  <c r="C916" i="3"/>
  <c r="E916" i="3"/>
  <c r="F916" i="3"/>
  <c r="G916" i="3"/>
  <c r="H916" i="3"/>
  <c r="I916" i="3"/>
  <c r="J916" i="3"/>
  <c r="AH916" i="3" s="1"/>
  <c r="K916" i="3"/>
  <c r="L916" i="3"/>
  <c r="M916" i="3"/>
  <c r="N916" i="3"/>
  <c r="O916" i="3"/>
  <c r="P916" i="3"/>
  <c r="Q916" i="3"/>
  <c r="R916" i="3"/>
  <c r="S916" i="3"/>
  <c r="T916" i="3"/>
  <c r="Y916" i="3"/>
  <c r="Z916" i="3"/>
  <c r="AA916" i="3"/>
  <c r="AB916" i="3"/>
  <c r="AD916" i="3"/>
  <c r="AE916" i="3"/>
  <c r="AF916" i="3"/>
  <c r="AG916" i="3"/>
  <c r="A917" i="3"/>
  <c r="C917" i="3"/>
  <c r="E917" i="3"/>
  <c r="F917" i="3"/>
  <c r="G917" i="3"/>
  <c r="H917" i="3"/>
  <c r="I917" i="3"/>
  <c r="J917" i="3"/>
  <c r="AH917" i="3" s="1"/>
  <c r="K917" i="3"/>
  <c r="L917" i="3"/>
  <c r="M917" i="3"/>
  <c r="N917" i="3"/>
  <c r="O917" i="3"/>
  <c r="P917" i="3"/>
  <c r="Q917" i="3"/>
  <c r="R917" i="3"/>
  <c r="S917" i="3"/>
  <c r="T917" i="3"/>
  <c r="Y917" i="3"/>
  <c r="Z917" i="3"/>
  <c r="AA917" i="3"/>
  <c r="AB917" i="3"/>
  <c r="AD917" i="3"/>
  <c r="AE917" i="3"/>
  <c r="AF917" i="3"/>
  <c r="AG917" i="3"/>
  <c r="A918" i="3"/>
  <c r="C918" i="3"/>
  <c r="E918" i="3"/>
  <c r="F918" i="3"/>
  <c r="G918" i="3"/>
  <c r="H918" i="3"/>
  <c r="I918" i="3"/>
  <c r="J918" i="3"/>
  <c r="AH918" i="3" s="1"/>
  <c r="K918" i="3"/>
  <c r="L918" i="3"/>
  <c r="M918" i="3"/>
  <c r="N918" i="3"/>
  <c r="O918" i="3"/>
  <c r="P918" i="3"/>
  <c r="Q918" i="3"/>
  <c r="R918" i="3"/>
  <c r="S918" i="3"/>
  <c r="T918" i="3"/>
  <c r="Y918" i="3"/>
  <c r="Z918" i="3"/>
  <c r="AA918" i="3"/>
  <c r="AB918" i="3"/>
  <c r="AD918" i="3"/>
  <c r="AE918" i="3"/>
  <c r="AF918" i="3"/>
  <c r="AG918" i="3"/>
  <c r="A919" i="3"/>
  <c r="C919" i="3"/>
  <c r="E919" i="3"/>
  <c r="F919" i="3"/>
  <c r="G919" i="3"/>
  <c r="H919" i="3"/>
  <c r="I919" i="3"/>
  <c r="J919" i="3"/>
  <c r="AH919" i="3" s="1"/>
  <c r="K919" i="3"/>
  <c r="L919" i="3"/>
  <c r="M919" i="3"/>
  <c r="N919" i="3"/>
  <c r="O919" i="3"/>
  <c r="P919" i="3"/>
  <c r="Q919" i="3"/>
  <c r="R919" i="3"/>
  <c r="S919" i="3"/>
  <c r="T919" i="3"/>
  <c r="Y919" i="3"/>
  <c r="Z919" i="3"/>
  <c r="AA919" i="3"/>
  <c r="AB919" i="3"/>
  <c r="AD919" i="3"/>
  <c r="AE919" i="3"/>
  <c r="AF919" i="3"/>
  <c r="AG919" i="3"/>
  <c r="A920" i="3"/>
  <c r="C920" i="3"/>
  <c r="E920" i="3"/>
  <c r="F920" i="3"/>
  <c r="G920" i="3"/>
  <c r="H920" i="3"/>
  <c r="I920" i="3"/>
  <c r="J920" i="3"/>
  <c r="AH920" i="3" s="1"/>
  <c r="K920" i="3"/>
  <c r="L920" i="3"/>
  <c r="M920" i="3"/>
  <c r="N920" i="3"/>
  <c r="O920" i="3"/>
  <c r="P920" i="3"/>
  <c r="Q920" i="3"/>
  <c r="R920" i="3"/>
  <c r="S920" i="3"/>
  <c r="T920" i="3"/>
  <c r="Y920" i="3"/>
  <c r="Z920" i="3"/>
  <c r="AA920" i="3"/>
  <c r="AB920" i="3"/>
  <c r="AD920" i="3"/>
  <c r="AE920" i="3"/>
  <c r="AF920" i="3"/>
  <c r="AG920" i="3"/>
  <c r="A921" i="3"/>
  <c r="C921" i="3"/>
  <c r="E921" i="3"/>
  <c r="F921" i="3"/>
  <c r="G921" i="3"/>
  <c r="H921" i="3"/>
  <c r="I921" i="3"/>
  <c r="J921" i="3"/>
  <c r="AH921" i="3" s="1"/>
  <c r="K921" i="3"/>
  <c r="L921" i="3"/>
  <c r="M921" i="3"/>
  <c r="N921" i="3"/>
  <c r="O921" i="3"/>
  <c r="P921" i="3"/>
  <c r="Q921" i="3"/>
  <c r="R921" i="3"/>
  <c r="S921" i="3"/>
  <c r="T921" i="3"/>
  <c r="Y921" i="3"/>
  <c r="Z921" i="3"/>
  <c r="AA921" i="3"/>
  <c r="AB921" i="3"/>
  <c r="AD921" i="3"/>
  <c r="AE921" i="3"/>
  <c r="AF921" i="3"/>
  <c r="AG921" i="3"/>
  <c r="A922" i="3"/>
  <c r="C922" i="3"/>
  <c r="E922" i="3"/>
  <c r="F922" i="3"/>
  <c r="G922" i="3"/>
  <c r="H922" i="3"/>
  <c r="I922" i="3"/>
  <c r="J922" i="3"/>
  <c r="AH922" i="3" s="1"/>
  <c r="K922" i="3"/>
  <c r="L922" i="3"/>
  <c r="M922" i="3"/>
  <c r="N922" i="3"/>
  <c r="O922" i="3"/>
  <c r="P922" i="3"/>
  <c r="Q922" i="3"/>
  <c r="R922" i="3"/>
  <c r="S922" i="3"/>
  <c r="T922" i="3"/>
  <c r="Y922" i="3"/>
  <c r="Z922" i="3"/>
  <c r="AA922" i="3"/>
  <c r="AB922" i="3"/>
  <c r="AD922" i="3"/>
  <c r="AE922" i="3"/>
  <c r="AF922" i="3"/>
  <c r="AG922" i="3"/>
  <c r="A923" i="3"/>
  <c r="C923" i="3"/>
  <c r="E923" i="3"/>
  <c r="F923" i="3"/>
  <c r="G923" i="3"/>
  <c r="H923" i="3"/>
  <c r="I923" i="3"/>
  <c r="J923" i="3"/>
  <c r="K923" i="3"/>
  <c r="L923" i="3"/>
  <c r="M923" i="3"/>
  <c r="N923" i="3"/>
  <c r="O923" i="3"/>
  <c r="P923" i="3"/>
  <c r="Q923" i="3"/>
  <c r="R923" i="3"/>
  <c r="S923" i="3"/>
  <c r="T923" i="3"/>
  <c r="Y923" i="3"/>
  <c r="Z923" i="3"/>
  <c r="AA923" i="3"/>
  <c r="AB923" i="3"/>
  <c r="AD923" i="3"/>
  <c r="AE923" i="3"/>
  <c r="AF923" i="3"/>
  <c r="AG923" i="3"/>
  <c r="AH923" i="3"/>
  <c r="A924" i="3"/>
  <c r="C924" i="3"/>
  <c r="E924" i="3"/>
  <c r="F924" i="3"/>
  <c r="G924" i="3"/>
  <c r="H924" i="3"/>
  <c r="I924" i="3"/>
  <c r="J924" i="3"/>
  <c r="AH924" i="3" s="1"/>
  <c r="K924" i="3"/>
  <c r="L924" i="3"/>
  <c r="M924" i="3"/>
  <c r="N924" i="3"/>
  <c r="O924" i="3"/>
  <c r="P924" i="3"/>
  <c r="Q924" i="3"/>
  <c r="R924" i="3"/>
  <c r="S924" i="3"/>
  <c r="T924" i="3"/>
  <c r="Y924" i="3"/>
  <c r="Z924" i="3"/>
  <c r="AA924" i="3"/>
  <c r="AB924" i="3"/>
  <c r="AD924" i="3"/>
  <c r="AE924" i="3"/>
  <c r="AF924" i="3"/>
  <c r="AG924" i="3"/>
  <c r="A925" i="3"/>
  <c r="C925" i="3"/>
  <c r="E925" i="3"/>
  <c r="F925" i="3"/>
  <c r="G925" i="3"/>
  <c r="H925" i="3"/>
  <c r="I925" i="3"/>
  <c r="J925" i="3"/>
  <c r="AH925" i="3" s="1"/>
  <c r="K925" i="3"/>
  <c r="L925" i="3"/>
  <c r="M925" i="3"/>
  <c r="N925" i="3"/>
  <c r="O925" i="3"/>
  <c r="P925" i="3"/>
  <c r="Q925" i="3"/>
  <c r="R925" i="3"/>
  <c r="S925" i="3"/>
  <c r="T925" i="3"/>
  <c r="Y925" i="3"/>
  <c r="Z925" i="3"/>
  <c r="AA925" i="3"/>
  <c r="AB925" i="3"/>
  <c r="AD925" i="3"/>
  <c r="AE925" i="3"/>
  <c r="AF925" i="3"/>
  <c r="AG925" i="3"/>
  <c r="A926" i="3"/>
  <c r="C926" i="3"/>
  <c r="E926" i="3"/>
  <c r="F926" i="3"/>
  <c r="G926" i="3"/>
  <c r="H926" i="3"/>
  <c r="I926" i="3"/>
  <c r="J926" i="3"/>
  <c r="AH926" i="3" s="1"/>
  <c r="K926" i="3"/>
  <c r="L926" i="3"/>
  <c r="M926" i="3"/>
  <c r="N926" i="3"/>
  <c r="O926" i="3"/>
  <c r="P926" i="3"/>
  <c r="Q926" i="3"/>
  <c r="R926" i="3"/>
  <c r="S926" i="3"/>
  <c r="T926" i="3"/>
  <c r="Y926" i="3"/>
  <c r="Z926" i="3"/>
  <c r="AA926" i="3"/>
  <c r="AB926" i="3"/>
  <c r="AD926" i="3"/>
  <c r="AE926" i="3"/>
  <c r="AF926" i="3"/>
  <c r="AG926" i="3"/>
  <c r="A927" i="3"/>
  <c r="C927" i="3"/>
  <c r="E927" i="3"/>
  <c r="F927" i="3"/>
  <c r="G927" i="3"/>
  <c r="H927" i="3"/>
  <c r="I927" i="3"/>
  <c r="J927" i="3"/>
  <c r="AH927" i="3" s="1"/>
  <c r="K927" i="3"/>
  <c r="L927" i="3"/>
  <c r="M927" i="3"/>
  <c r="N927" i="3"/>
  <c r="O927" i="3"/>
  <c r="P927" i="3"/>
  <c r="Q927" i="3"/>
  <c r="R927" i="3"/>
  <c r="S927" i="3"/>
  <c r="T927" i="3"/>
  <c r="Y927" i="3"/>
  <c r="Z927" i="3"/>
  <c r="AA927" i="3"/>
  <c r="AB927" i="3"/>
  <c r="AD927" i="3"/>
  <c r="AE927" i="3"/>
  <c r="AF927" i="3"/>
  <c r="AG927" i="3"/>
  <c r="A928" i="3"/>
  <c r="C928" i="3"/>
  <c r="E928" i="3"/>
  <c r="F928" i="3"/>
  <c r="G928" i="3"/>
  <c r="H928" i="3"/>
  <c r="I928" i="3"/>
  <c r="J928" i="3"/>
  <c r="AH928" i="3" s="1"/>
  <c r="K928" i="3"/>
  <c r="L928" i="3"/>
  <c r="M928" i="3"/>
  <c r="N928" i="3"/>
  <c r="O928" i="3"/>
  <c r="P928" i="3"/>
  <c r="Q928" i="3"/>
  <c r="R928" i="3"/>
  <c r="S928" i="3"/>
  <c r="T928" i="3"/>
  <c r="Y928" i="3"/>
  <c r="Z928" i="3"/>
  <c r="AA928" i="3"/>
  <c r="AB928" i="3"/>
  <c r="AD928" i="3"/>
  <c r="AE928" i="3"/>
  <c r="AF928" i="3"/>
  <c r="AG928" i="3"/>
  <c r="A929" i="3"/>
  <c r="C929" i="3"/>
  <c r="E929" i="3"/>
  <c r="F929" i="3"/>
  <c r="G929" i="3"/>
  <c r="H929" i="3"/>
  <c r="I929" i="3"/>
  <c r="J929" i="3"/>
  <c r="AH929" i="3" s="1"/>
  <c r="K929" i="3"/>
  <c r="L929" i="3"/>
  <c r="M929" i="3"/>
  <c r="N929" i="3"/>
  <c r="O929" i="3"/>
  <c r="P929" i="3"/>
  <c r="Q929" i="3"/>
  <c r="R929" i="3"/>
  <c r="S929" i="3"/>
  <c r="T929" i="3"/>
  <c r="Y929" i="3"/>
  <c r="Z929" i="3"/>
  <c r="AA929" i="3"/>
  <c r="AB929" i="3"/>
  <c r="AD929" i="3"/>
  <c r="AE929" i="3"/>
  <c r="AF929" i="3"/>
  <c r="AG929" i="3"/>
  <c r="A930" i="3"/>
  <c r="C930" i="3"/>
  <c r="E930" i="3"/>
  <c r="F930" i="3"/>
  <c r="G930" i="3"/>
  <c r="H930" i="3"/>
  <c r="I930" i="3"/>
  <c r="J930" i="3"/>
  <c r="AH930" i="3" s="1"/>
  <c r="K930" i="3"/>
  <c r="L930" i="3"/>
  <c r="M930" i="3"/>
  <c r="N930" i="3"/>
  <c r="O930" i="3"/>
  <c r="P930" i="3"/>
  <c r="Q930" i="3"/>
  <c r="R930" i="3"/>
  <c r="S930" i="3"/>
  <c r="T930" i="3"/>
  <c r="Y930" i="3"/>
  <c r="Z930" i="3"/>
  <c r="AA930" i="3"/>
  <c r="AB930" i="3"/>
  <c r="AD930" i="3"/>
  <c r="AE930" i="3"/>
  <c r="AF930" i="3"/>
  <c r="AG930" i="3"/>
  <c r="A931" i="3"/>
  <c r="C931" i="3"/>
  <c r="E931" i="3"/>
  <c r="F931" i="3"/>
  <c r="G931" i="3"/>
  <c r="H931" i="3"/>
  <c r="I931" i="3"/>
  <c r="J931" i="3"/>
  <c r="AH931" i="3" s="1"/>
  <c r="K931" i="3"/>
  <c r="L931" i="3"/>
  <c r="M931" i="3"/>
  <c r="N931" i="3"/>
  <c r="O931" i="3"/>
  <c r="P931" i="3"/>
  <c r="Q931" i="3"/>
  <c r="R931" i="3"/>
  <c r="S931" i="3"/>
  <c r="T931" i="3"/>
  <c r="Y931" i="3"/>
  <c r="Z931" i="3"/>
  <c r="AA931" i="3"/>
  <c r="AB931" i="3"/>
  <c r="AD931" i="3"/>
  <c r="AE931" i="3"/>
  <c r="AF931" i="3"/>
  <c r="AG931" i="3"/>
  <c r="A932" i="3"/>
  <c r="C932" i="3"/>
  <c r="E932" i="3"/>
  <c r="F932" i="3"/>
  <c r="G932" i="3"/>
  <c r="H932" i="3"/>
  <c r="I932" i="3"/>
  <c r="J932" i="3"/>
  <c r="AH932" i="3" s="1"/>
  <c r="K932" i="3"/>
  <c r="L932" i="3"/>
  <c r="M932" i="3"/>
  <c r="N932" i="3"/>
  <c r="O932" i="3"/>
  <c r="P932" i="3"/>
  <c r="Q932" i="3"/>
  <c r="R932" i="3"/>
  <c r="S932" i="3"/>
  <c r="T932" i="3"/>
  <c r="Y932" i="3"/>
  <c r="Z932" i="3"/>
  <c r="AA932" i="3"/>
  <c r="AB932" i="3"/>
  <c r="AD932" i="3"/>
  <c r="AE932" i="3"/>
  <c r="AF932" i="3"/>
  <c r="AG932" i="3"/>
  <c r="A933" i="3"/>
  <c r="C933" i="3"/>
  <c r="E933" i="3"/>
  <c r="F933" i="3"/>
  <c r="G933" i="3"/>
  <c r="H933" i="3"/>
  <c r="I933" i="3"/>
  <c r="J933" i="3"/>
  <c r="AH933" i="3" s="1"/>
  <c r="K933" i="3"/>
  <c r="L933" i="3"/>
  <c r="M933" i="3"/>
  <c r="N933" i="3"/>
  <c r="O933" i="3"/>
  <c r="P933" i="3"/>
  <c r="Q933" i="3"/>
  <c r="R933" i="3"/>
  <c r="S933" i="3"/>
  <c r="T933" i="3"/>
  <c r="Y933" i="3"/>
  <c r="Z933" i="3"/>
  <c r="AA933" i="3"/>
  <c r="AB933" i="3"/>
  <c r="AD933" i="3"/>
  <c r="AE933" i="3"/>
  <c r="AF933" i="3"/>
  <c r="AG933" i="3"/>
  <c r="A934" i="3"/>
  <c r="C934" i="3"/>
  <c r="E934" i="3"/>
  <c r="F934" i="3"/>
  <c r="G934" i="3"/>
  <c r="H934" i="3"/>
  <c r="I934" i="3"/>
  <c r="J934" i="3"/>
  <c r="AH934" i="3" s="1"/>
  <c r="K934" i="3"/>
  <c r="L934" i="3"/>
  <c r="M934" i="3"/>
  <c r="N934" i="3"/>
  <c r="O934" i="3"/>
  <c r="P934" i="3"/>
  <c r="Q934" i="3"/>
  <c r="R934" i="3"/>
  <c r="S934" i="3"/>
  <c r="T934" i="3"/>
  <c r="Y934" i="3"/>
  <c r="Z934" i="3"/>
  <c r="AA934" i="3"/>
  <c r="AB934" i="3"/>
  <c r="AD934" i="3"/>
  <c r="AE934" i="3"/>
  <c r="AF934" i="3"/>
  <c r="AG934" i="3"/>
  <c r="A935" i="3"/>
  <c r="C935" i="3"/>
  <c r="E935" i="3"/>
  <c r="F935" i="3"/>
  <c r="G935" i="3"/>
  <c r="H935" i="3"/>
  <c r="I935" i="3"/>
  <c r="J935" i="3"/>
  <c r="AH935" i="3" s="1"/>
  <c r="K935" i="3"/>
  <c r="L935" i="3"/>
  <c r="M935" i="3"/>
  <c r="N935" i="3"/>
  <c r="O935" i="3"/>
  <c r="P935" i="3"/>
  <c r="Q935" i="3"/>
  <c r="R935" i="3"/>
  <c r="S935" i="3"/>
  <c r="T935" i="3"/>
  <c r="Y935" i="3"/>
  <c r="Z935" i="3"/>
  <c r="AA935" i="3"/>
  <c r="AB935" i="3"/>
  <c r="AD935" i="3"/>
  <c r="AE935" i="3"/>
  <c r="AF935" i="3"/>
  <c r="AG935" i="3"/>
  <c r="A936" i="3"/>
  <c r="C936" i="3"/>
  <c r="E936" i="3"/>
  <c r="F936" i="3"/>
  <c r="G936" i="3"/>
  <c r="H936" i="3"/>
  <c r="I936" i="3"/>
  <c r="J936" i="3"/>
  <c r="K936" i="3"/>
  <c r="L936" i="3"/>
  <c r="M936" i="3"/>
  <c r="N936" i="3"/>
  <c r="O936" i="3"/>
  <c r="P936" i="3"/>
  <c r="Q936" i="3"/>
  <c r="R936" i="3"/>
  <c r="S936" i="3"/>
  <c r="T936" i="3"/>
  <c r="Y936" i="3"/>
  <c r="Z936" i="3"/>
  <c r="AA936" i="3"/>
  <c r="AB936" i="3"/>
  <c r="AD936" i="3"/>
  <c r="AE936" i="3"/>
  <c r="AF936" i="3"/>
  <c r="AG936" i="3"/>
  <c r="AH936" i="3"/>
  <c r="A937" i="3"/>
  <c r="C937" i="3"/>
  <c r="E937" i="3"/>
  <c r="F937" i="3"/>
  <c r="G937" i="3"/>
  <c r="H937" i="3"/>
  <c r="I937" i="3"/>
  <c r="J937" i="3"/>
  <c r="AH937" i="3" s="1"/>
  <c r="K937" i="3"/>
  <c r="L937" i="3"/>
  <c r="M937" i="3"/>
  <c r="N937" i="3"/>
  <c r="O937" i="3"/>
  <c r="P937" i="3"/>
  <c r="Q937" i="3"/>
  <c r="R937" i="3"/>
  <c r="S937" i="3"/>
  <c r="T937" i="3"/>
  <c r="Y937" i="3"/>
  <c r="Z937" i="3"/>
  <c r="AA937" i="3"/>
  <c r="AB937" i="3"/>
  <c r="AD937" i="3"/>
  <c r="AE937" i="3"/>
  <c r="AF937" i="3"/>
  <c r="AG937" i="3"/>
  <c r="A938" i="3"/>
  <c r="C938" i="3"/>
  <c r="E938" i="3"/>
  <c r="F938" i="3"/>
  <c r="G938" i="3"/>
  <c r="H938" i="3"/>
  <c r="I938" i="3"/>
  <c r="J938" i="3"/>
  <c r="AH938" i="3" s="1"/>
  <c r="K938" i="3"/>
  <c r="L938" i="3"/>
  <c r="M938" i="3"/>
  <c r="N938" i="3"/>
  <c r="O938" i="3"/>
  <c r="P938" i="3"/>
  <c r="Q938" i="3"/>
  <c r="R938" i="3"/>
  <c r="S938" i="3"/>
  <c r="T938" i="3"/>
  <c r="Y938" i="3"/>
  <c r="Z938" i="3"/>
  <c r="AA938" i="3"/>
  <c r="AB938" i="3"/>
  <c r="AD938" i="3"/>
  <c r="AE938" i="3"/>
  <c r="AF938" i="3"/>
  <c r="AG938" i="3"/>
  <c r="A939" i="3"/>
  <c r="C939" i="3"/>
  <c r="E939" i="3"/>
  <c r="F939" i="3"/>
  <c r="G939" i="3"/>
  <c r="H939" i="3"/>
  <c r="I939" i="3"/>
  <c r="J939" i="3"/>
  <c r="AH939" i="3" s="1"/>
  <c r="K939" i="3"/>
  <c r="L939" i="3"/>
  <c r="M939" i="3"/>
  <c r="N939" i="3"/>
  <c r="O939" i="3"/>
  <c r="P939" i="3"/>
  <c r="Q939" i="3"/>
  <c r="R939" i="3"/>
  <c r="S939" i="3"/>
  <c r="T939" i="3"/>
  <c r="Y939" i="3"/>
  <c r="Z939" i="3"/>
  <c r="AA939" i="3"/>
  <c r="AB939" i="3"/>
  <c r="AD939" i="3"/>
  <c r="AE939" i="3"/>
  <c r="AF939" i="3"/>
  <c r="AG939" i="3"/>
  <c r="A940" i="3"/>
  <c r="C940" i="3"/>
  <c r="E940" i="3"/>
  <c r="F940" i="3"/>
  <c r="G940" i="3"/>
  <c r="H940" i="3"/>
  <c r="I940" i="3"/>
  <c r="J940" i="3"/>
  <c r="AH940" i="3" s="1"/>
  <c r="K940" i="3"/>
  <c r="L940" i="3"/>
  <c r="M940" i="3"/>
  <c r="N940" i="3"/>
  <c r="O940" i="3"/>
  <c r="P940" i="3"/>
  <c r="Q940" i="3"/>
  <c r="R940" i="3"/>
  <c r="S940" i="3"/>
  <c r="T940" i="3"/>
  <c r="Y940" i="3"/>
  <c r="Z940" i="3"/>
  <c r="AA940" i="3"/>
  <c r="AB940" i="3"/>
  <c r="AD940" i="3"/>
  <c r="AE940" i="3"/>
  <c r="AF940" i="3"/>
  <c r="AG940" i="3"/>
  <c r="A941" i="3"/>
  <c r="C941" i="3"/>
  <c r="E941" i="3"/>
  <c r="F941" i="3"/>
  <c r="G941" i="3"/>
  <c r="H941" i="3"/>
  <c r="I941" i="3"/>
  <c r="J941" i="3"/>
  <c r="AH941" i="3" s="1"/>
  <c r="K941" i="3"/>
  <c r="L941" i="3"/>
  <c r="M941" i="3"/>
  <c r="N941" i="3"/>
  <c r="O941" i="3"/>
  <c r="P941" i="3"/>
  <c r="Q941" i="3"/>
  <c r="R941" i="3"/>
  <c r="S941" i="3"/>
  <c r="T941" i="3"/>
  <c r="Y941" i="3"/>
  <c r="Z941" i="3"/>
  <c r="AA941" i="3"/>
  <c r="AB941" i="3"/>
  <c r="AD941" i="3"/>
  <c r="AE941" i="3"/>
  <c r="AF941" i="3"/>
  <c r="AG941" i="3"/>
  <c r="A942" i="3"/>
  <c r="C942" i="3"/>
  <c r="E942" i="3"/>
  <c r="F942" i="3"/>
  <c r="G942" i="3"/>
  <c r="H942" i="3"/>
  <c r="I942" i="3"/>
  <c r="J942" i="3"/>
  <c r="AH942" i="3" s="1"/>
  <c r="K942" i="3"/>
  <c r="L942" i="3"/>
  <c r="M942" i="3"/>
  <c r="N942" i="3"/>
  <c r="O942" i="3"/>
  <c r="P942" i="3"/>
  <c r="Q942" i="3"/>
  <c r="R942" i="3"/>
  <c r="S942" i="3"/>
  <c r="T942" i="3"/>
  <c r="Y942" i="3"/>
  <c r="Z942" i="3"/>
  <c r="AA942" i="3"/>
  <c r="AB942" i="3"/>
  <c r="AD942" i="3"/>
  <c r="AE942" i="3"/>
  <c r="AF942" i="3"/>
  <c r="AG942" i="3"/>
  <c r="A943" i="3"/>
  <c r="C943" i="3"/>
  <c r="E943" i="3"/>
  <c r="F943" i="3"/>
  <c r="G943" i="3"/>
  <c r="H943" i="3"/>
  <c r="I943" i="3"/>
  <c r="J943" i="3"/>
  <c r="AH943" i="3" s="1"/>
  <c r="K943" i="3"/>
  <c r="L943" i="3"/>
  <c r="M943" i="3"/>
  <c r="N943" i="3"/>
  <c r="O943" i="3"/>
  <c r="P943" i="3"/>
  <c r="Q943" i="3"/>
  <c r="R943" i="3"/>
  <c r="S943" i="3"/>
  <c r="T943" i="3"/>
  <c r="Y943" i="3"/>
  <c r="Z943" i="3"/>
  <c r="AA943" i="3"/>
  <c r="AB943" i="3"/>
  <c r="AD943" i="3"/>
  <c r="AE943" i="3"/>
  <c r="AF943" i="3"/>
  <c r="AG943" i="3"/>
  <c r="A944" i="3"/>
  <c r="C944" i="3"/>
  <c r="E944" i="3"/>
  <c r="F944" i="3"/>
  <c r="G944" i="3"/>
  <c r="H944" i="3"/>
  <c r="I944" i="3"/>
  <c r="J944" i="3"/>
  <c r="AH944" i="3" s="1"/>
  <c r="K944" i="3"/>
  <c r="L944" i="3"/>
  <c r="M944" i="3"/>
  <c r="N944" i="3"/>
  <c r="O944" i="3"/>
  <c r="P944" i="3"/>
  <c r="Q944" i="3"/>
  <c r="R944" i="3"/>
  <c r="S944" i="3"/>
  <c r="T944" i="3"/>
  <c r="Y944" i="3"/>
  <c r="Z944" i="3"/>
  <c r="AA944" i="3"/>
  <c r="AB944" i="3"/>
  <c r="AD944" i="3"/>
  <c r="AE944" i="3"/>
  <c r="AF944" i="3"/>
  <c r="AG944" i="3"/>
  <c r="A945" i="3"/>
  <c r="C945" i="3"/>
  <c r="E945" i="3"/>
  <c r="F945" i="3"/>
  <c r="G945" i="3"/>
  <c r="H945" i="3"/>
  <c r="I945" i="3"/>
  <c r="J945" i="3"/>
  <c r="AH945" i="3" s="1"/>
  <c r="K945" i="3"/>
  <c r="L945" i="3"/>
  <c r="M945" i="3"/>
  <c r="N945" i="3"/>
  <c r="O945" i="3"/>
  <c r="P945" i="3"/>
  <c r="Q945" i="3"/>
  <c r="R945" i="3"/>
  <c r="S945" i="3"/>
  <c r="T945" i="3"/>
  <c r="Y945" i="3"/>
  <c r="Z945" i="3"/>
  <c r="AA945" i="3"/>
  <c r="AB945" i="3"/>
  <c r="AD945" i="3"/>
  <c r="AE945" i="3"/>
  <c r="AF945" i="3"/>
  <c r="AG945" i="3"/>
  <c r="A946" i="3"/>
  <c r="C946" i="3"/>
  <c r="E946" i="3"/>
  <c r="F946" i="3"/>
  <c r="G946" i="3"/>
  <c r="H946" i="3"/>
  <c r="I946" i="3"/>
  <c r="J946" i="3"/>
  <c r="AH946" i="3" s="1"/>
  <c r="K946" i="3"/>
  <c r="L946" i="3"/>
  <c r="M946" i="3"/>
  <c r="N946" i="3"/>
  <c r="O946" i="3"/>
  <c r="P946" i="3"/>
  <c r="Q946" i="3"/>
  <c r="R946" i="3"/>
  <c r="S946" i="3"/>
  <c r="T946" i="3"/>
  <c r="Y946" i="3"/>
  <c r="Z946" i="3"/>
  <c r="AA946" i="3"/>
  <c r="AB946" i="3"/>
  <c r="AD946" i="3"/>
  <c r="AE946" i="3"/>
  <c r="AF946" i="3"/>
  <c r="AG946" i="3"/>
  <c r="A947" i="3"/>
  <c r="C947" i="3"/>
  <c r="E947" i="3"/>
  <c r="F947" i="3"/>
  <c r="G947" i="3"/>
  <c r="H947" i="3"/>
  <c r="I947" i="3"/>
  <c r="J947" i="3"/>
  <c r="AH947" i="3" s="1"/>
  <c r="K947" i="3"/>
  <c r="L947" i="3"/>
  <c r="M947" i="3"/>
  <c r="N947" i="3"/>
  <c r="O947" i="3"/>
  <c r="P947" i="3"/>
  <c r="Q947" i="3"/>
  <c r="R947" i="3"/>
  <c r="S947" i="3"/>
  <c r="T947" i="3"/>
  <c r="Y947" i="3"/>
  <c r="Z947" i="3"/>
  <c r="AA947" i="3"/>
  <c r="AB947" i="3"/>
  <c r="AD947" i="3"/>
  <c r="AE947" i="3"/>
  <c r="AF947" i="3"/>
  <c r="AG947" i="3"/>
  <c r="A948" i="3"/>
  <c r="C948" i="3"/>
  <c r="E948" i="3"/>
  <c r="F948" i="3"/>
  <c r="G948" i="3"/>
  <c r="H948" i="3"/>
  <c r="I948" i="3"/>
  <c r="J948" i="3"/>
  <c r="AH948" i="3" s="1"/>
  <c r="K948" i="3"/>
  <c r="L948" i="3"/>
  <c r="M948" i="3"/>
  <c r="N948" i="3"/>
  <c r="O948" i="3"/>
  <c r="P948" i="3"/>
  <c r="Q948" i="3"/>
  <c r="R948" i="3"/>
  <c r="S948" i="3"/>
  <c r="T948" i="3"/>
  <c r="Y948" i="3"/>
  <c r="Z948" i="3"/>
  <c r="AA948" i="3"/>
  <c r="AB948" i="3"/>
  <c r="AD948" i="3"/>
  <c r="AE948" i="3"/>
  <c r="AF948" i="3"/>
  <c r="AG948" i="3"/>
  <c r="A949" i="3"/>
  <c r="C949" i="3"/>
  <c r="E949" i="3"/>
  <c r="F949" i="3"/>
  <c r="G949" i="3"/>
  <c r="H949" i="3"/>
  <c r="I949" i="3"/>
  <c r="J949" i="3"/>
  <c r="K949" i="3"/>
  <c r="L949" i="3"/>
  <c r="M949" i="3"/>
  <c r="N949" i="3"/>
  <c r="O949" i="3"/>
  <c r="P949" i="3"/>
  <c r="Q949" i="3"/>
  <c r="R949" i="3"/>
  <c r="S949" i="3"/>
  <c r="T949" i="3"/>
  <c r="Y949" i="3"/>
  <c r="Z949" i="3"/>
  <c r="AA949" i="3"/>
  <c r="AB949" i="3"/>
  <c r="AD949" i="3"/>
  <c r="AE949" i="3"/>
  <c r="AF949" i="3"/>
  <c r="AG949" i="3"/>
  <c r="AH949" i="3"/>
  <c r="A950" i="3"/>
  <c r="C950" i="3"/>
  <c r="E950" i="3"/>
  <c r="F950" i="3"/>
  <c r="G950" i="3"/>
  <c r="H950" i="3"/>
  <c r="I950" i="3"/>
  <c r="J950" i="3"/>
  <c r="AH950" i="3" s="1"/>
  <c r="K950" i="3"/>
  <c r="L950" i="3"/>
  <c r="M950" i="3"/>
  <c r="N950" i="3"/>
  <c r="O950" i="3"/>
  <c r="P950" i="3"/>
  <c r="Q950" i="3"/>
  <c r="R950" i="3"/>
  <c r="S950" i="3"/>
  <c r="T950" i="3"/>
  <c r="Y950" i="3"/>
  <c r="Z950" i="3"/>
  <c r="AA950" i="3"/>
  <c r="AB950" i="3"/>
  <c r="AD950" i="3"/>
  <c r="AE950" i="3"/>
  <c r="AF950" i="3"/>
  <c r="AG950" i="3"/>
  <c r="A951" i="3"/>
  <c r="C951" i="3"/>
  <c r="E951" i="3"/>
  <c r="F951" i="3"/>
  <c r="G951" i="3"/>
  <c r="H951" i="3"/>
  <c r="I951" i="3"/>
  <c r="J951" i="3"/>
  <c r="AH951" i="3" s="1"/>
  <c r="K951" i="3"/>
  <c r="L951" i="3"/>
  <c r="M951" i="3"/>
  <c r="N951" i="3"/>
  <c r="O951" i="3"/>
  <c r="P951" i="3"/>
  <c r="Q951" i="3"/>
  <c r="R951" i="3"/>
  <c r="S951" i="3"/>
  <c r="T951" i="3"/>
  <c r="Y951" i="3"/>
  <c r="Z951" i="3"/>
  <c r="AA951" i="3"/>
  <c r="AB951" i="3"/>
  <c r="AD951" i="3"/>
  <c r="AE951" i="3"/>
  <c r="AF951" i="3"/>
  <c r="AG951" i="3"/>
  <c r="A952" i="3"/>
  <c r="C952" i="3"/>
  <c r="E952" i="3"/>
  <c r="F952" i="3"/>
  <c r="G952" i="3"/>
  <c r="H952" i="3"/>
  <c r="I952" i="3"/>
  <c r="J952" i="3"/>
  <c r="AH952" i="3" s="1"/>
  <c r="K952" i="3"/>
  <c r="L952" i="3"/>
  <c r="M952" i="3"/>
  <c r="N952" i="3"/>
  <c r="O952" i="3"/>
  <c r="P952" i="3"/>
  <c r="Q952" i="3"/>
  <c r="R952" i="3"/>
  <c r="S952" i="3"/>
  <c r="T952" i="3"/>
  <c r="Y952" i="3"/>
  <c r="Z952" i="3"/>
  <c r="AA952" i="3"/>
  <c r="AB952" i="3"/>
  <c r="AD952" i="3"/>
  <c r="AE952" i="3"/>
  <c r="AF952" i="3"/>
  <c r="AG952" i="3"/>
  <c r="A953" i="3"/>
  <c r="C953" i="3"/>
  <c r="E953" i="3"/>
  <c r="F953" i="3"/>
  <c r="G953" i="3"/>
  <c r="H953" i="3"/>
  <c r="I953" i="3"/>
  <c r="J953" i="3"/>
  <c r="AH953" i="3" s="1"/>
  <c r="K953" i="3"/>
  <c r="L953" i="3"/>
  <c r="M953" i="3"/>
  <c r="N953" i="3"/>
  <c r="O953" i="3"/>
  <c r="P953" i="3"/>
  <c r="Q953" i="3"/>
  <c r="R953" i="3"/>
  <c r="S953" i="3"/>
  <c r="T953" i="3"/>
  <c r="Y953" i="3"/>
  <c r="Z953" i="3"/>
  <c r="AA953" i="3"/>
  <c r="AB953" i="3"/>
  <c r="AD953" i="3"/>
  <c r="AE953" i="3"/>
  <c r="AF953" i="3"/>
  <c r="AG953" i="3"/>
  <c r="A954" i="3"/>
  <c r="C954" i="3"/>
  <c r="E954" i="3"/>
  <c r="F954" i="3"/>
  <c r="G954" i="3"/>
  <c r="H954" i="3"/>
  <c r="I954" i="3"/>
  <c r="J954" i="3"/>
  <c r="AH954" i="3" s="1"/>
  <c r="K954" i="3"/>
  <c r="L954" i="3"/>
  <c r="M954" i="3"/>
  <c r="N954" i="3"/>
  <c r="O954" i="3"/>
  <c r="P954" i="3"/>
  <c r="Q954" i="3"/>
  <c r="R954" i="3"/>
  <c r="S954" i="3"/>
  <c r="T954" i="3"/>
  <c r="Y954" i="3"/>
  <c r="Z954" i="3"/>
  <c r="AA954" i="3"/>
  <c r="AB954" i="3"/>
  <c r="AD954" i="3"/>
  <c r="AE954" i="3"/>
  <c r="AF954" i="3"/>
  <c r="AG954" i="3"/>
  <c r="A955" i="3"/>
  <c r="C955" i="3"/>
  <c r="E955" i="3"/>
  <c r="F955" i="3"/>
  <c r="G955" i="3"/>
  <c r="H955" i="3"/>
  <c r="I955" i="3"/>
  <c r="J955" i="3"/>
  <c r="AH955" i="3" s="1"/>
  <c r="K955" i="3"/>
  <c r="L955" i="3"/>
  <c r="M955" i="3"/>
  <c r="N955" i="3"/>
  <c r="O955" i="3"/>
  <c r="P955" i="3"/>
  <c r="Q955" i="3"/>
  <c r="R955" i="3"/>
  <c r="S955" i="3"/>
  <c r="T955" i="3"/>
  <c r="Y955" i="3"/>
  <c r="Z955" i="3"/>
  <c r="AA955" i="3"/>
  <c r="AB955" i="3"/>
  <c r="AD955" i="3"/>
  <c r="AE955" i="3"/>
  <c r="AF955" i="3"/>
  <c r="AG955" i="3"/>
  <c r="A956" i="3"/>
  <c r="C956" i="3"/>
  <c r="E956" i="3"/>
  <c r="F956" i="3"/>
  <c r="G956" i="3"/>
  <c r="H956" i="3"/>
  <c r="I956" i="3"/>
  <c r="J956" i="3"/>
  <c r="AH956" i="3" s="1"/>
  <c r="K956" i="3"/>
  <c r="L956" i="3"/>
  <c r="M956" i="3"/>
  <c r="N956" i="3"/>
  <c r="O956" i="3"/>
  <c r="P956" i="3"/>
  <c r="Q956" i="3"/>
  <c r="R956" i="3"/>
  <c r="S956" i="3"/>
  <c r="T956" i="3"/>
  <c r="Y956" i="3"/>
  <c r="Z956" i="3"/>
  <c r="AA956" i="3"/>
  <c r="AB956" i="3"/>
  <c r="AD956" i="3"/>
  <c r="AE956" i="3"/>
  <c r="AF956" i="3"/>
  <c r="AG956" i="3"/>
  <c r="A957" i="3"/>
  <c r="C957" i="3"/>
  <c r="E957" i="3"/>
  <c r="F957" i="3"/>
  <c r="G957" i="3"/>
  <c r="H957" i="3"/>
  <c r="I957" i="3"/>
  <c r="J957" i="3"/>
  <c r="AH957" i="3" s="1"/>
  <c r="K957" i="3"/>
  <c r="L957" i="3"/>
  <c r="M957" i="3"/>
  <c r="N957" i="3"/>
  <c r="O957" i="3"/>
  <c r="P957" i="3"/>
  <c r="Q957" i="3"/>
  <c r="R957" i="3"/>
  <c r="S957" i="3"/>
  <c r="T957" i="3"/>
  <c r="Y957" i="3"/>
  <c r="Z957" i="3"/>
  <c r="AA957" i="3"/>
  <c r="AB957" i="3"/>
  <c r="AD957" i="3"/>
  <c r="AE957" i="3"/>
  <c r="AF957" i="3"/>
  <c r="AG957" i="3"/>
  <c r="A958" i="3"/>
  <c r="C958" i="3"/>
  <c r="E958" i="3"/>
  <c r="F958" i="3"/>
  <c r="G958" i="3"/>
  <c r="H958" i="3"/>
  <c r="I958" i="3"/>
  <c r="J958" i="3"/>
  <c r="AH958" i="3" s="1"/>
  <c r="K958" i="3"/>
  <c r="L958" i="3"/>
  <c r="M958" i="3"/>
  <c r="N958" i="3"/>
  <c r="O958" i="3"/>
  <c r="P958" i="3"/>
  <c r="Q958" i="3"/>
  <c r="R958" i="3"/>
  <c r="S958" i="3"/>
  <c r="T958" i="3"/>
  <c r="Y958" i="3"/>
  <c r="Z958" i="3"/>
  <c r="AA958" i="3"/>
  <c r="AB958" i="3"/>
  <c r="AD958" i="3"/>
  <c r="AE958" i="3"/>
  <c r="AF958" i="3"/>
  <c r="AG958" i="3"/>
  <c r="A959" i="3"/>
  <c r="C959" i="3"/>
  <c r="E959" i="3"/>
  <c r="F959" i="3"/>
  <c r="G959" i="3"/>
  <c r="H959" i="3"/>
  <c r="I959" i="3"/>
  <c r="J959" i="3"/>
  <c r="AH959" i="3" s="1"/>
  <c r="K959" i="3"/>
  <c r="L959" i="3"/>
  <c r="M959" i="3"/>
  <c r="N959" i="3"/>
  <c r="O959" i="3"/>
  <c r="P959" i="3"/>
  <c r="Q959" i="3"/>
  <c r="R959" i="3"/>
  <c r="S959" i="3"/>
  <c r="T959" i="3"/>
  <c r="Y959" i="3"/>
  <c r="Z959" i="3"/>
  <c r="AA959" i="3"/>
  <c r="AB959" i="3"/>
  <c r="AD959" i="3"/>
  <c r="AE959" i="3"/>
  <c r="AF959" i="3"/>
  <c r="AG959" i="3"/>
  <c r="A960" i="3"/>
  <c r="C960" i="3"/>
  <c r="E960" i="3"/>
  <c r="F960" i="3"/>
  <c r="G960" i="3"/>
  <c r="H960" i="3"/>
  <c r="I960" i="3"/>
  <c r="J960" i="3"/>
  <c r="AH960" i="3" s="1"/>
  <c r="K960" i="3"/>
  <c r="L960" i="3"/>
  <c r="M960" i="3"/>
  <c r="N960" i="3"/>
  <c r="O960" i="3"/>
  <c r="P960" i="3"/>
  <c r="Q960" i="3"/>
  <c r="R960" i="3"/>
  <c r="S960" i="3"/>
  <c r="T960" i="3"/>
  <c r="Y960" i="3"/>
  <c r="Z960" i="3"/>
  <c r="AA960" i="3"/>
  <c r="AB960" i="3"/>
  <c r="AD960" i="3"/>
  <c r="AE960" i="3"/>
  <c r="AF960" i="3"/>
  <c r="AG960" i="3"/>
  <c r="A961" i="3"/>
  <c r="C961" i="3"/>
  <c r="E961" i="3"/>
  <c r="F961" i="3"/>
  <c r="G961" i="3"/>
  <c r="H961" i="3"/>
  <c r="I961" i="3"/>
  <c r="J961" i="3"/>
  <c r="AH961" i="3" s="1"/>
  <c r="K961" i="3"/>
  <c r="L961" i="3"/>
  <c r="M961" i="3"/>
  <c r="N961" i="3"/>
  <c r="O961" i="3"/>
  <c r="P961" i="3"/>
  <c r="Q961" i="3"/>
  <c r="R961" i="3"/>
  <c r="S961" i="3"/>
  <c r="T961" i="3"/>
  <c r="Y961" i="3"/>
  <c r="Z961" i="3"/>
  <c r="AA961" i="3"/>
  <c r="AB961" i="3"/>
  <c r="AD961" i="3"/>
  <c r="AE961" i="3"/>
  <c r="AF961" i="3"/>
  <c r="AG961" i="3"/>
  <c r="A962" i="3"/>
  <c r="C962" i="3"/>
  <c r="E962" i="3"/>
  <c r="F962" i="3"/>
  <c r="G962" i="3"/>
  <c r="H962" i="3"/>
  <c r="I962" i="3"/>
  <c r="J962" i="3"/>
  <c r="AH962" i="3" s="1"/>
  <c r="K962" i="3"/>
  <c r="L962" i="3"/>
  <c r="M962" i="3"/>
  <c r="N962" i="3"/>
  <c r="O962" i="3"/>
  <c r="P962" i="3"/>
  <c r="Q962" i="3"/>
  <c r="R962" i="3"/>
  <c r="S962" i="3"/>
  <c r="T962" i="3"/>
  <c r="Y962" i="3"/>
  <c r="Z962" i="3"/>
  <c r="AA962" i="3"/>
  <c r="AB962" i="3"/>
  <c r="AD962" i="3"/>
  <c r="AE962" i="3"/>
  <c r="AF962" i="3"/>
  <c r="AG962" i="3"/>
  <c r="A963" i="3"/>
  <c r="C963" i="3"/>
  <c r="E963" i="3"/>
  <c r="F963" i="3"/>
  <c r="G963" i="3"/>
  <c r="H963" i="3"/>
  <c r="I963" i="3"/>
  <c r="J963" i="3"/>
  <c r="AH963" i="3" s="1"/>
  <c r="K963" i="3"/>
  <c r="L963" i="3"/>
  <c r="M963" i="3"/>
  <c r="N963" i="3"/>
  <c r="O963" i="3"/>
  <c r="P963" i="3"/>
  <c r="Q963" i="3"/>
  <c r="R963" i="3"/>
  <c r="S963" i="3"/>
  <c r="T963" i="3"/>
  <c r="Y963" i="3"/>
  <c r="Z963" i="3"/>
  <c r="AA963" i="3"/>
  <c r="AB963" i="3"/>
  <c r="AD963" i="3"/>
  <c r="AE963" i="3"/>
  <c r="AF963" i="3"/>
  <c r="AG963" i="3"/>
  <c r="A964" i="3"/>
  <c r="C964" i="3"/>
  <c r="E964" i="3"/>
  <c r="F964" i="3"/>
  <c r="G964" i="3"/>
  <c r="H964" i="3"/>
  <c r="I964" i="3"/>
  <c r="J964" i="3"/>
  <c r="AH964" i="3" s="1"/>
  <c r="K964" i="3"/>
  <c r="L964" i="3"/>
  <c r="M964" i="3"/>
  <c r="N964" i="3"/>
  <c r="O964" i="3"/>
  <c r="P964" i="3"/>
  <c r="Q964" i="3"/>
  <c r="R964" i="3"/>
  <c r="S964" i="3"/>
  <c r="T964" i="3"/>
  <c r="Y964" i="3"/>
  <c r="Z964" i="3"/>
  <c r="AA964" i="3"/>
  <c r="AB964" i="3"/>
  <c r="AD964" i="3"/>
  <c r="AE964" i="3"/>
  <c r="AF964" i="3"/>
  <c r="AG964" i="3"/>
  <c r="A965" i="3"/>
  <c r="C965" i="3"/>
  <c r="E965" i="3"/>
  <c r="F965" i="3"/>
  <c r="G965" i="3"/>
  <c r="H965" i="3"/>
  <c r="I965" i="3"/>
  <c r="J965" i="3"/>
  <c r="AH965" i="3" s="1"/>
  <c r="K965" i="3"/>
  <c r="L965" i="3"/>
  <c r="M965" i="3"/>
  <c r="N965" i="3"/>
  <c r="O965" i="3"/>
  <c r="P965" i="3"/>
  <c r="Q965" i="3"/>
  <c r="R965" i="3"/>
  <c r="S965" i="3"/>
  <c r="T965" i="3"/>
  <c r="Y965" i="3"/>
  <c r="Z965" i="3"/>
  <c r="AA965" i="3"/>
  <c r="AB965" i="3"/>
  <c r="AD965" i="3"/>
  <c r="AE965" i="3"/>
  <c r="AF965" i="3"/>
  <c r="AG965" i="3"/>
  <c r="A966" i="3"/>
  <c r="C966" i="3"/>
  <c r="E966" i="3"/>
  <c r="F966" i="3"/>
  <c r="G966" i="3"/>
  <c r="H966" i="3"/>
  <c r="I966" i="3"/>
  <c r="J966" i="3"/>
  <c r="AH966" i="3" s="1"/>
  <c r="K966" i="3"/>
  <c r="L966" i="3"/>
  <c r="M966" i="3"/>
  <c r="N966" i="3"/>
  <c r="O966" i="3"/>
  <c r="P966" i="3"/>
  <c r="Q966" i="3"/>
  <c r="R966" i="3"/>
  <c r="S966" i="3"/>
  <c r="T966" i="3"/>
  <c r="Y966" i="3"/>
  <c r="Z966" i="3"/>
  <c r="AA966" i="3"/>
  <c r="AB966" i="3"/>
  <c r="AD966" i="3"/>
  <c r="AE966" i="3"/>
  <c r="AF966" i="3"/>
  <c r="AG966" i="3"/>
  <c r="A967" i="3"/>
  <c r="C967" i="3"/>
  <c r="E967" i="3"/>
  <c r="F967" i="3"/>
  <c r="G967" i="3"/>
  <c r="H967" i="3"/>
  <c r="I967" i="3"/>
  <c r="J967" i="3"/>
  <c r="K967" i="3"/>
  <c r="L967" i="3"/>
  <c r="M967" i="3"/>
  <c r="N967" i="3"/>
  <c r="O967" i="3"/>
  <c r="P967" i="3"/>
  <c r="Q967" i="3"/>
  <c r="R967" i="3"/>
  <c r="S967" i="3"/>
  <c r="T967" i="3"/>
  <c r="Y967" i="3"/>
  <c r="Z967" i="3"/>
  <c r="AA967" i="3"/>
  <c r="AB967" i="3"/>
  <c r="AD967" i="3"/>
  <c r="AE967" i="3"/>
  <c r="AF967" i="3"/>
  <c r="AG967" i="3"/>
  <c r="AH967" i="3"/>
  <c r="A968" i="3"/>
  <c r="C968" i="3"/>
  <c r="E968" i="3"/>
  <c r="F968" i="3"/>
  <c r="G968" i="3"/>
  <c r="H968" i="3"/>
  <c r="I968" i="3"/>
  <c r="J968" i="3"/>
  <c r="AH968" i="3" s="1"/>
  <c r="K968" i="3"/>
  <c r="L968" i="3"/>
  <c r="M968" i="3"/>
  <c r="N968" i="3"/>
  <c r="O968" i="3"/>
  <c r="P968" i="3"/>
  <c r="Q968" i="3"/>
  <c r="R968" i="3"/>
  <c r="S968" i="3"/>
  <c r="T968" i="3"/>
  <c r="Y968" i="3"/>
  <c r="Z968" i="3"/>
  <c r="AA968" i="3"/>
  <c r="AB968" i="3"/>
  <c r="AD968" i="3"/>
  <c r="AE968" i="3"/>
  <c r="AF968" i="3"/>
  <c r="AG968" i="3"/>
  <c r="A969" i="3"/>
  <c r="C969" i="3"/>
  <c r="E969" i="3"/>
  <c r="F969" i="3"/>
  <c r="G969" i="3"/>
  <c r="H969" i="3"/>
  <c r="I969" i="3"/>
  <c r="J969" i="3"/>
  <c r="AH969" i="3" s="1"/>
  <c r="K969" i="3"/>
  <c r="L969" i="3"/>
  <c r="M969" i="3"/>
  <c r="N969" i="3"/>
  <c r="O969" i="3"/>
  <c r="P969" i="3"/>
  <c r="Q969" i="3"/>
  <c r="R969" i="3"/>
  <c r="S969" i="3"/>
  <c r="T969" i="3"/>
  <c r="Y969" i="3"/>
  <c r="Z969" i="3"/>
  <c r="AA969" i="3"/>
  <c r="AB969" i="3"/>
  <c r="AD969" i="3"/>
  <c r="AE969" i="3"/>
  <c r="AF969" i="3"/>
  <c r="AG969" i="3"/>
  <c r="A970" i="3"/>
  <c r="C970" i="3"/>
  <c r="E970" i="3"/>
  <c r="F970" i="3"/>
  <c r="G970" i="3"/>
  <c r="H970" i="3"/>
  <c r="I970" i="3"/>
  <c r="J970" i="3"/>
  <c r="AH970" i="3" s="1"/>
  <c r="K970" i="3"/>
  <c r="L970" i="3"/>
  <c r="M970" i="3"/>
  <c r="N970" i="3"/>
  <c r="O970" i="3"/>
  <c r="P970" i="3"/>
  <c r="Q970" i="3"/>
  <c r="R970" i="3"/>
  <c r="S970" i="3"/>
  <c r="T970" i="3"/>
  <c r="Y970" i="3"/>
  <c r="Z970" i="3"/>
  <c r="AA970" i="3"/>
  <c r="AB970" i="3"/>
  <c r="AD970" i="3"/>
  <c r="AE970" i="3"/>
  <c r="AF970" i="3"/>
  <c r="AG970" i="3"/>
  <c r="A971" i="3"/>
  <c r="C971" i="3"/>
  <c r="E971" i="3"/>
  <c r="F971" i="3"/>
  <c r="G971" i="3"/>
  <c r="H971" i="3"/>
  <c r="I971" i="3"/>
  <c r="J971" i="3"/>
  <c r="AH971" i="3" s="1"/>
  <c r="K971" i="3"/>
  <c r="L971" i="3"/>
  <c r="M971" i="3"/>
  <c r="N971" i="3"/>
  <c r="O971" i="3"/>
  <c r="P971" i="3"/>
  <c r="Q971" i="3"/>
  <c r="R971" i="3"/>
  <c r="S971" i="3"/>
  <c r="T971" i="3"/>
  <c r="Y971" i="3"/>
  <c r="Z971" i="3"/>
  <c r="AA971" i="3"/>
  <c r="AB971" i="3"/>
  <c r="AD971" i="3"/>
  <c r="AE971" i="3"/>
  <c r="AF971" i="3"/>
  <c r="AG971" i="3"/>
  <c r="A972" i="3"/>
  <c r="C972" i="3"/>
  <c r="E972" i="3"/>
  <c r="F972" i="3"/>
  <c r="G972" i="3"/>
  <c r="H972" i="3"/>
  <c r="I972" i="3"/>
  <c r="J972" i="3"/>
  <c r="AH972" i="3" s="1"/>
  <c r="K972" i="3"/>
  <c r="L972" i="3"/>
  <c r="M972" i="3"/>
  <c r="N972" i="3"/>
  <c r="O972" i="3"/>
  <c r="P972" i="3"/>
  <c r="Q972" i="3"/>
  <c r="R972" i="3"/>
  <c r="S972" i="3"/>
  <c r="T972" i="3"/>
  <c r="Y972" i="3"/>
  <c r="Z972" i="3"/>
  <c r="AA972" i="3"/>
  <c r="AB972" i="3"/>
  <c r="AD972" i="3"/>
  <c r="AE972" i="3"/>
  <c r="AG972" i="3"/>
  <c r="A973" i="3"/>
  <c r="C973" i="3"/>
  <c r="E973" i="3"/>
  <c r="F973" i="3"/>
  <c r="G973" i="3"/>
  <c r="H973" i="3"/>
  <c r="I973" i="3"/>
  <c r="J973" i="3"/>
  <c r="AH973" i="3" s="1"/>
  <c r="K973" i="3"/>
  <c r="L973" i="3"/>
  <c r="M973" i="3"/>
  <c r="N973" i="3"/>
  <c r="O973" i="3"/>
  <c r="P973" i="3"/>
  <c r="Q973" i="3"/>
  <c r="R973" i="3"/>
  <c r="S973" i="3"/>
  <c r="T973" i="3"/>
  <c r="Y973" i="3"/>
  <c r="Z973" i="3"/>
  <c r="AA973" i="3"/>
  <c r="AB973" i="3"/>
  <c r="AD973" i="3"/>
  <c r="AE973" i="3"/>
  <c r="AG973" i="3"/>
  <c r="A974" i="3"/>
  <c r="C974" i="3"/>
  <c r="E974" i="3"/>
  <c r="F974" i="3"/>
  <c r="G974" i="3"/>
  <c r="H974" i="3"/>
  <c r="I974" i="3"/>
  <c r="J974" i="3"/>
  <c r="AH974" i="3" s="1"/>
  <c r="K974" i="3"/>
  <c r="L974" i="3"/>
  <c r="M974" i="3"/>
  <c r="N974" i="3"/>
  <c r="O974" i="3"/>
  <c r="P974" i="3"/>
  <c r="Q974" i="3"/>
  <c r="R974" i="3"/>
  <c r="S974" i="3"/>
  <c r="T974" i="3"/>
  <c r="Y974" i="3"/>
  <c r="Z974" i="3"/>
  <c r="AA974" i="3"/>
  <c r="AB974" i="3"/>
  <c r="AD974" i="3"/>
  <c r="AE974" i="3"/>
  <c r="AG974" i="3"/>
  <c r="A975" i="3"/>
  <c r="C975" i="3"/>
  <c r="E975" i="3"/>
  <c r="F975" i="3"/>
  <c r="G975" i="3"/>
  <c r="H975" i="3"/>
  <c r="I975" i="3"/>
  <c r="J975" i="3"/>
  <c r="AH975" i="3" s="1"/>
  <c r="K975" i="3"/>
  <c r="L975" i="3"/>
  <c r="M975" i="3"/>
  <c r="N975" i="3"/>
  <c r="O975" i="3"/>
  <c r="P975" i="3"/>
  <c r="Q975" i="3"/>
  <c r="R975" i="3"/>
  <c r="S975" i="3"/>
  <c r="T975" i="3"/>
  <c r="Y975" i="3"/>
  <c r="Z975" i="3"/>
  <c r="AA975" i="3"/>
  <c r="AB975" i="3"/>
  <c r="AD975" i="3"/>
  <c r="AE975" i="3"/>
  <c r="AG975" i="3"/>
  <c r="A976" i="3"/>
  <c r="C976" i="3"/>
  <c r="E976" i="3"/>
  <c r="F976" i="3"/>
  <c r="G976" i="3"/>
  <c r="H976" i="3"/>
  <c r="I976" i="3"/>
  <c r="J976" i="3"/>
  <c r="AH976" i="3" s="1"/>
  <c r="K976" i="3"/>
  <c r="L976" i="3"/>
  <c r="M976" i="3"/>
  <c r="N976" i="3"/>
  <c r="O976" i="3"/>
  <c r="P976" i="3"/>
  <c r="Q976" i="3"/>
  <c r="R976" i="3"/>
  <c r="S976" i="3"/>
  <c r="T976" i="3"/>
  <c r="Y976" i="3"/>
  <c r="Z976" i="3"/>
  <c r="AA976" i="3"/>
  <c r="AB976" i="3"/>
  <c r="AD976" i="3"/>
  <c r="AE976" i="3"/>
  <c r="AG976" i="3"/>
  <c r="A977" i="3"/>
  <c r="C977" i="3"/>
  <c r="E977" i="3"/>
  <c r="F977" i="3"/>
  <c r="G977" i="3"/>
  <c r="H977" i="3"/>
  <c r="I977" i="3"/>
  <c r="J977" i="3"/>
  <c r="AH977" i="3" s="1"/>
  <c r="K977" i="3"/>
  <c r="L977" i="3"/>
  <c r="M977" i="3"/>
  <c r="N977" i="3"/>
  <c r="O977" i="3"/>
  <c r="P977" i="3"/>
  <c r="Q977" i="3"/>
  <c r="R977" i="3"/>
  <c r="S977" i="3"/>
  <c r="T977" i="3"/>
  <c r="Y977" i="3"/>
  <c r="Z977" i="3"/>
  <c r="AA977" i="3"/>
  <c r="AB977" i="3"/>
  <c r="AD977" i="3"/>
  <c r="AE977" i="3"/>
  <c r="AG977" i="3"/>
  <c r="A978" i="3"/>
  <c r="C978" i="3"/>
  <c r="E978" i="3"/>
  <c r="F978" i="3"/>
  <c r="G978" i="3"/>
  <c r="H978" i="3"/>
  <c r="I978" i="3"/>
  <c r="J978" i="3"/>
  <c r="AH978" i="3" s="1"/>
  <c r="K978" i="3"/>
  <c r="L978" i="3"/>
  <c r="M978" i="3"/>
  <c r="N978" i="3"/>
  <c r="O978" i="3"/>
  <c r="P978" i="3"/>
  <c r="Q978" i="3"/>
  <c r="R978" i="3"/>
  <c r="S978" i="3"/>
  <c r="T978" i="3"/>
  <c r="Y978" i="3"/>
  <c r="Z978" i="3"/>
  <c r="AA978" i="3"/>
  <c r="AB978" i="3"/>
  <c r="AD978" i="3"/>
  <c r="AE978" i="3"/>
  <c r="AG978" i="3"/>
  <c r="A979" i="3"/>
  <c r="C979" i="3"/>
  <c r="E979" i="3"/>
  <c r="F979" i="3"/>
  <c r="G979" i="3"/>
  <c r="H979" i="3"/>
  <c r="I979" i="3"/>
  <c r="J979" i="3"/>
  <c r="K979" i="3"/>
  <c r="L979" i="3"/>
  <c r="M979" i="3"/>
  <c r="N979" i="3"/>
  <c r="O979" i="3"/>
  <c r="P979" i="3"/>
  <c r="Q979" i="3"/>
  <c r="R979" i="3"/>
  <c r="S979" i="3"/>
  <c r="T979" i="3"/>
  <c r="Y979" i="3"/>
  <c r="Z979" i="3"/>
  <c r="AA979" i="3"/>
  <c r="AB979" i="3"/>
  <c r="AD979" i="3"/>
  <c r="AE979" i="3"/>
  <c r="AG979" i="3"/>
  <c r="AH979" i="3"/>
  <c r="A980" i="3"/>
  <c r="C980" i="3"/>
  <c r="E980" i="3"/>
  <c r="F980" i="3"/>
  <c r="G980" i="3"/>
  <c r="H980" i="3"/>
  <c r="I980" i="3"/>
  <c r="J980" i="3"/>
  <c r="AH980" i="3" s="1"/>
  <c r="K980" i="3"/>
  <c r="L980" i="3"/>
  <c r="M980" i="3"/>
  <c r="N980" i="3"/>
  <c r="O980" i="3"/>
  <c r="P980" i="3"/>
  <c r="Q980" i="3"/>
  <c r="R980" i="3"/>
  <c r="S980" i="3"/>
  <c r="T980" i="3"/>
  <c r="Y980" i="3"/>
  <c r="Z980" i="3"/>
  <c r="AA980" i="3"/>
  <c r="AB980" i="3"/>
  <c r="AD980" i="3"/>
  <c r="AE980" i="3"/>
  <c r="AG980" i="3"/>
  <c r="A981" i="3"/>
  <c r="C981" i="3"/>
  <c r="E981" i="3"/>
  <c r="F981" i="3"/>
  <c r="G981" i="3"/>
  <c r="H981" i="3"/>
  <c r="I981" i="3"/>
  <c r="J981" i="3"/>
  <c r="AH981" i="3" s="1"/>
  <c r="K981" i="3"/>
  <c r="L981" i="3"/>
  <c r="M981" i="3"/>
  <c r="N981" i="3"/>
  <c r="O981" i="3"/>
  <c r="P981" i="3"/>
  <c r="Q981" i="3"/>
  <c r="R981" i="3"/>
  <c r="S981" i="3"/>
  <c r="T981" i="3"/>
  <c r="Y981" i="3"/>
  <c r="Z981" i="3"/>
  <c r="AA981" i="3"/>
  <c r="AB981" i="3"/>
  <c r="AD981" i="3"/>
  <c r="AE981" i="3"/>
  <c r="AG981" i="3"/>
  <c r="A982" i="3"/>
  <c r="C982" i="3"/>
  <c r="E982" i="3"/>
  <c r="F982" i="3"/>
  <c r="G982" i="3"/>
  <c r="H982" i="3"/>
  <c r="I982" i="3"/>
  <c r="J982" i="3"/>
  <c r="K982" i="3"/>
  <c r="L982" i="3"/>
  <c r="M982" i="3"/>
  <c r="N982" i="3"/>
  <c r="O982" i="3"/>
  <c r="P982" i="3"/>
  <c r="Q982" i="3"/>
  <c r="R982" i="3"/>
  <c r="S982" i="3"/>
  <c r="T982" i="3"/>
  <c r="Y982" i="3"/>
  <c r="Z982" i="3"/>
  <c r="AA982" i="3"/>
  <c r="AB982" i="3"/>
  <c r="AD982" i="3"/>
  <c r="AE982" i="3"/>
  <c r="AG982" i="3"/>
  <c r="AH982" i="3"/>
  <c r="A983" i="3"/>
  <c r="C983" i="3"/>
  <c r="E983" i="3"/>
  <c r="F983" i="3"/>
  <c r="G983" i="3"/>
  <c r="H983" i="3"/>
  <c r="I983" i="3"/>
  <c r="J983" i="3"/>
  <c r="AH983" i="3" s="1"/>
  <c r="K983" i="3"/>
  <c r="L983" i="3"/>
  <c r="M983" i="3"/>
  <c r="N983" i="3"/>
  <c r="O983" i="3"/>
  <c r="P983" i="3"/>
  <c r="Q983" i="3"/>
  <c r="R983" i="3"/>
  <c r="S983" i="3"/>
  <c r="T983" i="3"/>
  <c r="Y983" i="3"/>
  <c r="Z983" i="3"/>
  <c r="AA983" i="3"/>
  <c r="AB983" i="3"/>
  <c r="AD983" i="3"/>
  <c r="AE983" i="3"/>
  <c r="AG983" i="3"/>
  <c r="A984" i="3"/>
  <c r="C984" i="3"/>
  <c r="E984" i="3"/>
  <c r="F984" i="3"/>
  <c r="G984" i="3"/>
  <c r="H984" i="3"/>
  <c r="I984" i="3"/>
  <c r="J984" i="3"/>
  <c r="AH984" i="3" s="1"/>
  <c r="K984" i="3"/>
  <c r="L984" i="3"/>
  <c r="M984" i="3"/>
  <c r="N984" i="3"/>
  <c r="O984" i="3"/>
  <c r="P984" i="3"/>
  <c r="Q984" i="3"/>
  <c r="R984" i="3"/>
  <c r="S984" i="3"/>
  <c r="T984" i="3"/>
  <c r="Y984" i="3"/>
  <c r="Z984" i="3"/>
  <c r="AA984" i="3"/>
  <c r="AB984" i="3"/>
  <c r="AD984" i="3"/>
  <c r="AE984" i="3"/>
  <c r="AG984" i="3"/>
  <c r="A985" i="3"/>
  <c r="C985" i="3"/>
  <c r="E985" i="3"/>
  <c r="F985" i="3"/>
  <c r="G985" i="3"/>
  <c r="H985" i="3"/>
  <c r="I985" i="3"/>
  <c r="J985" i="3"/>
  <c r="K985" i="3"/>
  <c r="L985" i="3"/>
  <c r="M985" i="3"/>
  <c r="N985" i="3"/>
  <c r="O985" i="3"/>
  <c r="P985" i="3"/>
  <c r="Q985" i="3"/>
  <c r="R985" i="3"/>
  <c r="S985" i="3"/>
  <c r="T985" i="3"/>
  <c r="Y985" i="3"/>
  <c r="Z985" i="3"/>
  <c r="AA985" i="3"/>
  <c r="AB985" i="3"/>
  <c r="AD985" i="3"/>
  <c r="AE985" i="3"/>
  <c r="AG985" i="3"/>
  <c r="AH985" i="3"/>
  <c r="A986" i="3"/>
  <c r="C986" i="3"/>
  <c r="E986" i="3"/>
  <c r="F986" i="3"/>
  <c r="G986" i="3"/>
  <c r="H986" i="3"/>
  <c r="I986" i="3"/>
  <c r="J986" i="3"/>
  <c r="AH986" i="3" s="1"/>
  <c r="K986" i="3"/>
  <c r="L986" i="3"/>
  <c r="M986" i="3"/>
  <c r="N986" i="3"/>
  <c r="O986" i="3"/>
  <c r="P986" i="3"/>
  <c r="Q986" i="3"/>
  <c r="R986" i="3"/>
  <c r="S986" i="3"/>
  <c r="T986" i="3"/>
  <c r="Y986" i="3"/>
  <c r="Z986" i="3"/>
  <c r="AA986" i="3"/>
  <c r="AB986" i="3"/>
  <c r="AD986" i="3"/>
  <c r="AE986" i="3"/>
  <c r="AG986" i="3"/>
  <c r="A987" i="3"/>
  <c r="C987" i="3"/>
  <c r="E987" i="3"/>
  <c r="F987" i="3"/>
  <c r="G987" i="3"/>
  <c r="H987" i="3"/>
  <c r="I987" i="3"/>
  <c r="J987" i="3"/>
  <c r="AH987" i="3" s="1"/>
  <c r="K987" i="3"/>
  <c r="L987" i="3"/>
  <c r="M987" i="3"/>
  <c r="N987" i="3"/>
  <c r="O987" i="3"/>
  <c r="P987" i="3"/>
  <c r="Q987" i="3"/>
  <c r="R987" i="3"/>
  <c r="S987" i="3"/>
  <c r="T987" i="3"/>
  <c r="Y987" i="3"/>
  <c r="Z987" i="3"/>
  <c r="AA987" i="3"/>
  <c r="AB987" i="3"/>
  <c r="AD987" i="3"/>
  <c r="AE987" i="3"/>
  <c r="AG987" i="3"/>
  <c r="A988" i="3"/>
  <c r="C988" i="3"/>
  <c r="E988" i="3"/>
  <c r="F988" i="3"/>
  <c r="G988" i="3"/>
  <c r="H988" i="3"/>
  <c r="I988" i="3"/>
  <c r="J988" i="3"/>
  <c r="K988" i="3"/>
  <c r="L988" i="3"/>
  <c r="M988" i="3"/>
  <c r="N988" i="3"/>
  <c r="O988" i="3"/>
  <c r="P988" i="3"/>
  <c r="Q988" i="3"/>
  <c r="R988" i="3"/>
  <c r="S988" i="3"/>
  <c r="T988" i="3"/>
  <c r="Y988" i="3"/>
  <c r="Z988" i="3"/>
  <c r="AA988" i="3"/>
  <c r="AB988" i="3"/>
  <c r="AD988" i="3"/>
  <c r="AE988" i="3"/>
  <c r="AG988" i="3"/>
  <c r="AH988" i="3"/>
  <c r="A989" i="3"/>
  <c r="C989" i="3"/>
  <c r="E989" i="3"/>
  <c r="F989" i="3"/>
  <c r="G989" i="3"/>
  <c r="H989" i="3"/>
  <c r="I989" i="3"/>
  <c r="J989" i="3"/>
  <c r="AH989" i="3" s="1"/>
  <c r="K989" i="3"/>
  <c r="L989" i="3"/>
  <c r="M989" i="3"/>
  <c r="N989" i="3"/>
  <c r="O989" i="3"/>
  <c r="P989" i="3"/>
  <c r="Q989" i="3"/>
  <c r="R989" i="3"/>
  <c r="S989" i="3"/>
  <c r="T989" i="3"/>
  <c r="Y989" i="3"/>
  <c r="Z989" i="3"/>
  <c r="AA989" i="3"/>
  <c r="AB989" i="3"/>
  <c r="AD989" i="3"/>
  <c r="AE989" i="3"/>
  <c r="AG989" i="3"/>
  <c r="A990" i="3"/>
  <c r="C990" i="3"/>
  <c r="E990" i="3"/>
  <c r="F990" i="3"/>
  <c r="G990" i="3"/>
  <c r="H990" i="3"/>
  <c r="I990" i="3"/>
  <c r="J990" i="3"/>
  <c r="AH990" i="3" s="1"/>
  <c r="K990" i="3"/>
  <c r="L990" i="3"/>
  <c r="M990" i="3"/>
  <c r="N990" i="3"/>
  <c r="O990" i="3"/>
  <c r="P990" i="3"/>
  <c r="Q990" i="3"/>
  <c r="R990" i="3"/>
  <c r="S990" i="3"/>
  <c r="T990" i="3"/>
  <c r="Y990" i="3"/>
  <c r="Z990" i="3"/>
  <c r="AA990" i="3"/>
  <c r="AB990" i="3"/>
  <c r="AD990" i="3"/>
  <c r="AE990" i="3"/>
  <c r="AG990" i="3"/>
  <c r="AG991" i="3"/>
  <c r="AH991" i="3"/>
  <c r="AG992" i="3"/>
  <c r="AH992" i="3"/>
  <c r="AG993" i="3"/>
  <c r="AH993" i="3"/>
  <c r="AG994" i="3"/>
  <c r="AH994" i="3"/>
  <c r="AG995" i="3"/>
  <c r="AH995" i="3"/>
  <c r="AG996" i="3"/>
  <c r="AH996" i="3"/>
  <c r="AG997" i="3"/>
  <c r="AH997" i="3"/>
  <c r="AG998" i="3"/>
  <c r="AH998" i="3"/>
  <c r="AG999" i="3"/>
  <c r="AH999" i="3"/>
  <c r="AG1000" i="3"/>
  <c r="AH1000" i="3"/>
  <c r="AG1001" i="3"/>
  <c r="AH1001" i="3"/>
  <c r="AG1002" i="3"/>
  <c r="AH1002" i="3"/>
  <c r="AG1003" i="3"/>
  <c r="AH1003" i="3"/>
  <c r="AG1004" i="3"/>
  <c r="AH1004" i="3"/>
  <c r="AG1005" i="3"/>
  <c r="AH1005" i="3"/>
  <c r="AG1006" i="3"/>
  <c r="AH1006" i="3"/>
  <c r="AG1007" i="3"/>
  <c r="AH1007" i="3"/>
  <c r="AG1008" i="3"/>
  <c r="AH1008" i="3"/>
  <c r="AG1009" i="3"/>
  <c r="AH1009" i="3"/>
  <c r="AG1010" i="3"/>
  <c r="AH1010" i="3"/>
  <c r="AG1011" i="3"/>
  <c r="AH1011" i="3"/>
  <c r="AG1012" i="3"/>
  <c r="AH1012" i="3"/>
  <c r="AG1013" i="3"/>
  <c r="AH1013" i="3"/>
  <c r="AG1014" i="3"/>
  <c r="AH1014" i="3"/>
  <c r="AG1015" i="3"/>
  <c r="AH1015" i="3"/>
  <c r="AG1016" i="3"/>
  <c r="AH1016" i="3"/>
  <c r="AG1017" i="3"/>
  <c r="AH1017" i="3"/>
  <c r="AG1018" i="3"/>
  <c r="AH1018" i="3"/>
  <c r="AG1019" i="3"/>
  <c r="AH1019" i="3"/>
  <c r="AG1020" i="3"/>
  <c r="AH1020" i="3"/>
  <c r="AG1021" i="3"/>
  <c r="AH1021" i="3"/>
  <c r="AG1022" i="3"/>
  <c r="AH1022" i="3"/>
  <c r="AG1023" i="3"/>
  <c r="AH1023" i="3"/>
  <c r="AG1024" i="3"/>
  <c r="AH1024" i="3"/>
  <c r="AG1025" i="3"/>
  <c r="AH1025" i="3"/>
  <c r="AG1026" i="3"/>
  <c r="AH1026" i="3"/>
  <c r="AG1027" i="3"/>
  <c r="AH1027" i="3"/>
  <c r="AG1028" i="3"/>
  <c r="AH1028" i="3"/>
  <c r="AG1029" i="3"/>
  <c r="AH1029" i="3"/>
  <c r="AG1030" i="3"/>
  <c r="AH1030" i="3"/>
  <c r="AG1031" i="3"/>
  <c r="AH1031" i="3"/>
  <c r="AG1032" i="3"/>
  <c r="AH1032" i="3"/>
  <c r="AG1033" i="3"/>
  <c r="AH1033" i="3"/>
  <c r="AG1034" i="3"/>
  <c r="AH1034" i="3"/>
  <c r="AG1035" i="3"/>
  <c r="AH1035" i="3"/>
  <c r="AG1036" i="3"/>
  <c r="AH1036" i="3"/>
  <c r="AG1037" i="3"/>
  <c r="AH1037" i="3"/>
  <c r="AG1038" i="3"/>
  <c r="AH1038" i="3"/>
  <c r="AG1039" i="3"/>
  <c r="AH1039" i="3"/>
  <c r="AG1040" i="3"/>
  <c r="AH1040" i="3"/>
  <c r="AG1041" i="3"/>
  <c r="AH1041" i="3"/>
  <c r="AG1042" i="3"/>
  <c r="AH1042" i="3"/>
  <c r="AG1043" i="3"/>
  <c r="AH1043" i="3"/>
  <c r="AG1044" i="3"/>
  <c r="AH1044" i="3"/>
  <c r="AG1045" i="3"/>
  <c r="AH1045" i="3"/>
  <c r="AG1046" i="3"/>
  <c r="AH1046" i="3"/>
  <c r="AG1047" i="3"/>
  <c r="AH1047" i="3"/>
  <c r="AG1048" i="3"/>
  <c r="AH1048" i="3"/>
  <c r="AG1049" i="3"/>
  <c r="AH1049" i="3"/>
  <c r="AG1050" i="3"/>
  <c r="AH1050" i="3"/>
  <c r="AG1051" i="3"/>
  <c r="AH1051" i="3"/>
  <c r="AG1052" i="3"/>
  <c r="AH1052" i="3"/>
  <c r="AG1053" i="3"/>
  <c r="AH1053" i="3"/>
  <c r="AG1054" i="3"/>
  <c r="AH1054" i="3"/>
  <c r="AG1055" i="3"/>
  <c r="AH1055" i="3"/>
  <c r="AG1056" i="3"/>
  <c r="AH1056" i="3"/>
  <c r="AG1057" i="3"/>
  <c r="AH1057" i="3"/>
  <c r="AG1058" i="3"/>
  <c r="AH1058" i="3"/>
  <c r="AG1059" i="3"/>
  <c r="AH1059" i="3"/>
  <c r="AG1060" i="3"/>
  <c r="AH1060" i="3"/>
  <c r="AG1061" i="3"/>
  <c r="AH1061" i="3"/>
  <c r="AG1062" i="3"/>
  <c r="AH1062" i="3"/>
  <c r="AG1063" i="3"/>
  <c r="AH1063" i="3"/>
  <c r="AG1064" i="3"/>
  <c r="AH1064" i="3"/>
  <c r="AG1065" i="3"/>
  <c r="AH1065" i="3"/>
  <c r="AG1066" i="3"/>
  <c r="AH1066" i="3"/>
  <c r="AG1067" i="3"/>
  <c r="AH1067" i="3"/>
  <c r="AG1068" i="3"/>
  <c r="AH1068" i="3"/>
  <c r="AG1069" i="3"/>
  <c r="AH1069" i="3"/>
  <c r="AG1070" i="3"/>
  <c r="AH1070" i="3"/>
  <c r="AG1071" i="3"/>
  <c r="AH1071" i="3"/>
  <c r="AG1072" i="3"/>
  <c r="AH1072" i="3"/>
  <c r="AG1073" i="3"/>
  <c r="AH1073" i="3"/>
  <c r="AG1074" i="3"/>
  <c r="AH1074" i="3"/>
  <c r="AG1075" i="3"/>
  <c r="AH1075" i="3"/>
  <c r="AG1076" i="3"/>
  <c r="AH1076" i="3"/>
  <c r="AG1077" i="3"/>
  <c r="AH1077" i="3"/>
  <c r="AG1078" i="3"/>
  <c r="AH1078" i="3"/>
  <c r="AG1079" i="3"/>
  <c r="AH1079" i="3"/>
  <c r="AG1080" i="3"/>
  <c r="AH1080" i="3"/>
  <c r="AG1081" i="3"/>
  <c r="AH1081" i="3"/>
  <c r="AG1082" i="3"/>
  <c r="AH1082" i="3"/>
  <c r="AG1083" i="3"/>
  <c r="AH1083" i="3"/>
  <c r="AG1084" i="3"/>
  <c r="AH1084" i="3"/>
  <c r="AG1085" i="3"/>
  <c r="AH1085" i="3"/>
  <c r="AG1086" i="3"/>
  <c r="AH1086" i="3"/>
  <c r="AG1087" i="3"/>
  <c r="AH1087" i="3"/>
  <c r="AG1088" i="3"/>
  <c r="AH1088" i="3"/>
  <c r="AG1089" i="3"/>
  <c r="AH1089" i="3"/>
  <c r="AG1090" i="3"/>
  <c r="AH1090" i="3"/>
  <c r="AG1091" i="3"/>
  <c r="AH1091" i="3"/>
  <c r="AG1092" i="3"/>
  <c r="AH1092" i="3"/>
  <c r="AG1093" i="3"/>
  <c r="AH1093" i="3"/>
  <c r="AG1094" i="3"/>
  <c r="AH1094" i="3"/>
  <c r="AG1095" i="3"/>
  <c r="AH1095" i="3"/>
  <c r="AG1096" i="3"/>
  <c r="AH1096" i="3"/>
  <c r="AG1097" i="3"/>
  <c r="AH1097" i="3"/>
  <c r="AG1098" i="3"/>
  <c r="AH1098" i="3"/>
  <c r="AG1099" i="3"/>
  <c r="AH1099" i="3"/>
  <c r="AG1100" i="3"/>
  <c r="AH1100" i="3"/>
  <c r="AG1101" i="3"/>
  <c r="AH1101" i="3"/>
  <c r="AG1102" i="3"/>
  <c r="AH1102" i="3"/>
  <c r="AG1103" i="3"/>
  <c r="AH1103" i="3"/>
  <c r="AG1104" i="3"/>
  <c r="AH1104" i="3"/>
  <c r="AG1105" i="3"/>
  <c r="AH1105" i="3"/>
  <c r="AG1106" i="3"/>
  <c r="AH1106" i="3"/>
  <c r="AG1107" i="3"/>
  <c r="AH1107" i="3"/>
  <c r="AG1108" i="3"/>
  <c r="AH1108" i="3"/>
  <c r="AG1109" i="3"/>
  <c r="AH1109" i="3"/>
  <c r="AG1110" i="3"/>
  <c r="AH1110" i="3"/>
  <c r="AG1111" i="3"/>
  <c r="AH1111" i="3"/>
  <c r="AG1112" i="3"/>
  <c r="AH1112" i="3"/>
  <c r="AG1113" i="3"/>
  <c r="AH1113" i="3"/>
  <c r="AG1114" i="3"/>
  <c r="AH1114" i="3"/>
  <c r="AG1115" i="3"/>
  <c r="AH1115" i="3"/>
  <c r="AG1116" i="3"/>
  <c r="AH1116" i="3"/>
  <c r="AG1117" i="3"/>
  <c r="AH1117" i="3"/>
  <c r="AG1118" i="3"/>
  <c r="AH1118" i="3"/>
  <c r="AG1119" i="3"/>
  <c r="AH1119" i="3"/>
  <c r="AG1120" i="3"/>
  <c r="AH1120" i="3"/>
  <c r="AG1121" i="3"/>
  <c r="AH1121" i="3"/>
  <c r="AG1122" i="3"/>
  <c r="AH1122" i="3"/>
  <c r="AG1123" i="3"/>
  <c r="AH1123" i="3"/>
  <c r="AG1124" i="3"/>
  <c r="AH1124" i="3"/>
  <c r="AG1125" i="3"/>
  <c r="AH1125" i="3"/>
  <c r="AG1126" i="3"/>
  <c r="AH1126" i="3"/>
  <c r="AG1127" i="3"/>
  <c r="AH1127" i="3"/>
  <c r="AG1128" i="3"/>
  <c r="AH1128" i="3"/>
  <c r="AG1129" i="3"/>
  <c r="AH1129" i="3"/>
  <c r="AG1130" i="3"/>
  <c r="AH1130" i="3"/>
  <c r="AG1131" i="3"/>
  <c r="AH1131" i="3"/>
  <c r="AG1132" i="3"/>
  <c r="AH1132" i="3"/>
  <c r="AG1133" i="3"/>
  <c r="AH1133" i="3"/>
  <c r="AG1134" i="3"/>
  <c r="AH1134" i="3"/>
  <c r="AG1135" i="3"/>
  <c r="AH1135" i="3"/>
  <c r="AG1136" i="3"/>
  <c r="AH1136" i="3"/>
  <c r="AG1137" i="3"/>
  <c r="AH1137" i="3"/>
  <c r="AG1138" i="3"/>
  <c r="AH1138" i="3"/>
  <c r="AG1139" i="3"/>
  <c r="AH1139" i="3"/>
  <c r="AG1140" i="3"/>
  <c r="AH1140" i="3"/>
  <c r="AG1141" i="3"/>
  <c r="AH1141" i="3"/>
  <c r="AG1142" i="3"/>
  <c r="AH1142" i="3"/>
  <c r="AG1143" i="3"/>
  <c r="AH1143" i="3"/>
  <c r="AG1144" i="3"/>
  <c r="AH1144" i="3"/>
  <c r="AG1145" i="3"/>
  <c r="AH1145" i="3"/>
  <c r="AG1146" i="3"/>
  <c r="AH1146" i="3"/>
  <c r="AG1147" i="3"/>
  <c r="AH1147" i="3"/>
  <c r="AG1148" i="3"/>
  <c r="AH1148" i="3"/>
  <c r="AG1149" i="3"/>
  <c r="AH1149" i="3"/>
  <c r="AG1150" i="3"/>
  <c r="AH1150" i="3"/>
  <c r="AG1151" i="3"/>
  <c r="AH1151" i="3"/>
  <c r="AG1152" i="3"/>
  <c r="AH1152" i="3"/>
  <c r="AG1153" i="3"/>
  <c r="AH1153" i="3"/>
  <c r="AG1154" i="3"/>
  <c r="AH1154" i="3"/>
  <c r="AG1155" i="3"/>
  <c r="AH1155" i="3"/>
  <c r="AG1156" i="3"/>
  <c r="AH1156" i="3"/>
  <c r="AG1157" i="3"/>
  <c r="AH1157" i="3"/>
  <c r="AG1158" i="3"/>
  <c r="AH1158" i="3"/>
  <c r="AG1159" i="3"/>
  <c r="AH1159" i="3"/>
  <c r="AG1160" i="3"/>
  <c r="AH1160" i="3"/>
  <c r="AG1161" i="3"/>
  <c r="AH1161" i="3"/>
  <c r="AG1162" i="3"/>
  <c r="AH1162" i="3"/>
  <c r="AG1163" i="3"/>
  <c r="AH1163" i="3"/>
  <c r="AG1164" i="3"/>
  <c r="AH1164" i="3"/>
  <c r="AG1165" i="3"/>
  <c r="AH1165" i="3"/>
  <c r="AG1166" i="3"/>
  <c r="AH1166" i="3"/>
  <c r="AG1167" i="3"/>
  <c r="AH1167" i="3"/>
  <c r="AG1168" i="3"/>
  <c r="AH1168" i="3"/>
  <c r="AG1169" i="3"/>
  <c r="AH1169" i="3"/>
  <c r="AG1170" i="3"/>
  <c r="AH1170" i="3"/>
  <c r="AG1171" i="3"/>
  <c r="AH1171" i="3"/>
  <c r="AG1172" i="3"/>
  <c r="AH1172" i="3"/>
  <c r="AG1173" i="3"/>
  <c r="AH1173" i="3"/>
  <c r="AG1174" i="3"/>
  <c r="AH1174" i="3"/>
  <c r="AG1175" i="3"/>
  <c r="AH1175" i="3"/>
  <c r="AG1176" i="3"/>
  <c r="AH1176" i="3"/>
  <c r="AG1177" i="3"/>
  <c r="AH1177" i="3"/>
  <c r="AG1178" i="3"/>
  <c r="AH1178" i="3"/>
  <c r="AG1179" i="3"/>
  <c r="AH1179" i="3"/>
  <c r="AG1180" i="3"/>
  <c r="AH1180" i="3"/>
  <c r="AG1181" i="3"/>
  <c r="AH1181" i="3"/>
  <c r="AG1182" i="3"/>
  <c r="AH1182" i="3"/>
  <c r="AG1183" i="3"/>
  <c r="AH1183" i="3"/>
  <c r="AG1184" i="3"/>
  <c r="AH1184" i="3"/>
  <c r="AG1185" i="3"/>
  <c r="AH1185" i="3"/>
  <c r="AG1186" i="3"/>
  <c r="AH1186" i="3"/>
  <c r="AG1187" i="3"/>
  <c r="AH1187" i="3"/>
  <c r="AG1188" i="3"/>
  <c r="AH1188" i="3"/>
  <c r="AG1189" i="3"/>
  <c r="AH1189" i="3"/>
  <c r="AG1190" i="3"/>
  <c r="AH1190" i="3"/>
  <c r="AG1191" i="3"/>
  <c r="AH1191" i="3"/>
  <c r="AG1192" i="3"/>
  <c r="AH1192" i="3"/>
  <c r="AG1193" i="3"/>
  <c r="AH1193" i="3"/>
  <c r="AG1194" i="3"/>
  <c r="AH1194" i="3"/>
  <c r="AG1195" i="3"/>
  <c r="AH1195" i="3"/>
  <c r="AG1196" i="3"/>
  <c r="AH1196" i="3"/>
  <c r="AG1197" i="3"/>
  <c r="AH1197" i="3"/>
  <c r="AG1198" i="3"/>
  <c r="AH1198" i="3"/>
  <c r="AG1199" i="3"/>
  <c r="AH1199" i="3"/>
  <c r="AG1200" i="3"/>
  <c r="AH1200" i="3"/>
  <c r="AG1201" i="3"/>
  <c r="AH1201" i="3"/>
  <c r="AG1202" i="3"/>
  <c r="AH1202" i="3"/>
  <c r="AG1203" i="3"/>
  <c r="AH1203" i="3"/>
  <c r="AG1204" i="3"/>
  <c r="AH1204" i="3"/>
  <c r="AG1205" i="3"/>
  <c r="AH1205" i="3"/>
  <c r="AG1206" i="3"/>
  <c r="AH1206" i="3"/>
  <c r="AG1207" i="3"/>
  <c r="AH1207" i="3"/>
  <c r="AG1208" i="3"/>
  <c r="AH1208" i="3"/>
  <c r="AG1209" i="3"/>
  <c r="AH1209" i="3"/>
  <c r="AG1210" i="3"/>
  <c r="AH1210" i="3"/>
  <c r="AG1211" i="3"/>
  <c r="AH1211" i="3"/>
  <c r="AG1212" i="3"/>
  <c r="AH1212" i="3"/>
  <c r="AG1213" i="3"/>
  <c r="AH1213" i="3"/>
  <c r="AG1214" i="3"/>
  <c r="AH1214" i="3"/>
  <c r="AG1215" i="3"/>
  <c r="AH1215" i="3"/>
  <c r="AG1216" i="3"/>
  <c r="AH1216" i="3"/>
  <c r="AG1217" i="3"/>
  <c r="AH1217" i="3"/>
  <c r="AG1218" i="3"/>
  <c r="AH1218" i="3"/>
  <c r="AG1219" i="3"/>
  <c r="AH1219" i="3"/>
  <c r="AG1220" i="3"/>
  <c r="AH1220" i="3"/>
  <c r="AG1221" i="3"/>
  <c r="AH1221" i="3"/>
  <c r="AG1222" i="3"/>
  <c r="AH1222" i="3"/>
  <c r="AG1223" i="3"/>
  <c r="AH1223" i="3"/>
  <c r="AG1224" i="3"/>
  <c r="AH1224" i="3"/>
  <c r="AG1225" i="3"/>
  <c r="AH1225" i="3"/>
  <c r="AG1226" i="3"/>
  <c r="AH1226" i="3"/>
  <c r="AG1227" i="3"/>
  <c r="AH1227" i="3"/>
  <c r="AG1228" i="3"/>
  <c r="AH1228" i="3"/>
  <c r="AG1229" i="3"/>
  <c r="AH1229" i="3"/>
  <c r="AG1230" i="3"/>
  <c r="AH1230" i="3"/>
  <c r="AG1231" i="3"/>
  <c r="AH1231" i="3"/>
  <c r="AG1232" i="3"/>
  <c r="AH1232" i="3"/>
  <c r="AG1233" i="3"/>
  <c r="AH1233" i="3"/>
  <c r="AG1234" i="3"/>
  <c r="AH1234" i="3"/>
  <c r="AG1235" i="3"/>
  <c r="AH1235" i="3"/>
  <c r="AG1236" i="3"/>
  <c r="AH1236" i="3"/>
  <c r="AG1237" i="3"/>
  <c r="AH1237" i="3"/>
  <c r="AG1238" i="3"/>
  <c r="AH1238" i="3"/>
  <c r="AG1239" i="3"/>
  <c r="AH1239" i="3"/>
  <c r="AG1240" i="3"/>
  <c r="AH1240" i="3"/>
  <c r="AG1241" i="3"/>
  <c r="AH1241" i="3"/>
  <c r="AG1242" i="3"/>
  <c r="AH1242" i="3"/>
  <c r="AG1243" i="3"/>
  <c r="AH1243" i="3"/>
  <c r="AG1244" i="3"/>
  <c r="AH1244" i="3"/>
  <c r="AG1245" i="3"/>
  <c r="AH1245" i="3"/>
  <c r="AG1246" i="3"/>
  <c r="AH1246" i="3"/>
  <c r="AG1247" i="3"/>
  <c r="AH1247" i="3"/>
  <c r="AG1248" i="3"/>
  <c r="AH1248" i="3"/>
  <c r="AG1249" i="3"/>
  <c r="AH1249" i="3"/>
  <c r="AG1250" i="3"/>
  <c r="AH1250" i="3"/>
  <c r="AG1251" i="3"/>
  <c r="AH1251" i="3"/>
  <c r="AG1252" i="3"/>
  <c r="AH1252" i="3"/>
  <c r="AG1253" i="3"/>
  <c r="AH1253" i="3"/>
  <c r="AG1254" i="3"/>
  <c r="AH1254" i="3"/>
  <c r="AG1255" i="3"/>
  <c r="AH1255" i="3"/>
  <c r="AG1256" i="3"/>
  <c r="AH1256" i="3"/>
  <c r="AG1257" i="3"/>
  <c r="AH1257" i="3"/>
  <c r="AG1258" i="3"/>
  <c r="AH1258" i="3"/>
  <c r="AG1259" i="3"/>
  <c r="AH1259" i="3"/>
  <c r="AG1260" i="3"/>
  <c r="AH1260" i="3"/>
  <c r="AG1261" i="3"/>
  <c r="AH1261" i="3"/>
  <c r="AG1262" i="3"/>
  <c r="AH1262" i="3"/>
  <c r="AG1263" i="3"/>
  <c r="AH1263" i="3"/>
  <c r="AG1264" i="3"/>
  <c r="AH1264" i="3"/>
  <c r="AG1265" i="3"/>
  <c r="AH1265" i="3"/>
  <c r="AG1266" i="3"/>
  <c r="AH1266" i="3"/>
  <c r="AG1267" i="3"/>
  <c r="AH1267" i="3"/>
  <c r="AG1268" i="3"/>
  <c r="AH1268" i="3"/>
  <c r="AG1269" i="3"/>
  <c r="AH1269" i="3"/>
  <c r="AG1270" i="3"/>
  <c r="AH1270" i="3"/>
  <c r="AG1271" i="3"/>
  <c r="AH1271" i="3"/>
  <c r="AG1272" i="3"/>
  <c r="AH1272" i="3"/>
  <c r="AG1273" i="3"/>
  <c r="AH1273" i="3"/>
  <c r="AG1274" i="3"/>
  <c r="AH1274" i="3"/>
  <c r="AG1275" i="3"/>
  <c r="AH1275" i="3"/>
  <c r="AG1276" i="3"/>
  <c r="AH1276" i="3"/>
  <c r="AG1277" i="3"/>
  <c r="AH1277" i="3"/>
  <c r="AG1278" i="3"/>
  <c r="AH1278" i="3"/>
  <c r="AG1279" i="3"/>
  <c r="AH1279" i="3"/>
  <c r="AG1280" i="3"/>
  <c r="AH1280" i="3"/>
  <c r="AG1281" i="3"/>
  <c r="AH1281" i="3"/>
  <c r="AG1282" i="3"/>
  <c r="AH1282" i="3"/>
  <c r="AG1283" i="3"/>
  <c r="AH1283" i="3"/>
  <c r="AG1284" i="3"/>
  <c r="AH1284" i="3"/>
  <c r="AG1285" i="3"/>
  <c r="AH1285" i="3"/>
  <c r="AG1286" i="3"/>
  <c r="AH1286" i="3"/>
  <c r="AG1287" i="3"/>
  <c r="AH1287" i="3"/>
  <c r="AG1288" i="3"/>
  <c r="AH1288" i="3"/>
  <c r="AG1289" i="3"/>
  <c r="AH1289" i="3"/>
  <c r="AG1290" i="3"/>
  <c r="AH1290" i="3"/>
  <c r="AG1291" i="3"/>
  <c r="AH1291" i="3"/>
  <c r="AG1292" i="3"/>
  <c r="AH1292" i="3"/>
  <c r="AG1293" i="3"/>
  <c r="AH1293" i="3"/>
  <c r="AG1294" i="3"/>
  <c r="AH1294" i="3"/>
  <c r="AG1295" i="3"/>
  <c r="AH1295" i="3"/>
  <c r="AG1296" i="3"/>
  <c r="AH1296" i="3"/>
  <c r="AG1297" i="3"/>
  <c r="AH1297" i="3"/>
  <c r="AG1298" i="3"/>
  <c r="AH1298" i="3"/>
  <c r="AG1299" i="3"/>
  <c r="AH1299" i="3"/>
  <c r="AG1300" i="3"/>
  <c r="AH1300" i="3"/>
  <c r="AG1301" i="3"/>
  <c r="AH1301" i="3"/>
  <c r="AG1302" i="3"/>
  <c r="AH1302" i="3"/>
  <c r="AG1303" i="3"/>
  <c r="AH1303" i="3"/>
  <c r="AG1304" i="3"/>
  <c r="AH1304" i="3"/>
  <c r="AG1305" i="3"/>
  <c r="AH1305" i="3"/>
  <c r="AG1306" i="3"/>
  <c r="AH1306" i="3"/>
  <c r="AG1307" i="3"/>
  <c r="AH1307" i="3"/>
  <c r="AG1308" i="3"/>
  <c r="AH1308" i="3"/>
  <c r="AG1309" i="3"/>
  <c r="AH1309" i="3"/>
  <c r="AG1310" i="3"/>
  <c r="AH1310" i="3"/>
  <c r="AG1311" i="3"/>
  <c r="AH1311" i="3"/>
  <c r="AG1312" i="3"/>
  <c r="AH1312" i="3"/>
  <c r="AG1313" i="3"/>
  <c r="AH1313" i="3"/>
  <c r="AG1314" i="3"/>
  <c r="AH1314" i="3"/>
  <c r="AG1315" i="3"/>
  <c r="AH1315" i="3"/>
  <c r="AG1316" i="3"/>
  <c r="AH1316" i="3"/>
  <c r="AG1317" i="3"/>
  <c r="AH1317" i="3"/>
  <c r="AG1318" i="3"/>
  <c r="AH1318" i="3"/>
  <c r="AG1319" i="3"/>
  <c r="AH1319" i="3"/>
  <c r="AG1320" i="3"/>
  <c r="AH1320" i="3"/>
  <c r="AG1321" i="3"/>
  <c r="AH1321" i="3"/>
  <c r="AG1322" i="3"/>
  <c r="AH1322" i="3"/>
  <c r="AG1323" i="3"/>
  <c r="AH1323" i="3"/>
  <c r="AG1324" i="3"/>
  <c r="AH1324" i="3"/>
  <c r="AG1325" i="3"/>
  <c r="AH1325" i="3"/>
  <c r="AG1326" i="3"/>
  <c r="AH1326" i="3"/>
  <c r="AG1327" i="3"/>
  <c r="AH1327" i="3"/>
  <c r="AG1328" i="3"/>
  <c r="AH1328" i="3"/>
  <c r="AG1329" i="3"/>
  <c r="AH1329" i="3"/>
  <c r="AG1330" i="3"/>
  <c r="AH1330" i="3"/>
  <c r="AG1331" i="3"/>
  <c r="AH1331" i="3"/>
  <c r="AG1332" i="3"/>
  <c r="AH1332" i="3"/>
  <c r="AG1333" i="3"/>
  <c r="AH1333" i="3"/>
  <c r="AG1334" i="3"/>
  <c r="AH1334" i="3"/>
  <c r="AG1335" i="3"/>
  <c r="AH1335" i="3"/>
  <c r="AG1336" i="3"/>
  <c r="AH1336" i="3"/>
  <c r="AG1337" i="3"/>
  <c r="AH1337" i="3"/>
  <c r="AG1338" i="3"/>
  <c r="AH1338" i="3"/>
  <c r="AG1339" i="3"/>
  <c r="AH1339" i="3"/>
  <c r="AG1340" i="3"/>
  <c r="AH1340" i="3"/>
  <c r="AG1341" i="3"/>
  <c r="AH1341" i="3"/>
  <c r="AG1342" i="3"/>
  <c r="AH1342" i="3"/>
  <c r="AG1343" i="3"/>
  <c r="AH1343" i="3"/>
  <c r="AG1344" i="3"/>
  <c r="AH1344" i="3"/>
  <c r="AG1345" i="3"/>
  <c r="AH1345" i="3"/>
  <c r="AG1346" i="3"/>
  <c r="AH1346" i="3"/>
  <c r="AG1347" i="3"/>
  <c r="AH1347" i="3"/>
  <c r="AG1348" i="3"/>
  <c r="AH1348" i="3"/>
  <c r="AG1349" i="3"/>
  <c r="AH1349" i="3"/>
  <c r="AG1350" i="3"/>
  <c r="AH1350" i="3"/>
  <c r="AG1351" i="3"/>
  <c r="AH1351" i="3"/>
  <c r="AG1352" i="3"/>
  <c r="AH1352" i="3"/>
  <c r="AG1353" i="3"/>
  <c r="AH1353" i="3"/>
  <c r="AG1354" i="3"/>
  <c r="AH1354" i="3"/>
  <c r="AG1355" i="3"/>
  <c r="AH1355" i="3"/>
  <c r="AG1356" i="3"/>
  <c r="AH1356" i="3"/>
  <c r="AG1357" i="3"/>
  <c r="AH1357" i="3"/>
  <c r="AG1358" i="3"/>
  <c r="AH1358" i="3"/>
  <c r="AG1359" i="3"/>
  <c r="AH1359" i="3"/>
  <c r="AG1360" i="3"/>
  <c r="AH1360" i="3"/>
  <c r="AG1361" i="3"/>
  <c r="AH1361" i="3"/>
  <c r="AG1362" i="3"/>
  <c r="AH1362" i="3"/>
  <c r="AG1363" i="3"/>
  <c r="AH1363" i="3"/>
  <c r="AG1364" i="3"/>
  <c r="AH1364" i="3"/>
  <c r="AG1365" i="3"/>
  <c r="AH1365" i="3"/>
  <c r="AG1366" i="3"/>
  <c r="AH1366" i="3"/>
  <c r="AG1367" i="3"/>
  <c r="AH1367" i="3"/>
  <c r="AG1368" i="3"/>
  <c r="AH1368" i="3"/>
  <c r="AG1369" i="3"/>
  <c r="AH1369" i="3"/>
  <c r="AG1370" i="3"/>
  <c r="AH1370" i="3"/>
  <c r="AG1371" i="3"/>
  <c r="AH1371" i="3"/>
  <c r="AG1372" i="3"/>
  <c r="AH1372" i="3"/>
  <c r="AG1373" i="3"/>
  <c r="AH1373" i="3"/>
  <c r="AG1374" i="3"/>
  <c r="AH1374" i="3"/>
  <c r="AG1375" i="3"/>
  <c r="AH1375" i="3"/>
  <c r="AG1376" i="3"/>
  <c r="AH1376" i="3"/>
  <c r="AG1377" i="3"/>
  <c r="AH1377" i="3"/>
  <c r="AG1378" i="3"/>
  <c r="AH1378" i="3"/>
  <c r="AG1379" i="3"/>
  <c r="AH1379" i="3"/>
  <c r="AG1380" i="3"/>
  <c r="AH1380" i="3"/>
  <c r="AG1381" i="3"/>
  <c r="AH1381" i="3"/>
  <c r="AG1382" i="3"/>
  <c r="AH1382" i="3"/>
  <c r="AG1383" i="3"/>
  <c r="AH1383" i="3"/>
  <c r="AG1384" i="3"/>
  <c r="AH1384" i="3"/>
  <c r="AG1385" i="3"/>
  <c r="AH1385" i="3"/>
  <c r="AG1386" i="3"/>
  <c r="AH1386" i="3"/>
  <c r="AG1387" i="3"/>
  <c r="AH1387" i="3"/>
  <c r="AG1388" i="3"/>
  <c r="AH1388" i="3"/>
  <c r="AG1389" i="3"/>
  <c r="AH1389" i="3"/>
  <c r="AG1390" i="3"/>
  <c r="AH1390" i="3"/>
  <c r="AG1391" i="3"/>
  <c r="AH1391" i="3"/>
  <c r="AG1392" i="3"/>
  <c r="AH1392" i="3"/>
  <c r="AG1393" i="3"/>
  <c r="AH1393" i="3"/>
  <c r="AG1394" i="3"/>
  <c r="AH1394" i="3"/>
  <c r="AG1395" i="3"/>
  <c r="AH1395" i="3"/>
  <c r="AG1396" i="3"/>
  <c r="AH1396" i="3"/>
  <c r="AG1397" i="3"/>
  <c r="AH1397" i="3"/>
  <c r="AG1398" i="3"/>
  <c r="AH1398" i="3"/>
  <c r="AG1399" i="3"/>
  <c r="AH1399" i="3"/>
  <c r="AG1400" i="3"/>
  <c r="AH1400" i="3"/>
  <c r="AG1401" i="3"/>
  <c r="AH1401" i="3"/>
  <c r="AG1402" i="3"/>
  <c r="AH1402" i="3"/>
  <c r="AG1403" i="3"/>
  <c r="AH1403" i="3"/>
  <c r="AG1404" i="3"/>
  <c r="AH1404" i="3"/>
  <c r="AG1405" i="3"/>
  <c r="AH1405" i="3"/>
  <c r="AG1406" i="3"/>
  <c r="AH1406" i="3"/>
  <c r="AG1407" i="3"/>
  <c r="AH1407" i="3"/>
  <c r="AG1408" i="3"/>
  <c r="AH1408" i="3"/>
  <c r="AG1409" i="3"/>
  <c r="AH1409" i="3"/>
  <c r="AG1410" i="3"/>
  <c r="AH1410" i="3"/>
  <c r="AG1411" i="3"/>
  <c r="AH1411" i="3"/>
  <c r="AG1412" i="3"/>
  <c r="AH1412" i="3"/>
  <c r="AG1413" i="3"/>
  <c r="AH1413" i="3"/>
  <c r="AG1414" i="3"/>
  <c r="AH1414" i="3"/>
  <c r="AG1415" i="3"/>
  <c r="AH1415" i="3"/>
  <c r="AG1416" i="3"/>
  <c r="AH1416" i="3"/>
  <c r="AG1417" i="3"/>
  <c r="AH1417" i="3"/>
  <c r="AG1418" i="3"/>
  <c r="AH1418" i="3"/>
  <c r="AG1419" i="3"/>
  <c r="AH1419" i="3"/>
  <c r="AG1420" i="3"/>
  <c r="AH1420" i="3"/>
  <c r="AG1421" i="3"/>
  <c r="AH1421" i="3"/>
  <c r="AG1422" i="3"/>
  <c r="AH1422" i="3"/>
  <c r="AG1423" i="3"/>
  <c r="AH1423" i="3"/>
  <c r="AG1424" i="3"/>
  <c r="AH1424" i="3"/>
  <c r="AG1425" i="3"/>
  <c r="AH1425" i="3"/>
  <c r="AG1426" i="3"/>
  <c r="AH1426" i="3"/>
  <c r="AG1427" i="3"/>
  <c r="AH1427" i="3"/>
  <c r="AG1428" i="3"/>
  <c r="AH1428" i="3"/>
  <c r="AG1429" i="3"/>
  <c r="AH1429" i="3"/>
  <c r="AG1430" i="3"/>
  <c r="AH1430" i="3"/>
  <c r="AG1431" i="3"/>
  <c r="AH1431" i="3"/>
  <c r="AG1432" i="3"/>
  <c r="AH1432" i="3"/>
  <c r="AG1433" i="3"/>
  <c r="AH1433" i="3"/>
  <c r="AG1434" i="3"/>
  <c r="AH1434" i="3"/>
  <c r="AG1435" i="3"/>
  <c r="AH1435" i="3"/>
  <c r="AG1436" i="3"/>
  <c r="AH1436" i="3"/>
  <c r="AG1437" i="3"/>
  <c r="AH1437" i="3"/>
  <c r="AG1438" i="3"/>
  <c r="AH1438" i="3"/>
  <c r="AG1439" i="3"/>
  <c r="AH1439" i="3"/>
  <c r="AG1440" i="3"/>
  <c r="AH1440" i="3"/>
  <c r="AG1441" i="3"/>
  <c r="AH1441" i="3"/>
  <c r="AG1442" i="3"/>
  <c r="AH1442" i="3"/>
  <c r="AG1443" i="3"/>
  <c r="AH1443" i="3"/>
  <c r="AG1444" i="3"/>
  <c r="AH1444" i="3"/>
  <c r="AG1445" i="3"/>
  <c r="AH1445" i="3"/>
  <c r="AG1446" i="3"/>
  <c r="AH1446" i="3"/>
  <c r="AG1447" i="3"/>
  <c r="AH1447" i="3"/>
  <c r="AG1448" i="3"/>
  <c r="AH1448" i="3"/>
  <c r="AG1449" i="3"/>
  <c r="AH1449" i="3"/>
  <c r="AG1450" i="3"/>
  <c r="AH1450" i="3"/>
  <c r="AG1451" i="3"/>
  <c r="AH1451" i="3"/>
  <c r="AG1452" i="3"/>
  <c r="AH1452" i="3"/>
  <c r="AG1453" i="3"/>
  <c r="AH1453" i="3"/>
  <c r="AG1454" i="3"/>
  <c r="AH1454" i="3"/>
  <c r="AG1455" i="3"/>
  <c r="AH1455" i="3"/>
  <c r="AG1456" i="3"/>
  <c r="AH1456" i="3"/>
  <c r="AG1457" i="3"/>
  <c r="AH1457" i="3"/>
  <c r="AG1458" i="3"/>
  <c r="AH1458" i="3"/>
  <c r="AG1459" i="3"/>
  <c r="AH1459" i="3"/>
  <c r="AG1460" i="3"/>
  <c r="AH1460" i="3"/>
  <c r="AG1461" i="3"/>
  <c r="AH1461" i="3"/>
  <c r="AG1462" i="3"/>
  <c r="AH1462" i="3"/>
  <c r="AG1463" i="3"/>
  <c r="AH1463" i="3"/>
  <c r="AG1464" i="3"/>
  <c r="AH1464" i="3"/>
  <c r="AG1465" i="3"/>
  <c r="AH1465" i="3"/>
  <c r="AG1466" i="3"/>
  <c r="AH1466" i="3"/>
  <c r="AG1467" i="3"/>
  <c r="AH1467" i="3"/>
  <c r="AG1468" i="3"/>
  <c r="AH1468" i="3"/>
  <c r="AG1469" i="3"/>
  <c r="AH1469" i="3"/>
  <c r="AG1470" i="3"/>
  <c r="AH1470" i="3"/>
  <c r="AG1471" i="3"/>
  <c r="AH1471" i="3"/>
  <c r="AG1472" i="3"/>
  <c r="AH1472" i="3"/>
  <c r="AG1473" i="3"/>
  <c r="AH1473" i="3"/>
  <c r="AG1474" i="3"/>
  <c r="AH1474" i="3"/>
  <c r="AG1475" i="3"/>
  <c r="AH1475" i="3"/>
  <c r="AG1476" i="3"/>
  <c r="AH1476" i="3"/>
  <c r="AG1477" i="3"/>
  <c r="AH1477" i="3"/>
  <c r="AG1478" i="3"/>
  <c r="AH1478" i="3"/>
  <c r="AG1479" i="3"/>
  <c r="AH1479" i="3"/>
  <c r="AG1480" i="3"/>
  <c r="AH1480" i="3"/>
  <c r="AG1481" i="3"/>
  <c r="AH1481" i="3"/>
  <c r="AG1482" i="3"/>
  <c r="AH1482" i="3"/>
  <c r="AG1483" i="3"/>
  <c r="AH1483" i="3"/>
  <c r="AG1484" i="3"/>
  <c r="AH1484" i="3"/>
  <c r="AG1485" i="3"/>
  <c r="AH1485" i="3"/>
  <c r="AG1486" i="3"/>
  <c r="AH1486" i="3"/>
  <c r="AG1487" i="3"/>
  <c r="AH1487" i="3"/>
  <c r="AG1488" i="3"/>
  <c r="AH1488" i="3"/>
  <c r="AG1489" i="3"/>
  <c r="AH1489" i="3"/>
  <c r="AG1490" i="3"/>
  <c r="AH1490" i="3"/>
  <c r="AG1491" i="3"/>
  <c r="AH1491" i="3"/>
  <c r="AG1492" i="3"/>
  <c r="AH1492" i="3"/>
  <c r="AG1493" i="3"/>
  <c r="AH1493" i="3"/>
  <c r="AG1494" i="3"/>
  <c r="AH1494" i="3"/>
  <c r="AG1495" i="3"/>
  <c r="AH1495" i="3"/>
  <c r="AG1496" i="3"/>
  <c r="AH1496" i="3"/>
  <c r="AG1497" i="3"/>
  <c r="AH1497" i="3"/>
  <c r="AG1498" i="3"/>
  <c r="AH1498" i="3"/>
  <c r="AG1499" i="3"/>
  <c r="AH1499" i="3"/>
  <c r="AG1500" i="3"/>
  <c r="AH1500" i="3"/>
  <c r="AG1501" i="3"/>
  <c r="AH1501" i="3"/>
  <c r="AG1502" i="3"/>
  <c r="AH1502" i="3"/>
  <c r="AG1503" i="3"/>
  <c r="AH1503" i="3"/>
  <c r="AG1504" i="3"/>
  <c r="AH1504" i="3"/>
  <c r="AG1505" i="3"/>
  <c r="AH1505" i="3"/>
  <c r="AG1506" i="3"/>
  <c r="AH1506" i="3"/>
  <c r="AG1507" i="3"/>
  <c r="AH1507" i="3"/>
  <c r="AG1508" i="3"/>
  <c r="AH1508" i="3"/>
  <c r="AG1509" i="3"/>
  <c r="AH1509" i="3"/>
  <c r="AG1510" i="3"/>
  <c r="AH1510" i="3"/>
  <c r="AG1511" i="3"/>
  <c r="AH1511" i="3"/>
  <c r="AG1512" i="3"/>
  <c r="AH1512" i="3"/>
  <c r="AG1513" i="3"/>
  <c r="AH1513" i="3"/>
  <c r="AG1514" i="3"/>
  <c r="AH1514" i="3"/>
  <c r="AG1515" i="3"/>
  <c r="AH1515" i="3"/>
  <c r="AG1516" i="3"/>
  <c r="AH1516" i="3"/>
  <c r="AG1517" i="3"/>
  <c r="AH1517" i="3"/>
  <c r="AG1518" i="3"/>
  <c r="AH1518" i="3"/>
  <c r="AG1519" i="3"/>
  <c r="AH1519" i="3"/>
  <c r="AG1520" i="3"/>
  <c r="AH1520" i="3"/>
  <c r="AG1521" i="3"/>
  <c r="AH1521" i="3"/>
  <c r="AG1522" i="3"/>
  <c r="AH1522" i="3"/>
  <c r="AG1523" i="3"/>
  <c r="AH1523" i="3"/>
  <c r="AG1524" i="3"/>
  <c r="AH1524" i="3"/>
  <c r="AG1525" i="3"/>
  <c r="AH1525" i="3"/>
  <c r="AG1526" i="3"/>
  <c r="AH1526" i="3"/>
  <c r="AG1527" i="3"/>
  <c r="AH1527" i="3"/>
  <c r="AG1528" i="3"/>
  <c r="AH1528" i="3"/>
  <c r="AG1529" i="3"/>
  <c r="AH1529" i="3"/>
  <c r="AG1530" i="3"/>
  <c r="AH1530" i="3"/>
  <c r="AG1531" i="3"/>
  <c r="AH1531" i="3"/>
  <c r="AG1532" i="3"/>
  <c r="AH1532" i="3"/>
  <c r="AG1533" i="3"/>
  <c r="AH1533" i="3"/>
  <c r="AG1534" i="3"/>
  <c r="AH1534" i="3"/>
  <c r="AG1535" i="3"/>
  <c r="AH1535" i="3"/>
  <c r="AG1536" i="3"/>
  <c r="AH1536" i="3"/>
  <c r="AG1537" i="3"/>
  <c r="AH1537" i="3"/>
  <c r="AG1538" i="3"/>
  <c r="AH1538" i="3"/>
  <c r="AG1539" i="3"/>
  <c r="AH1539" i="3"/>
  <c r="AG1540" i="3"/>
  <c r="AH1540" i="3"/>
  <c r="AG1541" i="3"/>
  <c r="AH1541" i="3"/>
  <c r="AG1542" i="3"/>
  <c r="AH1542" i="3"/>
  <c r="AG1543" i="3"/>
  <c r="AH1543" i="3"/>
  <c r="AG1544" i="3"/>
  <c r="AH1544" i="3"/>
  <c r="AG1545" i="3"/>
  <c r="AH1545" i="3"/>
  <c r="AG1546" i="3"/>
  <c r="AH1546" i="3"/>
  <c r="AG1547" i="3"/>
  <c r="AH1547" i="3"/>
  <c r="AG1548" i="3"/>
  <c r="AH1548" i="3"/>
  <c r="AG1549" i="3"/>
  <c r="AH1549" i="3"/>
  <c r="AG1550" i="3"/>
  <c r="AH1550" i="3"/>
  <c r="AG1551" i="3"/>
  <c r="AH1551" i="3"/>
  <c r="AG1552" i="3"/>
  <c r="AH1552" i="3"/>
  <c r="AG1553" i="3"/>
  <c r="AH1553" i="3"/>
  <c r="AG1554" i="3"/>
  <c r="AH1554" i="3"/>
  <c r="AG1555" i="3"/>
  <c r="AH1555" i="3"/>
  <c r="AG1556" i="3"/>
  <c r="AH1556" i="3"/>
  <c r="AG1557" i="3"/>
  <c r="AH1557" i="3"/>
  <c r="AG1558" i="3"/>
  <c r="AH1558" i="3"/>
  <c r="AG1559" i="3"/>
  <c r="AH1559" i="3"/>
  <c r="AG1560" i="3"/>
  <c r="AH1560" i="3"/>
  <c r="AG1561" i="3"/>
  <c r="AH1561" i="3"/>
  <c r="AG1562" i="3"/>
  <c r="AH1562" i="3"/>
  <c r="AG1563" i="3"/>
  <c r="AH1563" i="3"/>
  <c r="AG1564" i="3"/>
  <c r="AH1564" i="3"/>
  <c r="AG1565" i="3"/>
  <c r="AH1565" i="3"/>
  <c r="AG1566" i="3"/>
  <c r="AH1566" i="3"/>
  <c r="AG1567" i="3"/>
  <c r="AH1567" i="3"/>
  <c r="AG1568" i="3"/>
  <c r="AH1568" i="3"/>
  <c r="AG1569" i="3"/>
  <c r="AH1569" i="3"/>
  <c r="AG1570" i="3"/>
  <c r="AH1570" i="3"/>
  <c r="AG1571" i="3"/>
  <c r="AH1571" i="3"/>
  <c r="AG1572" i="3"/>
  <c r="AH1572" i="3"/>
  <c r="AG1573" i="3"/>
  <c r="AH1573" i="3"/>
  <c r="AG1574" i="3"/>
  <c r="AH1574" i="3"/>
  <c r="AG1575" i="3"/>
  <c r="AH1575" i="3"/>
  <c r="AG1576" i="3"/>
  <c r="AH1576" i="3"/>
  <c r="AG1577" i="3"/>
  <c r="AH1577" i="3"/>
  <c r="AG1578" i="3"/>
  <c r="AH1578" i="3"/>
  <c r="AG1579" i="3"/>
  <c r="AH1579" i="3"/>
  <c r="AG1580" i="3"/>
  <c r="AH1580" i="3"/>
  <c r="AG1581" i="3"/>
  <c r="AH1581" i="3"/>
  <c r="AG1582" i="3"/>
  <c r="AH1582" i="3"/>
  <c r="AG1583" i="3"/>
  <c r="AH1583" i="3"/>
  <c r="AG1584" i="3"/>
  <c r="AH1584" i="3"/>
  <c r="AG1585" i="3"/>
  <c r="AH1585" i="3"/>
  <c r="AG1586" i="3"/>
  <c r="AH1586" i="3"/>
  <c r="AG1587" i="3"/>
  <c r="AH1587" i="3"/>
  <c r="AG1588" i="3"/>
  <c r="AH1588" i="3"/>
  <c r="AG1589" i="3"/>
  <c r="AH1589" i="3"/>
  <c r="AG1590" i="3"/>
  <c r="AH1590" i="3"/>
  <c r="AG1591" i="3"/>
  <c r="AH1591" i="3"/>
  <c r="AG1592" i="3"/>
  <c r="AH1592" i="3"/>
  <c r="AG1593" i="3"/>
  <c r="AH1593" i="3"/>
  <c r="AG1594" i="3"/>
  <c r="AH1594" i="3"/>
  <c r="AG1595" i="3"/>
  <c r="AH1595" i="3"/>
  <c r="AG1596" i="3"/>
  <c r="AH1596" i="3"/>
  <c r="AG1597" i="3"/>
  <c r="AH1597" i="3"/>
  <c r="AG1598" i="3"/>
  <c r="AH1598" i="3"/>
  <c r="AG1599" i="3"/>
  <c r="AH1599" i="3"/>
  <c r="AG1600" i="3"/>
  <c r="AH1600" i="3"/>
  <c r="AG1601" i="3"/>
  <c r="AH1601" i="3"/>
  <c r="AG1602" i="3"/>
  <c r="AH1602" i="3"/>
  <c r="AG1603" i="3"/>
  <c r="AH1603" i="3"/>
  <c r="AG1604" i="3"/>
  <c r="AH1604" i="3"/>
  <c r="AG1605" i="3"/>
  <c r="AH1605" i="3"/>
  <c r="AG1606" i="3"/>
  <c r="AH1606" i="3"/>
  <c r="AG1607" i="3"/>
  <c r="AH1607" i="3"/>
  <c r="AG1608" i="3"/>
  <c r="AH1608" i="3"/>
  <c r="AG1609" i="3"/>
  <c r="AH1609" i="3"/>
  <c r="AG1610" i="3"/>
  <c r="AH1610" i="3"/>
  <c r="AG1611" i="3"/>
  <c r="AH1611" i="3"/>
  <c r="AG1612" i="3"/>
  <c r="AH1612" i="3"/>
  <c r="AG1613" i="3"/>
  <c r="AH1613" i="3"/>
  <c r="AG1614" i="3"/>
  <c r="AH1614" i="3"/>
  <c r="AG1615" i="3"/>
  <c r="AH1615" i="3"/>
  <c r="AG1616" i="3"/>
  <c r="AH1616" i="3"/>
  <c r="AG1617" i="3"/>
  <c r="AH1617" i="3"/>
  <c r="AG1618" i="3"/>
  <c r="AH1618" i="3"/>
  <c r="AG1619" i="3"/>
  <c r="AH1619" i="3"/>
  <c r="AG1620" i="3"/>
  <c r="AH1620" i="3"/>
  <c r="AG1621" i="3"/>
  <c r="AH1621" i="3"/>
  <c r="AG1622" i="3"/>
  <c r="AH1622" i="3"/>
  <c r="AG1623" i="3"/>
  <c r="AH1623" i="3"/>
  <c r="AG1624" i="3"/>
  <c r="AH1624" i="3"/>
  <c r="AG1625" i="3"/>
  <c r="AH1625" i="3"/>
  <c r="AG1626" i="3"/>
  <c r="AH1626" i="3"/>
  <c r="AG1627" i="3"/>
  <c r="AH1627" i="3"/>
  <c r="AG1628" i="3"/>
  <c r="AH1628" i="3"/>
  <c r="AG1629" i="3"/>
  <c r="AH1629" i="3"/>
  <c r="AG1630" i="3"/>
  <c r="AH1630" i="3"/>
  <c r="AG1631" i="3"/>
  <c r="AH1631" i="3"/>
  <c r="AG1632" i="3"/>
  <c r="AH1632" i="3"/>
  <c r="AG1633" i="3"/>
  <c r="AH1633" i="3"/>
  <c r="AG1634" i="3"/>
  <c r="AH1634" i="3"/>
  <c r="AG1635" i="3"/>
  <c r="AH1635" i="3"/>
  <c r="AG1636" i="3"/>
  <c r="AH1636" i="3"/>
  <c r="AG1637" i="3"/>
  <c r="AH1637" i="3"/>
  <c r="AG1638" i="3"/>
  <c r="AH1638" i="3"/>
  <c r="AG1639" i="3"/>
  <c r="AH1639" i="3"/>
  <c r="AG1640" i="3"/>
  <c r="AH1640" i="3"/>
  <c r="AG1641" i="3"/>
  <c r="AH1641" i="3"/>
  <c r="AG1642" i="3"/>
  <c r="AH1642" i="3"/>
  <c r="AG1643" i="3"/>
  <c r="AH1643" i="3"/>
  <c r="AG1644" i="3"/>
  <c r="AH1644" i="3"/>
  <c r="AG1645" i="3"/>
  <c r="AH1645" i="3"/>
  <c r="AG1646" i="3"/>
  <c r="AH1646" i="3"/>
  <c r="AG1647" i="3"/>
  <c r="AH1647" i="3"/>
  <c r="AG1648" i="3"/>
  <c r="AH1648" i="3"/>
  <c r="AG1649" i="3"/>
  <c r="AH1649" i="3"/>
  <c r="AG1650" i="3"/>
  <c r="AH1650" i="3"/>
  <c r="AG1651" i="3"/>
  <c r="AH1651" i="3"/>
  <c r="AG1652" i="3"/>
  <c r="AH1652" i="3"/>
  <c r="AG1653" i="3"/>
  <c r="AH1653" i="3"/>
  <c r="AG1654" i="3"/>
  <c r="AH1654" i="3"/>
  <c r="AG1655" i="3"/>
  <c r="AH1655" i="3"/>
  <c r="AG1656" i="3"/>
  <c r="AH1656" i="3"/>
  <c r="AG1657" i="3"/>
  <c r="AH1657" i="3"/>
  <c r="AG1658" i="3"/>
  <c r="AH1658" i="3"/>
  <c r="AG1659" i="3"/>
  <c r="AH1659" i="3"/>
  <c r="AG1660" i="3"/>
  <c r="AH1660" i="3"/>
  <c r="AG1661" i="3"/>
  <c r="AH1661" i="3"/>
  <c r="AG1662" i="3"/>
  <c r="AH1662" i="3"/>
  <c r="AG1663" i="3"/>
  <c r="AH1663" i="3"/>
  <c r="AG1664" i="3"/>
  <c r="AH1664" i="3"/>
  <c r="AG1665" i="3"/>
  <c r="AH1665" i="3"/>
  <c r="AG1666" i="3"/>
  <c r="AH1666" i="3"/>
  <c r="AG1667" i="3"/>
  <c r="AH1667" i="3"/>
  <c r="AG1668" i="3"/>
  <c r="AH1668" i="3"/>
  <c r="AG1669" i="3"/>
  <c r="AH1669" i="3"/>
  <c r="AG1670" i="3"/>
  <c r="AH1670" i="3"/>
  <c r="AG1671" i="3"/>
  <c r="AH1671" i="3"/>
  <c r="AG1672" i="3"/>
  <c r="AH1672" i="3"/>
  <c r="AG1673" i="3"/>
  <c r="AH1673" i="3"/>
  <c r="AG1674" i="3"/>
  <c r="AH1674" i="3"/>
  <c r="AG1675" i="3"/>
  <c r="AH1675" i="3"/>
  <c r="AG1676" i="3"/>
  <c r="AH1676" i="3"/>
  <c r="AG1677" i="3"/>
  <c r="AH1677" i="3"/>
  <c r="AG1678" i="3"/>
  <c r="AH1678" i="3"/>
  <c r="AG1679" i="3"/>
  <c r="AH1679" i="3"/>
  <c r="AG1680" i="3"/>
  <c r="AH1680" i="3"/>
  <c r="AG1681" i="3"/>
  <c r="AH1681" i="3"/>
  <c r="AG1682" i="3"/>
  <c r="AH1682" i="3"/>
  <c r="AG1683" i="3"/>
  <c r="AH1683" i="3"/>
  <c r="AG1684" i="3"/>
  <c r="AH1684" i="3"/>
  <c r="AG1685" i="3"/>
  <c r="AH1685" i="3"/>
  <c r="AG1686" i="3"/>
  <c r="AH1686" i="3"/>
  <c r="AG1687" i="3"/>
  <c r="AH1687" i="3"/>
  <c r="AG1688" i="3"/>
  <c r="AH1688" i="3"/>
  <c r="AG1689" i="3"/>
  <c r="AH1689" i="3"/>
  <c r="AG1690" i="3"/>
  <c r="AH1690" i="3"/>
  <c r="AG1691" i="3"/>
  <c r="AH1691" i="3"/>
  <c r="AG1692" i="3"/>
  <c r="AH1692" i="3"/>
  <c r="AG1693" i="3"/>
  <c r="AH1693" i="3"/>
  <c r="AG1694" i="3"/>
  <c r="AH1694" i="3"/>
  <c r="AG1695" i="3"/>
  <c r="AH1695" i="3"/>
  <c r="AG1696" i="3"/>
  <c r="AH1696" i="3"/>
  <c r="AG1697" i="3"/>
  <c r="AH1697" i="3"/>
  <c r="AG1698" i="3"/>
  <c r="AH1698" i="3"/>
  <c r="AG1699" i="3"/>
  <c r="AH1699" i="3"/>
  <c r="AG1700" i="3"/>
  <c r="AH1700" i="3"/>
  <c r="AG1701" i="3"/>
  <c r="AH1701" i="3"/>
  <c r="AG1702" i="3"/>
  <c r="AH1702" i="3"/>
  <c r="AG1703" i="3"/>
  <c r="AH1703" i="3"/>
  <c r="AG1704" i="3"/>
  <c r="AH1704" i="3"/>
  <c r="AG1705" i="3"/>
  <c r="AH1705" i="3"/>
  <c r="AG1706" i="3"/>
  <c r="AH1706" i="3"/>
  <c r="AG1707" i="3"/>
  <c r="AH1707" i="3"/>
  <c r="AG1708" i="3"/>
  <c r="AH1708" i="3"/>
  <c r="AG1709" i="3"/>
  <c r="AH1709" i="3"/>
  <c r="AG1710" i="3"/>
  <c r="AH1710" i="3"/>
  <c r="AG1711" i="3"/>
  <c r="AH1711" i="3"/>
  <c r="AG1712" i="3"/>
  <c r="AH1712" i="3"/>
  <c r="AG1713" i="3"/>
  <c r="AH1713" i="3"/>
  <c r="AG1714" i="3"/>
  <c r="AH1714" i="3"/>
  <c r="AG1715" i="3"/>
  <c r="AH1715" i="3"/>
  <c r="AG1716" i="3"/>
  <c r="AH1716" i="3"/>
  <c r="AG1717" i="3"/>
  <c r="AH1717" i="3"/>
  <c r="AG1718" i="3"/>
  <c r="AH1718" i="3"/>
  <c r="AG1719" i="3"/>
  <c r="AH1719" i="3"/>
  <c r="AG1720" i="3"/>
  <c r="AH1720" i="3"/>
  <c r="AG1721" i="3"/>
  <c r="AH1721" i="3"/>
  <c r="AG1722" i="3"/>
  <c r="AH1722" i="3"/>
  <c r="AG1723" i="3"/>
  <c r="AH1723" i="3"/>
  <c r="AG1724" i="3"/>
  <c r="AH1724" i="3"/>
  <c r="AG1725" i="3"/>
  <c r="AH1725" i="3"/>
  <c r="AG1726" i="3"/>
  <c r="AH1726" i="3"/>
  <c r="AG1727" i="3"/>
  <c r="AH1727" i="3"/>
  <c r="AG1728" i="3"/>
  <c r="AH1728" i="3"/>
  <c r="AG1729" i="3"/>
  <c r="AH1729" i="3"/>
  <c r="AG1730" i="3"/>
  <c r="AH1730" i="3"/>
  <c r="AG1731" i="3"/>
  <c r="AH1731" i="3"/>
  <c r="AG1732" i="3"/>
  <c r="AH1732" i="3"/>
  <c r="AG1733" i="3"/>
  <c r="AH1733" i="3"/>
  <c r="AG1734" i="3"/>
  <c r="AH1734" i="3"/>
  <c r="AG1735" i="3"/>
  <c r="AH1735" i="3"/>
  <c r="AG1736" i="3"/>
  <c r="AH1736" i="3"/>
  <c r="AG1737" i="3"/>
  <c r="AH1737" i="3"/>
  <c r="AG1738" i="3"/>
  <c r="AH1738" i="3"/>
  <c r="AG1739" i="3"/>
  <c r="AH1739" i="3"/>
  <c r="AG1740" i="3"/>
  <c r="AH1740" i="3"/>
  <c r="AG1741" i="3"/>
  <c r="AH1741" i="3"/>
  <c r="AG1742" i="3"/>
  <c r="AH1742" i="3"/>
  <c r="AG1743" i="3"/>
  <c r="AH1743" i="3"/>
  <c r="AG1744" i="3"/>
  <c r="AH1744" i="3"/>
  <c r="AG1745" i="3"/>
  <c r="AH1745" i="3"/>
  <c r="AG1746" i="3"/>
  <c r="AH1746" i="3"/>
  <c r="AG1747" i="3"/>
  <c r="AH1747" i="3"/>
  <c r="AG1748" i="3"/>
  <c r="AH1748" i="3"/>
  <c r="AG1749" i="3"/>
  <c r="AH1749" i="3"/>
  <c r="AG1750" i="3"/>
  <c r="AH1750" i="3"/>
  <c r="AG1751" i="3"/>
  <c r="AH1751" i="3"/>
  <c r="AG1752" i="3"/>
  <c r="AH1752" i="3"/>
  <c r="AG1753" i="3"/>
  <c r="AH1753" i="3"/>
  <c r="AG1754" i="3"/>
  <c r="AH1754" i="3"/>
  <c r="AG1755" i="3"/>
  <c r="AH1755" i="3"/>
  <c r="AG1756" i="3"/>
  <c r="AH1756" i="3"/>
  <c r="AG1757" i="3"/>
  <c r="AH1757" i="3"/>
  <c r="AG1758" i="3"/>
  <c r="AH1758" i="3"/>
  <c r="AG1759" i="3"/>
  <c r="AH1759" i="3"/>
  <c r="AG1760" i="3"/>
  <c r="AH1760" i="3"/>
  <c r="AG1761" i="3"/>
  <c r="AH1761" i="3"/>
  <c r="AG1762" i="3"/>
  <c r="AH1762" i="3"/>
  <c r="AG1763" i="3"/>
  <c r="AH1763" i="3"/>
  <c r="AG1764" i="3"/>
  <c r="AH1764" i="3"/>
  <c r="AG1765" i="3"/>
  <c r="AH1765" i="3"/>
  <c r="AG1766" i="3"/>
  <c r="AH1766" i="3"/>
  <c r="AG1767" i="3"/>
  <c r="AH1767" i="3"/>
  <c r="AG1768" i="3"/>
  <c r="AH1768" i="3"/>
  <c r="AG1769" i="3"/>
  <c r="AH1769" i="3"/>
  <c r="AG1770" i="3"/>
  <c r="AH1770" i="3"/>
  <c r="AG1771" i="3"/>
  <c r="AH1771" i="3"/>
  <c r="AG1772" i="3"/>
  <c r="AH1772" i="3"/>
  <c r="AG1773" i="3"/>
  <c r="AH1773" i="3"/>
  <c r="AG1774" i="3"/>
  <c r="AH1774" i="3"/>
  <c r="AG1775" i="3"/>
  <c r="AH1775" i="3"/>
  <c r="AG1776" i="3"/>
  <c r="AH1776" i="3"/>
  <c r="AG1777" i="3"/>
  <c r="AH1777" i="3"/>
  <c r="AG1778" i="3"/>
  <c r="AH1778" i="3"/>
  <c r="AG1779" i="3"/>
  <c r="AH1779" i="3"/>
  <c r="AG1780" i="3"/>
  <c r="AH1780" i="3"/>
  <c r="AG1781" i="3"/>
  <c r="AH1781" i="3"/>
  <c r="AG1782" i="3"/>
  <c r="AH1782" i="3"/>
  <c r="AG1783" i="3"/>
  <c r="AH1783" i="3"/>
  <c r="AG1784" i="3"/>
  <c r="AH1784" i="3"/>
  <c r="AG1785" i="3"/>
  <c r="AH1785" i="3"/>
  <c r="AG1786" i="3"/>
  <c r="AH1786" i="3"/>
  <c r="AG1787" i="3"/>
  <c r="AH1787" i="3"/>
  <c r="AG1788" i="3"/>
  <c r="AH1788" i="3"/>
  <c r="AG1789" i="3"/>
  <c r="AH1789" i="3"/>
  <c r="AG1790" i="3"/>
  <c r="AH1790" i="3"/>
  <c r="AG1791" i="3"/>
  <c r="AH1791" i="3"/>
  <c r="AG1792" i="3"/>
  <c r="AH1792" i="3"/>
  <c r="AG1793" i="3"/>
  <c r="AH1793" i="3"/>
  <c r="AG1794" i="3"/>
  <c r="AH1794" i="3"/>
  <c r="AG1795" i="3"/>
  <c r="AH1795" i="3"/>
  <c r="AG1796" i="3"/>
  <c r="AH1796" i="3"/>
  <c r="AG1797" i="3"/>
  <c r="AH1797" i="3"/>
  <c r="AG1798" i="3"/>
  <c r="AH1798" i="3"/>
  <c r="AG1799" i="3"/>
  <c r="AH1799" i="3"/>
  <c r="AG1800" i="3"/>
  <c r="AH1800" i="3"/>
  <c r="AG1801" i="3"/>
  <c r="AH1801" i="3"/>
  <c r="AG1802" i="3"/>
  <c r="AH1802" i="3"/>
  <c r="AG1803" i="3"/>
  <c r="AH1803" i="3"/>
  <c r="AG1804" i="3"/>
  <c r="AH1804" i="3"/>
  <c r="AG1805" i="3"/>
  <c r="AH1805" i="3"/>
  <c r="AG1806" i="3"/>
  <c r="AH1806" i="3"/>
  <c r="AG1807" i="3"/>
  <c r="AH1807" i="3"/>
  <c r="AG1808" i="3"/>
  <c r="AH1808" i="3"/>
  <c r="AG1809" i="3"/>
  <c r="AH1809" i="3"/>
  <c r="AG1810" i="3"/>
  <c r="AH1810" i="3"/>
  <c r="AG1811" i="3"/>
  <c r="AH1811" i="3"/>
  <c r="AG1812" i="3"/>
  <c r="AH1812" i="3"/>
  <c r="AG1813" i="3"/>
  <c r="AH1813" i="3"/>
  <c r="AG1814" i="3"/>
  <c r="AH1814" i="3"/>
  <c r="AG1815" i="3"/>
  <c r="AH1815" i="3"/>
  <c r="AG1816" i="3"/>
  <c r="AH1816" i="3"/>
  <c r="AG1817" i="3"/>
  <c r="AH1817" i="3"/>
  <c r="AG1818" i="3"/>
  <c r="AH1818" i="3"/>
  <c r="AG1819" i="3"/>
  <c r="AH1819" i="3"/>
  <c r="AG1820" i="3"/>
  <c r="AH1820" i="3"/>
  <c r="AG1821" i="3"/>
  <c r="AH1821" i="3"/>
  <c r="AG1822" i="3"/>
  <c r="AH1822" i="3"/>
  <c r="AG1823" i="3"/>
  <c r="AH1823" i="3"/>
  <c r="AG1824" i="3"/>
  <c r="AH1824" i="3"/>
  <c r="AG1825" i="3"/>
  <c r="AH1825" i="3"/>
  <c r="AG1826" i="3"/>
  <c r="AH1826" i="3"/>
  <c r="AG1827" i="3"/>
  <c r="AH1827" i="3"/>
  <c r="AG1828" i="3"/>
  <c r="AH1828" i="3"/>
  <c r="AG1829" i="3"/>
  <c r="AH1829" i="3"/>
  <c r="AG1830" i="3"/>
  <c r="AH1830" i="3"/>
  <c r="AG1831" i="3"/>
  <c r="AH1831" i="3"/>
  <c r="AG1832" i="3"/>
  <c r="AH1832" i="3"/>
  <c r="AG1833" i="3"/>
  <c r="AH1833" i="3"/>
  <c r="AG1834" i="3"/>
  <c r="AH1834" i="3"/>
  <c r="AG1835" i="3"/>
  <c r="AH1835" i="3"/>
  <c r="AG1836" i="3"/>
  <c r="AH1836" i="3"/>
  <c r="AG1837" i="3"/>
  <c r="AH1837" i="3"/>
  <c r="AG1838" i="3"/>
  <c r="AH1838" i="3"/>
  <c r="AG1839" i="3"/>
  <c r="AH1839" i="3"/>
  <c r="AG1840" i="3"/>
  <c r="AH1840" i="3"/>
  <c r="AG1841" i="3"/>
  <c r="AH1841" i="3"/>
  <c r="AG1842" i="3"/>
  <c r="AH1842" i="3"/>
  <c r="AG1843" i="3"/>
  <c r="AH1843" i="3"/>
  <c r="AG1844" i="3"/>
  <c r="AH1844" i="3"/>
  <c r="AG1845" i="3"/>
  <c r="AH1845" i="3"/>
  <c r="AG1846" i="3"/>
  <c r="AH1846" i="3"/>
  <c r="AG1847" i="3"/>
  <c r="AH1847" i="3"/>
  <c r="AG1848" i="3"/>
  <c r="AH1848" i="3"/>
  <c r="AG1849" i="3"/>
  <c r="AH1849" i="3"/>
  <c r="AG1850" i="3"/>
  <c r="AH1850" i="3"/>
  <c r="AG1851" i="3"/>
  <c r="AH1851" i="3"/>
  <c r="AG1852" i="3"/>
  <c r="AH1852" i="3"/>
  <c r="AG1853" i="3"/>
  <c r="AH1853" i="3"/>
  <c r="AG1854" i="3"/>
  <c r="AH1854" i="3"/>
  <c r="AG1855" i="3"/>
  <c r="AH1855" i="3"/>
  <c r="AG1856" i="3"/>
  <c r="AH1856" i="3"/>
  <c r="AG1857" i="3"/>
  <c r="AH1857" i="3"/>
  <c r="AG1858" i="3"/>
  <c r="AH1858" i="3"/>
  <c r="AG1859" i="3"/>
  <c r="AH1859" i="3"/>
  <c r="AG1860" i="3"/>
  <c r="AH1860" i="3"/>
  <c r="AG1861" i="3"/>
  <c r="AH1861" i="3"/>
  <c r="AG1862" i="3"/>
  <c r="AH1862" i="3"/>
  <c r="AG1863" i="3"/>
  <c r="AH1863" i="3"/>
  <c r="AG1864" i="3"/>
  <c r="AH1864" i="3"/>
  <c r="AG1865" i="3"/>
  <c r="AH1865" i="3"/>
  <c r="AG1866" i="3"/>
  <c r="AH1866" i="3"/>
  <c r="AG1867" i="3"/>
  <c r="AH1867" i="3"/>
  <c r="AG1868" i="3"/>
  <c r="AH1868" i="3"/>
  <c r="AG1869" i="3"/>
  <c r="AH1869" i="3"/>
  <c r="AG1870" i="3"/>
  <c r="AH1870" i="3"/>
  <c r="AG1871" i="3"/>
  <c r="AH1871" i="3"/>
  <c r="AG1872" i="3"/>
  <c r="AH1872" i="3"/>
  <c r="AG1873" i="3"/>
  <c r="AH1873" i="3"/>
  <c r="AG1874" i="3"/>
  <c r="AH1874" i="3"/>
  <c r="AG1875" i="3"/>
  <c r="AH1875" i="3"/>
  <c r="AG1876" i="3"/>
  <c r="AH1876" i="3"/>
  <c r="AG1877" i="3"/>
  <c r="AH1877" i="3"/>
  <c r="AG1878" i="3"/>
  <c r="AH1878" i="3"/>
  <c r="AG1879" i="3"/>
  <c r="AH1879" i="3"/>
  <c r="AG1880" i="3"/>
  <c r="AH1880" i="3"/>
  <c r="AG1881" i="3"/>
  <c r="AH1881" i="3"/>
  <c r="AG1882" i="3"/>
  <c r="AH1882" i="3"/>
  <c r="AG1883" i="3"/>
  <c r="AH1883" i="3"/>
  <c r="AG1884" i="3"/>
  <c r="AH1884" i="3"/>
  <c r="AG1885" i="3"/>
  <c r="AH1885" i="3"/>
  <c r="AG1886" i="3"/>
  <c r="AH1886" i="3"/>
  <c r="AG1887" i="3"/>
  <c r="AH1887" i="3"/>
  <c r="AG1888" i="3"/>
  <c r="AH1888" i="3"/>
  <c r="AG1889" i="3"/>
  <c r="AH1889" i="3"/>
  <c r="AG1890" i="3"/>
  <c r="AH1890" i="3"/>
  <c r="AG1891" i="3"/>
  <c r="AH1891" i="3"/>
  <c r="AG1892" i="3"/>
  <c r="AH1892" i="3"/>
  <c r="AG1893" i="3"/>
  <c r="AH1893" i="3"/>
  <c r="AG1894" i="3"/>
  <c r="AH1894" i="3"/>
  <c r="AG1895" i="3"/>
  <c r="AH1895" i="3"/>
  <c r="AG1896" i="3"/>
  <c r="AH1896" i="3"/>
  <c r="AG1897" i="3"/>
  <c r="AH1897" i="3"/>
  <c r="AG1898" i="3"/>
  <c r="AH1898" i="3"/>
  <c r="AG1899" i="3"/>
  <c r="AH1899" i="3"/>
  <c r="AG1900" i="3"/>
  <c r="AH1900" i="3"/>
  <c r="AG1901" i="3"/>
  <c r="AH1901" i="3"/>
  <c r="AG1902" i="3"/>
  <c r="AH1902" i="3"/>
  <c r="AG1903" i="3"/>
  <c r="AH1903" i="3"/>
  <c r="AG1904" i="3"/>
  <c r="AH1904" i="3"/>
  <c r="AG1905" i="3"/>
  <c r="AH1905" i="3"/>
  <c r="AG1906" i="3"/>
  <c r="AH1906" i="3"/>
  <c r="AG1907" i="3"/>
  <c r="AH1907" i="3"/>
  <c r="AG1908" i="3"/>
  <c r="AH1908" i="3"/>
  <c r="AG1909" i="3"/>
  <c r="AH1909" i="3"/>
  <c r="AG1910" i="3"/>
  <c r="AH1910" i="3"/>
  <c r="AG1911" i="3"/>
  <c r="AH1911" i="3"/>
  <c r="AG1912" i="3"/>
  <c r="AH1912" i="3"/>
  <c r="AG1913" i="3"/>
  <c r="AH1913" i="3"/>
  <c r="AG1914" i="3"/>
  <c r="AH1914" i="3"/>
  <c r="AG1915" i="3"/>
  <c r="AH1915" i="3"/>
  <c r="AG1916" i="3"/>
  <c r="AH1916" i="3"/>
  <c r="AG1917" i="3"/>
  <c r="AH1917" i="3"/>
  <c r="AG1918" i="3"/>
  <c r="AH1918" i="3"/>
  <c r="AG1919" i="3"/>
  <c r="AH1919" i="3"/>
  <c r="AG1920" i="3"/>
  <c r="AH1920" i="3"/>
  <c r="AG1921" i="3"/>
  <c r="AH1921" i="3"/>
  <c r="AG1922" i="3"/>
  <c r="AH1922" i="3"/>
  <c r="AG1923" i="3"/>
  <c r="AH1923" i="3"/>
  <c r="AG1924" i="3"/>
  <c r="AH1924" i="3"/>
  <c r="AG1925" i="3"/>
  <c r="AH1925" i="3"/>
  <c r="AG1926" i="3"/>
  <c r="AH1926" i="3"/>
  <c r="AG1927" i="3"/>
  <c r="AH1927" i="3"/>
  <c r="AG1928" i="3"/>
  <c r="AH1928" i="3"/>
  <c r="AG1929" i="3"/>
  <c r="AH1929" i="3"/>
  <c r="AG1930" i="3"/>
  <c r="AH1930" i="3"/>
  <c r="AG1931" i="3"/>
  <c r="AH1931" i="3"/>
  <c r="AG1932" i="3"/>
  <c r="AH1932" i="3"/>
  <c r="AG1933" i="3"/>
  <c r="AH1933" i="3"/>
  <c r="AG1934" i="3"/>
  <c r="AH1934" i="3"/>
  <c r="AG1935" i="3"/>
  <c r="AH1935" i="3"/>
  <c r="AG1936" i="3"/>
  <c r="AH1936" i="3"/>
  <c r="AG1937" i="3"/>
  <c r="AH1937" i="3"/>
  <c r="AG1938" i="3"/>
  <c r="AH1938" i="3"/>
  <c r="AG1939" i="3"/>
  <c r="AH1939" i="3"/>
  <c r="AG1940" i="3"/>
  <c r="AH1940" i="3"/>
  <c r="AG1941" i="3"/>
  <c r="AH1941" i="3"/>
  <c r="AG1942" i="3"/>
  <c r="AH1942" i="3"/>
  <c r="AG1943" i="3"/>
  <c r="AH1943" i="3"/>
  <c r="AG1944" i="3"/>
  <c r="AH1944" i="3"/>
  <c r="AG1945" i="3"/>
  <c r="AH1945" i="3"/>
  <c r="AG1946" i="3"/>
  <c r="AH1946" i="3"/>
  <c r="AG1947" i="3"/>
  <c r="AH1947" i="3"/>
  <c r="AG1948" i="3"/>
  <c r="AH1948" i="3"/>
  <c r="AG1949" i="3"/>
  <c r="AH1949" i="3"/>
  <c r="AG1950" i="3"/>
  <c r="AH1950" i="3"/>
  <c r="AG1951" i="3"/>
  <c r="AH1951" i="3"/>
  <c r="AG1952" i="3"/>
  <c r="AH1952" i="3"/>
  <c r="AG1953" i="3"/>
  <c r="AH1953" i="3"/>
  <c r="AG1954" i="3"/>
  <c r="AH1954" i="3"/>
  <c r="AG1955" i="3"/>
  <c r="AH1955" i="3"/>
  <c r="AG1956" i="3"/>
  <c r="AH1956" i="3"/>
  <c r="AG1957" i="3"/>
  <c r="AH1957" i="3"/>
  <c r="AG1958" i="3"/>
  <c r="AH1958" i="3"/>
  <c r="AG1959" i="3"/>
  <c r="AH1959" i="3"/>
  <c r="AG1960" i="3"/>
  <c r="AH1960" i="3"/>
  <c r="AG1961" i="3"/>
  <c r="AH1961" i="3"/>
  <c r="AG1962" i="3"/>
  <c r="AH1962" i="3"/>
  <c r="AG1963" i="3"/>
  <c r="AH1963" i="3"/>
  <c r="AG1964" i="3"/>
  <c r="AH1964" i="3"/>
  <c r="AG1965" i="3"/>
  <c r="AH1965" i="3"/>
  <c r="AG1966" i="3"/>
  <c r="AH1966" i="3"/>
  <c r="AG1967" i="3"/>
  <c r="AH1967" i="3"/>
  <c r="AG1968" i="3"/>
  <c r="AH1968" i="3"/>
  <c r="AG1969" i="3"/>
  <c r="AH1969" i="3"/>
  <c r="AG1970" i="3"/>
  <c r="AH1970" i="3"/>
  <c r="AG1971" i="3"/>
  <c r="AH1971" i="3"/>
  <c r="AG1972" i="3"/>
  <c r="AH1972" i="3"/>
  <c r="AG1973" i="3"/>
  <c r="AH1973" i="3"/>
  <c r="AG1974" i="3"/>
  <c r="AH1974" i="3"/>
  <c r="AG1975" i="3"/>
  <c r="AH1975" i="3"/>
  <c r="AG1976" i="3"/>
  <c r="AH1976" i="3"/>
  <c r="AG1977" i="3"/>
  <c r="AH1977" i="3"/>
  <c r="AG1978" i="3"/>
  <c r="AH1978" i="3"/>
  <c r="AG1979" i="3"/>
  <c r="AH1979" i="3"/>
  <c r="AG1980" i="3"/>
  <c r="AH1980" i="3"/>
  <c r="AG1981" i="3"/>
  <c r="AH1981" i="3"/>
  <c r="AG1982" i="3"/>
  <c r="AH1982" i="3"/>
  <c r="AG1983" i="3"/>
  <c r="AH1983" i="3"/>
  <c r="AG1984" i="3"/>
  <c r="AH1984" i="3"/>
  <c r="AG1985" i="3"/>
  <c r="AH1985" i="3"/>
  <c r="AG1986" i="3"/>
  <c r="AH1986" i="3"/>
  <c r="AG1987" i="3"/>
  <c r="AH1987" i="3"/>
  <c r="AG1988" i="3"/>
  <c r="AH1988" i="3"/>
  <c r="AG1989" i="3"/>
  <c r="AH1989" i="3"/>
  <c r="AG1990" i="3"/>
  <c r="AH1990" i="3"/>
  <c r="AG1991" i="3"/>
  <c r="AH1991" i="3"/>
  <c r="AG1992" i="3"/>
  <c r="AH1992" i="3"/>
  <c r="AG1993" i="3"/>
  <c r="AH1993" i="3"/>
  <c r="AG1994" i="3"/>
  <c r="AH1994" i="3"/>
  <c r="AG1995" i="3"/>
  <c r="AH1995" i="3"/>
  <c r="AG1996" i="3"/>
  <c r="AH1996" i="3"/>
  <c r="AG1997" i="3"/>
  <c r="AH1997" i="3"/>
  <c r="AG1998" i="3"/>
  <c r="AH1998" i="3"/>
  <c r="AG1999" i="3"/>
  <c r="AH1999" i="3"/>
  <c r="AG2000" i="3"/>
  <c r="AH2000" i="3"/>
  <c r="AG2001" i="3"/>
  <c r="AH2001" i="3"/>
  <c r="AG2002" i="3"/>
  <c r="AH2002" i="3"/>
  <c r="AG2003" i="3"/>
  <c r="AH2003" i="3"/>
  <c r="AG2004" i="3"/>
  <c r="AH2004" i="3"/>
  <c r="AG2005" i="3"/>
  <c r="AH2005" i="3"/>
  <c r="AG2006" i="3"/>
  <c r="AH2006" i="3"/>
  <c r="AG2007" i="3"/>
  <c r="AH2007" i="3"/>
  <c r="AG2008" i="3"/>
  <c r="AH2008" i="3"/>
  <c r="AG2009" i="3"/>
  <c r="AH2009" i="3"/>
  <c r="AG2010" i="3"/>
  <c r="AH2010" i="3"/>
  <c r="AG2011" i="3"/>
  <c r="AH2011" i="3"/>
  <c r="AG2012" i="3"/>
  <c r="AH2012" i="3"/>
  <c r="AG2013" i="3"/>
  <c r="AH2013" i="3"/>
  <c r="AG2014" i="3"/>
  <c r="AH2014" i="3"/>
  <c r="AG2015" i="3"/>
  <c r="AH2015" i="3"/>
  <c r="AG2016" i="3"/>
  <c r="AH2016" i="3"/>
  <c r="AG2017" i="3"/>
  <c r="AH2017" i="3"/>
  <c r="AG2018" i="3"/>
  <c r="AH2018" i="3"/>
  <c r="AG2019" i="3"/>
  <c r="AH2019" i="3"/>
  <c r="AG2020" i="3"/>
  <c r="AH2020" i="3"/>
  <c r="AG2021" i="3"/>
  <c r="AH2021" i="3"/>
  <c r="AG2022" i="3"/>
  <c r="AH2022" i="3"/>
  <c r="AG2023" i="3"/>
  <c r="AH2023" i="3"/>
  <c r="AG2024" i="3"/>
  <c r="AH2024" i="3"/>
  <c r="AG2025" i="3"/>
  <c r="AH2025" i="3"/>
  <c r="AG2026" i="3"/>
  <c r="AH2026" i="3"/>
  <c r="AG2027" i="3"/>
  <c r="AH2027" i="3"/>
  <c r="AG2028" i="3"/>
  <c r="AH2028" i="3"/>
  <c r="AG2029" i="3"/>
  <c r="AH2029" i="3"/>
  <c r="AG2030" i="3"/>
  <c r="AH2030" i="3"/>
  <c r="AG2031" i="3"/>
  <c r="AH2031" i="3"/>
  <c r="AG2032" i="3"/>
  <c r="AH2032" i="3"/>
  <c r="AG2033" i="3"/>
  <c r="AH2033" i="3"/>
  <c r="AG2034" i="3"/>
  <c r="AH2034" i="3"/>
  <c r="AG2035" i="3"/>
  <c r="AH2035" i="3"/>
  <c r="AG2036" i="3"/>
  <c r="AH2036" i="3"/>
  <c r="AG2037" i="3"/>
  <c r="AH2037" i="3"/>
  <c r="AG2038" i="3"/>
  <c r="AH2038" i="3"/>
  <c r="AG2039" i="3"/>
  <c r="AH2039" i="3"/>
  <c r="AG2040" i="3"/>
  <c r="AH2040" i="3"/>
  <c r="AG2041" i="3"/>
  <c r="AH2041" i="3"/>
  <c r="AG2042" i="3"/>
  <c r="AH2042" i="3"/>
  <c r="AG2043" i="3"/>
  <c r="AH2043" i="3"/>
  <c r="AG2044" i="3"/>
  <c r="AH2044" i="3"/>
  <c r="AG2045" i="3"/>
  <c r="AH2045" i="3"/>
  <c r="AG2046" i="3"/>
  <c r="AH2046" i="3"/>
  <c r="AG2047" i="3"/>
  <c r="AH2047" i="3"/>
  <c r="AG2048" i="3"/>
  <c r="AH2048" i="3"/>
  <c r="AG2049" i="3"/>
  <c r="AH2049" i="3"/>
  <c r="AG2050" i="3"/>
  <c r="AH2050" i="3"/>
  <c r="AG2051" i="3"/>
  <c r="AH2051" i="3"/>
  <c r="AG2052" i="3"/>
  <c r="AH2052" i="3"/>
  <c r="AG2053" i="3"/>
  <c r="AH2053" i="3"/>
  <c r="AG2054" i="3"/>
  <c r="AH2054" i="3"/>
  <c r="AG2055" i="3"/>
  <c r="AH2055" i="3"/>
  <c r="AG2056" i="3"/>
  <c r="AH2056" i="3"/>
  <c r="AG2057" i="3"/>
  <c r="AH2057" i="3"/>
  <c r="AG2058" i="3"/>
  <c r="AH2058" i="3"/>
  <c r="AG2059" i="3"/>
  <c r="AH2059" i="3"/>
  <c r="AG2060" i="3"/>
  <c r="AH2060" i="3"/>
  <c r="AG2061" i="3"/>
  <c r="AH2061" i="3"/>
  <c r="AG2062" i="3"/>
  <c r="AH2062" i="3"/>
  <c r="AG2063" i="3"/>
  <c r="AH2063" i="3"/>
  <c r="AG2064" i="3"/>
  <c r="AH2064" i="3"/>
  <c r="AG2065" i="3"/>
  <c r="AH2065" i="3"/>
  <c r="AG2066" i="3"/>
  <c r="AH2066" i="3"/>
  <c r="AG2067" i="3"/>
  <c r="AH2067" i="3"/>
  <c r="AG2068" i="3"/>
  <c r="AH2068" i="3"/>
  <c r="AG2069" i="3"/>
  <c r="AH2069" i="3"/>
  <c r="AG2070" i="3"/>
  <c r="AH2070" i="3"/>
  <c r="AG2071" i="3"/>
  <c r="AH2071" i="3"/>
  <c r="AG2072" i="3"/>
  <c r="AH2072" i="3"/>
  <c r="AG2073" i="3"/>
  <c r="AH2073" i="3"/>
  <c r="AG2074" i="3"/>
  <c r="AH2074" i="3"/>
  <c r="AG2075" i="3"/>
  <c r="AH2075" i="3"/>
  <c r="AG2076" i="3"/>
  <c r="AH2076" i="3"/>
  <c r="AG2077" i="3"/>
  <c r="AH2077" i="3"/>
  <c r="AG2078" i="3"/>
  <c r="AH2078" i="3"/>
  <c r="AG2079" i="3"/>
  <c r="AH2079" i="3"/>
  <c r="AG2080" i="3"/>
  <c r="AH2080" i="3"/>
  <c r="AG2081" i="3"/>
  <c r="AH2081" i="3"/>
  <c r="AG2082" i="3"/>
  <c r="AH2082" i="3"/>
  <c r="AG2083" i="3"/>
  <c r="AH2083" i="3"/>
  <c r="AG2084" i="3"/>
  <c r="AH2084" i="3"/>
  <c r="AG2085" i="3"/>
  <c r="AH2085" i="3"/>
  <c r="AG2086" i="3"/>
  <c r="AH2086" i="3"/>
  <c r="AG2087" i="3"/>
  <c r="AH2087" i="3"/>
  <c r="AG2088" i="3"/>
  <c r="AH2088" i="3"/>
  <c r="AG2089" i="3"/>
  <c r="AH2089" i="3"/>
  <c r="AG2090" i="3"/>
  <c r="AH2090" i="3"/>
  <c r="AG2091" i="3"/>
  <c r="AH2091" i="3"/>
  <c r="AG2092" i="3"/>
  <c r="AH2092" i="3"/>
  <c r="AG2093" i="3"/>
  <c r="AH2093" i="3"/>
  <c r="AG2094" i="3"/>
  <c r="AH2094" i="3"/>
  <c r="AG2095" i="3"/>
  <c r="AH2095" i="3"/>
  <c r="AG2096" i="3"/>
  <c r="AH2096" i="3"/>
  <c r="AG2097" i="3"/>
  <c r="AH2097" i="3"/>
  <c r="AG2098" i="3"/>
  <c r="AH2098" i="3"/>
  <c r="AG2099" i="3"/>
  <c r="AH2099" i="3"/>
  <c r="AG2100" i="3"/>
  <c r="AH2100" i="3"/>
  <c r="AG2101" i="3"/>
  <c r="AH2101" i="3"/>
  <c r="AG2102" i="3"/>
  <c r="AH2102" i="3"/>
  <c r="AG2103" i="3"/>
  <c r="AH2103" i="3"/>
  <c r="AG2104" i="3"/>
  <c r="AH2104" i="3"/>
  <c r="AG2105" i="3"/>
  <c r="AH2105" i="3"/>
  <c r="AG2106" i="3"/>
  <c r="AH2106" i="3"/>
  <c r="AG2107" i="3"/>
  <c r="AH2107" i="3"/>
  <c r="AG2108" i="3"/>
  <c r="AH2108" i="3"/>
  <c r="AG2109" i="3"/>
  <c r="AH2109" i="3"/>
  <c r="AG2110" i="3"/>
  <c r="AH2110" i="3"/>
  <c r="AG2111" i="3"/>
  <c r="AH2111" i="3"/>
  <c r="AG2112" i="3"/>
  <c r="AH2112" i="3"/>
  <c r="AG2113" i="3"/>
  <c r="AH2113" i="3"/>
  <c r="AG2114" i="3"/>
  <c r="AH2114" i="3"/>
  <c r="AG2115" i="3"/>
  <c r="AH2115" i="3"/>
  <c r="AG2116" i="3"/>
  <c r="AH2116" i="3"/>
  <c r="AG2117" i="3"/>
  <c r="AH2117" i="3"/>
  <c r="AG2118" i="3"/>
  <c r="AH2118" i="3"/>
  <c r="AG2119" i="3"/>
  <c r="AH2119" i="3"/>
  <c r="AG2120" i="3"/>
  <c r="AH2120" i="3"/>
  <c r="AG2121" i="3"/>
  <c r="AH2121" i="3"/>
  <c r="AG2122" i="3"/>
  <c r="AH2122" i="3"/>
  <c r="AG2123" i="3"/>
  <c r="AH2123" i="3"/>
  <c r="AG2124" i="3"/>
  <c r="AH2124" i="3"/>
  <c r="AG2125" i="3"/>
  <c r="AH2125" i="3"/>
  <c r="AG2126" i="3"/>
  <c r="AH2126" i="3"/>
  <c r="AG2127" i="3"/>
  <c r="AH2127" i="3"/>
  <c r="AG2128" i="3"/>
  <c r="AH2128" i="3"/>
  <c r="AG2129" i="3"/>
  <c r="AH2129" i="3"/>
  <c r="AG2130" i="3"/>
  <c r="AH2130" i="3"/>
  <c r="AG2131" i="3"/>
  <c r="AH2131" i="3"/>
  <c r="AG2132" i="3"/>
  <c r="AH2132" i="3"/>
  <c r="AG2133" i="3"/>
  <c r="AH2133" i="3"/>
  <c r="AG2134" i="3"/>
  <c r="AH2134" i="3"/>
  <c r="AG2135" i="3"/>
  <c r="AH2135" i="3"/>
  <c r="AG2136" i="3"/>
  <c r="AH2136" i="3"/>
  <c r="AG2137" i="3"/>
  <c r="AH2137" i="3"/>
  <c r="AG2138" i="3"/>
  <c r="AH2138" i="3"/>
  <c r="AG2139" i="3"/>
  <c r="AH2139" i="3"/>
  <c r="AG2140" i="3"/>
  <c r="AH2140" i="3"/>
  <c r="AG2141" i="3"/>
  <c r="AH2141" i="3"/>
  <c r="AG2142" i="3"/>
  <c r="AH2142" i="3"/>
  <c r="AG2143" i="3"/>
  <c r="AH2143" i="3"/>
  <c r="AG2144" i="3"/>
  <c r="AH2144" i="3"/>
  <c r="AG2145" i="3"/>
  <c r="AH2145" i="3"/>
  <c r="AG2146" i="3"/>
  <c r="AH2146" i="3"/>
  <c r="AG2147" i="3"/>
  <c r="AH2147" i="3"/>
  <c r="AG2148" i="3"/>
  <c r="AH2148" i="3"/>
  <c r="AG2149" i="3"/>
  <c r="AH2149" i="3"/>
  <c r="AG2150" i="3"/>
  <c r="AH2150" i="3"/>
  <c r="AG2151" i="3"/>
  <c r="AH2151" i="3"/>
  <c r="AG2152" i="3"/>
  <c r="AH2152" i="3"/>
  <c r="AG2153" i="3"/>
  <c r="AH2153" i="3"/>
  <c r="AG2154" i="3"/>
  <c r="AH2154" i="3"/>
  <c r="AG2155" i="3"/>
  <c r="AH2155" i="3"/>
  <c r="AG2156" i="3"/>
  <c r="AH2156" i="3"/>
  <c r="AG2157" i="3"/>
  <c r="AH2157" i="3"/>
  <c r="AG2158" i="3"/>
  <c r="AH2158" i="3"/>
  <c r="AG2159" i="3"/>
  <c r="AH2159" i="3"/>
  <c r="AG2160" i="3"/>
  <c r="AH2160" i="3"/>
  <c r="AG2161" i="3"/>
  <c r="AH2161" i="3"/>
  <c r="AG2162" i="3"/>
  <c r="AH2162" i="3"/>
  <c r="AG2163" i="3"/>
  <c r="AH2163" i="3"/>
  <c r="AG2164" i="3"/>
  <c r="AH2164" i="3"/>
  <c r="AG2165" i="3"/>
  <c r="AH2165" i="3"/>
  <c r="AG2166" i="3"/>
  <c r="AH2166" i="3"/>
  <c r="AG2167" i="3"/>
  <c r="AH2167" i="3"/>
  <c r="AG2168" i="3"/>
  <c r="AH2168" i="3"/>
  <c r="AG2169" i="3"/>
  <c r="AH2169" i="3"/>
  <c r="AG2170" i="3"/>
  <c r="AH2170" i="3"/>
  <c r="AG2171" i="3"/>
  <c r="AH2171" i="3"/>
  <c r="AG2172" i="3"/>
  <c r="AH2172" i="3"/>
  <c r="AG2173" i="3"/>
  <c r="AH2173" i="3"/>
  <c r="AG2174" i="3"/>
  <c r="AH2174" i="3"/>
  <c r="AG2175" i="3"/>
  <c r="AH2175" i="3"/>
  <c r="AG2176" i="3"/>
  <c r="AH2176" i="3"/>
  <c r="AG2177" i="3"/>
  <c r="AH2177" i="3"/>
  <c r="AG2178" i="3"/>
  <c r="AH2178" i="3"/>
  <c r="AG2179" i="3"/>
  <c r="AH2179" i="3"/>
  <c r="AG2180" i="3"/>
  <c r="AH2180" i="3"/>
  <c r="AG2181" i="3"/>
  <c r="AH2181" i="3"/>
  <c r="AG2182" i="3"/>
  <c r="AH2182" i="3"/>
  <c r="AG2183" i="3"/>
  <c r="AH2183" i="3"/>
  <c r="AG2184" i="3"/>
  <c r="AH2184" i="3"/>
  <c r="AG2185" i="3"/>
  <c r="AH2185" i="3"/>
  <c r="AG2186" i="3"/>
  <c r="AH2186" i="3"/>
  <c r="AG2187" i="3"/>
  <c r="AH2187" i="3"/>
  <c r="AG2188" i="3"/>
  <c r="AH2188" i="3"/>
  <c r="AG2189" i="3"/>
  <c r="AH2189" i="3"/>
  <c r="AG2190" i="3"/>
  <c r="AH2190" i="3"/>
  <c r="AG2191" i="3"/>
  <c r="AH2191" i="3"/>
  <c r="AG2192" i="3"/>
  <c r="AH2192" i="3"/>
  <c r="AG2193" i="3"/>
  <c r="AH2193" i="3"/>
  <c r="AG2194" i="3"/>
  <c r="AH2194" i="3"/>
  <c r="AG2195" i="3"/>
  <c r="AH2195" i="3"/>
  <c r="AG2196" i="3"/>
  <c r="AH2196" i="3"/>
  <c r="AG2197" i="3"/>
  <c r="AH2197" i="3"/>
  <c r="AG2198" i="3"/>
  <c r="AH2198" i="3"/>
  <c r="AG2199" i="3"/>
  <c r="AH2199" i="3"/>
  <c r="AG2200" i="3"/>
  <c r="AH2200" i="3"/>
  <c r="AG2201" i="3"/>
  <c r="AH2201" i="3"/>
  <c r="AG2202" i="3"/>
  <c r="AH2202" i="3"/>
  <c r="AG2203" i="3"/>
  <c r="AH2203" i="3"/>
  <c r="AG2204" i="3"/>
  <c r="AH2204" i="3"/>
  <c r="AG2205" i="3"/>
  <c r="AH2205" i="3"/>
  <c r="AG2206" i="3"/>
  <c r="AH2206" i="3"/>
  <c r="AG2207" i="3"/>
  <c r="AH2207" i="3"/>
  <c r="AG2208" i="3"/>
  <c r="AH2208" i="3"/>
  <c r="AG2209" i="3"/>
  <c r="AH2209" i="3"/>
  <c r="AG2210" i="3"/>
  <c r="AH2210" i="3"/>
  <c r="AG2211" i="3"/>
  <c r="AH2211" i="3"/>
  <c r="AG2212" i="3"/>
  <c r="AH2212" i="3"/>
  <c r="AG2213" i="3"/>
  <c r="AH2213" i="3"/>
  <c r="AG2214" i="3"/>
  <c r="AH2214" i="3"/>
  <c r="AG2215" i="3"/>
  <c r="AH2215" i="3"/>
  <c r="AG2216" i="3"/>
  <c r="AH2216" i="3"/>
  <c r="AG2217" i="3"/>
  <c r="AH2217" i="3"/>
  <c r="AG2218" i="3"/>
  <c r="AH2218" i="3"/>
  <c r="AG2219" i="3"/>
  <c r="AH2219" i="3"/>
  <c r="AG2220" i="3"/>
  <c r="AH2220" i="3"/>
  <c r="AG2221" i="3"/>
  <c r="AH2221" i="3"/>
  <c r="AG2222" i="3"/>
  <c r="AH2222" i="3"/>
  <c r="AG2223" i="3"/>
  <c r="AH2223" i="3"/>
  <c r="AG2224" i="3"/>
  <c r="AH2224" i="3"/>
  <c r="AG2225" i="3"/>
  <c r="AH2225" i="3"/>
  <c r="AG2226" i="3"/>
  <c r="AH2226" i="3"/>
  <c r="AG2227" i="3"/>
  <c r="AH2227" i="3"/>
  <c r="AG2228" i="3"/>
  <c r="AH2228" i="3"/>
  <c r="AG2229" i="3"/>
  <c r="AH2229" i="3"/>
  <c r="AG2230" i="3"/>
  <c r="AH2230" i="3"/>
  <c r="AG2231" i="3"/>
  <c r="AH2231" i="3"/>
  <c r="AG2232" i="3"/>
  <c r="AH2232" i="3"/>
  <c r="AG2233" i="3"/>
  <c r="AH2233" i="3"/>
  <c r="AG2234" i="3"/>
  <c r="AH2234" i="3"/>
  <c r="AG2235" i="3"/>
  <c r="AH2235" i="3"/>
  <c r="AG2236" i="3"/>
  <c r="AH2236" i="3"/>
  <c r="AG2237" i="3"/>
  <c r="AH2237" i="3"/>
  <c r="AG2238" i="3"/>
  <c r="AH2238" i="3"/>
  <c r="AG2239" i="3"/>
  <c r="AH2239" i="3"/>
  <c r="AG2240" i="3"/>
  <c r="AH2240" i="3"/>
  <c r="AG2241" i="3"/>
  <c r="AH2241" i="3"/>
  <c r="AG2242" i="3"/>
  <c r="AH2242" i="3"/>
  <c r="AG2243" i="3"/>
  <c r="AH2243" i="3"/>
  <c r="AG2244" i="3"/>
  <c r="AH2244" i="3"/>
  <c r="AG2245" i="3"/>
  <c r="AH2245" i="3"/>
  <c r="AG2246" i="3"/>
  <c r="AH2246" i="3"/>
  <c r="AG2247" i="3"/>
  <c r="AH2247" i="3"/>
  <c r="AG2248" i="3"/>
  <c r="AH2248" i="3"/>
  <c r="AG2249" i="3"/>
  <c r="AH2249" i="3"/>
  <c r="AG2250" i="3"/>
  <c r="AH2250" i="3"/>
  <c r="AG2251" i="3"/>
  <c r="AH2251" i="3"/>
  <c r="AG2252" i="3"/>
  <c r="AH2252" i="3"/>
  <c r="AG2253" i="3"/>
  <c r="AH2253" i="3"/>
  <c r="AG2254" i="3"/>
  <c r="AH2254" i="3"/>
  <c r="AG2255" i="3"/>
  <c r="AH2255" i="3"/>
  <c r="AG2256" i="3"/>
  <c r="AH2256" i="3"/>
  <c r="AG2257" i="3"/>
  <c r="AH2257" i="3"/>
  <c r="AG2258" i="3"/>
  <c r="AH2258" i="3"/>
  <c r="AG2259" i="3"/>
  <c r="AH2259" i="3"/>
  <c r="AG2260" i="3"/>
  <c r="AH2260" i="3"/>
  <c r="AG2261" i="3"/>
  <c r="AH2261" i="3"/>
  <c r="AG2262" i="3"/>
  <c r="AH2262" i="3"/>
  <c r="AG2263" i="3"/>
  <c r="AH2263" i="3"/>
  <c r="AG2264" i="3"/>
  <c r="AH2264" i="3"/>
  <c r="AG2265" i="3"/>
  <c r="AH2265" i="3"/>
  <c r="AG2266" i="3"/>
  <c r="AH2266" i="3"/>
  <c r="AG2267" i="3"/>
  <c r="AH2267" i="3"/>
  <c r="AG2268" i="3"/>
  <c r="AH2268" i="3"/>
  <c r="AG2269" i="3"/>
  <c r="AH2269" i="3"/>
  <c r="AG2270" i="3"/>
  <c r="AH2270" i="3"/>
  <c r="AG2271" i="3"/>
  <c r="AH2271" i="3"/>
  <c r="AG2272" i="3"/>
  <c r="AH2272" i="3"/>
  <c r="AG2273" i="3"/>
  <c r="AH2273" i="3"/>
  <c r="AG2274" i="3"/>
  <c r="AH2274" i="3"/>
  <c r="AG2275" i="3"/>
  <c r="AH2275" i="3"/>
  <c r="AG2276" i="3"/>
  <c r="AH2276" i="3"/>
  <c r="AG2277" i="3"/>
  <c r="AH2277" i="3"/>
  <c r="AG2278" i="3"/>
  <c r="AH2278" i="3"/>
  <c r="AG2279" i="3"/>
  <c r="AH2279" i="3"/>
  <c r="AG2280" i="3"/>
  <c r="AH2280" i="3"/>
  <c r="AG2281" i="3"/>
  <c r="AH2281" i="3"/>
  <c r="AG2282" i="3"/>
  <c r="AH2282" i="3"/>
  <c r="AG2283" i="3"/>
  <c r="AH2283" i="3"/>
  <c r="AG2284" i="3"/>
  <c r="AH2284" i="3"/>
  <c r="AG2285" i="3"/>
  <c r="AH2285" i="3"/>
  <c r="AG2286" i="3"/>
  <c r="AH2286" i="3"/>
  <c r="AG2287" i="3"/>
  <c r="AH2287" i="3"/>
  <c r="AG2288" i="3"/>
  <c r="AH2288" i="3"/>
  <c r="AG2289" i="3"/>
  <c r="AH2289" i="3"/>
  <c r="AG2290" i="3"/>
  <c r="AH2290" i="3"/>
  <c r="AG2291" i="3"/>
  <c r="AH2291" i="3"/>
  <c r="AG2292" i="3"/>
  <c r="AH2292" i="3"/>
  <c r="AG2293" i="3"/>
  <c r="AH2293" i="3"/>
  <c r="AG2294" i="3"/>
  <c r="AH2294" i="3"/>
  <c r="AG2295" i="3"/>
  <c r="AH2295" i="3"/>
  <c r="AG2296" i="3"/>
  <c r="AH2296" i="3"/>
  <c r="AG2297" i="3"/>
  <c r="AH2297" i="3"/>
  <c r="AG2298" i="3"/>
  <c r="AH2298" i="3"/>
  <c r="AG2299" i="3"/>
  <c r="AH2299" i="3"/>
  <c r="AG2300" i="3"/>
  <c r="AH2300" i="3"/>
  <c r="AG2301" i="3"/>
  <c r="AH2301" i="3"/>
  <c r="AG2302" i="3"/>
  <c r="AH2302" i="3"/>
  <c r="AG2303" i="3"/>
  <c r="AH2303" i="3"/>
  <c r="AG2304" i="3"/>
  <c r="AH2304" i="3"/>
  <c r="AG2305" i="3"/>
  <c r="AH2305" i="3"/>
  <c r="AG2306" i="3"/>
  <c r="AH2306" i="3"/>
  <c r="AG2307" i="3"/>
  <c r="AH2307" i="3"/>
  <c r="AG2308" i="3"/>
  <c r="AH2308" i="3"/>
  <c r="AG2309" i="3"/>
  <c r="AH2309" i="3"/>
  <c r="AG2310" i="3"/>
  <c r="AH2310" i="3"/>
  <c r="AG2311" i="3"/>
  <c r="AH2311" i="3"/>
  <c r="AG2312" i="3"/>
  <c r="AH2312" i="3"/>
  <c r="AG2313" i="3"/>
  <c r="AH2313" i="3"/>
  <c r="AG2314" i="3"/>
  <c r="AH2314" i="3"/>
  <c r="AG2315" i="3"/>
  <c r="AH2315" i="3"/>
  <c r="AG2316" i="3"/>
  <c r="AH2316" i="3"/>
  <c r="AG2317" i="3"/>
  <c r="AH2317" i="3"/>
  <c r="AG2318" i="3"/>
  <c r="AH2318" i="3"/>
  <c r="AG2319" i="3"/>
  <c r="AH2319" i="3"/>
  <c r="AG2320" i="3"/>
  <c r="AH2320" i="3"/>
  <c r="AG2321" i="3"/>
  <c r="AH2321" i="3"/>
  <c r="AG2322" i="3"/>
  <c r="AH2322" i="3"/>
  <c r="AG2323" i="3"/>
  <c r="AH2323" i="3"/>
  <c r="AG2324" i="3"/>
  <c r="AH2324" i="3"/>
  <c r="AG2325" i="3"/>
  <c r="AH2325" i="3"/>
  <c r="AG2326" i="3"/>
  <c r="AH2326" i="3"/>
  <c r="AG2327" i="3"/>
  <c r="AH2327" i="3"/>
  <c r="AG2328" i="3"/>
  <c r="AH2328" i="3"/>
  <c r="AG2329" i="3"/>
  <c r="AH2329" i="3"/>
  <c r="AG2330" i="3"/>
  <c r="AH2330" i="3"/>
  <c r="AG2331" i="3"/>
  <c r="AH2331" i="3"/>
  <c r="AG2332" i="3"/>
  <c r="AH2332" i="3"/>
  <c r="AG2333" i="3"/>
  <c r="AH2333" i="3"/>
  <c r="AG2334" i="3"/>
  <c r="AH2334" i="3"/>
  <c r="AG2335" i="3"/>
  <c r="AH2335" i="3"/>
  <c r="AG2336" i="3"/>
  <c r="AH2336" i="3"/>
  <c r="AG2337" i="3"/>
  <c r="AH2337" i="3"/>
  <c r="AG2338" i="3"/>
  <c r="AH2338" i="3"/>
  <c r="AG2339" i="3"/>
  <c r="AH2339" i="3"/>
  <c r="AG2340" i="3"/>
  <c r="AH2340" i="3"/>
  <c r="AG2341" i="3"/>
  <c r="AH2341" i="3"/>
  <c r="AG2342" i="3"/>
  <c r="AH2342" i="3"/>
  <c r="AG2343" i="3"/>
  <c r="AH2343" i="3"/>
  <c r="AG2344" i="3"/>
  <c r="AH2344" i="3"/>
  <c r="AG2345" i="3"/>
  <c r="AH2345" i="3"/>
  <c r="AG2346" i="3"/>
  <c r="AH2346" i="3"/>
  <c r="AG2347" i="3"/>
  <c r="AH2347" i="3"/>
  <c r="AG2348" i="3"/>
  <c r="AH2348" i="3"/>
  <c r="AG2349" i="3"/>
  <c r="AH2349" i="3"/>
  <c r="AG2350" i="3"/>
  <c r="AH2350" i="3"/>
  <c r="AG2351" i="3"/>
  <c r="AH2351" i="3"/>
  <c r="AG2352" i="3"/>
  <c r="AH2352" i="3"/>
  <c r="AG2353" i="3"/>
  <c r="AH2353" i="3"/>
  <c r="AG2354" i="3"/>
  <c r="AH2354" i="3"/>
  <c r="AG2355" i="3"/>
  <c r="AH2355" i="3"/>
  <c r="AG2356" i="3"/>
  <c r="AH2356" i="3"/>
  <c r="AG2357" i="3"/>
  <c r="AH2357" i="3"/>
  <c r="AG2358" i="3"/>
  <c r="AH2358" i="3"/>
  <c r="AG2359" i="3"/>
  <c r="AH2359" i="3"/>
  <c r="AG2360" i="3"/>
  <c r="AH2360" i="3"/>
  <c r="AG2361" i="3"/>
  <c r="AH2361" i="3"/>
  <c r="AG2362" i="3"/>
  <c r="AH2362" i="3"/>
  <c r="AG2363" i="3"/>
  <c r="AH2363" i="3"/>
  <c r="AG2364" i="3"/>
  <c r="AH2364" i="3"/>
  <c r="AG2365" i="3"/>
  <c r="AH2365" i="3"/>
  <c r="AG2366" i="3"/>
  <c r="AH2366" i="3"/>
  <c r="AG2367" i="3"/>
  <c r="AH2367" i="3"/>
  <c r="AG2368" i="3"/>
  <c r="AH2368" i="3"/>
  <c r="AG2369" i="3"/>
  <c r="AH2369" i="3"/>
  <c r="AG2370" i="3"/>
  <c r="AH2370" i="3"/>
  <c r="AG2371" i="3"/>
  <c r="AH2371" i="3"/>
  <c r="AG2372" i="3"/>
  <c r="AH2372" i="3"/>
  <c r="AG2373" i="3"/>
  <c r="AH2373" i="3"/>
  <c r="AG2374" i="3"/>
  <c r="AH2374" i="3"/>
  <c r="AG2375" i="3"/>
  <c r="AH2375" i="3"/>
  <c r="AG2376" i="3"/>
  <c r="AH2376" i="3"/>
  <c r="AG2377" i="3"/>
  <c r="AH2377" i="3"/>
  <c r="AG2378" i="3"/>
  <c r="AH2378" i="3"/>
  <c r="AG2379" i="3"/>
  <c r="AH2379" i="3"/>
  <c r="AG2380" i="3"/>
  <c r="AH2380" i="3"/>
  <c r="AG2381" i="3"/>
  <c r="AH2381" i="3"/>
  <c r="AG2382" i="3"/>
  <c r="AH2382" i="3"/>
  <c r="AG2383" i="3"/>
  <c r="AH2383" i="3"/>
  <c r="AG2384" i="3"/>
  <c r="AH2384" i="3"/>
  <c r="AG2385" i="3"/>
  <c r="AH2385" i="3"/>
  <c r="AG2386" i="3"/>
  <c r="AH2386" i="3"/>
  <c r="AG2387" i="3"/>
  <c r="AH2387" i="3"/>
  <c r="AG2388" i="3"/>
  <c r="AH2388" i="3"/>
  <c r="AG2389" i="3"/>
  <c r="AH2389" i="3"/>
  <c r="AG2390" i="3"/>
  <c r="AH2390" i="3"/>
  <c r="AG2391" i="3"/>
  <c r="AH2391" i="3"/>
  <c r="AG2392" i="3"/>
  <c r="AH2392" i="3"/>
  <c r="AG2393" i="3"/>
  <c r="AH2393" i="3"/>
  <c r="AG2394" i="3"/>
  <c r="AH2394" i="3"/>
  <c r="AG2395" i="3"/>
  <c r="AH2395" i="3"/>
  <c r="AG2396" i="3"/>
  <c r="AH2396" i="3"/>
  <c r="AG2397" i="3"/>
  <c r="AH2397" i="3"/>
  <c r="AG2398" i="3"/>
  <c r="AH2398" i="3"/>
  <c r="AG2399" i="3"/>
  <c r="AH2399" i="3"/>
  <c r="AG2400" i="3"/>
  <c r="AH2400" i="3"/>
  <c r="AG2401" i="3"/>
  <c r="AH2401" i="3"/>
  <c r="AG2402" i="3"/>
  <c r="AH2402" i="3"/>
  <c r="AG2403" i="3"/>
  <c r="AH2403" i="3"/>
  <c r="AG2404" i="3"/>
  <c r="AH2404" i="3"/>
  <c r="AG2405" i="3"/>
  <c r="AH2405" i="3"/>
  <c r="AG2406" i="3"/>
  <c r="AH2406" i="3"/>
  <c r="AG2407" i="3"/>
  <c r="AH2407" i="3"/>
  <c r="AG2408" i="3"/>
  <c r="AH2408" i="3"/>
  <c r="AG2409" i="3"/>
  <c r="AH2409" i="3"/>
  <c r="AG2410" i="3"/>
  <c r="AH2410" i="3"/>
  <c r="AG2411" i="3"/>
  <c r="AH2411" i="3"/>
  <c r="AG2412" i="3"/>
  <c r="AH2412" i="3"/>
  <c r="AG2413" i="3"/>
  <c r="AH2413" i="3"/>
  <c r="AG2414" i="3"/>
  <c r="AH2414" i="3"/>
  <c r="AG2415" i="3"/>
  <c r="AH2415" i="3"/>
  <c r="AG2416" i="3"/>
  <c r="AH2416" i="3"/>
  <c r="AG2417" i="3"/>
  <c r="AH2417" i="3"/>
  <c r="AG2418" i="3"/>
  <c r="AH2418" i="3"/>
  <c r="AG2419" i="3"/>
  <c r="AH2419" i="3"/>
  <c r="AG2420" i="3"/>
  <c r="AH2420" i="3"/>
  <c r="AG2421" i="3"/>
  <c r="AH2421" i="3"/>
  <c r="AG2422" i="3"/>
  <c r="AH2422" i="3"/>
  <c r="AG2423" i="3"/>
  <c r="AH2423" i="3"/>
  <c r="AG2424" i="3"/>
  <c r="AH2424" i="3"/>
  <c r="AG2425" i="3"/>
  <c r="AH2425" i="3"/>
  <c r="AG2426" i="3"/>
  <c r="AH2426" i="3"/>
  <c r="AG2427" i="3"/>
  <c r="AH2427" i="3"/>
  <c r="AG2428" i="3"/>
  <c r="AH2428" i="3"/>
  <c r="AG2429" i="3"/>
  <c r="AH2429" i="3"/>
  <c r="AG2430" i="3"/>
  <c r="AH2430" i="3"/>
  <c r="AG2431" i="3"/>
  <c r="AH2431" i="3"/>
  <c r="AG2432" i="3"/>
  <c r="AH2432" i="3"/>
  <c r="AG2433" i="3"/>
  <c r="AH2433" i="3"/>
  <c r="AG2434" i="3"/>
  <c r="AH2434" i="3"/>
  <c r="AG2435" i="3"/>
  <c r="AH2435" i="3"/>
  <c r="AG2436" i="3"/>
  <c r="AH2436" i="3"/>
  <c r="AG2437" i="3"/>
  <c r="AH2437" i="3"/>
  <c r="AG2438" i="3"/>
  <c r="AH2438" i="3"/>
  <c r="AG2439" i="3"/>
  <c r="AH2439" i="3"/>
  <c r="AG2440" i="3"/>
  <c r="AH2440" i="3"/>
  <c r="AG2441" i="3"/>
  <c r="AH2441" i="3"/>
  <c r="AG2442" i="3"/>
  <c r="AH2442" i="3"/>
  <c r="AG2443" i="3"/>
  <c r="AH2443" i="3"/>
  <c r="AG2444" i="3"/>
  <c r="AH2444" i="3"/>
  <c r="AG2445" i="3"/>
  <c r="AH2445" i="3"/>
  <c r="AG2446" i="3"/>
  <c r="AH2446" i="3"/>
  <c r="AG2447" i="3"/>
  <c r="AH2447" i="3"/>
  <c r="AG2448" i="3"/>
  <c r="AH2448" i="3"/>
  <c r="AG2449" i="3"/>
  <c r="AH2449" i="3"/>
  <c r="AG2450" i="3"/>
  <c r="AH2450" i="3"/>
  <c r="AG2451" i="3"/>
  <c r="AH2451" i="3"/>
  <c r="AG2452" i="3"/>
  <c r="AH2452" i="3"/>
  <c r="AG2453" i="3"/>
  <c r="AH2453" i="3"/>
  <c r="AG2454" i="3"/>
  <c r="AH2454" i="3"/>
  <c r="AG2455" i="3"/>
  <c r="AH2455" i="3"/>
  <c r="AG2456" i="3"/>
  <c r="AH2456" i="3"/>
  <c r="AG2457" i="3"/>
  <c r="AH2457" i="3"/>
  <c r="AG2458" i="3"/>
  <c r="AH2458" i="3"/>
  <c r="AG2459" i="3"/>
  <c r="AH2459" i="3"/>
  <c r="AG2460" i="3"/>
  <c r="AH2460" i="3"/>
  <c r="AG2461" i="3"/>
  <c r="AH2461" i="3"/>
  <c r="AG2462" i="3"/>
  <c r="AH2462" i="3"/>
  <c r="AG2463" i="3"/>
  <c r="AH2463" i="3"/>
  <c r="AG2464" i="3"/>
  <c r="AH2464" i="3"/>
  <c r="AG2465" i="3"/>
  <c r="AH2465" i="3"/>
  <c r="AG2466" i="3"/>
  <c r="AH2466" i="3"/>
  <c r="AG2467" i="3"/>
  <c r="AH2467" i="3"/>
  <c r="AG2468" i="3"/>
  <c r="AH2468" i="3"/>
  <c r="AG2469" i="3"/>
  <c r="AH2469" i="3"/>
  <c r="AG2470" i="3"/>
  <c r="AH2470" i="3"/>
  <c r="AG2471" i="3"/>
  <c r="AH2471" i="3"/>
  <c r="AG2472" i="3"/>
  <c r="AH2472" i="3"/>
  <c r="AG2473" i="3"/>
  <c r="AH2473" i="3"/>
  <c r="AG2474" i="3"/>
  <c r="AH2474" i="3"/>
  <c r="AG2475" i="3"/>
  <c r="AH2475" i="3"/>
  <c r="AG2476" i="3"/>
  <c r="AH2476" i="3"/>
  <c r="AG2477" i="3"/>
  <c r="AH2477" i="3"/>
  <c r="AG2478" i="3"/>
  <c r="AH2478" i="3"/>
  <c r="AG2479" i="3"/>
  <c r="AH2479" i="3"/>
  <c r="AG2480" i="3"/>
  <c r="AH2480" i="3"/>
  <c r="AG2481" i="3"/>
  <c r="AH2481" i="3"/>
  <c r="AG2482" i="3"/>
  <c r="AH2482" i="3"/>
  <c r="AG2483" i="3"/>
  <c r="AH2483" i="3"/>
  <c r="AG2484" i="3"/>
  <c r="AH2484" i="3"/>
  <c r="AG2485" i="3"/>
  <c r="AH2485" i="3"/>
  <c r="AG2486" i="3"/>
  <c r="AH2486" i="3"/>
  <c r="AG2487" i="3"/>
  <c r="AH2487" i="3"/>
  <c r="AG2488" i="3"/>
  <c r="AH2488" i="3"/>
  <c r="AG2489" i="3"/>
  <c r="AH2489" i="3"/>
  <c r="AG2490" i="3"/>
  <c r="AH2490" i="3"/>
  <c r="AG2491" i="3"/>
  <c r="AH2491" i="3"/>
  <c r="AG2492" i="3"/>
  <c r="AH2492" i="3"/>
  <c r="AG2493" i="3"/>
  <c r="AH2493" i="3"/>
  <c r="AG2494" i="3"/>
  <c r="AH2494" i="3"/>
  <c r="AG2495" i="3"/>
  <c r="AH2495" i="3"/>
  <c r="AG2496" i="3"/>
  <c r="AH2496" i="3"/>
  <c r="AG2497" i="3"/>
  <c r="AH2497" i="3"/>
  <c r="AG2498" i="3"/>
  <c r="AH2498" i="3"/>
  <c r="AG2499" i="3"/>
  <c r="AH2499" i="3"/>
  <c r="AG2500" i="3"/>
  <c r="AH2500" i="3"/>
  <c r="AG2501" i="3"/>
  <c r="AH2501" i="3"/>
  <c r="AG2502" i="3"/>
  <c r="AH2502" i="3"/>
  <c r="AG2503" i="3"/>
  <c r="AH2503" i="3"/>
  <c r="AG2504" i="3"/>
  <c r="AH2504" i="3"/>
  <c r="AG2505" i="3"/>
  <c r="AH2505" i="3"/>
  <c r="AG2506" i="3"/>
  <c r="AH2506" i="3"/>
  <c r="AG2507" i="3"/>
  <c r="AH2507" i="3"/>
  <c r="AG2508" i="3"/>
  <c r="AH2508" i="3"/>
  <c r="AG2509" i="3"/>
  <c r="AH2509" i="3"/>
  <c r="AG2510" i="3"/>
  <c r="AH2510" i="3"/>
  <c r="AG2511" i="3"/>
  <c r="AH2511" i="3"/>
  <c r="AG2512" i="3"/>
  <c r="AH2512" i="3"/>
  <c r="AG2513" i="3"/>
  <c r="AH2513" i="3"/>
  <c r="AG2514" i="3"/>
  <c r="AH2514" i="3"/>
  <c r="AG2515" i="3"/>
  <c r="AH2515" i="3"/>
  <c r="AG2516" i="3"/>
  <c r="AH2516" i="3"/>
  <c r="AG2517" i="3"/>
  <c r="AH2517" i="3"/>
  <c r="AG2518" i="3"/>
  <c r="AH2518" i="3"/>
  <c r="AG2519" i="3"/>
  <c r="AH2519" i="3"/>
  <c r="AG2520" i="3"/>
  <c r="AH2520" i="3"/>
  <c r="AG2521" i="3"/>
  <c r="AH2521" i="3"/>
  <c r="AG2522" i="3"/>
  <c r="AH2522" i="3"/>
  <c r="AG2523" i="3"/>
  <c r="AH2523" i="3"/>
  <c r="AG2524" i="3"/>
  <c r="AH2524" i="3"/>
  <c r="AG2525" i="3"/>
  <c r="AH2525" i="3"/>
  <c r="AG2526" i="3"/>
  <c r="AH2526" i="3"/>
  <c r="AG2527" i="3"/>
  <c r="AH2527" i="3"/>
  <c r="AG2528" i="3"/>
  <c r="AH2528" i="3"/>
  <c r="AG2529" i="3"/>
  <c r="AH2529" i="3"/>
  <c r="AG2530" i="3"/>
  <c r="AH2530" i="3"/>
  <c r="AG2531" i="3"/>
  <c r="AH2531" i="3"/>
  <c r="AG2532" i="3"/>
  <c r="AH2532" i="3"/>
  <c r="AG2533" i="3"/>
  <c r="AH2533" i="3"/>
  <c r="AG2534" i="3"/>
  <c r="AH2534" i="3"/>
  <c r="AG2535" i="3"/>
  <c r="AH2535" i="3"/>
  <c r="AG2536" i="3"/>
  <c r="AH2536" i="3"/>
  <c r="AG2537" i="3"/>
  <c r="AH2537" i="3"/>
  <c r="AG2538" i="3"/>
  <c r="AH2538" i="3"/>
  <c r="AG2539" i="3"/>
  <c r="AH2539" i="3"/>
  <c r="AG2540" i="3"/>
  <c r="AH2540" i="3"/>
  <c r="AG2541" i="3"/>
  <c r="AH2541" i="3"/>
  <c r="AG2542" i="3"/>
  <c r="AH2542" i="3"/>
  <c r="AG2543" i="3"/>
  <c r="AH2543" i="3"/>
  <c r="AG2544" i="3"/>
  <c r="AH2544" i="3"/>
  <c r="AG2545" i="3"/>
  <c r="AH2545" i="3"/>
  <c r="AG2546" i="3"/>
  <c r="AH2546" i="3"/>
  <c r="AG2547" i="3"/>
  <c r="AH2547" i="3"/>
  <c r="AG2548" i="3"/>
  <c r="AH2548" i="3"/>
  <c r="AG2549" i="3"/>
  <c r="AH2549" i="3"/>
  <c r="AG2550" i="3"/>
  <c r="AH2550" i="3"/>
  <c r="AG2551" i="3"/>
  <c r="AH2551" i="3"/>
  <c r="AG2552" i="3"/>
  <c r="AH2552" i="3"/>
  <c r="AG2553" i="3"/>
  <c r="AH2553" i="3"/>
  <c r="AG2554" i="3"/>
  <c r="AH2554" i="3"/>
  <c r="AG2555" i="3"/>
  <c r="AH2555" i="3"/>
  <c r="AG2556" i="3"/>
  <c r="AH2556" i="3"/>
  <c r="AG2557" i="3"/>
  <c r="AH2557" i="3"/>
  <c r="AG2558" i="3"/>
  <c r="AH2558" i="3"/>
  <c r="AG2559" i="3"/>
  <c r="AH2559" i="3"/>
  <c r="AG2560" i="3"/>
  <c r="AH2560" i="3"/>
  <c r="AG2561" i="3"/>
  <c r="AH2561" i="3"/>
  <c r="AG2562" i="3"/>
  <c r="AH2562" i="3"/>
  <c r="AG2563" i="3"/>
  <c r="AH2563" i="3"/>
  <c r="AG2564" i="3"/>
  <c r="AH2564" i="3"/>
  <c r="AG2565" i="3"/>
  <c r="AH2565" i="3"/>
  <c r="AG2566" i="3"/>
  <c r="AH2566" i="3"/>
  <c r="AG2567" i="3"/>
  <c r="AH2567" i="3"/>
  <c r="AG2568" i="3"/>
  <c r="AH2568" i="3"/>
  <c r="AG2569" i="3"/>
  <c r="AH2569" i="3"/>
  <c r="AG2570" i="3"/>
  <c r="AH2570" i="3"/>
  <c r="AG2571" i="3"/>
  <c r="AH2571" i="3"/>
  <c r="AG2572" i="3"/>
  <c r="AH2572" i="3"/>
  <c r="AG2573" i="3"/>
  <c r="AH2573" i="3"/>
  <c r="AG2574" i="3"/>
  <c r="AH2574" i="3"/>
  <c r="AG2575" i="3"/>
  <c r="AH2575" i="3"/>
  <c r="AG2576" i="3"/>
  <c r="AH2576" i="3"/>
  <c r="AG2577" i="3"/>
  <c r="AH2577" i="3"/>
  <c r="AG2578" i="3"/>
  <c r="AH2578" i="3"/>
  <c r="AG2579" i="3"/>
  <c r="AH2579" i="3"/>
  <c r="AG2580" i="3"/>
  <c r="AH2580" i="3"/>
  <c r="AG2581" i="3"/>
  <c r="AH2581" i="3"/>
  <c r="AG2582" i="3"/>
  <c r="AH2582" i="3"/>
  <c r="AG2583" i="3"/>
  <c r="AH2583" i="3"/>
  <c r="AG2584" i="3"/>
  <c r="AH2584" i="3"/>
  <c r="AG2585" i="3"/>
  <c r="AH2585" i="3"/>
  <c r="AG2586" i="3"/>
  <c r="AH2586" i="3"/>
  <c r="AG2587" i="3"/>
  <c r="AH2587" i="3"/>
  <c r="AG2588" i="3"/>
  <c r="AH2588" i="3"/>
  <c r="AG2589" i="3"/>
  <c r="AH2589" i="3"/>
  <c r="AG2590" i="3"/>
  <c r="AH2590" i="3"/>
  <c r="AG2591" i="3"/>
  <c r="AH2591" i="3"/>
  <c r="AG2592" i="3"/>
  <c r="AH2592" i="3"/>
  <c r="AG2593" i="3"/>
  <c r="AH2593" i="3"/>
  <c r="AG2594" i="3"/>
  <c r="AH2594" i="3"/>
  <c r="AG2595" i="3"/>
  <c r="AH2595" i="3"/>
  <c r="AG2596" i="3"/>
  <c r="AH2596" i="3"/>
  <c r="AG2597" i="3"/>
  <c r="AH2597" i="3"/>
  <c r="AG2598" i="3"/>
  <c r="AH2598" i="3"/>
  <c r="AG2599" i="3"/>
  <c r="AH2599" i="3"/>
  <c r="AG2600" i="3"/>
  <c r="AH2600" i="3"/>
  <c r="AG2601" i="3"/>
  <c r="AH2601" i="3"/>
  <c r="AG2602" i="3"/>
  <c r="AH2602" i="3"/>
  <c r="AG2603" i="3"/>
  <c r="AH2603" i="3"/>
  <c r="AG2604" i="3"/>
  <c r="AH2604" i="3"/>
  <c r="AG2605" i="3"/>
  <c r="AH2605" i="3"/>
  <c r="AG2606" i="3"/>
  <c r="AH2606" i="3"/>
  <c r="AG2607" i="3"/>
  <c r="AH2607" i="3"/>
  <c r="AG2608" i="3"/>
  <c r="AH2608" i="3"/>
  <c r="AG2609" i="3"/>
  <c r="AH2609" i="3"/>
  <c r="AG2610" i="3"/>
  <c r="AH2610" i="3"/>
  <c r="AG2611" i="3"/>
  <c r="AH2611" i="3"/>
  <c r="AG2612" i="3"/>
  <c r="AH2612" i="3"/>
  <c r="AG2613" i="3"/>
  <c r="AH2613" i="3"/>
  <c r="AG2614" i="3"/>
  <c r="AH2614" i="3"/>
  <c r="AG2615" i="3"/>
  <c r="AH2615" i="3"/>
  <c r="AG2616" i="3"/>
  <c r="AH2616" i="3"/>
  <c r="AG2617" i="3"/>
  <c r="AH2617" i="3"/>
  <c r="AG2618" i="3"/>
  <c r="AH2618" i="3"/>
  <c r="AG2619" i="3"/>
  <c r="AH2619" i="3"/>
  <c r="AG2620" i="3"/>
  <c r="AH2620" i="3"/>
  <c r="AG2621" i="3"/>
  <c r="AH2621" i="3"/>
  <c r="AG2622" i="3"/>
  <c r="AH2622" i="3"/>
  <c r="AG2623" i="3"/>
  <c r="AH2623" i="3"/>
  <c r="AG2624" i="3"/>
  <c r="AH2624" i="3"/>
  <c r="AG2625" i="3"/>
  <c r="AH2625" i="3"/>
  <c r="AG2626" i="3"/>
  <c r="AH2626" i="3"/>
  <c r="AG2627" i="3"/>
  <c r="AH2627" i="3"/>
  <c r="AG2628" i="3"/>
  <c r="AH2628" i="3"/>
  <c r="AG2629" i="3"/>
  <c r="AH2629" i="3"/>
  <c r="AG2630" i="3"/>
  <c r="AH2630" i="3"/>
  <c r="AG2631" i="3"/>
  <c r="AH2631" i="3"/>
  <c r="AG2632" i="3"/>
  <c r="AH2632" i="3"/>
  <c r="AG2633" i="3"/>
  <c r="AH2633" i="3"/>
  <c r="AG2634" i="3"/>
  <c r="AH2634" i="3"/>
  <c r="AG2635" i="3"/>
  <c r="AH2635" i="3"/>
  <c r="AG2636" i="3"/>
  <c r="AH2636" i="3"/>
  <c r="AG2637" i="3"/>
  <c r="AH2637" i="3"/>
  <c r="AG2638" i="3"/>
  <c r="AH2638" i="3"/>
  <c r="AG2639" i="3"/>
  <c r="AH2639" i="3"/>
  <c r="AG2640" i="3"/>
  <c r="AH2640" i="3"/>
  <c r="AG2641" i="3"/>
  <c r="AH2641" i="3"/>
  <c r="AG2642" i="3"/>
  <c r="AH2642" i="3"/>
  <c r="AG2643" i="3"/>
  <c r="AH2643" i="3"/>
  <c r="AG2644" i="3"/>
  <c r="AH2644" i="3"/>
  <c r="AG2645" i="3"/>
  <c r="AH2645" i="3"/>
  <c r="AG2646" i="3"/>
  <c r="AH2646" i="3"/>
  <c r="AG2647" i="3"/>
  <c r="AH2647" i="3"/>
  <c r="AG2648" i="3"/>
  <c r="AH2648" i="3"/>
  <c r="AG2649" i="3"/>
  <c r="AH2649" i="3"/>
  <c r="AG2650" i="3"/>
  <c r="AH2650" i="3"/>
  <c r="AG2651" i="3"/>
  <c r="AH2651" i="3"/>
  <c r="AG2652" i="3"/>
  <c r="AH2652" i="3"/>
  <c r="AG2653" i="3"/>
  <c r="AH2653" i="3"/>
  <c r="AG2654" i="3"/>
  <c r="AH2654" i="3"/>
  <c r="AG2655" i="3"/>
  <c r="AH2655" i="3"/>
  <c r="AG2656" i="3"/>
  <c r="AH2656" i="3"/>
  <c r="AG2657" i="3"/>
  <c r="AH2657" i="3"/>
  <c r="AG2658" i="3"/>
  <c r="AH2658" i="3"/>
  <c r="AG2659" i="3"/>
  <c r="AH2659" i="3"/>
  <c r="AG2660" i="3"/>
  <c r="AH2660" i="3"/>
  <c r="AG2661" i="3"/>
  <c r="AH2661" i="3"/>
  <c r="AG2662" i="3"/>
  <c r="AH2662" i="3"/>
  <c r="AG2663" i="3"/>
  <c r="AH2663" i="3"/>
  <c r="AG2664" i="3"/>
  <c r="AH2664" i="3"/>
  <c r="AG2665" i="3"/>
  <c r="AH2665" i="3"/>
  <c r="AG2666" i="3"/>
  <c r="AH2666" i="3"/>
  <c r="AG2667" i="3"/>
  <c r="AH2667" i="3"/>
  <c r="AG2668" i="3"/>
  <c r="AH2668" i="3"/>
  <c r="AG2669" i="3"/>
  <c r="AH2669" i="3"/>
  <c r="AG2670" i="3"/>
  <c r="AH2670" i="3"/>
  <c r="AG2671" i="3"/>
  <c r="AH2671" i="3"/>
  <c r="AG2672" i="3"/>
  <c r="AH2672" i="3"/>
  <c r="AG2673" i="3"/>
  <c r="AH2673" i="3"/>
  <c r="AG2674" i="3"/>
  <c r="AH2674" i="3"/>
  <c r="AG2675" i="3"/>
  <c r="AH2675" i="3"/>
  <c r="AG2676" i="3"/>
  <c r="AH2676" i="3"/>
  <c r="AG2677" i="3"/>
  <c r="AH2677" i="3"/>
  <c r="AG2678" i="3"/>
  <c r="AH2678" i="3"/>
  <c r="AG2679" i="3"/>
  <c r="AH2679" i="3"/>
  <c r="AG2680" i="3"/>
  <c r="AH2680" i="3"/>
  <c r="AG2681" i="3"/>
  <c r="AH2681" i="3"/>
  <c r="AG2682" i="3"/>
  <c r="AH2682" i="3"/>
  <c r="AG2683" i="3"/>
  <c r="AH2683" i="3"/>
  <c r="AG2684" i="3"/>
  <c r="AH2684" i="3"/>
  <c r="AG2685" i="3"/>
  <c r="AH2685" i="3"/>
  <c r="AG2686" i="3"/>
  <c r="AH2686" i="3"/>
  <c r="AG2687" i="3"/>
  <c r="AH2687" i="3"/>
  <c r="AG2688" i="3"/>
  <c r="AH2688" i="3"/>
  <c r="AG2689" i="3"/>
  <c r="AH2689" i="3"/>
  <c r="AG2690" i="3"/>
  <c r="AH2690" i="3"/>
  <c r="AG2691" i="3"/>
  <c r="AH2691" i="3"/>
  <c r="AG2692" i="3"/>
  <c r="AH2692" i="3"/>
  <c r="AG2693" i="3"/>
  <c r="AH2693" i="3"/>
  <c r="AG2694" i="3"/>
  <c r="AH2694" i="3"/>
  <c r="AG2695" i="3"/>
  <c r="AH2695" i="3"/>
  <c r="AG2696" i="3"/>
  <c r="AH2696" i="3"/>
  <c r="AG2697" i="3"/>
  <c r="AH2697" i="3"/>
  <c r="AG2698" i="3"/>
  <c r="AH2698" i="3"/>
  <c r="AG2699" i="3"/>
  <c r="AH2699" i="3"/>
  <c r="AG2700" i="3"/>
  <c r="AH2700" i="3"/>
  <c r="AG2701" i="3"/>
  <c r="AH2701" i="3"/>
  <c r="AG2702" i="3"/>
  <c r="AH2702" i="3"/>
  <c r="AG2703" i="3"/>
  <c r="AH2703" i="3"/>
  <c r="AG2704" i="3"/>
  <c r="AH2704" i="3"/>
  <c r="AG2705" i="3"/>
  <c r="AH2705" i="3"/>
  <c r="AG2706" i="3"/>
  <c r="AH2706" i="3"/>
  <c r="AG2707" i="3"/>
  <c r="AH2707" i="3"/>
  <c r="AG2708" i="3"/>
  <c r="AH2708" i="3"/>
  <c r="AG2709" i="3"/>
  <c r="AH2709" i="3"/>
  <c r="AG2710" i="3"/>
  <c r="AH2710" i="3"/>
  <c r="AG2711" i="3"/>
  <c r="AH2711" i="3"/>
  <c r="AG2712" i="3"/>
  <c r="AH2712" i="3"/>
  <c r="AG2713" i="3"/>
  <c r="AH2713" i="3"/>
  <c r="AG2714" i="3"/>
  <c r="AH2714" i="3"/>
  <c r="AG2715" i="3"/>
  <c r="AH2715" i="3"/>
  <c r="AG2716" i="3"/>
  <c r="AH2716" i="3"/>
  <c r="AG2717" i="3"/>
  <c r="AH2717" i="3"/>
  <c r="AG2718" i="3"/>
  <c r="AH2718" i="3"/>
  <c r="AG2719" i="3"/>
  <c r="AH2719" i="3"/>
  <c r="AG2720" i="3"/>
  <c r="AH2720" i="3"/>
  <c r="AG2721" i="3"/>
  <c r="AH2721" i="3"/>
  <c r="AG2722" i="3"/>
  <c r="AH2722" i="3"/>
  <c r="AG2723" i="3"/>
  <c r="AH2723" i="3"/>
  <c r="AG2724" i="3"/>
  <c r="AH2724" i="3"/>
  <c r="AG2725" i="3"/>
  <c r="AH2725" i="3"/>
  <c r="AG2726" i="3"/>
  <c r="AH2726" i="3"/>
  <c r="AG2727" i="3"/>
  <c r="AH2727" i="3"/>
  <c r="AG2728" i="3"/>
  <c r="AH2728" i="3"/>
  <c r="AG2729" i="3"/>
  <c r="AH2729" i="3"/>
  <c r="AG2730" i="3"/>
  <c r="AH2730" i="3"/>
  <c r="AG2731" i="3"/>
  <c r="AH2731" i="3"/>
  <c r="AG2732" i="3"/>
  <c r="AH2732" i="3"/>
  <c r="AG2733" i="3"/>
  <c r="AH2733" i="3"/>
  <c r="AG2734" i="3"/>
  <c r="AH2734" i="3"/>
  <c r="AG2735" i="3"/>
  <c r="AH2735" i="3"/>
  <c r="AG2736" i="3"/>
  <c r="AH2736" i="3"/>
  <c r="AG2737" i="3"/>
  <c r="AH2737" i="3"/>
  <c r="AG2738" i="3"/>
  <c r="AH2738" i="3"/>
  <c r="AG2739" i="3"/>
  <c r="AH2739" i="3"/>
  <c r="AG2740" i="3"/>
  <c r="AH2740" i="3"/>
  <c r="AG2741" i="3"/>
  <c r="AH2741" i="3"/>
  <c r="AG2742" i="3"/>
  <c r="AH2742" i="3"/>
  <c r="AG2743" i="3"/>
  <c r="AH2743" i="3"/>
  <c r="AG2744" i="3"/>
  <c r="AH2744" i="3"/>
  <c r="AG2745" i="3"/>
  <c r="AH2745" i="3"/>
  <c r="AG2746" i="3"/>
  <c r="AH2746" i="3"/>
  <c r="AG2747" i="3"/>
  <c r="AH2747" i="3"/>
  <c r="AG2748" i="3"/>
  <c r="AH2748" i="3"/>
  <c r="AG2749" i="3"/>
  <c r="AH2749" i="3"/>
  <c r="AG2750" i="3"/>
  <c r="AH2750" i="3"/>
  <c r="AG2751" i="3"/>
  <c r="AH2751" i="3"/>
  <c r="AG2752" i="3"/>
  <c r="AH2752" i="3"/>
  <c r="AG2753" i="3"/>
  <c r="AH2753" i="3"/>
  <c r="AG2754" i="3"/>
  <c r="AH2754" i="3"/>
  <c r="AG2755" i="3"/>
  <c r="AH2755" i="3"/>
  <c r="AG2756" i="3"/>
  <c r="AH2756" i="3"/>
  <c r="AG2757" i="3"/>
  <c r="AH2757" i="3"/>
  <c r="AG2758" i="3"/>
  <c r="AH2758" i="3"/>
  <c r="AG2759" i="3"/>
  <c r="AH2759" i="3"/>
  <c r="AG2760" i="3"/>
  <c r="AH2760" i="3"/>
  <c r="AG2761" i="3"/>
  <c r="AH2761" i="3"/>
  <c r="AG2762" i="3"/>
  <c r="AH2762" i="3"/>
  <c r="AG2763" i="3"/>
  <c r="AH2763" i="3"/>
  <c r="AG2764" i="3"/>
  <c r="AH2764" i="3"/>
  <c r="AG2765" i="3"/>
  <c r="AH2765" i="3"/>
  <c r="AG2766" i="3"/>
  <c r="AH2766" i="3"/>
  <c r="AG2767" i="3"/>
  <c r="AH2767" i="3"/>
  <c r="AG2768" i="3"/>
  <c r="AH2768" i="3"/>
  <c r="AG2769" i="3"/>
  <c r="AH2769" i="3"/>
  <c r="AG2770" i="3"/>
  <c r="AH2770" i="3"/>
  <c r="AG2771" i="3"/>
  <c r="AH2771" i="3"/>
  <c r="AG2772" i="3"/>
  <c r="AH2772" i="3"/>
  <c r="AG2773" i="3"/>
  <c r="AH2773" i="3"/>
  <c r="AG2774" i="3"/>
  <c r="AH2774" i="3"/>
  <c r="AG2775" i="3"/>
  <c r="AH2775" i="3"/>
  <c r="AG2776" i="3"/>
  <c r="AH2776" i="3"/>
  <c r="AG2777" i="3"/>
  <c r="AH2777" i="3"/>
  <c r="AG2778" i="3"/>
  <c r="AH2778" i="3"/>
  <c r="AG2779" i="3"/>
  <c r="AH2779" i="3"/>
  <c r="AG2780" i="3"/>
  <c r="AH2780" i="3"/>
  <c r="AG2781" i="3"/>
  <c r="AH2781" i="3"/>
  <c r="AG2782" i="3"/>
  <c r="AH2782" i="3"/>
  <c r="AG2783" i="3"/>
  <c r="AH2783" i="3"/>
  <c r="AG2784" i="3"/>
  <c r="AH2784" i="3"/>
  <c r="AG2785" i="3"/>
  <c r="AH2785" i="3"/>
  <c r="AG2786" i="3"/>
  <c r="AH2786" i="3"/>
  <c r="AG2787" i="3"/>
  <c r="AH2787" i="3"/>
  <c r="AG2788" i="3"/>
  <c r="AH2788" i="3"/>
  <c r="AG2789" i="3"/>
  <c r="AH2789" i="3"/>
  <c r="AG2790" i="3"/>
  <c r="AH2790" i="3"/>
  <c r="AG2791" i="3"/>
  <c r="AH2791" i="3"/>
  <c r="AG2792" i="3"/>
  <c r="AH2792" i="3"/>
  <c r="AG2793" i="3"/>
  <c r="AH2793" i="3"/>
  <c r="AG2794" i="3"/>
  <c r="AH2794" i="3"/>
  <c r="AG2795" i="3"/>
  <c r="AH2795" i="3"/>
  <c r="AG2796" i="3"/>
  <c r="AH2796" i="3"/>
  <c r="AG2797" i="3"/>
  <c r="AH2797" i="3"/>
  <c r="AG2798" i="3"/>
  <c r="AH2798" i="3"/>
  <c r="AG2799" i="3"/>
  <c r="AH2799" i="3"/>
  <c r="AG2800" i="3"/>
  <c r="AH2800" i="3"/>
  <c r="AG2801" i="3"/>
  <c r="AH2801" i="3"/>
  <c r="AG2802" i="3"/>
  <c r="AH2802" i="3"/>
  <c r="AG2803" i="3"/>
  <c r="AH2803" i="3"/>
  <c r="AG2804" i="3"/>
  <c r="AH2804" i="3"/>
  <c r="AG2805" i="3"/>
  <c r="AH2805" i="3"/>
  <c r="AG2806" i="3"/>
  <c r="AH2806" i="3"/>
  <c r="AG2807" i="3"/>
  <c r="AH2807" i="3"/>
  <c r="AG2808" i="3"/>
  <c r="AH2808" i="3"/>
  <c r="AG2809" i="3"/>
  <c r="AH2809" i="3"/>
  <c r="AG2810" i="3"/>
  <c r="AH2810" i="3"/>
  <c r="AG2811" i="3"/>
  <c r="AH2811" i="3"/>
  <c r="AG2812" i="3"/>
  <c r="AH2812" i="3"/>
  <c r="AG2813" i="3"/>
  <c r="AH2813" i="3"/>
  <c r="AG2814" i="3"/>
  <c r="AH2814" i="3"/>
  <c r="AG2815" i="3"/>
  <c r="AH2815" i="3"/>
  <c r="AG2816" i="3"/>
  <c r="AH2816" i="3"/>
  <c r="AG2817" i="3"/>
  <c r="AH2817" i="3"/>
  <c r="AG2818" i="3"/>
  <c r="AH2818" i="3"/>
  <c r="AG2819" i="3"/>
  <c r="AH2819" i="3"/>
  <c r="AG2820" i="3"/>
  <c r="AH2820" i="3"/>
  <c r="AG2821" i="3"/>
  <c r="AH2821" i="3"/>
  <c r="AG2822" i="3"/>
  <c r="AH2822" i="3"/>
  <c r="AG2823" i="3"/>
  <c r="AH2823" i="3"/>
  <c r="AG2824" i="3"/>
  <c r="AH2824" i="3"/>
  <c r="AG2825" i="3"/>
  <c r="AH2825" i="3"/>
  <c r="AG2826" i="3"/>
  <c r="AH2826" i="3"/>
  <c r="AG2827" i="3"/>
  <c r="AH2827" i="3"/>
  <c r="AG2828" i="3"/>
  <c r="AH2828" i="3"/>
  <c r="AG2829" i="3"/>
  <c r="AH2829" i="3"/>
  <c r="AG2830" i="3"/>
  <c r="AH2830" i="3"/>
  <c r="AG2831" i="3"/>
  <c r="AH2831" i="3"/>
  <c r="AG2832" i="3"/>
  <c r="AH2832" i="3"/>
  <c r="AG2833" i="3"/>
  <c r="AH2833" i="3"/>
  <c r="AG2834" i="3"/>
  <c r="AH2834" i="3"/>
  <c r="AG2835" i="3"/>
  <c r="AH2835" i="3"/>
  <c r="AG2836" i="3"/>
  <c r="AH2836" i="3"/>
  <c r="AG2837" i="3"/>
  <c r="AH2837" i="3"/>
  <c r="AG2838" i="3"/>
  <c r="AH2838" i="3"/>
  <c r="AG2839" i="3"/>
  <c r="AH2839" i="3"/>
  <c r="AG2840" i="3"/>
  <c r="AH2840" i="3"/>
  <c r="AG2841" i="3"/>
  <c r="AH2841" i="3"/>
  <c r="AG2842" i="3"/>
  <c r="AH2842" i="3"/>
  <c r="AG2843" i="3"/>
  <c r="AH2843" i="3"/>
  <c r="AG2844" i="3"/>
  <c r="AH2844" i="3"/>
  <c r="AG2845" i="3"/>
  <c r="AH2845" i="3"/>
  <c r="AG2846" i="3"/>
  <c r="AH2846" i="3"/>
  <c r="AG2847" i="3"/>
  <c r="AH2847" i="3"/>
  <c r="AG2848" i="3"/>
  <c r="AH2848" i="3"/>
  <c r="AG2849" i="3"/>
  <c r="AH2849" i="3"/>
  <c r="AG2850" i="3"/>
  <c r="AH2850" i="3"/>
  <c r="AG2851" i="3"/>
  <c r="AH2851" i="3"/>
  <c r="AG2852" i="3"/>
  <c r="AH2852" i="3"/>
  <c r="AG2853" i="3"/>
  <c r="AH2853" i="3"/>
  <c r="AG2854" i="3"/>
  <c r="AH2854" i="3"/>
  <c r="AG2855" i="3"/>
  <c r="AH2855" i="3"/>
  <c r="AG2856" i="3"/>
  <c r="AH2856" i="3"/>
  <c r="AG2857" i="3"/>
  <c r="AH2857" i="3"/>
  <c r="AG2858" i="3"/>
  <c r="AH2858" i="3"/>
  <c r="AG2859" i="3"/>
  <c r="AH2859" i="3"/>
  <c r="AG2860" i="3"/>
  <c r="AH2860" i="3"/>
  <c r="AG2861" i="3"/>
  <c r="AH2861" i="3"/>
  <c r="AG2862" i="3"/>
  <c r="AH2862" i="3"/>
  <c r="AG2863" i="3"/>
  <c r="AH2863" i="3"/>
  <c r="AG2864" i="3"/>
  <c r="AH2864" i="3"/>
  <c r="AG2865" i="3"/>
  <c r="AH2865" i="3"/>
  <c r="AG2866" i="3"/>
  <c r="AH2866" i="3"/>
  <c r="AG2867" i="3"/>
  <c r="AH2867" i="3"/>
  <c r="AG2868" i="3"/>
  <c r="AH2868" i="3"/>
  <c r="AG2869" i="3"/>
  <c r="AH2869" i="3"/>
  <c r="AG2870" i="3"/>
  <c r="AH2870" i="3"/>
  <c r="AG2871" i="3"/>
  <c r="AH2871" i="3"/>
  <c r="AG2872" i="3"/>
  <c r="AH2872" i="3"/>
  <c r="AG2873" i="3"/>
  <c r="AH2873" i="3"/>
  <c r="AG2874" i="3"/>
  <c r="AH2874" i="3"/>
  <c r="AG2875" i="3"/>
  <c r="AH2875" i="3"/>
  <c r="AG2876" i="3"/>
  <c r="AH2876" i="3"/>
  <c r="AG2877" i="3"/>
  <c r="AH2877" i="3"/>
  <c r="AG2878" i="3"/>
  <c r="AH2878" i="3"/>
  <c r="AG2879" i="3"/>
  <c r="AH2879" i="3"/>
  <c r="AG2880" i="3"/>
  <c r="AH2880" i="3"/>
  <c r="AG2881" i="3"/>
  <c r="AH2881" i="3"/>
  <c r="AG2882" i="3"/>
  <c r="AH2882" i="3"/>
  <c r="AG2883" i="3"/>
  <c r="AH2883" i="3"/>
  <c r="AG2884" i="3"/>
  <c r="AH2884" i="3"/>
  <c r="AG2885" i="3"/>
  <c r="AH2885" i="3"/>
  <c r="AG2886" i="3"/>
  <c r="AH2886" i="3"/>
  <c r="AG2887" i="3"/>
  <c r="AH2887" i="3"/>
  <c r="AG2888" i="3"/>
  <c r="AH2888" i="3"/>
  <c r="AG2889" i="3"/>
  <c r="AH2889" i="3"/>
  <c r="AG2890" i="3"/>
  <c r="AH2890" i="3"/>
  <c r="AG2891" i="3"/>
  <c r="AH2891" i="3"/>
  <c r="AG2892" i="3"/>
  <c r="AH2892" i="3"/>
  <c r="AG2893" i="3"/>
  <c r="AH2893" i="3"/>
  <c r="AG2894" i="3"/>
  <c r="AH2894" i="3"/>
  <c r="AG2895" i="3"/>
  <c r="AH2895" i="3"/>
  <c r="AG2896" i="3"/>
  <c r="AH2896" i="3"/>
  <c r="AG2897" i="3"/>
  <c r="AH2897" i="3"/>
  <c r="AG2898" i="3"/>
  <c r="AH2898" i="3"/>
  <c r="AG2899" i="3"/>
  <c r="AH2899" i="3"/>
  <c r="AG2900" i="3"/>
  <c r="AH2900" i="3"/>
  <c r="AG2901" i="3"/>
  <c r="AH2901" i="3"/>
  <c r="AG2902" i="3"/>
  <c r="AH2902" i="3"/>
  <c r="AG2903" i="3"/>
  <c r="AH2903" i="3"/>
  <c r="AG2904" i="3"/>
  <c r="AH2904" i="3"/>
  <c r="AG2905" i="3"/>
  <c r="AH2905" i="3"/>
  <c r="AG2906" i="3"/>
  <c r="AH2906" i="3"/>
  <c r="AG2907" i="3"/>
  <c r="AH2907" i="3"/>
  <c r="AG2908" i="3"/>
  <c r="AH2908" i="3"/>
  <c r="AG2909" i="3"/>
  <c r="AH2909" i="3"/>
  <c r="AG2910" i="3"/>
  <c r="AH2910" i="3"/>
  <c r="AG2911" i="3"/>
  <c r="AH2911" i="3"/>
  <c r="AG2912" i="3"/>
  <c r="AH2912" i="3"/>
  <c r="AG2913" i="3"/>
  <c r="AH2913" i="3"/>
  <c r="AG2914" i="3"/>
  <c r="AH2914" i="3"/>
  <c r="AG2915" i="3"/>
  <c r="AH2915" i="3"/>
  <c r="AG2916" i="3"/>
  <c r="AH2916" i="3"/>
  <c r="AG2917" i="3"/>
  <c r="AH2917" i="3"/>
  <c r="AG2918" i="3"/>
  <c r="AH2918" i="3"/>
  <c r="AG2919" i="3"/>
  <c r="AH2919" i="3"/>
  <c r="AG2920" i="3"/>
  <c r="AH2920" i="3"/>
  <c r="AG2921" i="3"/>
  <c r="AH2921" i="3"/>
  <c r="AG2922" i="3"/>
  <c r="AH2922" i="3"/>
  <c r="AG2923" i="3"/>
  <c r="AH2923" i="3"/>
  <c r="AG2924" i="3"/>
  <c r="AH2924" i="3"/>
  <c r="AG2925" i="3"/>
  <c r="AH2925" i="3"/>
  <c r="AG2926" i="3"/>
  <c r="AH2926" i="3"/>
  <c r="AG2927" i="3"/>
  <c r="AH2927" i="3"/>
  <c r="AG2928" i="3"/>
  <c r="AH2928" i="3"/>
  <c r="AG2929" i="3"/>
  <c r="AH2929" i="3"/>
  <c r="AG2930" i="3"/>
  <c r="AH2930" i="3"/>
  <c r="AG2931" i="3"/>
  <c r="AH2931" i="3"/>
  <c r="AG2932" i="3"/>
  <c r="AH2932" i="3"/>
  <c r="AG2933" i="3"/>
  <c r="AH2933" i="3"/>
  <c r="AG2934" i="3"/>
  <c r="AH2934" i="3"/>
  <c r="AG2935" i="3"/>
  <c r="AH2935" i="3"/>
  <c r="AG2936" i="3"/>
  <c r="AH2936" i="3"/>
  <c r="AG2937" i="3"/>
  <c r="AH2937" i="3"/>
  <c r="AG2938" i="3"/>
  <c r="AH2938" i="3"/>
  <c r="AG2939" i="3"/>
  <c r="AH2939" i="3"/>
  <c r="AG2940" i="3"/>
  <c r="AH2940" i="3"/>
  <c r="AG2941" i="3"/>
  <c r="AH2941" i="3"/>
  <c r="AG2942" i="3"/>
  <c r="AH2942" i="3"/>
  <c r="AG2943" i="3"/>
  <c r="AH2943" i="3"/>
  <c r="AG2944" i="3"/>
  <c r="AH2944" i="3"/>
  <c r="AG2945" i="3"/>
  <c r="AH2945" i="3"/>
  <c r="AG2946" i="3"/>
  <c r="AH2946" i="3"/>
  <c r="AG2947" i="3"/>
  <c r="AH2947" i="3"/>
  <c r="AG2948" i="3"/>
  <c r="AH2948" i="3"/>
  <c r="AG2949" i="3"/>
  <c r="AH2949" i="3"/>
  <c r="AG2950" i="3"/>
  <c r="AH2950" i="3"/>
  <c r="AG2951" i="3"/>
  <c r="AH2951" i="3"/>
  <c r="AG2952" i="3"/>
  <c r="AH2952" i="3"/>
  <c r="AG2953" i="3"/>
  <c r="AH2953" i="3"/>
  <c r="AG2954" i="3"/>
  <c r="AH2954" i="3"/>
  <c r="AG2955" i="3"/>
  <c r="AH2955" i="3"/>
  <c r="AG2956" i="3"/>
  <c r="AH2956" i="3"/>
  <c r="AG2957" i="3"/>
  <c r="AH2957" i="3"/>
  <c r="AG2958" i="3"/>
  <c r="AH2958" i="3"/>
  <c r="AG2959" i="3"/>
  <c r="AH2959" i="3"/>
  <c r="AG2960" i="3"/>
  <c r="AH2960" i="3"/>
  <c r="AG2961" i="3"/>
  <c r="AH2961" i="3"/>
  <c r="AG2962" i="3"/>
  <c r="AH2962" i="3"/>
  <c r="AG2963" i="3"/>
  <c r="AH2963" i="3"/>
  <c r="AG2964" i="3"/>
  <c r="AH2964" i="3"/>
  <c r="AG2965" i="3"/>
  <c r="AH2965" i="3"/>
  <c r="AG2966" i="3"/>
  <c r="AH2966" i="3"/>
  <c r="AG2967" i="3"/>
  <c r="AH2967" i="3"/>
  <c r="AG2968" i="3"/>
  <c r="AH2968" i="3"/>
  <c r="AG2969" i="3"/>
  <c r="AH2969" i="3"/>
  <c r="AG2970" i="3"/>
  <c r="AH2970" i="3"/>
  <c r="AG2971" i="3"/>
  <c r="AH2971" i="3"/>
  <c r="AG2972" i="3"/>
  <c r="AH2972" i="3"/>
  <c r="AG2973" i="3"/>
  <c r="AH2973" i="3"/>
  <c r="AG2974" i="3"/>
  <c r="AH2974" i="3"/>
  <c r="AG2975" i="3"/>
  <c r="AH2975" i="3"/>
  <c r="AG2976" i="3"/>
  <c r="AH2976" i="3"/>
  <c r="AG2977" i="3"/>
  <c r="AH2977" i="3"/>
  <c r="AG2978" i="3"/>
  <c r="AH2978" i="3"/>
  <c r="AG2979" i="3"/>
  <c r="AH2979" i="3"/>
  <c r="AG2980" i="3"/>
  <c r="AH2980" i="3"/>
  <c r="AG2981" i="3"/>
  <c r="AH2981" i="3"/>
  <c r="AG2982" i="3"/>
  <c r="AH2982" i="3"/>
  <c r="AG2983" i="3"/>
  <c r="AH2983" i="3"/>
  <c r="AG2984" i="3"/>
  <c r="AH2984" i="3"/>
  <c r="AG2985" i="3"/>
  <c r="AH2985" i="3"/>
  <c r="AG2986" i="3"/>
  <c r="AH2986" i="3"/>
  <c r="AG2987" i="3"/>
  <c r="AH2987" i="3"/>
  <c r="AG2988" i="3"/>
  <c r="AH2988" i="3"/>
  <c r="AG2989" i="3"/>
  <c r="AH2989" i="3"/>
  <c r="AG2990" i="3"/>
  <c r="AH2990" i="3"/>
  <c r="AG2991" i="3"/>
  <c r="AH2991" i="3"/>
  <c r="AG2992" i="3"/>
  <c r="AH2992" i="3"/>
  <c r="AG2993" i="3"/>
  <c r="AH2993" i="3"/>
  <c r="AG2994" i="3"/>
  <c r="AH2994" i="3"/>
  <c r="AG2995" i="3"/>
  <c r="AH2995" i="3"/>
  <c r="AG2996" i="3"/>
  <c r="AH2996" i="3"/>
  <c r="AG2997" i="3"/>
  <c r="AH2997" i="3"/>
  <c r="AG2998" i="3"/>
  <c r="AH2998" i="3"/>
  <c r="AG2999" i="3"/>
  <c r="AH2999" i="3"/>
  <c r="AG3000" i="3"/>
  <c r="AH3000" i="3"/>
  <c r="AG3001" i="3"/>
  <c r="AH3001" i="3"/>
  <c r="AG3002" i="3"/>
  <c r="AH3002" i="3"/>
  <c r="AG3003" i="3"/>
  <c r="AH3003" i="3"/>
  <c r="AG3004" i="3"/>
  <c r="AH3004" i="3"/>
  <c r="AG3005" i="3"/>
  <c r="AH3005" i="3"/>
  <c r="AG3006" i="3"/>
  <c r="AH3006" i="3"/>
  <c r="AG3007" i="3"/>
  <c r="AH3007" i="3"/>
  <c r="AG3008" i="3"/>
  <c r="AH3008" i="3"/>
  <c r="AG3009" i="3"/>
  <c r="AH3009" i="3"/>
  <c r="AG3010" i="3"/>
  <c r="AH3010" i="3"/>
  <c r="AG3011" i="3"/>
  <c r="AH3011" i="3"/>
  <c r="AG3012" i="3"/>
  <c r="AH3012" i="3"/>
  <c r="AG3013" i="3"/>
  <c r="AH3013" i="3"/>
  <c r="AG3014" i="3"/>
  <c r="AH3014" i="3"/>
  <c r="AG3015" i="3"/>
  <c r="AH3015" i="3"/>
  <c r="AG3016" i="3"/>
  <c r="AH3016" i="3"/>
  <c r="AG3017" i="3"/>
  <c r="AH3017" i="3"/>
  <c r="AG3018" i="3"/>
  <c r="AH3018" i="3"/>
  <c r="AG3019" i="3"/>
  <c r="AH3019" i="3"/>
  <c r="AG3020" i="3"/>
  <c r="AH3020" i="3"/>
  <c r="AG3021" i="3"/>
  <c r="AH3021" i="3"/>
  <c r="AG3022" i="3"/>
  <c r="AH3022" i="3"/>
  <c r="AG3023" i="3"/>
  <c r="AH3023" i="3"/>
  <c r="AG3024" i="3"/>
  <c r="AH3024" i="3"/>
  <c r="AG3025" i="3"/>
  <c r="AH3025" i="3"/>
  <c r="AG3026" i="3"/>
  <c r="AH3026" i="3"/>
  <c r="AG3027" i="3"/>
  <c r="AH3027" i="3"/>
  <c r="AG3028" i="3"/>
  <c r="AH3028" i="3"/>
  <c r="AG3029" i="3"/>
  <c r="AH3029" i="3"/>
  <c r="AG3030" i="3"/>
  <c r="AH3030" i="3"/>
  <c r="AG3031" i="3"/>
  <c r="AH3031" i="3"/>
  <c r="AG3032" i="3"/>
  <c r="AH3032" i="3"/>
  <c r="AG3033" i="3"/>
  <c r="AH3033" i="3"/>
  <c r="AG3034" i="3"/>
  <c r="AH3034" i="3"/>
  <c r="AG3035" i="3"/>
  <c r="AH3035" i="3"/>
  <c r="AG3036" i="3"/>
  <c r="AH3036" i="3"/>
  <c r="AG3037" i="3"/>
  <c r="AH3037" i="3"/>
  <c r="AG3038" i="3"/>
  <c r="AH3038" i="3"/>
  <c r="AG3039" i="3"/>
  <c r="AH3039" i="3"/>
  <c r="AG3040" i="3"/>
  <c r="AH3040" i="3"/>
  <c r="AG3041" i="3"/>
  <c r="AH3041" i="3"/>
  <c r="AG3042" i="3"/>
  <c r="AH3042" i="3"/>
  <c r="AG3043" i="3"/>
  <c r="AH3043" i="3"/>
  <c r="AG3044" i="3"/>
  <c r="AH3044" i="3"/>
  <c r="AG3045" i="3"/>
  <c r="AH3045" i="3"/>
  <c r="AG3046" i="3"/>
  <c r="AH3046" i="3"/>
  <c r="AG3047" i="3"/>
  <c r="AH3047" i="3"/>
  <c r="AG3048" i="3"/>
  <c r="AH3048" i="3"/>
  <c r="AG3049" i="3"/>
  <c r="AH3049" i="3"/>
  <c r="AG3050" i="3"/>
  <c r="AH3050" i="3"/>
  <c r="AG3051" i="3"/>
  <c r="AH3051" i="3"/>
  <c r="AG3052" i="3"/>
  <c r="AH3052" i="3"/>
  <c r="AG3053" i="3"/>
  <c r="AH3053" i="3"/>
  <c r="AG3054" i="3"/>
  <c r="AH3054" i="3"/>
  <c r="AG3055" i="3"/>
  <c r="AH3055" i="3"/>
  <c r="AG3056" i="3"/>
  <c r="AH3056" i="3"/>
  <c r="AG3057" i="3"/>
  <c r="AH3057" i="3"/>
  <c r="AG3058" i="3"/>
  <c r="AH3058" i="3"/>
  <c r="AG3059" i="3"/>
  <c r="AH3059" i="3"/>
  <c r="AG3060" i="3"/>
  <c r="AH3060" i="3"/>
  <c r="AG3061" i="3"/>
  <c r="AH3061" i="3"/>
  <c r="AG3062" i="3"/>
  <c r="AH3062" i="3"/>
  <c r="AG3063" i="3"/>
  <c r="AH3063" i="3"/>
  <c r="AG3064" i="3"/>
  <c r="AH3064" i="3"/>
  <c r="AG3065" i="3"/>
  <c r="AH3065" i="3"/>
  <c r="AG3066" i="3"/>
  <c r="AH3066" i="3"/>
  <c r="AG3067" i="3"/>
  <c r="AH3067" i="3"/>
  <c r="AG3068" i="3"/>
  <c r="AH3068" i="3"/>
  <c r="AG3069" i="3"/>
  <c r="AH3069" i="3"/>
  <c r="AG3070" i="3"/>
  <c r="AH3070" i="3"/>
  <c r="AG3071" i="3"/>
  <c r="AH3071" i="3"/>
  <c r="AG3072" i="3"/>
  <c r="AH3072" i="3"/>
  <c r="AG3073" i="3"/>
  <c r="AH3073" i="3"/>
  <c r="AG3074" i="3"/>
  <c r="AH3074" i="3"/>
  <c r="AG3075" i="3"/>
  <c r="AH3075" i="3"/>
  <c r="AG3076" i="3"/>
  <c r="AH3076" i="3"/>
  <c r="AG3077" i="3"/>
  <c r="AH3077" i="3"/>
  <c r="AG3078" i="3"/>
  <c r="AH3078" i="3"/>
  <c r="AG3079" i="3"/>
  <c r="AH3079" i="3"/>
  <c r="AG3080" i="3"/>
  <c r="AH3080" i="3"/>
  <c r="AG3081" i="3"/>
  <c r="AH3081" i="3"/>
  <c r="AG3082" i="3"/>
  <c r="AH3082" i="3"/>
  <c r="AG3083" i="3"/>
  <c r="AH3083" i="3"/>
  <c r="AG3084" i="3"/>
  <c r="AH3084" i="3"/>
  <c r="AG3085" i="3"/>
  <c r="AH3085" i="3"/>
  <c r="AG3086" i="3"/>
  <c r="AH3086" i="3"/>
  <c r="AG3087" i="3"/>
  <c r="AH3087" i="3"/>
  <c r="AG3088" i="3"/>
  <c r="AH3088" i="3"/>
  <c r="AG3089" i="3"/>
  <c r="AH3089" i="3"/>
  <c r="AG3090" i="3"/>
  <c r="AH3090" i="3"/>
  <c r="AG3091" i="3"/>
  <c r="AH3091" i="3"/>
  <c r="AG3092" i="3"/>
  <c r="AH3092" i="3"/>
  <c r="AG3093" i="3"/>
  <c r="AH3093" i="3"/>
  <c r="AG3094" i="3"/>
  <c r="AH3094" i="3"/>
  <c r="AG3095" i="3"/>
  <c r="AH3095" i="3"/>
  <c r="AG3096" i="3"/>
  <c r="AH3096" i="3"/>
  <c r="AG3097" i="3"/>
  <c r="AH3097" i="3"/>
  <c r="AG3098" i="3"/>
  <c r="AH3098" i="3"/>
  <c r="AG3099" i="3"/>
  <c r="AH3099" i="3"/>
  <c r="AG3100" i="3"/>
  <c r="AH3100" i="3"/>
  <c r="AG3101" i="3"/>
  <c r="AH3101" i="3"/>
  <c r="AG3102" i="3"/>
  <c r="AH3102" i="3"/>
  <c r="AG3103" i="3"/>
  <c r="AH3103" i="3"/>
  <c r="AG3104" i="3"/>
  <c r="AH3104" i="3"/>
  <c r="AG3105" i="3"/>
  <c r="AH3105" i="3"/>
  <c r="AG3106" i="3"/>
  <c r="AH3106" i="3"/>
  <c r="AG3107" i="3"/>
  <c r="AH3107" i="3"/>
  <c r="AG3108" i="3"/>
  <c r="AH3108" i="3"/>
  <c r="AG3109" i="3"/>
  <c r="AH3109" i="3"/>
  <c r="AG3110" i="3"/>
  <c r="AH3110" i="3"/>
  <c r="AG3111" i="3"/>
  <c r="AH3111" i="3"/>
  <c r="AG3112" i="3"/>
  <c r="AH3112" i="3"/>
  <c r="AG3113" i="3"/>
  <c r="AH3113" i="3"/>
  <c r="AG3114" i="3"/>
  <c r="AH3114" i="3"/>
  <c r="AG3115" i="3"/>
  <c r="AH3115" i="3"/>
  <c r="AG3116" i="3"/>
  <c r="AH3116" i="3"/>
  <c r="AG3117" i="3"/>
  <c r="AH3117" i="3"/>
  <c r="AG3118" i="3"/>
  <c r="AH3118" i="3"/>
  <c r="AG3119" i="3"/>
  <c r="AH3119" i="3"/>
  <c r="AG3120" i="3"/>
  <c r="AH3120" i="3"/>
  <c r="AG3121" i="3"/>
  <c r="AH3121" i="3"/>
  <c r="AG3122" i="3"/>
  <c r="AH3122" i="3"/>
  <c r="AG3123" i="3"/>
  <c r="AH3123" i="3"/>
  <c r="AG3124" i="3"/>
  <c r="AH3124" i="3"/>
  <c r="AG3125" i="3"/>
  <c r="AH3125" i="3"/>
  <c r="AG3126" i="3"/>
  <c r="AH3126" i="3"/>
  <c r="AG3127" i="3"/>
  <c r="AH3127" i="3"/>
  <c r="AG3128" i="3"/>
  <c r="AH3128" i="3"/>
  <c r="AG3129" i="3"/>
  <c r="AH3129" i="3"/>
  <c r="AG3130" i="3"/>
  <c r="AH3130" i="3"/>
  <c r="AG3131" i="3"/>
  <c r="AH3131" i="3"/>
  <c r="AG3132" i="3"/>
  <c r="AH3132" i="3"/>
  <c r="AG3133" i="3"/>
  <c r="AH3133" i="3"/>
  <c r="AG3134" i="3"/>
  <c r="AH3134" i="3"/>
  <c r="AG3135" i="3"/>
  <c r="AH3135" i="3"/>
  <c r="AG3136" i="3"/>
  <c r="AH3136" i="3"/>
  <c r="AG3137" i="3"/>
  <c r="AH3137" i="3"/>
  <c r="AG3138" i="3"/>
  <c r="AH3138" i="3"/>
  <c r="AG3139" i="3"/>
  <c r="AH3139" i="3"/>
  <c r="AG3140" i="3"/>
  <c r="AH3140" i="3"/>
  <c r="AG3141" i="3"/>
  <c r="AH3141" i="3"/>
  <c r="AG3142" i="3"/>
  <c r="AH3142" i="3"/>
  <c r="AG3143" i="3"/>
  <c r="AH3143" i="3"/>
  <c r="AG3144" i="3"/>
  <c r="AH3144" i="3"/>
  <c r="AG3145" i="3"/>
  <c r="AH3145" i="3"/>
  <c r="AG3146" i="3"/>
  <c r="AH3146" i="3"/>
  <c r="AG3147" i="3"/>
  <c r="AH3147" i="3"/>
  <c r="AG3148" i="3"/>
  <c r="AH3148" i="3"/>
  <c r="AG3149" i="3"/>
  <c r="AH3149" i="3"/>
  <c r="AG3150" i="3"/>
  <c r="AH3150" i="3"/>
  <c r="AG3151" i="3"/>
  <c r="AH3151" i="3"/>
  <c r="AG3152" i="3"/>
  <c r="AH3152" i="3"/>
  <c r="AG3153" i="3"/>
  <c r="AH3153" i="3"/>
  <c r="AG3154" i="3"/>
  <c r="AH3154" i="3"/>
  <c r="AG3155" i="3"/>
  <c r="AH3155" i="3"/>
  <c r="AG3156" i="3"/>
  <c r="AH3156" i="3"/>
  <c r="AG3157" i="3"/>
  <c r="AH3157" i="3"/>
  <c r="AG3158" i="3"/>
  <c r="AH3158" i="3"/>
  <c r="AG3159" i="3"/>
  <c r="AH3159" i="3"/>
  <c r="AG3160" i="3"/>
  <c r="AH3160" i="3"/>
  <c r="AG3161" i="3"/>
  <c r="AH3161" i="3"/>
  <c r="AG3162" i="3"/>
  <c r="AH3162" i="3"/>
  <c r="AG3163" i="3"/>
  <c r="AH3163" i="3"/>
  <c r="AG3164" i="3"/>
  <c r="AH3164" i="3"/>
  <c r="AG3165" i="3"/>
  <c r="AH3165" i="3"/>
  <c r="AG3166" i="3"/>
  <c r="AH3166" i="3"/>
  <c r="AG3167" i="3"/>
  <c r="AH3167" i="3"/>
  <c r="AG3168" i="3"/>
  <c r="AH3168" i="3"/>
  <c r="AG3169" i="3"/>
  <c r="AH3169" i="3"/>
  <c r="AG3170" i="3"/>
  <c r="AH3170" i="3"/>
  <c r="AG3171" i="3"/>
  <c r="AH3171" i="3"/>
  <c r="AG3172" i="3"/>
  <c r="AH3172" i="3"/>
  <c r="AG3173" i="3"/>
  <c r="AH3173" i="3"/>
  <c r="AG3174" i="3"/>
  <c r="AH3174" i="3"/>
  <c r="AG3175" i="3"/>
  <c r="AH3175" i="3"/>
  <c r="AG3176" i="3"/>
  <c r="AH3176" i="3"/>
  <c r="AG3177" i="3"/>
  <c r="AH3177" i="3"/>
  <c r="AG3178" i="3"/>
  <c r="AH3178" i="3"/>
  <c r="AG3179" i="3"/>
  <c r="AH3179" i="3"/>
  <c r="AG3180" i="3"/>
  <c r="AH3180" i="3"/>
  <c r="AG3181" i="3"/>
  <c r="AH3181" i="3"/>
  <c r="AG3182" i="3"/>
  <c r="AH3182" i="3"/>
  <c r="AG3183" i="3"/>
  <c r="AH3183" i="3"/>
  <c r="AG3184" i="3"/>
  <c r="AH3184" i="3"/>
  <c r="AG3185" i="3"/>
  <c r="AH3185" i="3"/>
  <c r="AG3186" i="3"/>
  <c r="AH3186" i="3"/>
  <c r="AG3187" i="3"/>
  <c r="AH3187" i="3"/>
  <c r="AG3188" i="3"/>
  <c r="AH3188" i="3"/>
  <c r="AG3189" i="3"/>
  <c r="AH3189" i="3"/>
  <c r="AG3190" i="3"/>
  <c r="AH3190" i="3"/>
  <c r="AG3191" i="3"/>
  <c r="AH3191" i="3"/>
  <c r="AG3192" i="3"/>
  <c r="AH3192" i="3"/>
  <c r="AG3193" i="3"/>
  <c r="AH3193" i="3"/>
  <c r="AG3194" i="3"/>
  <c r="AH3194" i="3"/>
  <c r="AG3195" i="3"/>
  <c r="AH3195" i="3"/>
  <c r="AG3196" i="3"/>
  <c r="AH3196" i="3"/>
  <c r="AG3197" i="3"/>
  <c r="AH3197" i="3"/>
  <c r="AG3198" i="3"/>
  <c r="AH3198" i="3"/>
  <c r="AG3199" i="3"/>
  <c r="AH3199" i="3"/>
  <c r="AG3200" i="3"/>
  <c r="AH3200" i="3"/>
  <c r="AG3201" i="3"/>
  <c r="AH3201" i="3"/>
  <c r="AG3202" i="3"/>
  <c r="AH3202" i="3"/>
  <c r="AG3203" i="3"/>
  <c r="AH3203" i="3"/>
  <c r="AG3204" i="3"/>
  <c r="AH3204" i="3"/>
  <c r="AG3205" i="3"/>
  <c r="AH3205" i="3"/>
  <c r="AG3206" i="3"/>
  <c r="AH3206" i="3"/>
  <c r="AG3207" i="3"/>
  <c r="AH3207" i="3"/>
  <c r="AG3208" i="3"/>
  <c r="AH3208" i="3"/>
  <c r="AG3209" i="3"/>
  <c r="AH3209" i="3"/>
  <c r="AG3210" i="3"/>
  <c r="AH3210" i="3"/>
  <c r="AG3211" i="3"/>
  <c r="AH3211" i="3"/>
  <c r="AG3212" i="3"/>
  <c r="AH3212" i="3"/>
  <c r="AG3213" i="3"/>
  <c r="AH3213" i="3"/>
  <c r="AG3214" i="3"/>
  <c r="AH3214" i="3"/>
  <c r="AG3215" i="3"/>
  <c r="AH3215" i="3"/>
  <c r="AG3216" i="3"/>
  <c r="AH3216" i="3"/>
  <c r="AG3217" i="3"/>
  <c r="AH3217" i="3"/>
  <c r="AG3218" i="3"/>
  <c r="AH3218" i="3"/>
  <c r="AG3219" i="3"/>
  <c r="AH3219" i="3"/>
  <c r="AG3220" i="3"/>
  <c r="AH3220" i="3"/>
  <c r="AG3221" i="3"/>
  <c r="AH3221" i="3"/>
  <c r="AG3222" i="3"/>
  <c r="AH3222" i="3"/>
  <c r="AG3223" i="3"/>
  <c r="AH3223" i="3"/>
  <c r="AG3224" i="3"/>
  <c r="AH3224" i="3"/>
  <c r="AG3225" i="3"/>
  <c r="AH3225" i="3"/>
  <c r="AG3226" i="3"/>
  <c r="AH3226" i="3"/>
  <c r="AG3227" i="3"/>
  <c r="AH3227" i="3"/>
  <c r="AG3228" i="3"/>
  <c r="AH3228" i="3"/>
  <c r="AG3229" i="3"/>
  <c r="AH3229" i="3"/>
  <c r="AG3230" i="3"/>
  <c r="AH3230" i="3"/>
  <c r="AG3231" i="3"/>
  <c r="AH3231" i="3"/>
  <c r="AG3232" i="3"/>
  <c r="AH3232" i="3"/>
  <c r="AG3233" i="3"/>
  <c r="AH3233" i="3"/>
  <c r="AG3234" i="3"/>
  <c r="AH3234" i="3"/>
  <c r="AG3235" i="3"/>
  <c r="AH3235" i="3"/>
  <c r="AG3236" i="3"/>
  <c r="AH3236" i="3"/>
  <c r="AG3237" i="3"/>
  <c r="AH3237" i="3"/>
  <c r="AG3238" i="3"/>
  <c r="AH3238" i="3"/>
  <c r="AG3239" i="3"/>
  <c r="AH3239" i="3"/>
  <c r="AG3240" i="3"/>
  <c r="AH3240" i="3"/>
  <c r="AG3241" i="3"/>
  <c r="AH3241" i="3"/>
  <c r="AG3242" i="3"/>
  <c r="AH3242" i="3"/>
  <c r="AG3243" i="3"/>
  <c r="AH3243" i="3"/>
  <c r="AG3244" i="3"/>
  <c r="AH3244" i="3"/>
  <c r="AG3245" i="3"/>
  <c r="AH3245" i="3"/>
  <c r="AG3246" i="3"/>
  <c r="AH3246" i="3"/>
  <c r="AG3247" i="3"/>
  <c r="AH3247" i="3"/>
  <c r="AG3248" i="3"/>
  <c r="AH3248" i="3"/>
  <c r="AG3249" i="3"/>
  <c r="AH3249" i="3"/>
  <c r="AG3250" i="3"/>
  <c r="AH3250" i="3"/>
  <c r="AG3251" i="3"/>
  <c r="AH3251" i="3"/>
  <c r="AG3252" i="3"/>
  <c r="AH3252" i="3"/>
  <c r="AG3253" i="3"/>
  <c r="AH3253" i="3"/>
  <c r="AG3254" i="3"/>
  <c r="AH3254" i="3"/>
  <c r="AG3255" i="3"/>
  <c r="AH3255" i="3"/>
  <c r="AG3256" i="3"/>
  <c r="AH3256" i="3"/>
  <c r="AG3257" i="3"/>
  <c r="AH3257" i="3"/>
  <c r="AG3258" i="3"/>
  <c r="AH3258" i="3"/>
  <c r="AG3259" i="3"/>
  <c r="AH3259" i="3"/>
  <c r="AG3260" i="3"/>
  <c r="AH3260" i="3"/>
  <c r="AG3261" i="3"/>
  <c r="AH3261" i="3"/>
  <c r="AG3262" i="3"/>
  <c r="AH3262" i="3"/>
  <c r="AG3263" i="3"/>
  <c r="AH3263" i="3"/>
  <c r="AG3264" i="3"/>
  <c r="AH3264" i="3"/>
  <c r="AG3265" i="3"/>
  <c r="AH3265" i="3"/>
  <c r="AG3266" i="3"/>
  <c r="AH3266" i="3"/>
  <c r="AG3267" i="3"/>
  <c r="AH3267" i="3"/>
  <c r="AG3268" i="3"/>
  <c r="AH3268" i="3"/>
  <c r="AG3269" i="3"/>
  <c r="AH3269" i="3"/>
  <c r="AG3270" i="3"/>
  <c r="AH3270" i="3"/>
  <c r="AG3271" i="3"/>
  <c r="AH3271" i="3"/>
  <c r="AG3272" i="3"/>
  <c r="AH3272" i="3"/>
  <c r="AG3273" i="3"/>
  <c r="AH3273" i="3"/>
  <c r="AG3274" i="3"/>
  <c r="AH3274" i="3"/>
  <c r="AG3275" i="3"/>
  <c r="AH3275" i="3"/>
  <c r="AG3276" i="3"/>
  <c r="AH3276" i="3"/>
  <c r="AG3277" i="3"/>
  <c r="AH3277" i="3"/>
  <c r="AG3278" i="3"/>
  <c r="AH3278" i="3"/>
  <c r="AG3279" i="3"/>
  <c r="AH3279" i="3"/>
  <c r="AG3280" i="3"/>
  <c r="AH3280" i="3"/>
  <c r="AG3281" i="3"/>
  <c r="AH3281" i="3"/>
  <c r="AG3282" i="3"/>
  <c r="AH3282" i="3"/>
  <c r="AG3283" i="3"/>
  <c r="AH3283" i="3"/>
  <c r="AG3284" i="3"/>
  <c r="AH3284" i="3"/>
  <c r="AG3285" i="3"/>
  <c r="AH3285" i="3"/>
  <c r="AG3286" i="3"/>
  <c r="AH3286" i="3"/>
  <c r="AG3287" i="3"/>
  <c r="AH3287" i="3"/>
  <c r="AG3288" i="3"/>
  <c r="AH3288" i="3"/>
  <c r="AG3289" i="3"/>
  <c r="AH3289" i="3"/>
  <c r="AG3290" i="3"/>
  <c r="AH3290" i="3"/>
  <c r="AG3291" i="3"/>
  <c r="AH3291" i="3"/>
  <c r="AG3292" i="3"/>
  <c r="AH3292" i="3"/>
  <c r="AG3293" i="3"/>
  <c r="AH3293" i="3"/>
  <c r="AG3294" i="3"/>
  <c r="AH3294" i="3"/>
  <c r="AG3295" i="3"/>
  <c r="AH3295" i="3"/>
  <c r="AG3296" i="3"/>
  <c r="AH3296" i="3"/>
  <c r="AG3297" i="3"/>
  <c r="AH3297" i="3"/>
  <c r="AG3298" i="3"/>
  <c r="AH3298" i="3"/>
  <c r="AG3299" i="3"/>
  <c r="AH3299" i="3"/>
  <c r="AG3300" i="3"/>
  <c r="AH3300" i="3"/>
  <c r="AG3301" i="3"/>
  <c r="AH3301" i="3"/>
  <c r="AG3302" i="3"/>
  <c r="AH3302" i="3"/>
  <c r="AG3303" i="3"/>
  <c r="AH3303" i="3"/>
  <c r="AG3304" i="3"/>
  <c r="AH3304" i="3"/>
  <c r="AG3305" i="3"/>
  <c r="AH3305" i="3"/>
  <c r="AG3306" i="3"/>
  <c r="AH3306" i="3"/>
  <c r="AG3307" i="3"/>
  <c r="AH3307" i="3"/>
  <c r="AG3308" i="3"/>
  <c r="AH3308" i="3"/>
  <c r="AG3309" i="3"/>
  <c r="AH3309" i="3"/>
  <c r="AG3310" i="3"/>
  <c r="AH3310" i="3"/>
  <c r="AG3311" i="3"/>
  <c r="AH3311" i="3"/>
  <c r="AG3312" i="3"/>
  <c r="AH3312" i="3"/>
  <c r="AG3313" i="3"/>
  <c r="AH3313" i="3"/>
  <c r="AG3314" i="3"/>
  <c r="AH3314" i="3"/>
  <c r="AG3315" i="3"/>
  <c r="AH3315" i="3"/>
  <c r="AG3316" i="3"/>
  <c r="AH3316" i="3"/>
  <c r="AG3317" i="3"/>
  <c r="AH3317" i="3"/>
  <c r="AG3318" i="3"/>
  <c r="AH3318" i="3"/>
  <c r="AG3319" i="3"/>
  <c r="AH3319" i="3"/>
  <c r="AG3320" i="3"/>
  <c r="AH3320" i="3"/>
  <c r="AG3321" i="3"/>
  <c r="AH3321" i="3"/>
  <c r="AG3322" i="3"/>
  <c r="AH3322" i="3"/>
  <c r="AG3323" i="3"/>
  <c r="AH3323" i="3"/>
  <c r="AG3324" i="3"/>
  <c r="AH3324" i="3"/>
  <c r="AG3325" i="3"/>
  <c r="AH3325" i="3"/>
  <c r="AG3326" i="3"/>
  <c r="AH3326" i="3"/>
  <c r="AG3327" i="3"/>
  <c r="AH3327" i="3"/>
  <c r="AG3328" i="3"/>
  <c r="AH3328" i="3"/>
  <c r="AG3329" i="3"/>
  <c r="AH3329" i="3"/>
  <c r="AG3330" i="3"/>
  <c r="AH3330" i="3"/>
  <c r="AG3331" i="3"/>
  <c r="AH3331" i="3"/>
  <c r="AG3332" i="3"/>
  <c r="AH3332" i="3"/>
  <c r="AG3333" i="3"/>
  <c r="AH3333" i="3"/>
  <c r="AG3334" i="3"/>
  <c r="AH3334" i="3"/>
  <c r="AG3335" i="3"/>
  <c r="AH3335" i="3"/>
  <c r="AG3336" i="3"/>
  <c r="AH3336" i="3"/>
  <c r="AG3337" i="3"/>
  <c r="AH3337" i="3"/>
  <c r="AG3338" i="3"/>
  <c r="AH3338" i="3"/>
  <c r="AG3339" i="3"/>
  <c r="AH3339" i="3"/>
  <c r="AG3340" i="3"/>
  <c r="AH3340" i="3"/>
  <c r="AG3341" i="3"/>
  <c r="AH3341" i="3"/>
  <c r="AG3342" i="3"/>
  <c r="AH3342" i="3"/>
  <c r="AG3343" i="3"/>
  <c r="AH3343" i="3"/>
  <c r="AG3344" i="3"/>
  <c r="AH3344" i="3"/>
  <c r="AG3345" i="3"/>
  <c r="AH3345" i="3"/>
  <c r="AG3346" i="3"/>
  <c r="AH3346" i="3"/>
  <c r="AG3347" i="3"/>
  <c r="AH3347" i="3"/>
  <c r="AG3348" i="3"/>
  <c r="AH3348" i="3"/>
  <c r="AG3349" i="3"/>
  <c r="AH3349" i="3"/>
  <c r="AG3350" i="3"/>
  <c r="AH3350" i="3"/>
  <c r="AG3351" i="3"/>
  <c r="AH3351" i="3"/>
  <c r="AG3352" i="3"/>
  <c r="AH3352" i="3"/>
  <c r="AG3353" i="3"/>
  <c r="AH3353" i="3"/>
  <c r="AG3354" i="3"/>
  <c r="AH3354" i="3"/>
  <c r="AG3355" i="3"/>
  <c r="AH3355" i="3"/>
  <c r="AG3356" i="3"/>
  <c r="AH3356" i="3"/>
  <c r="AG3357" i="3"/>
  <c r="AH3357" i="3"/>
  <c r="AG3358" i="3"/>
  <c r="AH3358" i="3"/>
  <c r="AG3359" i="3"/>
  <c r="AH3359" i="3"/>
  <c r="AG3360" i="3"/>
  <c r="AH3360" i="3"/>
  <c r="AG3361" i="3"/>
  <c r="AH3361" i="3"/>
  <c r="AG3362" i="3"/>
  <c r="AH3362" i="3"/>
  <c r="AG3363" i="3"/>
  <c r="AH3363" i="3"/>
  <c r="AG3364" i="3"/>
  <c r="AH3364" i="3"/>
  <c r="AG3365" i="3"/>
  <c r="AH3365" i="3"/>
  <c r="AG3366" i="3"/>
  <c r="AH3366" i="3"/>
  <c r="AG3367" i="3"/>
  <c r="AH3367" i="3"/>
  <c r="AG3368" i="3"/>
  <c r="AH3368" i="3"/>
  <c r="AG3369" i="3"/>
  <c r="AH3369" i="3"/>
  <c r="AG3370" i="3"/>
  <c r="AH3370" i="3"/>
  <c r="AG3371" i="3"/>
  <c r="AH3371" i="3"/>
  <c r="AG3372" i="3"/>
  <c r="AH3372" i="3"/>
  <c r="AG3373" i="3"/>
  <c r="AH3373" i="3"/>
  <c r="AG3374" i="3"/>
  <c r="AH3374" i="3"/>
  <c r="AG3375" i="3"/>
  <c r="AH3375" i="3"/>
  <c r="AG3376" i="3"/>
  <c r="AH3376" i="3"/>
  <c r="AG3377" i="3"/>
  <c r="AH3377" i="3"/>
  <c r="AG3378" i="3"/>
  <c r="AH3378" i="3"/>
  <c r="AG3379" i="3"/>
  <c r="AH3379" i="3"/>
  <c r="AG3380" i="3"/>
  <c r="AH3380" i="3"/>
  <c r="AG3381" i="3"/>
  <c r="AH3381" i="3"/>
  <c r="AG3382" i="3"/>
  <c r="AH3382" i="3"/>
  <c r="AG3383" i="3"/>
  <c r="AH3383" i="3"/>
  <c r="AG3384" i="3"/>
  <c r="AH3384" i="3"/>
  <c r="AG3385" i="3"/>
  <c r="AH3385" i="3"/>
  <c r="AG3386" i="3"/>
  <c r="AH3386" i="3"/>
  <c r="AG3387" i="3"/>
  <c r="AH3387" i="3"/>
  <c r="AG3388" i="3"/>
  <c r="AH3388" i="3"/>
  <c r="AG3389" i="3"/>
  <c r="AH3389" i="3"/>
  <c r="AG3390" i="3"/>
  <c r="AH3390" i="3"/>
  <c r="AG3391" i="3"/>
  <c r="AH3391" i="3"/>
  <c r="AG3392" i="3"/>
  <c r="AH3392" i="3"/>
  <c r="AG3393" i="3"/>
  <c r="AH3393" i="3"/>
  <c r="AG3394" i="3"/>
  <c r="AH3394" i="3"/>
  <c r="AG3395" i="3"/>
  <c r="AH3395" i="3"/>
  <c r="AG3396" i="3"/>
  <c r="AH3396" i="3"/>
  <c r="AG3397" i="3"/>
  <c r="AH3397" i="3"/>
  <c r="AG3398" i="3"/>
  <c r="AH3398" i="3"/>
  <c r="AG3399" i="3"/>
  <c r="AH3399" i="3"/>
  <c r="AG3400" i="3"/>
  <c r="AH3400" i="3"/>
  <c r="AG3401" i="3"/>
  <c r="AH3401" i="3"/>
  <c r="AG3402" i="3"/>
  <c r="AH3402" i="3"/>
  <c r="AG3403" i="3"/>
  <c r="AH3403" i="3"/>
  <c r="AG3404" i="3"/>
  <c r="AH3404" i="3"/>
  <c r="AG3405" i="3"/>
  <c r="AH3405" i="3"/>
  <c r="AG3406" i="3"/>
  <c r="AH3406" i="3"/>
  <c r="AG3407" i="3"/>
  <c r="AH3407" i="3"/>
  <c r="AG3408" i="3"/>
  <c r="AH3408" i="3"/>
  <c r="AG3409" i="3"/>
  <c r="AH3409" i="3"/>
  <c r="AG3410" i="3"/>
  <c r="AH3410" i="3"/>
  <c r="AG3411" i="3"/>
  <c r="AH3411" i="3"/>
  <c r="AG3412" i="3"/>
  <c r="AH3412" i="3"/>
  <c r="AG3413" i="3"/>
  <c r="AH3413" i="3"/>
  <c r="AG3414" i="3"/>
  <c r="AH3414" i="3"/>
  <c r="AG3415" i="3"/>
  <c r="AH3415" i="3"/>
  <c r="AG3416" i="3"/>
  <c r="AH3416" i="3"/>
  <c r="AG3417" i="3"/>
  <c r="AH3417" i="3"/>
  <c r="AG3418" i="3"/>
  <c r="AH3418" i="3"/>
  <c r="AG3419" i="3"/>
  <c r="AH3419" i="3"/>
  <c r="AG3420" i="3"/>
  <c r="AH3420" i="3"/>
  <c r="AG3421" i="3"/>
  <c r="AH3421" i="3"/>
  <c r="AG3422" i="3"/>
  <c r="AH3422" i="3"/>
  <c r="AG3423" i="3"/>
  <c r="AH3423" i="3"/>
  <c r="AG3424" i="3"/>
  <c r="AH3424" i="3"/>
  <c r="AG3425" i="3"/>
  <c r="AH3425" i="3"/>
  <c r="AG3426" i="3"/>
  <c r="AH3426" i="3"/>
  <c r="AG3427" i="3"/>
  <c r="AH3427" i="3"/>
  <c r="AG3428" i="3"/>
  <c r="AH3428" i="3"/>
  <c r="AG3429" i="3"/>
  <c r="AH3429" i="3"/>
  <c r="AG3430" i="3"/>
  <c r="AH3430" i="3"/>
  <c r="AG3431" i="3"/>
  <c r="AH3431" i="3"/>
  <c r="AG3432" i="3"/>
  <c r="AH3432" i="3"/>
  <c r="AG3433" i="3"/>
  <c r="AH3433" i="3"/>
  <c r="AG3434" i="3"/>
  <c r="AH3434" i="3"/>
  <c r="AG3435" i="3"/>
  <c r="AH3435" i="3"/>
  <c r="AG3436" i="3"/>
  <c r="AH3436" i="3"/>
  <c r="AG3437" i="3"/>
  <c r="AH3437" i="3"/>
  <c r="AG3438" i="3"/>
  <c r="AH3438" i="3"/>
  <c r="AG3439" i="3"/>
  <c r="AH3439" i="3"/>
  <c r="AG3440" i="3"/>
  <c r="AH3440" i="3"/>
  <c r="AG3441" i="3"/>
  <c r="AH3441" i="3"/>
  <c r="AG3442" i="3"/>
  <c r="AH3442" i="3"/>
  <c r="AG3443" i="3"/>
  <c r="AH3443" i="3"/>
  <c r="AG3444" i="3"/>
  <c r="AH3444" i="3"/>
  <c r="AG3445" i="3"/>
  <c r="AH3445" i="3"/>
  <c r="AG3446" i="3"/>
  <c r="AH3446" i="3"/>
  <c r="AG3447" i="3"/>
  <c r="AH3447" i="3"/>
  <c r="AG3448" i="3"/>
  <c r="AH3448" i="3"/>
  <c r="AG3449" i="3"/>
  <c r="AH3449" i="3"/>
  <c r="AG3450" i="3"/>
  <c r="AH3450" i="3"/>
  <c r="AG3451" i="3"/>
  <c r="AH3451" i="3"/>
  <c r="AG3452" i="3"/>
  <c r="AH3452" i="3"/>
  <c r="AG3453" i="3"/>
  <c r="AH3453" i="3"/>
  <c r="AG3454" i="3"/>
  <c r="AH3454" i="3"/>
  <c r="AG3455" i="3"/>
  <c r="AH3455" i="3"/>
  <c r="AG3456" i="3"/>
  <c r="AH3456" i="3"/>
  <c r="AG3457" i="3"/>
  <c r="AH3457" i="3"/>
  <c r="AG3458" i="3"/>
  <c r="AH3458" i="3"/>
  <c r="AG3459" i="3"/>
  <c r="AH3459" i="3"/>
  <c r="AG3460" i="3"/>
  <c r="AH3460" i="3"/>
  <c r="AG3461" i="3"/>
  <c r="AH3461" i="3"/>
  <c r="AG3462" i="3"/>
  <c r="AH3462" i="3"/>
  <c r="AG3463" i="3"/>
  <c r="AH3463" i="3"/>
  <c r="AG3464" i="3"/>
  <c r="AH3464" i="3"/>
  <c r="AG3465" i="3"/>
  <c r="AH3465" i="3"/>
  <c r="AG3466" i="3"/>
  <c r="AH3466" i="3"/>
  <c r="AG3467" i="3"/>
  <c r="AH3467" i="3"/>
  <c r="AG3468" i="3"/>
  <c r="AH3468" i="3"/>
  <c r="AG3469" i="3"/>
  <c r="AH3469" i="3"/>
  <c r="AG3470" i="3"/>
  <c r="AH3470" i="3"/>
  <c r="AG3471" i="3"/>
  <c r="AH3471" i="3"/>
  <c r="AG3472" i="3"/>
  <c r="AH3472" i="3"/>
  <c r="AG3473" i="3"/>
  <c r="AH3473" i="3"/>
  <c r="AG3474" i="3"/>
  <c r="AH3474" i="3"/>
  <c r="AG3475" i="3"/>
  <c r="AH3475" i="3"/>
  <c r="AG3476" i="3"/>
  <c r="AH3476" i="3"/>
  <c r="AG3477" i="3"/>
  <c r="AH3477" i="3"/>
  <c r="AG3478" i="3"/>
  <c r="AH3478" i="3"/>
  <c r="AG3479" i="3"/>
  <c r="AH3479" i="3"/>
  <c r="AG3480" i="3"/>
  <c r="AH3480" i="3"/>
  <c r="AG3481" i="3"/>
  <c r="AH3481" i="3"/>
  <c r="AG3482" i="3"/>
  <c r="AH3482" i="3"/>
  <c r="AG3483" i="3"/>
  <c r="AH3483" i="3"/>
  <c r="AG3484" i="3"/>
  <c r="AH3484" i="3"/>
  <c r="AG3485" i="3"/>
  <c r="AH3485" i="3"/>
  <c r="AG3486" i="3"/>
  <c r="AH3486" i="3"/>
  <c r="AG3487" i="3"/>
  <c r="AH3487" i="3"/>
  <c r="AG3488" i="3"/>
  <c r="AH3488" i="3"/>
  <c r="AG3489" i="3"/>
  <c r="AH3489" i="3"/>
  <c r="AG3490" i="3"/>
  <c r="AH3490" i="3"/>
  <c r="AG3491" i="3"/>
  <c r="AH3491" i="3"/>
  <c r="AG3492" i="3"/>
  <c r="AH3492" i="3"/>
  <c r="AG3493" i="3"/>
  <c r="AH3493" i="3"/>
  <c r="AG3494" i="3"/>
  <c r="AH3494" i="3"/>
  <c r="AG3495" i="3"/>
  <c r="AH3495" i="3"/>
  <c r="AG3496" i="3"/>
  <c r="AH3496" i="3"/>
  <c r="AG3497" i="3"/>
  <c r="AH3497" i="3"/>
  <c r="AG3498" i="3"/>
  <c r="AH3498" i="3"/>
  <c r="AG3499" i="3"/>
  <c r="AH3499" i="3"/>
  <c r="AG3500" i="3"/>
  <c r="AH3500" i="3"/>
  <c r="AG3501" i="3"/>
  <c r="AH3501" i="3"/>
  <c r="AG3502" i="3"/>
  <c r="AH3502" i="3"/>
  <c r="AG3503" i="3"/>
  <c r="AH3503" i="3"/>
  <c r="AG3504" i="3"/>
  <c r="AH3504" i="3"/>
  <c r="AG3505" i="3"/>
  <c r="AH3505" i="3"/>
  <c r="AG3506" i="3"/>
  <c r="AH3506" i="3"/>
  <c r="AG3507" i="3"/>
  <c r="AH3507" i="3"/>
  <c r="AG3508" i="3"/>
  <c r="AH3508" i="3"/>
  <c r="AG3509" i="3"/>
  <c r="AH3509" i="3"/>
  <c r="AG3510" i="3"/>
  <c r="AH3510" i="3"/>
  <c r="AG3511" i="3"/>
  <c r="AH3511" i="3"/>
  <c r="AG3512" i="3"/>
  <c r="AH3512" i="3"/>
  <c r="AG3513" i="3"/>
  <c r="AH3513" i="3"/>
  <c r="AG3514" i="3"/>
  <c r="AH3514" i="3"/>
  <c r="AG3515" i="3"/>
  <c r="AH3515" i="3"/>
  <c r="AG3516" i="3"/>
  <c r="AH3516" i="3"/>
  <c r="AG3517" i="3"/>
  <c r="AH3517" i="3"/>
  <c r="AG3518" i="3"/>
  <c r="AH3518" i="3"/>
  <c r="AG3519" i="3"/>
  <c r="AH3519" i="3"/>
  <c r="AG3520" i="3"/>
  <c r="AH3520" i="3"/>
  <c r="AG3521" i="3"/>
  <c r="AH3521" i="3"/>
  <c r="AG3522" i="3"/>
  <c r="AH3522" i="3"/>
  <c r="AG3523" i="3"/>
  <c r="AH3523" i="3"/>
  <c r="AG3524" i="3"/>
  <c r="AH3524" i="3"/>
  <c r="AG3525" i="3"/>
  <c r="AH3525" i="3"/>
  <c r="AG3526" i="3"/>
  <c r="AH3526" i="3"/>
  <c r="AG3527" i="3"/>
  <c r="AH3527" i="3"/>
  <c r="AG3528" i="3"/>
  <c r="AH3528" i="3"/>
  <c r="AG3529" i="3"/>
  <c r="AH3529" i="3"/>
  <c r="AG3530" i="3"/>
  <c r="AH3530" i="3"/>
  <c r="AG3531" i="3"/>
  <c r="AH3531" i="3"/>
  <c r="AG3532" i="3"/>
  <c r="AH3532" i="3"/>
  <c r="AG3533" i="3"/>
  <c r="AH3533" i="3"/>
  <c r="AG3534" i="3"/>
  <c r="AH3534" i="3"/>
  <c r="AG3535" i="3"/>
  <c r="AH3535" i="3"/>
  <c r="AG3536" i="3"/>
  <c r="AH3536" i="3"/>
  <c r="AG3537" i="3"/>
  <c r="AH3537" i="3"/>
  <c r="AG3538" i="3"/>
  <c r="AH3538" i="3"/>
  <c r="AG3539" i="3"/>
  <c r="AH3539" i="3"/>
  <c r="AG3540" i="3"/>
  <c r="AH3540" i="3"/>
  <c r="AG3541" i="3"/>
  <c r="AH3541" i="3"/>
  <c r="AG3542" i="3"/>
  <c r="AH3542" i="3"/>
  <c r="AG3543" i="3"/>
  <c r="AH3543" i="3"/>
  <c r="AG3544" i="3"/>
  <c r="AH3544" i="3"/>
  <c r="AG3545" i="3"/>
  <c r="AH3545" i="3"/>
  <c r="AG3546" i="3"/>
  <c r="AH3546" i="3"/>
  <c r="AG3547" i="3"/>
  <c r="AH3547" i="3"/>
  <c r="AG3548" i="3"/>
  <c r="AH3548" i="3"/>
  <c r="AG3549" i="3"/>
  <c r="AH3549" i="3"/>
  <c r="AG3550" i="3"/>
  <c r="AH3550" i="3"/>
  <c r="AG3551" i="3"/>
  <c r="AH3551" i="3"/>
  <c r="AG3552" i="3"/>
  <c r="AH3552" i="3"/>
  <c r="AG3553" i="3"/>
  <c r="AH3553" i="3"/>
  <c r="AG3554" i="3"/>
  <c r="AH3554" i="3"/>
  <c r="AG3555" i="3"/>
  <c r="AH3555" i="3"/>
  <c r="AG3556" i="3"/>
  <c r="AH3556" i="3"/>
  <c r="AG3557" i="3"/>
  <c r="AH3557" i="3"/>
  <c r="AG3558" i="3"/>
  <c r="AH3558" i="3"/>
  <c r="AG3559" i="3"/>
  <c r="AH3559" i="3"/>
  <c r="AG3560" i="3"/>
  <c r="AH3560" i="3"/>
  <c r="AG3561" i="3"/>
  <c r="AH3561" i="3"/>
  <c r="AG3562" i="3"/>
  <c r="AH3562" i="3"/>
  <c r="AG3563" i="3"/>
  <c r="AH3563" i="3"/>
  <c r="AG3564" i="3"/>
  <c r="AH3564" i="3"/>
  <c r="AG3565" i="3"/>
  <c r="AH3565" i="3"/>
  <c r="AG3566" i="3"/>
  <c r="AH3566" i="3"/>
  <c r="AG3567" i="3"/>
  <c r="AH3567" i="3"/>
  <c r="AG3568" i="3"/>
  <c r="AH3568" i="3"/>
  <c r="AG3569" i="3"/>
  <c r="AH3569" i="3"/>
  <c r="AG3570" i="3"/>
  <c r="AH3570" i="3"/>
  <c r="AG3571" i="3"/>
  <c r="AH3571" i="3"/>
  <c r="AG3572" i="3"/>
  <c r="AH3572" i="3"/>
  <c r="AG3573" i="3"/>
  <c r="AH3573" i="3"/>
  <c r="AG3574" i="3"/>
  <c r="AH3574" i="3"/>
  <c r="AG3575" i="3"/>
  <c r="AH3575" i="3"/>
  <c r="AG3576" i="3"/>
  <c r="AH3576" i="3"/>
  <c r="AG3577" i="3"/>
  <c r="AH3577" i="3"/>
  <c r="AG3578" i="3"/>
  <c r="AH3578" i="3"/>
  <c r="AG3579" i="3"/>
  <c r="AH3579" i="3"/>
  <c r="AG3580" i="3"/>
  <c r="AH3580" i="3"/>
  <c r="AG3581" i="3"/>
  <c r="AH3581" i="3"/>
  <c r="AG3582" i="3"/>
  <c r="AH3582" i="3"/>
  <c r="AG3583" i="3"/>
  <c r="AH3583" i="3"/>
  <c r="AG3584" i="3"/>
  <c r="AH3584" i="3"/>
  <c r="AG3585" i="3"/>
  <c r="AH3585" i="3"/>
  <c r="AG3586" i="3"/>
  <c r="AH3586" i="3"/>
  <c r="AG3587" i="3"/>
  <c r="AH3587" i="3"/>
  <c r="AG3588" i="3"/>
  <c r="AH3588" i="3"/>
  <c r="AG3589" i="3"/>
  <c r="AH3589" i="3"/>
  <c r="AG3590" i="3"/>
  <c r="AH3590" i="3"/>
  <c r="AG3591" i="3"/>
  <c r="AH3591" i="3"/>
  <c r="AG3592" i="3"/>
  <c r="AH3592" i="3"/>
  <c r="AG3593" i="3"/>
  <c r="AH3593" i="3"/>
  <c r="AG3594" i="3"/>
  <c r="AH3594" i="3"/>
  <c r="AG3595" i="3"/>
  <c r="AH3595" i="3"/>
  <c r="AG3596" i="3"/>
  <c r="AH3596" i="3"/>
  <c r="AG3597" i="3"/>
  <c r="AH3597" i="3"/>
  <c r="AG3598" i="3"/>
  <c r="AH3598" i="3"/>
  <c r="AG3599" i="3"/>
  <c r="AH3599" i="3"/>
  <c r="AG3600" i="3"/>
  <c r="AH3600" i="3"/>
  <c r="AG3601" i="3"/>
  <c r="AH3601" i="3"/>
  <c r="AG3602" i="3"/>
  <c r="AH3602" i="3"/>
  <c r="AG3603" i="3"/>
  <c r="AH3603" i="3"/>
  <c r="AG3604" i="3"/>
  <c r="AH3604" i="3"/>
  <c r="AG3605" i="3"/>
  <c r="AH3605" i="3"/>
  <c r="AG3606" i="3"/>
  <c r="AH3606" i="3"/>
  <c r="AG3607" i="3"/>
  <c r="AH3607" i="3"/>
  <c r="AG3608" i="3"/>
  <c r="AH3608" i="3"/>
  <c r="AG3609" i="3"/>
  <c r="AH3609" i="3"/>
  <c r="AG3610" i="3"/>
  <c r="AH3610" i="3"/>
  <c r="AG3611" i="3"/>
  <c r="AH3611" i="3"/>
  <c r="AG3612" i="3"/>
  <c r="AH3612" i="3"/>
  <c r="AG3613" i="3"/>
  <c r="AH3613" i="3"/>
  <c r="AG3614" i="3"/>
  <c r="AH3614" i="3"/>
  <c r="AG3615" i="3"/>
  <c r="AH3615" i="3"/>
  <c r="AG3616" i="3"/>
  <c r="AH3616" i="3"/>
  <c r="AG3617" i="3"/>
  <c r="AH3617" i="3"/>
  <c r="AG3618" i="3"/>
  <c r="AH3618" i="3"/>
  <c r="AG3619" i="3"/>
  <c r="AH3619" i="3"/>
  <c r="AG3620" i="3"/>
  <c r="AH3620" i="3"/>
  <c r="AG3621" i="3"/>
  <c r="AH3621" i="3"/>
  <c r="AG3622" i="3"/>
  <c r="AH3622" i="3"/>
  <c r="AG3623" i="3"/>
  <c r="AH3623" i="3"/>
  <c r="AG3624" i="3"/>
  <c r="AH3624" i="3"/>
  <c r="AG3625" i="3"/>
  <c r="AH3625" i="3"/>
  <c r="AG3626" i="3"/>
  <c r="AH3626" i="3"/>
  <c r="AG3627" i="3"/>
  <c r="AH3627" i="3"/>
  <c r="AG3628" i="3"/>
  <c r="AH3628" i="3"/>
  <c r="AG3629" i="3"/>
  <c r="AH3629" i="3"/>
  <c r="AG3630" i="3"/>
  <c r="AH3630" i="3"/>
  <c r="AG3631" i="3"/>
  <c r="AH3631" i="3"/>
  <c r="AG3632" i="3"/>
  <c r="AH3632" i="3"/>
  <c r="AG3633" i="3"/>
  <c r="AH3633" i="3"/>
  <c r="AG3634" i="3"/>
  <c r="AH3634" i="3"/>
  <c r="AG3635" i="3"/>
  <c r="AH3635" i="3"/>
  <c r="AG3636" i="3"/>
  <c r="AH3636" i="3"/>
  <c r="AG3637" i="3"/>
  <c r="AH3637" i="3"/>
  <c r="AG3638" i="3"/>
  <c r="AH3638" i="3"/>
  <c r="AG3639" i="3"/>
  <c r="AH3639" i="3"/>
  <c r="AG3640" i="3"/>
  <c r="AH3640" i="3"/>
  <c r="AG3641" i="3"/>
  <c r="AH3641" i="3"/>
  <c r="AG3642" i="3"/>
  <c r="AH3642" i="3"/>
  <c r="AG3643" i="3"/>
  <c r="AH3643" i="3"/>
  <c r="AG3644" i="3"/>
  <c r="AH3644" i="3"/>
  <c r="AG3645" i="3"/>
  <c r="AH3645" i="3"/>
  <c r="AG3646" i="3"/>
  <c r="AH3646" i="3"/>
  <c r="AG3647" i="3"/>
  <c r="AH3647" i="3"/>
  <c r="AG3648" i="3"/>
  <c r="AH3648" i="3"/>
  <c r="AG3649" i="3"/>
  <c r="AH3649" i="3"/>
  <c r="AG3650" i="3"/>
  <c r="AH3650" i="3"/>
  <c r="AG3651" i="3"/>
  <c r="AH3651" i="3"/>
  <c r="AG3652" i="3"/>
  <c r="AH3652" i="3"/>
  <c r="AG3653" i="3"/>
  <c r="AH3653" i="3"/>
  <c r="AG3654" i="3"/>
  <c r="AH3654" i="3"/>
  <c r="AG3655" i="3"/>
  <c r="AH3655" i="3"/>
  <c r="AG3656" i="3"/>
  <c r="AH3656" i="3"/>
  <c r="AG3657" i="3"/>
  <c r="AH3657" i="3"/>
  <c r="AG3658" i="3"/>
  <c r="AH3658" i="3"/>
  <c r="AG3659" i="3"/>
  <c r="AH3659" i="3"/>
  <c r="AG3660" i="3"/>
  <c r="AH3660" i="3"/>
  <c r="AG3661" i="3"/>
  <c r="AH3661" i="3"/>
  <c r="AG3662" i="3"/>
  <c r="AH3662" i="3"/>
  <c r="AG3663" i="3"/>
  <c r="AH3663" i="3"/>
  <c r="AG3664" i="3"/>
  <c r="AH3664" i="3"/>
  <c r="AG3665" i="3"/>
  <c r="AH3665" i="3"/>
  <c r="AG3666" i="3"/>
  <c r="AH3666" i="3"/>
  <c r="AG3667" i="3"/>
  <c r="AH3667" i="3"/>
  <c r="AG3668" i="3"/>
  <c r="AH3668" i="3"/>
  <c r="AG3669" i="3"/>
  <c r="AH3669" i="3"/>
  <c r="AG3670" i="3"/>
  <c r="AH3670" i="3"/>
  <c r="AG3671" i="3"/>
  <c r="AH3671" i="3"/>
  <c r="AG3672" i="3"/>
  <c r="AH3672" i="3"/>
  <c r="AG3673" i="3"/>
  <c r="AH3673" i="3"/>
  <c r="AG3674" i="3"/>
  <c r="AH3674" i="3"/>
  <c r="AG3675" i="3"/>
  <c r="AH3675" i="3"/>
  <c r="AG3676" i="3"/>
  <c r="AH3676" i="3"/>
  <c r="AG3677" i="3"/>
  <c r="AH3677" i="3"/>
  <c r="AG3678" i="3"/>
  <c r="AH3678" i="3"/>
  <c r="AG3679" i="3"/>
  <c r="AH3679" i="3"/>
  <c r="AG3680" i="3"/>
  <c r="AH3680" i="3"/>
  <c r="AG3681" i="3"/>
  <c r="AH3681" i="3"/>
  <c r="AG3682" i="3"/>
  <c r="AH3682" i="3"/>
  <c r="AG3683" i="3"/>
  <c r="AH3683" i="3"/>
  <c r="AG3684" i="3"/>
  <c r="AH3684" i="3"/>
  <c r="AG3685" i="3"/>
  <c r="AH3685" i="3"/>
  <c r="AG3686" i="3"/>
  <c r="AH3686" i="3"/>
  <c r="AG3687" i="3"/>
  <c r="AH3687" i="3"/>
  <c r="AG3688" i="3"/>
  <c r="AH3688" i="3"/>
  <c r="AG3689" i="3"/>
  <c r="AH3689" i="3"/>
  <c r="AG3690" i="3"/>
  <c r="AH3690" i="3"/>
  <c r="AG3691" i="3"/>
  <c r="AH3691" i="3"/>
  <c r="AG3692" i="3"/>
  <c r="AH3692" i="3"/>
  <c r="AG3693" i="3"/>
  <c r="AH3693" i="3"/>
  <c r="AG3694" i="3"/>
  <c r="AH3694" i="3"/>
  <c r="AG3695" i="3"/>
  <c r="AH3695" i="3"/>
  <c r="AG3696" i="3"/>
  <c r="AH3696" i="3"/>
  <c r="AG3697" i="3"/>
  <c r="AH3697" i="3"/>
  <c r="AG3698" i="3"/>
  <c r="AH3698" i="3"/>
  <c r="AG3699" i="3"/>
  <c r="AH3699" i="3"/>
  <c r="AG3700" i="3"/>
  <c r="AH3700" i="3"/>
  <c r="AG3701" i="3"/>
  <c r="AH3701" i="3"/>
  <c r="AG3702" i="3"/>
  <c r="AH3702" i="3"/>
  <c r="AG3703" i="3"/>
  <c r="AH3703" i="3"/>
  <c r="AG3704" i="3"/>
  <c r="AH3704" i="3"/>
  <c r="AG3705" i="3"/>
  <c r="AH3705" i="3"/>
  <c r="AG3706" i="3"/>
  <c r="AH3706" i="3"/>
  <c r="AG3707" i="3"/>
  <c r="AH3707" i="3"/>
  <c r="AG3708" i="3"/>
  <c r="AH3708" i="3"/>
  <c r="AG3709" i="3"/>
  <c r="AH3709" i="3"/>
  <c r="AG3710" i="3"/>
  <c r="AH3710" i="3"/>
  <c r="AG3711" i="3"/>
  <c r="AH3711" i="3"/>
  <c r="AG3712" i="3"/>
  <c r="AH3712" i="3"/>
  <c r="AG3713" i="3"/>
  <c r="AH3713" i="3"/>
  <c r="AG3714" i="3"/>
  <c r="AH3714" i="3"/>
  <c r="AG3715" i="3"/>
  <c r="AH3715" i="3"/>
  <c r="AG3716" i="3"/>
  <c r="AH3716" i="3"/>
  <c r="AG3717" i="3"/>
  <c r="AH3717" i="3"/>
  <c r="AG3718" i="3"/>
  <c r="AH3718" i="3"/>
  <c r="AG3719" i="3"/>
  <c r="AH3719" i="3"/>
  <c r="AG3720" i="3"/>
  <c r="AH3720" i="3"/>
  <c r="AG3721" i="3"/>
  <c r="AH3721" i="3"/>
  <c r="AG3722" i="3"/>
  <c r="AH3722" i="3"/>
  <c r="AG3723" i="3"/>
  <c r="AH3723" i="3"/>
  <c r="AG3724" i="3"/>
  <c r="AH3724" i="3"/>
  <c r="AG3725" i="3"/>
  <c r="AH3725" i="3"/>
  <c r="AG3726" i="3"/>
  <c r="AH3726" i="3"/>
  <c r="AG3727" i="3"/>
  <c r="AH3727" i="3"/>
  <c r="AG3728" i="3"/>
  <c r="AH3728" i="3"/>
  <c r="AG3729" i="3"/>
  <c r="AH3729" i="3"/>
  <c r="AG3730" i="3"/>
  <c r="AH3730" i="3"/>
  <c r="AG3731" i="3"/>
  <c r="AH3731" i="3"/>
  <c r="AG3732" i="3"/>
  <c r="AH3732" i="3"/>
  <c r="AG3733" i="3"/>
  <c r="AH3733" i="3"/>
  <c r="AG3734" i="3"/>
  <c r="AH3734" i="3"/>
  <c r="AG3735" i="3"/>
  <c r="AH3735" i="3"/>
  <c r="AG3736" i="3"/>
  <c r="AH3736" i="3"/>
  <c r="AG3737" i="3"/>
  <c r="AH3737" i="3"/>
  <c r="AG3738" i="3"/>
  <c r="AH3738" i="3"/>
  <c r="AG3739" i="3"/>
  <c r="AH3739" i="3"/>
  <c r="AG3740" i="3"/>
  <c r="AH3740" i="3"/>
  <c r="AG3741" i="3"/>
  <c r="AH3741" i="3"/>
  <c r="AG3742" i="3"/>
  <c r="AH3742" i="3"/>
  <c r="AG3743" i="3"/>
  <c r="AH3743" i="3"/>
  <c r="AG3744" i="3"/>
  <c r="AH3744" i="3"/>
  <c r="AG3745" i="3"/>
  <c r="AH3745" i="3"/>
  <c r="AG3746" i="3"/>
  <c r="AH3746" i="3"/>
  <c r="AG3747" i="3"/>
  <c r="AH3747" i="3"/>
  <c r="AG3748" i="3"/>
  <c r="AH3748" i="3"/>
  <c r="AG3749" i="3"/>
  <c r="AH3749" i="3"/>
  <c r="AG3750" i="3"/>
  <c r="AH3750" i="3"/>
  <c r="AG3751" i="3"/>
  <c r="AH3751" i="3"/>
  <c r="AG3752" i="3"/>
  <c r="AH3752" i="3"/>
  <c r="AG3753" i="3"/>
  <c r="AH3753" i="3"/>
  <c r="AG3754" i="3"/>
  <c r="AH3754" i="3"/>
  <c r="AG3755" i="3"/>
  <c r="AH3755" i="3"/>
  <c r="AG3756" i="3"/>
  <c r="AH3756" i="3"/>
  <c r="AG3757" i="3"/>
  <c r="AH3757" i="3"/>
  <c r="AG3758" i="3"/>
  <c r="AH3758" i="3"/>
  <c r="AG3759" i="3"/>
  <c r="AH3759" i="3"/>
  <c r="AG3760" i="3"/>
  <c r="AH3760" i="3"/>
  <c r="AG3761" i="3"/>
  <c r="AH3761" i="3"/>
  <c r="AG3762" i="3"/>
  <c r="AH3762" i="3"/>
  <c r="AG3763" i="3"/>
  <c r="AH3763" i="3"/>
  <c r="AG3764" i="3"/>
  <c r="AH3764" i="3"/>
  <c r="AG3765" i="3"/>
  <c r="AH3765" i="3"/>
  <c r="AG3766" i="3"/>
  <c r="AH3766" i="3"/>
  <c r="AG3767" i="3"/>
  <c r="AH3767" i="3"/>
  <c r="AG3768" i="3"/>
  <c r="AH3768" i="3"/>
  <c r="AG3769" i="3"/>
  <c r="AH3769" i="3"/>
  <c r="AG3770" i="3"/>
  <c r="AH3770" i="3"/>
  <c r="AG3771" i="3"/>
  <c r="AH3771" i="3"/>
  <c r="AG3772" i="3"/>
  <c r="AH3772" i="3"/>
  <c r="AG3773" i="3"/>
  <c r="AH3773" i="3"/>
  <c r="AG3774" i="3"/>
  <c r="AH3774" i="3"/>
  <c r="AG3775" i="3"/>
  <c r="AH3775" i="3"/>
  <c r="AG3776" i="3"/>
  <c r="AH3776" i="3"/>
  <c r="AG3777" i="3"/>
  <c r="AH3777" i="3"/>
  <c r="AG3778" i="3"/>
  <c r="AH3778" i="3"/>
  <c r="AG3779" i="3"/>
  <c r="AH3779" i="3"/>
  <c r="AG3780" i="3"/>
  <c r="AH3780" i="3"/>
  <c r="AG3781" i="3"/>
  <c r="AH3781" i="3"/>
  <c r="AG3782" i="3"/>
  <c r="AH3782" i="3"/>
  <c r="AG3783" i="3"/>
  <c r="AH3783" i="3"/>
  <c r="AG3784" i="3"/>
  <c r="AH3784" i="3"/>
  <c r="AG3785" i="3"/>
  <c r="AH3785" i="3"/>
  <c r="AG3786" i="3"/>
  <c r="AH3786" i="3"/>
  <c r="AG3787" i="3"/>
  <c r="AH3787" i="3"/>
  <c r="AG3788" i="3"/>
  <c r="AH3788" i="3"/>
  <c r="AG3789" i="3"/>
  <c r="AH3789" i="3"/>
  <c r="AG3790" i="3"/>
  <c r="AH3790" i="3"/>
  <c r="AG3791" i="3"/>
  <c r="AH3791" i="3"/>
  <c r="AG3792" i="3"/>
  <c r="AH3792" i="3"/>
  <c r="AG3793" i="3"/>
  <c r="AH3793" i="3"/>
  <c r="AG3794" i="3"/>
  <c r="AH3794" i="3"/>
  <c r="AG3795" i="3"/>
  <c r="AH3795" i="3"/>
  <c r="AG3796" i="3"/>
  <c r="AH3796" i="3"/>
  <c r="AG3797" i="3"/>
  <c r="AH3797" i="3"/>
  <c r="AG3798" i="3"/>
  <c r="AH3798" i="3"/>
  <c r="AG3799" i="3"/>
  <c r="AH3799" i="3"/>
  <c r="AG3800" i="3"/>
  <c r="AH3800" i="3"/>
  <c r="AG3801" i="3"/>
  <c r="AH3801" i="3"/>
  <c r="AG3802" i="3"/>
  <c r="AH3802" i="3"/>
  <c r="AG3803" i="3"/>
  <c r="AH3803" i="3"/>
  <c r="AG3804" i="3"/>
  <c r="AH3804" i="3"/>
  <c r="AG3805" i="3"/>
  <c r="AH3805" i="3"/>
  <c r="AG3806" i="3"/>
  <c r="AH3806" i="3"/>
  <c r="AG3807" i="3"/>
  <c r="AH3807" i="3"/>
  <c r="AG3808" i="3"/>
  <c r="AH3808" i="3"/>
  <c r="AG3809" i="3"/>
  <c r="AH3809" i="3"/>
  <c r="AG3810" i="3"/>
  <c r="AH3810" i="3"/>
  <c r="AG3811" i="3"/>
  <c r="AH3811" i="3"/>
  <c r="AG3812" i="3"/>
  <c r="AH3812" i="3"/>
  <c r="AG3813" i="3"/>
  <c r="AH3813" i="3"/>
  <c r="AG3814" i="3"/>
  <c r="AH3814" i="3"/>
  <c r="AG3815" i="3"/>
  <c r="AH3815" i="3"/>
  <c r="AG3816" i="3"/>
  <c r="AH3816" i="3"/>
  <c r="AG3817" i="3"/>
  <c r="AH3817" i="3"/>
  <c r="AG3818" i="3"/>
  <c r="AH3818" i="3"/>
  <c r="AG3819" i="3"/>
  <c r="AH3819" i="3"/>
  <c r="AG3820" i="3"/>
  <c r="AH3820" i="3"/>
  <c r="AG3821" i="3"/>
  <c r="AH3821" i="3"/>
  <c r="AG3822" i="3"/>
  <c r="AH3822" i="3"/>
  <c r="AG3823" i="3"/>
  <c r="AH3823" i="3"/>
  <c r="AG3824" i="3"/>
  <c r="AH3824" i="3"/>
  <c r="AG3825" i="3"/>
  <c r="AH3825" i="3"/>
  <c r="AG3826" i="3"/>
  <c r="AH3826" i="3"/>
  <c r="AG3827" i="3"/>
  <c r="AH3827" i="3"/>
  <c r="AG3828" i="3"/>
  <c r="AH3828" i="3"/>
  <c r="AG3829" i="3"/>
  <c r="AH3829" i="3"/>
  <c r="AG3830" i="3"/>
  <c r="AH3830" i="3"/>
  <c r="AG3831" i="3"/>
  <c r="AH3831" i="3"/>
  <c r="AG3832" i="3"/>
  <c r="AH3832" i="3"/>
  <c r="AG3833" i="3"/>
  <c r="AH3833" i="3"/>
  <c r="AG3834" i="3"/>
  <c r="AH3834" i="3"/>
  <c r="AG3835" i="3"/>
  <c r="AH3835" i="3"/>
  <c r="AG3836" i="3"/>
  <c r="AH3836" i="3"/>
  <c r="AG3837" i="3"/>
  <c r="AH3837" i="3"/>
  <c r="AG3838" i="3"/>
  <c r="AH3838" i="3"/>
  <c r="AG3839" i="3"/>
  <c r="AH3839" i="3"/>
  <c r="AG3840" i="3"/>
  <c r="AH3840" i="3"/>
  <c r="AG3841" i="3"/>
  <c r="AH3841" i="3"/>
  <c r="AG3842" i="3"/>
  <c r="AH3842" i="3"/>
  <c r="AG3843" i="3"/>
  <c r="AH3843" i="3"/>
  <c r="AG3844" i="3"/>
  <c r="AH3844" i="3"/>
  <c r="AG3845" i="3"/>
  <c r="AH3845" i="3"/>
  <c r="AG3846" i="3"/>
  <c r="AH3846" i="3"/>
  <c r="AG3847" i="3"/>
  <c r="AH3847" i="3"/>
  <c r="AG3848" i="3"/>
  <c r="AH3848" i="3"/>
  <c r="AG3849" i="3"/>
  <c r="AH3849" i="3"/>
  <c r="AG3850" i="3"/>
  <c r="AH3850" i="3"/>
  <c r="AG3851" i="3"/>
  <c r="AH3851" i="3"/>
  <c r="AG3852" i="3"/>
  <c r="AH3852" i="3"/>
  <c r="AG3853" i="3"/>
  <c r="AH3853" i="3"/>
  <c r="AG3854" i="3"/>
  <c r="AH3854" i="3"/>
  <c r="AG3855" i="3"/>
  <c r="AH3855" i="3"/>
  <c r="AG3856" i="3"/>
  <c r="AH3856" i="3"/>
  <c r="AG3857" i="3"/>
  <c r="AH3857" i="3"/>
  <c r="AG3858" i="3"/>
  <c r="AH3858" i="3"/>
  <c r="AG3859" i="3"/>
  <c r="AH3859" i="3"/>
  <c r="AG3860" i="3"/>
  <c r="AH3860" i="3"/>
  <c r="AG3861" i="3"/>
  <c r="AH3861" i="3"/>
  <c r="AG3862" i="3"/>
  <c r="AH3862" i="3"/>
  <c r="AG3863" i="3"/>
  <c r="AH3863" i="3"/>
  <c r="AG3864" i="3"/>
  <c r="AH3864" i="3"/>
  <c r="AG3865" i="3"/>
  <c r="AH3865" i="3"/>
  <c r="AG3866" i="3"/>
  <c r="AH3866" i="3"/>
  <c r="AG3867" i="3"/>
  <c r="AH3867" i="3"/>
  <c r="AG3868" i="3"/>
  <c r="AH3868" i="3"/>
  <c r="AG3869" i="3"/>
  <c r="AH3869" i="3"/>
  <c r="AG3870" i="3"/>
  <c r="AH3870" i="3"/>
  <c r="AG3871" i="3"/>
  <c r="AH3871" i="3"/>
  <c r="AG3872" i="3"/>
  <c r="AH3872" i="3"/>
  <c r="AG3873" i="3"/>
  <c r="AH3873" i="3"/>
  <c r="AG3874" i="3"/>
  <c r="AH3874" i="3"/>
  <c r="AG3875" i="3"/>
  <c r="AH3875" i="3"/>
  <c r="AG3876" i="3"/>
  <c r="AH3876" i="3"/>
  <c r="AG3877" i="3"/>
  <c r="AH3877" i="3"/>
  <c r="AG3878" i="3"/>
  <c r="AH3878" i="3"/>
  <c r="AG3879" i="3"/>
  <c r="AH3879" i="3"/>
  <c r="AG3880" i="3"/>
  <c r="AH3880" i="3"/>
  <c r="AG3881" i="3"/>
  <c r="AH3881" i="3"/>
  <c r="AG3882" i="3"/>
  <c r="AH3882" i="3"/>
  <c r="AG3883" i="3"/>
  <c r="AH3883" i="3"/>
  <c r="AG3884" i="3"/>
  <c r="AH3884" i="3"/>
  <c r="AG3885" i="3"/>
  <c r="AH3885" i="3"/>
  <c r="AG3886" i="3"/>
  <c r="AH3886" i="3"/>
  <c r="AG3887" i="3"/>
  <c r="AH3887" i="3"/>
  <c r="AG3888" i="3"/>
  <c r="AH3888" i="3"/>
  <c r="AG3889" i="3"/>
  <c r="AH3889" i="3"/>
  <c r="AG3890" i="3"/>
  <c r="AH3890" i="3"/>
  <c r="AG3891" i="3"/>
  <c r="AH3891" i="3"/>
  <c r="AG3892" i="3"/>
  <c r="AH3892" i="3"/>
  <c r="AG3893" i="3"/>
  <c r="AH3893" i="3"/>
  <c r="AG3894" i="3"/>
  <c r="AH3894" i="3"/>
  <c r="AG3895" i="3"/>
  <c r="AH3895" i="3"/>
  <c r="AG3896" i="3"/>
  <c r="AH3896" i="3"/>
  <c r="AG3897" i="3"/>
  <c r="AH3897" i="3"/>
  <c r="AG3898" i="3"/>
  <c r="AH3898" i="3"/>
  <c r="AG3899" i="3"/>
  <c r="AH3899" i="3"/>
  <c r="AG3900" i="3"/>
  <c r="AH3900" i="3"/>
  <c r="AG3901" i="3"/>
  <c r="AH3901" i="3"/>
  <c r="AG3902" i="3"/>
  <c r="AH3902" i="3"/>
  <c r="AG3903" i="3"/>
  <c r="AH3903" i="3"/>
  <c r="AG3904" i="3"/>
  <c r="AH3904" i="3"/>
  <c r="AG3905" i="3"/>
  <c r="AH3905" i="3"/>
  <c r="AG3906" i="3"/>
  <c r="AH3906" i="3"/>
  <c r="AG3907" i="3"/>
  <c r="AH3907" i="3"/>
  <c r="AG3908" i="3"/>
  <c r="AH3908" i="3"/>
  <c r="AG3909" i="3"/>
  <c r="AH3909" i="3"/>
  <c r="AG3910" i="3"/>
  <c r="AH3910" i="3"/>
  <c r="AG3911" i="3"/>
  <c r="AH3911" i="3"/>
  <c r="AG3912" i="3"/>
  <c r="AH3912" i="3"/>
  <c r="AG3913" i="3"/>
  <c r="AH3913" i="3"/>
  <c r="AG3914" i="3"/>
  <c r="AH3914" i="3"/>
  <c r="AG3915" i="3"/>
  <c r="AH3915" i="3"/>
  <c r="AG3916" i="3"/>
  <c r="AH3916" i="3"/>
  <c r="AG3917" i="3"/>
  <c r="AH3917" i="3"/>
  <c r="AG3918" i="3"/>
  <c r="AH3918" i="3"/>
  <c r="AG3919" i="3"/>
  <c r="AH3919" i="3"/>
  <c r="AG3920" i="3"/>
  <c r="AH3920" i="3"/>
  <c r="AG3921" i="3"/>
  <c r="AH3921" i="3"/>
  <c r="AG3922" i="3"/>
  <c r="AH3922" i="3"/>
  <c r="AG3923" i="3"/>
  <c r="AH3923" i="3"/>
  <c r="AG3924" i="3"/>
  <c r="AH3924" i="3"/>
  <c r="AG3925" i="3"/>
  <c r="AH3925" i="3"/>
  <c r="AG3926" i="3"/>
  <c r="AH3926" i="3"/>
  <c r="AG3927" i="3"/>
  <c r="AH3927" i="3"/>
  <c r="AG3928" i="3"/>
  <c r="AH3928" i="3"/>
  <c r="AG3929" i="3"/>
  <c r="AH3929" i="3"/>
  <c r="AG3930" i="3"/>
  <c r="AH3930" i="3"/>
  <c r="AG3931" i="3"/>
  <c r="AH3931" i="3"/>
  <c r="AG3932" i="3"/>
  <c r="AH3932" i="3"/>
  <c r="AG3933" i="3"/>
  <c r="AH3933" i="3"/>
  <c r="AG3934" i="3"/>
  <c r="AH3934" i="3"/>
  <c r="AG3935" i="3"/>
  <c r="AH3935" i="3"/>
  <c r="AG3936" i="3"/>
  <c r="AH3936" i="3"/>
  <c r="AG3937" i="3"/>
  <c r="AH3937" i="3"/>
  <c r="AG3938" i="3"/>
  <c r="AH3938" i="3"/>
  <c r="AG3939" i="3"/>
  <c r="AH3939" i="3"/>
  <c r="AG3940" i="3"/>
  <c r="AH3940" i="3"/>
  <c r="AG3941" i="3"/>
  <c r="AH3941" i="3"/>
  <c r="AG3942" i="3"/>
  <c r="AH3942" i="3"/>
  <c r="AG3943" i="3"/>
  <c r="AH3943" i="3"/>
  <c r="AG3944" i="3"/>
  <c r="AH3944" i="3"/>
  <c r="AG3945" i="3"/>
  <c r="AH3945" i="3"/>
  <c r="AG3946" i="3"/>
  <c r="AH3946" i="3"/>
  <c r="AG3947" i="3"/>
  <c r="AH3947" i="3"/>
  <c r="AG3948" i="3"/>
  <c r="AH3948" i="3"/>
  <c r="AG3949" i="3"/>
  <c r="AH3949" i="3"/>
  <c r="AG3950" i="3"/>
  <c r="AH3950" i="3"/>
  <c r="AG3951" i="3"/>
  <c r="AH3951" i="3"/>
  <c r="AG3952" i="3"/>
  <c r="AH3952" i="3"/>
  <c r="AG3953" i="3"/>
  <c r="AH3953" i="3"/>
  <c r="AG3954" i="3"/>
  <c r="AH3954" i="3"/>
  <c r="AG3955" i="3"/>
  <c r="AH3955" i="3"/>
  <c r="AG3956" i="3"/>
  <c r="AH3956" i="3"/>
  <c r="AG3957" i="3"/>
  <c r="AH3957" i="3"/>
  <c r="AG3958" i="3"/>
  <c r="AH3958" i="3"/>
  <c r="AG3959" i="3"/>
  <c r="AH3959" i="3"/>
  <c r="AG3960" i="3"/>
  <c r="AH3960" i="3"/>
  <c r="AG3961" i="3"/>
  <c r="AH3961" i="3"/>
  <c r="AG3962" i="3"/>
  <c r="AH3962" i="3"/>
  <c r="AG3963" i="3"/>
  <c r="AH3963" i="3"/>
  <c r="AG3964" i="3"/>
  <c r="AH3964" i="3"/>
  <c r="AG3965" i="3"/>
  <c r="AH3965" i="3"/>
  <c r="AG3966" i="3"/>
  <c r="AH3966" i="3"/>
  <c r="AG3967" i="3"/>
  <c r="AH3967" i="3"/>
  <c r="AG3968" i="3"/>
  <c r="AH3968" i="3"/>
  <c r="AG3969" i="3"/>
  <c r="AH3969" i="3"/>
  <c r="AG3970" i="3"/>
  <c r="AH3970" i="3"/>
  <c r="AG3971" i="3"/>
  <c r="AH3971" i="3"/>
  <c r="AG3972" i="3"/>
  <c r="AH3972" i="3"/>
  <c r="AG3973" i="3"/>
  <c r="AH3973" i="3"/>
  <c r="AG3974" i="3"/>
  <c r="AH3974" i="3"/>
  <c r="AG3975" i="3"/>
  <c r="AH3975" i="3"/>
  <c r="AG3976" i="3"/>
  <c r="AH3976" i="3"/>
  <c r="AG3977" i="3"/>
  <c r="AH3977" i="3"/>
  <c r="AG3978" i="3"/>
  <c r="AH3978" i="3"/>
  <c r="AG3979" i="3"/>
  <c r="AH3979" i="3"/>
  <c r="AG3980" i="3"/>
  <c r="AH3980" i="3"/>
  <c r="AG3981" i="3"/>
  <c r="AH3981" i="3"/>
  <c r="AG3982" i="3"/>
  <c r="AH3982" i="3"/>
  <c r="AG3983" i="3"/>
  <c r="AH3983" i="3"/>
  <c r="AG3984" i="3"/>
  <c r="AH3984" i="3"/>
  <c r="AG3985" i="3"/>
  <c r="AH3985" i="3"/>
  <c r="AG3986" i="3"/>
  <c r="AH3986" i="3"/>
  <c r="AG3987" i="3"/>
  <c r="AH3987" i="3"/>
  <c r="AG3988" i="3"/>
  <c r="AH3988" i="3"/>
  <c r="AG3989" i="3"/>
  <c r="AH3989" i="3"/>
  <c r="AG3990" i="3"/>
  <c r="AH3990" i="3"/>
  <c r="AG3991" i="3"/>
  <c r="AH3991" i="3"/>
  <c r="AG3992" i="3"/>
  <c r="AH3992" i="3"/>
  <c r="AG3993" i="3"/>
  <c r="AH3993" i="3"/>
  <c r="AG3994" i="3"/>
  <c r="AH3994" i="3"/>
  <c r="AG3995" i="3"/>
  <c r="AH3995" i="3"/>
  <c r="AG3996" i="3"/>
  <c r="AH3996" i="3"/>
  <c r="AG3997" i="3"/>
  <c r="AH3997" i="3"/>
  <c r="AG3998" i="3"/>
  <c r="AH3998" i="3"/>
  <c r="AG3999" i="3"/>
  <c r="AH3999" i="3"/>
  <c r="AG4000" i="3"/>
  <c r="AH4000" i="3"/>
  <c r="AG4001" i="3"/>
  <c r="AH4001" i="3"/>
  <c r="AG4002" i="3"/>
  <c r="AH4002" i="3"/>
  <c r="AG4003" i="3"/>
  <c r="AH4003" i="3"/>
  <c r="AG4004" i="3"/>
  <c r="AH4004" i="3"/>
  <c r="AG4005" i="3"/>
  <c r="AH4005" i="3"/>
  <c r="AG4006" i="3"/>
  <c r="AH4006" i="3"/>
  <c r="AG4007" i="3"/>
  <c r="AH4007" i="3"/>
  <c r="AG4008" i="3"/>
  <c r="AH4008" i="3"/>
  <c r="AG4009" i="3"/>
  <c r="AH4009" i="3"/>
  <c r="AG4010" i="3"/>
  <c r="AH4010" i="3"/>
  <c r="AG4011" i="3"/>
  <c r="AH4011" i="3"/>
  <c r="AG4012" i="3"/>
  <c r="AH4012" i="3"/>
  <c r="AG4013" i="3"/>
  <c r="AH4013" i="3"/>
  <c r="AG4014" i="3"/>
  <c r="AH4014" i="3"/>
  <c r="AG4015" i="3"/>
  <c r="AH4015" i="3"/>
  <c r="AG4016" i="3"/>
  <c r="AH4016" i="3"/>
  <c r="AG4017" i="3"/>
  <c r="AH4017" i="3"/>
  <c r="AG4018" i="3"/>
  <c r="AH4018" i="3"/>
  <c r="AG4019" i="3"/>
  <c r="AH4019" i="3"/>
  <c r="AG4020" i="3"/>
  <c r="AH4020" i="3"/>
  <c r="AG4021" i="3"/>
  <c r="AH4021" i="3"/>
  <c r="AG4022" i="3"/>
  <c r="AH4022" i="3"/>
  <c r="AG4023" i="3"/>
  <c r="AH4023" i="3"/>
  <c r="AG4024" i="3"/>
  <c r="AH4024" i="3"/>
  <c r="AG4025" i="3"/>
  <c r="AH4025" i="3"/>
  <c r="AG4026" i="3"/>
  <c r="AH4026" i="3"/>
  <c r="AG4027" i="3"/>
  <c r="AH4027" i="3"/>
  <c r="AG4028" i="3"/>
  <c r="AH4028" i="3"/>
  <c r="AG4029" i="3"/>
  <c r="AH4029" i="3"/>
  <c r="AG4030" i="3"/>
  <c r="AH4030" i="3"/>
  <c r="AG4031" i="3"/>
  <c r="AH4031" i="3"/>
  <c r="AG4032" i="3"/>
  <c r="AH4032" i="3"/>
  <c r="AG4033" i="3"/>
  <c r="AH4033" i="3"/>
  <c r="AG4034" i="3"/>
  <c r="AH4034" i="3"/>
  <c r="AG4035" i="3"/>
  <c r="AH4035" i="3"/>
  <c r="AG4036" i="3"/>
  <c r="AH4036" i="3"/>
  <c r="AG4037" i="3"/>
  <c r="AH4037" i="3"/>
  <c r="AG4038" i="3"/>
  <c r="AH4038" i="3"/>
  <c r="AG4039" i="3"/>
  <c r="AH4039" i="3"/>
  <c r="AG4040" i="3"/>
  <c r="AH4040" i="3"/>
  <c r="AG4041" i="3"/>
  <c r="AH4041" i="3"/>
  <c r="AG4042" i="3"/>
  <c r="AH4042" i="3"/>
  <c r="AG4043" i="3"/>
  <c r="AH4043" i="3"/>
  <c r="AG4044" i="3"/>
  <c r="AH4044" i="3"/>
  <c r="AG4045" i="3"/>
  <c r="AH4045" i="3"/>
  <c r="AG4046" i="3"/>
  <c r="AH4046" i="3"/>
  <c r="AG4047" i="3"/>
  <c r="AH4047" i="3"/>
  <c r="AG4048" i="3"/>
  <c r="AH4048" i="3"/>
  <c r="AG4049" i="3"/>
  <c r="AH4049" i="3"/>
  <c r="AG4050" i="3"/>
  <c r="AH4050" i="3"/>
  <c r="AG4051" i="3"/>
  <c r="AH4051" i="3"/>
  <c r="AG4052" i="3"/>
  <c r="AH4052" i="3"/>
  <c r="AG4053" i="3"/>
  <c r="AH4053" i="3"/>
  <c r="AG4054" i="3"/>
  <c r="AH4054" i="3"/>
  <c r="AG4055" i="3"/>
  <c r="AH4055" i="3"/>
  <c r="AG4056" i="3"/>
  <c r="AH4056" i="3"/>
  <c r="AG4057" i="3"/>
  <c r="AH4057" i="3"/>
  <c r="AG4058" i="3"/>
  <c r="AH4058" i="3"/>
  <c r="AG4059" i="3"/>
  <c r="AH4059" i="3"/>
  <c r="AG4060" i="3"/>
  <c r="AH4060" i="3"/>
  <c r="AG4061" i="3"/>
  <c r="AH4061" i="3"/>
  <c r="AG4062" i="3"/>
  <c r="AH4062" i="3"/>
  <c r="AG4063" i="3"/>
  <c r="AH4063" i="3"/>
  <c r="AG4064" i="3"/>
  <c r="AH4064" i="3"/>
  <c r="AG4065" i="3"/>
  <c r="AH4065" i="3"/>
  <c r="AG4066" i="3"/>
  <c r="AH4066" i="3"/>
  <c r="AG4067" i="3"/>
  <c r="AH4067" i="3"/>
  <c r="AG4068" i="3"/>
  <c r="AH4068" i="3"/>
  <c r="AG4069" i="3"/>
  <c r="AH4069" i="3"/>
  <c r="AG4070" i="3"/>
  <c r="AH4070" i="3"/>
  <c r="AG4071" i="3"/>
  <c r="AH4071" i="3"/>
  <c r="AG4072" i="3"/>
  <c r="AH4072" i="3"/>
  <c r="AG4073" i="3"/>
  <c r="AH4073" i="3"/>
  <c r="AG4074" i="3"/>
  <c r="AH4074" i="3"/>
  <c r="AG4075" i="3"/>
  <c r="AH4075" i="3"/>
  <c r="AG4076" i="3"/>
  <c r="AH4076" i="3"/>
  <c r="AG4077" i="3"/>
  <c r="AH4077" i="3"/>
  <c r="AG4078" i="3"/>
  <c r="AH4078" i="3"/>
  <c r="AG4079" i="3"/>
  <c r="AH4079" i="3"/>
  <c r="AG4080" i="3"/>
  <c r="AH4080" i="3"/>
  <c r="AG4081" i="3"/>
  <c r="AH4081" i="3"/>
  <c r="AG4082" i="3"/>
  <c r="AH4082" i="3"/>
  <c r="AG4083" i="3"/>
  <c r="AH4083" i="3"/>
  <c r="AG4084" i="3"/>
  <c r="AH4084" i="3"/>
  <c r="AG4085" i="3"/>
  <c r="AH4085" i="3"/>
  <c r="AG4086" i="3"/>
  <c r="AH4086" i="3"/>
  <c r="AG4087" i="3"/>
  <c r="AH4087" i="3"/>
  <c r="AG4088" i="3"/>
  <c r="AH4088" i="3"/>
  <c r="AG4089" i="3"/>
  <c r="AH4089" i="3"/>
  <c r="AG4090" i="3"/>
  <c r="AH4090" i="3"/>
  <c r="AG4091" i="3"/>
  <c r="AH4091" i="3"/>
  <c r="AG4092" i="3"/>
  <c r="AH4092" i="3"/>
  <c r="AG4093" i="3"/>
  <c r="AH4093" i="3"/>
  <c r="AG4094" i="3"/>
  <c r="AH4094" i="3"/>
  <c r="AG4095" i="3"/>
  <c r="AH4095" i="3"/>
  <c r="AG4096" i="3"/>
  <c r="AH4096" i="3"/>
  <c r="AG4097" i="3"/>
  <c r="AH4097" i="3"/>
  <c r="AG4098" i="3"/>
  <c r="AH4098" i="3"/>
  <c r="AG4099" i="3"/>
  <c r="AH4099" i="3"/>
  <c r="AG4100" i="3"/>
  <c r="AH4100" i="3"/>
  <c r="AG4101" i="3"/>
  <c r="AH4101" i="3"/>
  <c r="AG4102" i="3"/>
  <c r="AH4102" i="3"/>
  <c r="AG4103" i="3"/>
  <c r="AH4103" i="3"/>
  <c r="AG4104" i="3"/>
  <c r="AH4104" i="3"/>
  <c r="AG4105" i="3"/>
  <c r="AH4105" i="3"/>
  <c r="AG4106" i="3"/>
  <c r="AH4106" i="3"/>
  <c r="AG4107" i="3"/>
  <c r="AH4107" i="3"/>
  <c r="AG4108" i="3"/>
  <c r="AH4108" i="3"/>
  <c r="AG4109" i="3"/>
  <c r="AH4109" i="3"/>
  <c r="AG4110" i="3"/>
  <c r="AH4110" i="3"/>
  <c r="AG4111" i="3"/>
  <c r="AH4111" i="3"/>
  <c r="AG4112" i="3"/>
  <c r="AH4112" i="3"/>
  <c r="AG4113" i="3"/>
  <c r="AH4113" i="3"/>
  <c r="AG4114" i="3"/>
  <c r="AH4114" i="3"/>
  <c r="AG4115" i="3"/>
  <c r="AH4115" i="3"/>
  <c r="AG4116" i="3"/>
  <c r="AH4116" i="3"/>
  <c r="AG4117" i="3"/>
  <c r="AH4117" i="3"/>
  <c r="AG4118" i="3"/>
  <c r="AH4118" i="3"/>
  <c r="AG4119" i="3"/>
  <c r="AH4119" i="3"/>
  <c r="AG4120" i="3"/>
  <c r="AH4120" i="3"/>
  <c r="AG4121" i="3"/>
  <c r="AH4121" i="3"/>
  <c r="AG4122" i="3"/>
  <c r="AH4122" i="3"/>
  <c r="AG4123" i="3"/>
  <c r="AH4123" i="3"/>
  <c r="AG4124" i="3"/>
  <c r="AH4124" i="3"/>
  <c r="AG4125" i="3"/>
  <c r="AH4125" i="3"/>
  <c r="AG4126" i="3"/>
  <c r="AH4126" i="3"/>
  <c r="AG4127" i="3"/>
  <c r="AH4127" i="3"/>
  <c r="AG4128" i="3"/>
  <c r="AH4128" i="3"/>
  <c r="AG4129" i="3"/>
  <c r="AH4129" i="3"/>
  <c r="AG4130" i="3"/>
  <c r="AH4130" i="3"/>
  <c r="AG4131" i="3"/>
  <c r="AH4131" i="3"/>
  <c r="AG4132" i="3"/>
  <c r="AH4132" i="3"/>
  <c r="AG4133" i="3"/>
  <c r="AH4133" i="3"/>
  <c r="AG4134" i="3"/>
  <c r="AH4134" i="3"/>
  <c r="AG4135" i="3"/>
  <c r="AH4135" i="3"/>
  <c r="AG4136" i="3"/>
  <c r="AH4136" i="3"/>
  <c r="AG4137" i="3"/>
  <c r="AH4137" i="3"/>
  <c r="AG4138" i="3"/>
  <c r="AH4138" i="3"/>
  <c r="AG4139" i="3"/>
  <c r="AH4139" i="3"/>
  <c r="AG4140" i="3"/>
  <c r="AH4140" i="3"/>
  <c r="AG4141" i="3"/>
  <c r="AH4141" i="3"/>
  <c r="AG4142" i="3"/>
  <c r="AH4142" i="3"/>
  <c r="AG4143" i="3"/>
  <c r="AH4143" i="3"/>
  <c r="AG4144" i="3"/>
  <c r="AH4144" i="3"/>
  <c r="AG4145" i="3"/>
  <c r="AH4145" i="3"/>
  <c r="AG4146" i="3"/>
  <c r="AH4146" i="3"/>
  <c r="AG4147" i="3"/>
  <c r="AH4147" i="3"/>
  <c r="AG4148" i="3"/>
  <c r="AH4148" i="3"/>
  <c r="AG4149" i="3"/>
  <c r="AH4149" i="3"/>
  <c r="AG4150" i="3"/>
  <c r="AH4150" i="3"/>
  <c r="AG4151" i="3"/>
  <c r="AH4151" i="3"/>
  <c r="AG4152" i="3"/>
  <c r="AH4152" i="3"/>
  <c r="AG4153" i="3"/>
  <c r="AH4153" i="3"/>
  <c r="AG4154" i="3"/>
  <c r="AH4154" i="3"/>
  <c r="AG4155" i="3"/>
  <c r="AH4155" i="3"/>
  <c r="AG4156" i="3"/>
  <c r="AH4156" i="3"/>
  <c r="AG4157" i="3"/>
  <c r="AH4157" i="3"/>
  <c r="AG4158" i="3"/>
  <c r="AH4158" i="3"/>
  <c r="AG4159" i="3"/>
  <c r="AH4159" i="3"/>
  <c r="AG4160" i="3"/>
  <c r="AH4160" i="3"/>
  <c r="AG4161" i="3"/>
  <c r="AH4161" i="3"/>
  <c r="AG4162" i="3"/>
  <c r="AH4162" i="3"/>
  <c r="AG4163" i="3"/>
  <c r="AH4163" i="3"/>
  <c r="AG4164" i="3"/>
  <c r="AH4164" i="3"/>
  <c r="AG4165" i="3"/>
  <c r="AH4165" i="3"/>
  <c r="AG4166" i="3"/>
  <c r="AH4166" i="3"/>
  <c r="AG4167" i="3"/>
  <c r="AH4167" i="3"/>
  <c r="AG4168" i="3"/>
  <c r="AH4168" i="3"/>
  <c r="AG4169" i="3"/>
  <c r="AH4169" i="3"/>
  <c r="AG4170" i="3"/>
  <c r="AH4170" i="3"/>
  <c r="AG4171" i="3"/>
  <c r="AH4171" i="3"/>
  <c r="AG4172" i="3"/>
  <c r="AH4172" i="3"/>
  <c r="AG4173" i="3"/>
  <c r="AH4173" i="3"/>
  <c r="AG4174" i="3"/>
  <c r="AH4174" i="3"/>
  <c r="AG4175" i="3"/>
  <c r="AH4175" i="3"/>
  <c r="AG4176" i="3"/>
  <c r="AH4176" i="3"/>
  <c r="AG4177" i="3"/>
  <c r="AH4177" i="3"/>
  <c r="AG4178" i="3"/>
  <c r="AH4178" i="3"/>
  <c r="AG4179" i="3"/>
  <c r="AH4179" i="3"/>
  <c r="AG4180" i="3"/>
  <c r="AH4180" i="3"/>
  <c r="AG4181" i="3"/>
  <c r="AH4181" i="3"/>
  <c r="AG4182" i="3"/>
  <c r="AH4182" i="3"/>
  <c r="AG4183" i="3"/>
  <c r="AH4183" i="3"/>
  <c r="AG4184" i="3"/>
  <c r="AH4184" i="3"/>
  <c r="AG4185" i="3"/>
  <c r="AH4185" i="3"/>
  <c r="AG4186" i="3"/>
  <c r="AH4186" i="3"/>
  <c r="AG4187" i="3"/>
  <c r="AH4187" i="3"/>
  <c r="AG4188" i="3"/>
  <c r="AH4188" i="3"/>
  <c r="AG4189" i="3"/>
  <c r="AH4189" i="3"/>
  <c r="AG4190" i="3"/>
  <c r="AH4190" i="3"/>
  <c r="AG4191" i="3"/>
  <c r="AH4191" i="3"/>
  <c r="AG4192" i="3"/>
  <c r="AH4192" i="3"/>
  <c r="AG4193" i="3"/>
  <c r="AH4193" i="3"/>
  <c r="AG4194" i="3"/>
  <c r="AH4194" i="3"/>
  <c r="AG4195" i="3"/>
  <c r="AH4195" i="3"/>
  <c r="AG4196" i="3"/>
  <c r="AH4196" i="3"/>
  <c r="AG4197" i="3"/>
  <c r="AH4197" i="3"/>
  <c r="AG4198" i="3"/>
  <c r="AH4198" i="3"/>
  <c r="AG4199" i="3"/>
  <c r="AH4199" i="3"/>
  <c r="AG4200" i="3"/>
  <c r="AH4200" i="3"/>
  <c r="AG4201" i="3"/>
  <c r="AH4201" i="3"/>
  <c r="AG4202" i="3"/>
  <c r="AH4202" i="3"/>
  <c r="AG4203" i="3"/>
  <c r="AH4203" i="3"/>
  <c r="AG4204" i="3"/>
  <c r="AH4204" i="3"/>
  <c r="AG4205" i="3"/>
  <c r="AH4205" i="3"/>
  <c r="AG4206" i="3"/>
  <c r="AH4206" i="3"/>
  <c r="AG4207" i="3"/>
  <c r="AH4207" i="3"/>
  <c r="AG4208" i="3"/>
  <c r="AH4208" i="3"/>
  <c r="AG4209" i="3"/>
  <c r="AH4209" i="3"/>
  <c r="AG4210" i="3"/>
  <c r="AH4210" i="3"/>
  <c r="AG4211" i="3"/>
  <c r="AH4211" i="3"/>
  <c r="AG4212" i="3"/>
  <c r="AH4212" i="3"/>
  <c r="AG4213" i="3"/>
  <c r="AH4213" i="3"/>
  <c r="AG4214" i="3"/>
  <c r="AH4214" i="3"/>
  <c r="AG4215" i="3"/>
  <c r="AH4215" i="3"/>
  <c r="AG4216" i="3"/>
  <c r="AH4216" i="3"/>
  <c r="AG4217" i="3"/>
  <c r="AH4217" i="3"/>
  <c r="AG4218" i="3"/>
  <c r="AH4218" i="3"/>
  <c r="AG4219" i="3"/>
  <c r="AH4219" i="3"/>
  <c r="AG4220" i="3"/>
  <c r="AH4220" i="3"/>
  <c r="AG4221" i="3"/>
  <c r="AH4221" i="3"/>
  <c r="AG4222" i="3"/>
  <c r="AH4222" i="3"/>
  <c r="AG4223" i="3"/>
  <c r="AH4223" i="3"/>
  <c r="AG4224" i="3"/>
  <c r="AH4224" i="3"/>
  <c r="AG4225" i="3"/>
  <c r="AH4225" i="3"/>
  <c r="AG4226" i="3"/>
  <c r="AH4226" i="3"/>
  <c r="AG4227" i="3"/>
  <c r="AH4227" i="3"/>
  <c r="AG4228" i="3"/>
  <c r="AH4228" i="3"/>
  <c r="AG4229" i="3"/>
  <c r="AH4229" i="3"/>
  <c r="AG4230" i="3"/>
  <c r="AH4230" i="3"/>
  <c r="AG4231" i="3"/>
  <c r="AH4231" i="3"/>
  <c r="AG4232" i="3"/>
  <c r="AH4232" i="3"/>
  <c r="AG4233" i="3"/>
  <c r="AH4233" i="3"/>
  <c r="AG4234" i="3"/>
  <c r="AH4234" i="3"/>
  <c r="AG4235" i="3"/>
  <c r="AH4235" i="3"/>
  <c r="AG4236" i="3"/>
  <c r="AH4236" i="3"/>
  <c r="AG4237" i="3"/>
  <c r="AH4237" i="3"/>
  <c r="AG4238" i="3"/>
  <c r="AH4238" i="3"/>
  <c r="AG4239" i="3"/>
  <c r="AH4239" i="3"/>
  <c r="AG4240" i="3"/>
  <c r="AH4240" i="3"/>
  <c r="AG4241" i="3"/>
  <c r="AH4241" i="3"/>
  <c r="AG4242" i="3"/>
  <c r="AH4242" i="3"/>
  <c r="AG4243" i="3"/>
  <c r="AH4243" i="3"/>
  <c r="AG4244" i="3"/>
  <c r="AH4244" i="3"/>
  <c r="AG4245" i="3"/>
  <c r="AH4245" i="3"/>
  <c r="AG4246" i="3"/>
  <c r="AH4246" i="3"/>
  <c r="AG4247" i="3"/>
  <c r="AH4247" i="3"/>
  <c r="AG4248" i="3"/>
  <c r="AH4248" i="3"/>
  <c r="AG4249" i="3"/>
  <c r="AH4249" i="3"/>
  <c r="AG4250" i="3"/>
  <c r="AH4250" i="3"/>
  <c r="AG4251" i="3"/>
  <c r="AH4251" i="3"/>
  <c r="AG4252" i="3"/>
  <c r="AH4252" i="3"/>
  <c r="AG4253" i="3"/>
  <c r="AH4253" i="3"/>
  <c r="AG4254" i="3"/>
  <c r="AH4254" i="3"/>
  <c r="AG4255" i="3"/>
  <c r="AH4255" i="3"/>
  <c r="AG4256" i="3"/>
  <c r="AH4256" i="3"/>
  <c r="AG4257" i="3"/>
  <c r="AH4257" i="3"/>
  <c r="AG4258" i="3"/>
  <c r="AH4258" i="3"/>
  <c r="AG4259" i="3"/>
  <c r="AH4259" i="3"/>
  <c r="AG4260" i="3"/>
  <c r="AH4260" i="3"/>
  <c r="AG4261" i="3"/>
  <c r="AH4261" i="3"/>
  <c r="AG4262" i="3"/>
  <c r="AH4262" i="3"/>
  <c r="AG4263" i="3"/>
  <c r="AH4263" i="3"/>
  <c r="AG4264" i="3"/>
  <c r="AH4264" i="3"/>
  <c r="AG4265" i="3"/>
  <c r="AH4265" i="3"/>
  <c r="AG4266" i="3"/>
  <c r="AH4266" i="3"/>
  <c r="AG4267" i="3"/>
  <c r="AH4267" i="3"/>
  <c r="AG4268" i="3"/>
  <c r="AH4268" i="3"/>
  <c r="AG4269" i="3"/>
  <c r="AH4269" i="3"/>
  <c r="AG4270" i="3"/>
  <c r="AH4270" i="3"/>
  <c r="AG4271" i="3"/>
  <c r="AH4271" i="3"/>
  <c r="AG4272" i="3"/>
  <c r="AH4272" i="3"/>
  <c r="AG4273" i="3"/>
  <c r="AH4273" i="3"/>
  <c r="AG4274" i="3"/>
  <c r="AH4274" i="3"/>
  <c r="AG4275" i="3"/>
  <c r="AH4275" i="3"/>
  <c r="AG4276" i="3"/>
  <c r="AH4276" i="3"/>
  <c r="AG4277" i="3"/>
  <c r="AH4277" i="3"/>
  <c r="AG4278" i="3"/>
  <c r="AH4278" i="3"/>
  <c r="AG4279" i="3"/>
  <c r="AH4279" i="3"/>
  <c r="AG4280" i="3"/>
  <c r="AH4280" i="3"/>
  <c r="AG4281" i="3"/>
  <c r="AH4281" i="3"/>
  <c r="AG4282" i="3"/>
  <c r="AH4282" i="3"/>
  <c r="AG4283" i="3"/>
  <c r="AH4283" i="3"/>
  <c r="AG4284" i="3"/>
  <c r="AH4284" i="3"/>
  <c r="AG4285" i="3"/>
  <c r="AH4285" i="3"/>
  <c r="AG4286" i="3"/>
  <c r="AH4286" i="3"/>
  <c r="AG4287" i="3"/>
  <c r="AH4287" i="3"/>
  <c r="AG4288" i="3"/>
  <c r="AH4288" i="3"/>
  <c r="AG4289" i="3"/>
  <c r="AH4289" i="3"/>
  <c r="AG4290" i="3"/>
  <c r="AH4290" i="3"/>
  <c r="AG4291" i="3"/>
  <c r="AH4291" i="3"/>
  <c r="AG4292" i="3"/>
  <c r="AH4292" i="3"/>
  <c r="AG4293" i="3"/>
  <c r="AH4293" i="3"/>
  <c r="AG4294" i="3"/>
  <c r="AH4294" i="3"/>
  <c r="AG4295" i="3"/>
  <c r="AH4295" i="3"/>
  <c r="AG4296" i="3"/>
  <c r="AH4296" i="3"/>
  <c r="AG4297" i="3"/>
  <c r="AH4297" i="3"/>
  <c r="AG4298" i="3"/>
  <c r="AH4298" i="3"/>
  <c r="AG4299" i="3"/>
  <c r="AH4299" i="3"/>
  <c r="AG4300" i="3"/>
  <c r="AH4300" i="3"/>
  <c r="AG4301" i="3"/>
  <c r="AH4301" i="3"/>
  <c r="AG4302" i="3"/>
  <c r="AH4302" i="3"/>
  <c r="AG4303" i="3"/>
  <c r="AH4303" i="3"/>
  <c r="AG4304" i="3"/>
  <c r="AH4304" i="3"/>
  <c r="AG4305" i="3"/>
  <c r="AH4305" i="3"/>
  <c r="AG4306" i="3"/>
  <c r="AH4306" i="3"/>
  <c r="AG4307" i="3"/>
  <c r="AH4307" i="3"/>
  <c r="AG4308" i="3"/>
  <c r="AH4308" i="3"/>
  <c r="AG4309" i="3"/>
  <c r="AH4309" i="3"/>
  <c r="AG4310" i="3"/>
  <c r="AH4310" i="3"/>
  <c r="AG4311" i="3"/>
  <c r="AH4311" i="3"/>
  <c r="AG4312" i="3"/>
  <c r="AH4312" i="3"/>
  <c r="AG4313" i="3"/>
  <c r="AH4313" i="3"/>
  <c r="AG4314" i="3"/>
  <c r="AH4314" i="3"/>
  <c r="AG4315" i="3"/>
  <c r="AH4315" i="3"/>
  <c r="AG4316" i="3"/>
  <c r="AH4316" i="3"/>
  <c r="AG4317" i="3"/>
  <c r="AH4317" i="3"/>
  <c r="AG4318" i="3"/>
  <c r="AH4318" i="3"/>
  <c r="AG4319" i="3"/>
  <c r="AH4319" i="3"/>
  <c r="AG4320" i="3"/>
  <c r="AH4320" i="3"/>
  <c r="AG4321" i="3"/>
  <c r="AH4321" i="3"/>
  <c r="AG4322" i="3"/>
  <c r="AH4322" i="3"/>
  <c r="AG4323" i="3"/>
  <c r="AH4323" i="3"/>
  <c r="AG4324" i="3"/>
  <c r="AH4324" i="3"/>
  <c r="AG4325" i="3"/>
  <c r="AH4325" i="3"/>
  <c r="AG4326" i="3"/>
  <c r="AH4326" i="3"/>
  <c r="AG4327" i="3"/>
  <c r="AH4327" i="3"/>
  <c r="AG4328" i="3"/>
  <c r="AH4328" i="3"/>
  <c r="AG4329" i="3"/>
  <c r="AH4329" i="3"/>
  <c r="AG4330" i="3"/>
  <c r="AH4330" i="3"/>
  <c r="AG4331" i="3"/>
  <c r="AH4331" i="3"/>
  <c r="AG4332" i="3"/>
  <c r="AH4332" i="3"/>
  <c r="AG4333" i="3"/>
  <c r="AH4333" i="3"/>
  <c r="AG4334" i="3"/>
  <c r="AH4334" i="3"/>
  <c r="AG4335" i="3"/>
  <c r="AH4335" i="3"/>
  <c r="AG4336" i="3"/>
  <c r="AH4336" i="3"/>
  <c r="AG4337" i="3"/>
  <c r="AH4337" i="3"/>
  <c r="AG4338" i="3"/>
  <c r="AH4338" i="3"/>
  <c r="AG4339" i="3"/>
  <c r="AH4339" i="3"/>
  <c r="AG4340" i="3"/>
  <c r="AH4340" i="3"/>
  <c r="AG4341" i="3"/>
  <c r="AH4341" i="3"/>
  <c r="AG4342" i="3"/>
  <c r="AH4342" i="3"/>
  <c r="AG4343" i="3"/>
  <c r="AH4343" i="3"/>
  <c r="AG4344" i="3"/>
  <c r="AH4344" i="3"/>
  <c r="AG4345" i="3"/>
  <c r="AH4345" i="3"/>
  <c r="AG4346" i="3"/>
  <c r="AH4346" i="3"/>
  <c r="AG4347" i="3"/>
  <c r="AH4347" i="3"/>
  <c r="AG4348" i="3"/>
  <c r="AH4348" i="3"/>
  <c r="AG4349" i="3"/>
  <c r="AH4349" i="3"/>
  <c r="AG4350" i="3"/>
  <c r="AH4350" i="3"/>
  <c r="AG4351" i="3"/>
  <c r="AH4351" i="3"/>
  <c r="AG4352" i="3"/>
  <c r="AH4352" i="3"/>
  <c r="AG4353" i="3"/>
  <c r="AH4353" i="3"/>
  <c r="AG4354" i="3"/>
  <c r="AH4354" i="3"/>
  <c r="AG4355" i="3"/>
  <c r="AH4355" i="3"/>
  <c r="AG4356" i="3"/>
  <c r="AH4356" i="3"/>
  <c r="AG4357" i="3"/>
  <c r="AH4357" i="3"/>
  <c r="AG4358" i="3"/>
  <c r="AH4358" i="3"/>
  <c r="AG4359" i="3"/>
  <c r="AH4359" i="3"/>
  <c r="AG4360" i="3"/>
  <c r="AH4360" i="3"/>
  <c r="AG4361" i="3"/>
  <c r="AH4361" i="3"/>
  <c r="AG4362" i="3"/>
  <c r="AH4362" i="3"/>
  <c r="AG4363" i="3"/>
  <c r="AH4363" i="3"/>
  <c r="AG4364" i="3"/>
  <c r="AH4364" i="3"/>
  <c r="AG4365" i="3"/>
  <c r="AH4365" i="3"/>
  <c r="AG4366" i="3"/>
  <c r="AH4366" i="3"/>
  <c r="AG4367" i="3"/>
  <c r="AH4367" i="3"/>
  <c r="AG4368" i="3"/>
  <c r="AH4368" i="3"/>
  <c r="AG4369" i="3"/>
  <c r="AH4369" i="3"/>
  <c r="AG4370" i="3"/>
  <c r="AH4370" i="3"/>
  <c r="AG4371" i="3"/>
  <c r="AH4371" i="3"/>
  <c r="AG4372" i="3"/>
  <c r="AH4372" i="3"/>
  <c r="AG4373" i="3"/>
  <c r="AH4373" i="3"/>
  <c r="AG4374" i="3"/>
  <c r="AH4374" i="3"/>
  <c r="AG4375" i="3"/>
  <c r="AH4375" i="3"/>
  <c r="AG4376" i="3"/>
  <c r="AH4376" i="3"/>
  <c r="AG4377" i="3"/>
  <c r="AH4377" i="3"/>
  <c r="AG4378" i="3"/>
  <c r="AH4378" i="3"/>
  <c r="AG4379" i="3"/>
  <c r="AH4379" i="3"/>
  <c r="AG4380" i="3"/>
  <c r="AH4380" i="3"/>
  <c r="AG4381" i="3"/>
  <c r="AH4381" i="3"/>
  <c r="AG4382" i="3"/>
  <c r="AH4382" i="3"/>
  <c r="AG4383" i="3"/>
  <c r="AH4383" i="3"/>
  <c r="AG4384" i="3"/>
  <c r="AH4384" i="3"/>
  <c r="AG4385" i="3"/>
  <c r="AH4385" i="3"/>
  <c r="AG4386" i="3"/>
  <c r="AH4386" i="3"/>
  <c r="AG4387" i="3"/>
  <c r="AH4387" i="3"/>
  <c r="AG4388" i="3"/>
  <c r="AH4388" i="3"/>
  <c r="AG4389" i="3"/>
  <c r="AH4389" i="3"/>
  <c r="AG4390" i="3"/>
  <c r="AH4390" i="3"/>
  <c r="AG4391" i="3"/>
  <c r="AH4391" i="3"/>
  <c r="AG4392" i="3"/>
  <c r="AH4392" i="3"/>
  <c r="AG4393" i="3"/>
  <c r="AH4393" i="3"/>
  <c r="AG4394" i="3"/>
  <c r="AH4394" i="3"/>
  <c r="AG4395" i="3"/>
  <c r="AH4395" i="3"/>
  <c r="AG4396" i="3"/>
  <c r="AH4396" i="3"/>
  <c r="AG4397" i="3"/>
  <c r="AH4397" i="3"/>
  <c r="AG4398" i="3"/>
  <c r="AH4398" i="3"/>
  <c r="AG4399" i="3"/>
  <c r="AH4399" i="3"/>
  <c r="AG4400" i="3"/>
  <c r="AH4400" i="3"/>
  <c r="AG4401" i="3"/>
  <c r="AH4401" i="3"/>
  <c r="AG4402" i="3"/>
  <c r="AH4402" i="3"/>
  <c r="AG4403" i="3"/>
  <c r="AH4403" i="3"/>
  <c r="AG4404" i="3"/>
  <c r="AH4404" i="3"/>
  <c r="AG4405" i="3"/>
  <c r="AH4405" i="3"/>
  <c r="AG4406" i="3"/>
  <c r="AH4406" i="3"/>
  <c r="AG4407" i="3"/>
  <c r="AH4407" i="3"/>
  <c r="AG4408" i="3"/>
  <c r="AH4408" i="3"/>
  <c r="AG4409" i="3"/>
  <c r="AH4409" i="3"/>
  <c r="AG4410" i="3"/>
  <c r="AH4410" i="3"/>
  <c r="AG4411" i="3"/>
  <c r="AH4411" i="3"/>
  <c r="AG4412" i="3"/>
  <c r="AH4412" i="3"/>
  <c r="AG4413" i="3"/>
  <c r="AH4413" i="3"/>
  <c r="AG4414" i="3"/>
  <c r="AH4414" i="3"/>
  <c r="AG4415" i="3"/>
  <c r="AH4415" i="3"/>
  <c r="AG4416" i="3"/>
  <c r="AH4416" i="3"/>
  <c r="AG4417" i="3"/>
  <c r="AH4417" i="3"/>
  <c r="AG4418" i="3"/>
  <c r="AH4418" i="3"/>
  <c r="AG4419" i="3"/>
  <c r="AH4419" i="3"/>
  <c r="AG4420" i="3"/>
  <c r="AH4420" i="3"/>
  <c r="AG4421" i="3"/>
  <c r="AH4421" i="3"/>
  <c r="AG4422" i="3"/>
  <c r="AH4422" i="3"/>
  <c r="AG4423" i="3"/>
  <c r="AH4423" i="3"/>
  <c r="AG4424" i="3"/>
  <c r="AH4424" i="3"/>
  <c r="AG4425" i="3"/>
  <c r="AH4425" i="3"/>
  <c r="AG4426" i="3"/>
  <c r="AH4426" i="3"/>
  <c r="AG4427" i="3"/>
  <c r="AH4427" i="3"/>
  <c r="AG4428" i="3"/>
  <c r="AH4428" i="3"/>
  <c r="AG4429" i="3"/>
  <c r="AH4429" i="3"/>
  <c r="AG4430" i="3"/>
  <c r="AH4430" i="3"/>
  <c r="AG4431" i="3"/>
  <c r="AH4431" i="3"/>
  <c r="AG4432" i="3"/>
  <c r="AH4432" i="3"/>
  <c r="AG4433" i="3"/>
  <c r="AH4433" i="3"/>
  <c r="AG4434" i="3"/>
  <c r="AH4434" i="3"/>
  <c r="AG4435" i="3"/>
  <c r="AH4435" i="3"/>
  <c r="AG4436" i="3"/>
  <c r="AH4436" i="3"/>
  <c r="AG4437" i="3"/>
  <c r="AH4437" i="3"/>
  <c r="AG4438" i="3"/>
  <c r="AH4438" i="3"/>
  <c r="AG4439" i="3"/>
  <c r="AH4439" i="3"/>
  <c r="AG4440" i="3"/>
  <c r="AH4440" i="3"/>
  <c r="AG4441" i="3"/>
  <c r="AH4441" i="3"/>
  <c r="AG4442" i="3"/>
  <c r="AH4442" i="3"/>
  <c r="AG4443" i="3"/>
  <c r="AH4443" i="3"/>
  <c r="AG4444" i="3"/>
  <c r="AH4444" i="3"/>
  <c r="AG4445" i="3"/>
  <c r="AH4445" i="3"/>
  <c r="AG4446" i="3"/>
  <c r="AH4446" i="3"/>
  <c r="AG4447" i="3"/>
  <c r="AH4447" i="3"/>
  <c r="AG4448" i="3"/>
  <c r="AH4448" i="3"/>
  <c r="AG4449" i="3"/>
  <c r="AH4449" i="3"/>
  <c r="AG4450" i="3"/>
  <c r="AH4450" i="3"/>
  <c r="AG4451" i="3"/>
  <c r="AH4451" i="3"/>
  <c r="AG4452" i="3"/>
  <c r="AH4452" i="3"/>
  <c r="AG4453" i="3"/>
  <c r="AH4453" i="3"/>
  <c r="AG4454" i="3"/>
  <c r="AH4454" i="3"/>
  <c r="AG4455" i="3"/>
  <c r="AH4455" i="3"/>
  <c r="AG4456" i="3"/>
  <c r="AH4456" i="3"/>
  <c r="AG4457" i="3"/>
  <c r="AH4457" i="3"/>
  <c r="AG4458" i="3"/>
  <c r="AH4458" i="3"/>
  <c r="AG4459" i="3"/>
  <c r="AH4459" i="3"/>
  <c r="AG4460" i="3"/>
  <c r="AH4460" i="3"/>
  <c r="AG4461" i="3"/>
  <c r="AH4461" i="3"/>
  <c r="AG4462" i="3"/>
  <c r="AH4462" i="3"/>
  <c r="AG4463" i="3"/>
  <c r="AH4463" i="3"/>
  <c r="AG4464" i="3"/>
  <c r="AH4464" i="3"/>
  <c r="AG4465" i="3"/>
  <c r="AH4465" i="3"/>
  <c r="AG4466" i="3"/>
  <c r="AH4466" i="3"/>
  <c r="AG4467" i="3"/>
  <c r="AH4467" i="3"/>
  <c r="AG4468" i="3"/>
  <c r="AH4468" i="3"/>
  <c r="AG4469" i="3"/>
  <c r="AH4469" i="3"/>
  <c r="AG4470" i="3"/>
  <c r="AH4470" i="3"/>
  <c r="AG4471" i="3"/>
  <c r="AH4471" i="3"/>
  <c r="AG4472" i="3"/>
  <c r="AH4472" i="3"/>
  <c r="AG4473" i="3"/>
  <c r="AH4473" i="3"/>
  <c r="AG4474" i="3"/>
  <c r="AH4474" i="3"/>
  <c r="AG4475" i="3"/>
  <c r="AH4475" i="3"/>
  <c r="AG4476" i="3"/>
  <c r="AH4476" i="3"/>
  <c r="AG4477" i="3"/>
  <c r="AH4477" i="3"/>
  <c r="AG4478" i="3"/>
  <c r="AH4478" i="3"/>
  <c r="AG4479" i="3"/>
  <c r="AH4479" i="3"/>
  <c r="AG4480" i="3"/>
  <c r="AH4480" i="3"/>
  <c r="AG4481" i="3"/>
  <c r="AH4481" i="3"/>
  <c r="AG4482" i="3"/>
  <c r="AH4482" i="3"/>
  <c r="AG4483" i="3"/>
  <c r="AH4483" i="3"/>
  <c r="AG4484" i="3"/>
  <c r="AH4484" i="3"/>
  <c r="AG4485" i="3"/>
  <c r="AH4485" i="3"/>
  <c r="AG4486" i="3"/>
  <c r="AH4486" i="3"/>
  <c r="AG4487" i="3"/>
  <c r="AH4487" i="3"/>
  <c r="AG4488" i="3"/>
  <c r="AH4488" i="3"/>
  <c r="AG4489" i="3"/>
  <c r="AH4489" i="3"/>
  <c r="AG4490" i="3"/>
  <c r="AH4490" i="3"/>
  <c r="AG4491" i="3"/>
  <c r="AH4491" i="3"/>
  <c r="AG4492" i="3"/>
  <c r="AH4492" i="3"/>
  <c r="AG4493" i="3"/>
  <c r="AH4493" i="3"/>
  <c r="AG4494" i="3"/>
  <c r="AH4494" i="3"/>
  <c r="AG4495" i="3"/>
  <c r="AH4495" i="3"/>
  <c r="AG4496" i="3"/>
  <c r="AH4496" i="3"/>
  <c r="AG4497" i="3"/>
  <c r="AH4497" i="3"/>
  <c r="AG4498" i="3"/>
  <c r="AH4498" i="3"/>
  <c r="AG4499" i="3"/>
  <c r="AH4499" i="3"/>
  <c r="AG4500" i="3"/>
  <c r="AH4500" i="3"/>
  <c r="AG4501" i="3"/>
  <c r="AH4501" i="3"/>
  <c r="AG4502" i="3"/>
  <c r="AH4502" i="3"/>
  <c r="AG4503" i="3"/>
  <c r="AH4503" i="3"/>
  <c r="AG4504" i="3"/>
  <c r="AH4504" i="3"/>
  <c r="AG4505" i="3"/>
  <c r="AH4505" i="3"/>
  <c r="AG4506" i="3"/>
  <c r="AH4506" i="3"/>
  <c r="AG4507" i="3"/>
  <c r="AH4507" i="3"/>
  <c r="AG4508" i="3"/>
  <c r="AH4508" i="3"/>
  <c r="AG4509" i="3"/>
  <c r="AH4509" i="3"/>
  <c r="AG4510" i="3"/>
  <c r="AH4510" i="3"/>
  <c r="AG4511" i="3"/>
  <c r="AH4511" i="3"/>
  <c r="AG4512" i="3"/>
  <c r="AH4512" i="3"/>
  <c r="AG4513" i="3"/>
  <c r="AH4513" i="3"/>
  <c r="AG4514" i="3"/>
  <c r="AH4514" i="3"/>
  <c r="AG4515" i="3"/>
  <c r="AH4515" i="3"/>
  <c r="AG4516" i="3"/>
  <c r="AH4516" i="3"/>
  <c r="AG4517" i="3"/>
  <c r="AH4517" i="3"/>
  <c r="AG4518" i="3"/>
  <c r="AH4518" i="3"/>
  <c r="AG4519" i="3"/>
  <c r="AH4519" i="3"/>
  <c r="AG4520" i="3"/>
  <c r="AH4520" i="3"/>
  <c r="AG4521" i="3"/>
  <c r="AH4521" i="3"/>
  <c r="AG4522" i="3"/>
  <c r="AH4522" i="3"/>
  <c r="AG4523" i="3"/>
  <c r="AH4523" i="3"/>
  <c r="AG4524" i="3"/>
  <c r="AH4524" i="3"/>
  <c r="AG4525" i="3"/>
  <c r="AH4525" i="3"/>
  <c r="AG4526" i="3"/>
  <c r="AH4526" i="3"/>
  <c r="AG4527" i="3"/>
  <c r="AH4527" i="3"/>
  <c r="AG4528" i="3"/>
  <c r="AH4528" i="3"/>
  <c r="AG4529" i="3"/>
  <c r="AH4529" i="3"/>
  <c r="AG4530" i="3"/>
  <c r="AH4530" i="3"/>
  <c r="AG4531" i="3"/>
  <c r="AH4531" i="3"/>
  <c r="AG4532" i="3"/>
  <c r="AH4532" i="3"/>
  <c r="AG4533" i="3"/>
  <c r="AH4533" i="3"/>
  <c r="AG4534" i="3"/>
  <c r="AH4534" i="3"/>
  <c r="AG4535" i="3"/>
  <c r="AH4535" i="3"/>
  <c r="AG4536" i="3"/>
  <c r="AH4536" i="3"/>
  <c r="AG4537" i="3"/>
  <c r="AH4537" i="3"/>
  <c r="AG4538" i="3"/>
  <c r="AH4538" i="3"/>
  <c r="AG4539" i="3"/>
  <c r="AH4539" i="3"/>
  <c r="AG4540" i="3"/>
  <c r="AH4540" i="3"/>
  <c r="AG4541" i="3"/>
  <c r="AH4541" i="3"/>
  <c r="AG4542" i="3"/>
  <c r="AH4542" i="3"/>
  <c r="AG4543" i="3"/>
  <c r="AH4543" i="3"/>
  <c r="AG4544" i="3"/>
  <c r="AH4544" i="3"/>
  <c r="AG4545" i="3"/>
  <c r="AH4545" i="3"/>
  <c r="AG4546" i="3"/>
  <c r="AH4546" i="3"/>
  <c r="AG4547" i="3"/>
  <c r="AH4547" i="3"/>
  <c r="AG4548" i="3"/>
  <c r="AH4548" i="3"/>
  <c r="AG4549" i="3"/>
  <c r="AH4549" i="3"/>
  <c r="AG4550" i="3"/>
  <c r="AH4550" i="3"/>
  <c r="AG4551" i="3"/>
  <c r="AH4551" i="3"/>
  <c r="AG4552" i="3"/>
  <c r="AH4552" i="3"/>
  <c r="AG4553" i="3"/>
  <c r="AH4553" i="3"/>
  <c r="AG4554" i="3"/>
  <c r="AH4554" i="3"/>
  <c r="AG4555" i="3"/>
  <c r="AH4555" i="3"/>
  <c r="AG4556" i="3"/>
  <c r="AH4556" i="3"/>
  <c r="AG4557" i="3"/>
  <c r="AH4557" i="3"/>
  <c r="AG4558" i="3"/>
  <c r="AH4558" i="3"/>
  <c r="AG4559" i="3"/>
  <c r="AH4559" i="3"/>
  <c r="AG4560" i="3"/>
  <c r="AH4560" i="3"/>
  <c r="AG4561" i="3"/>
  <c r="AH4561" i="3"/>
  <c r="AG4562" i="3"/>
  <c r="AH4562" i="3"/>
  <c r="AG4563" i="3"/>
  <c r="AH4563" i="3"/>
  <c r="AG4564" i="3"/>
  <c r="AH4564" i="3"/>
  <c r="AG4565" i="3"/>
  <c r="AH4565" i="3"/>
  <c r="AG4566" i="3"/>
  <c r="AH4566" i="3"/>
  <c r="AG4567" i="3"/>
  <c r="AH4567" i="3"/>
  <c r="AG4568" i="3"/>
  <c r="AH4568" i="3"/>
  <c r="AG4569" i="3"/>
  <c r="AH4569" i="3"/>
  <c r="AG4570" i="3"/>
  <c r="AH4570" i="3"/>
  <c r="AG4571" i="3"/>
  <c r="AH4571" i="3"/>
  <c r="AG4572" i="3"/>
  <c r="AH4572" i="3"/>
  <c r="AG4573" i="3"/>
  <c r="AH4573" i="3"/>
  <c r="AG4574" i="3"/>
  <c r="AH4574" i="3"/>
  <c r="AG4575" i="3"/>
  <c r="AH4575" i="3"/>
  <c r="AG4576" i="3"/>
  <c r="AH4576" i="3"/>
  <c r="AG4577" i="3"/>
  <c r="AH4577" i="3"/>
  <c r="AG4578" i="3"/>
  <c r="AH4578" i="3"/>
  <c r="AG4579" i="3"/>
  <c r="AH4579" i="3"/>
  <c r="AG4580" i="3"/>
  <c r="AH4580" i="3"/>
  <c r="AG4581" i="3"/>
  <c r="AH4581" i="3"/>
  <c r="AG4582" i="3"/>
  <c r="AH4582" i="3"/>
  <c r="AG4583" i="3"/>
  <c r="AH4583" i="3"/>
  <c r="AG4584" i="3"/>
  <c r="AH4584" i="3"/>
  <c r="AG4585" i="3"/>
  <c r="AH4585" i="3"/>
  <c r="AG4586" i="3"/>
  <c r="AH4586" i="3"/>
  <c r="AG4587" i="3"/>
  <c r="AH4587" i="3"/>
  <c r="AG4588" i="3"/>
  <c r="AH4588" i="3"/>
  <c r="AG4589" i="3"/>
  <c r="AH4589" i="3"/>
  <c r="AG4590" i="3"/>
  <c r="AH4590" i="3"/>
  <c r="AG4591" i="3"/>
  <c r="AH4591" i="3"/>
  <c r="AG4592" i="3"/>
  <c r="AH4592" i="3"/>
  <c r="AG4593" i="3"/>
  <c r="AH4593" i="3"/>
  <c r="AG4594" i="3"/>
  <c r="AH4594" i="3"/>
  <c r="AG4595" i="3"/>
  <c r="AH4595" i="3"/>
  <c r="AG4596" i="3"/>
  <c r="AH4596" i="3"/>
  <c r="AG4597" i="3"/>
  <c r="AH4597" i="3"/>
  <c r="AG4598" i="3"/>
  <c r="AH4598" i="3"/>
  <c r="AG4599" i="3"/>
  <c r="AH4599" i="3"/>
  <c r="AG4600" i="3"/>
  <c r="AH4600" i="3"/>
  <c r="AG4601" i="3"/>
  <c r="AH4601" i="3"/>
  <c r="AG4602" i="3"/>
  <c r="AH4602" i="3"/>
  <c r="AG4603" i="3"/>
  <c r="AH4603" i="3"/>
  <c r="AG4604" i="3"/>
  <c r="AH4604" i="3"/>
  <c r="AG4605" i="3"/>
  <c r="AH4605" i="3"/>
  <c r="AG4606" i="3"/>
  <c r="AH4606" i="3"/>
  <c r="AG4607" i="3"/>
  <c r="AH4607" i="3"/>
  <c r="AG4608" i="3"/>
  <c r="AH4608" i="3"/>
  <c r="AG4609" i="3"/>
  <c r="AH4609" i="3"/>
  <c r="AG4610" i="3"/>
  <c r="AH4610" i="3"/>
  <c r="AG4611" i="3"/>
  <c r="AH4611" i="3"/>
  <c r="AG4612" i="3"/>
  <c r="AH4612" i="3"/>
  <c r="AG4613" i="3"/>
  <c r="AH4613" i="3"/>
  <c r="AG4614" i="3"/>
  <c r="AH4614" i="3"/>
  <c r="AG4615" i="3"/>
  <c r="AH4615" i="3"/>
  <c r="AG4616" i="3"/>
  <c r="AH4616" i="3"/>
  <c r="AG4617" i="3"/>
  <c r="AH4617" i="3"/>
  <c r="AG4618" i="3"/>
  <c r="AH4618" i="3"/>
  <c r="AG4619" i="3"/>
  <c r="AH4619" i="3"/>
  <c r="AG4620" i="3"/>
  <c r="AH4620" i="3"/>
  <c r="AG4621" i="3"/>
  <c r="AH4621" i="3"/>
  <c r="AG4622" i="3"/>
  <c r="AH4622" i="3"/>
  <c r="AG4623" i="3"/>
  <c r="AH4623" i="3"/>
  <c r="AG4624" i="3"/>
  <c r="AH4624" i="3"/>
  <c r="AG4625" i="3"/>
  <c r="AH4625" i="3"/>
  <c r="AG4626" i="3"/>
  <c r="AH4626" i="3"/>
  <c r="AG4627" i="3"/>
  <c r="AH4627" i="3"/>
  <c r="AG4628" i="3"/>
  <c r="AH4628" i="3"/>
  <c r="AG4629" i="3"/>
  <c r="AH4629" i="3"/>
  <c r="AG4630" i="3"/>
  <c r="AH4630" i="3"/>
  <c r="AG4631" i="3"/>
  <c r="AH4631" i="3"/>
  <c r="AG4632" i="3"/>
  <c r="AH4632" i="3"/>
  <c r="AG4633" i="3"/>
  <c r="AH4633" i="3"/>
  <c r="AG4634" i="3"/>
  <c r="AH4634" i="3"/>
  <c r="AG4635" i="3"/>
  <c r="AH4635" i="3"/>
  <c r="AG4636" i="3"/>
  <c r="AH4636" i="3"/>
  <c r="AG4637" i="3"/>
  <c r="AH4637" i="3"/>
  <c r="AG4638" i="3"/>
  <c r="AH4638" i="3"/>
  <c r="AG4639" i="3"/>
  <c r="AH4639" i="3"/>
  <c r="AG4640" i="3"/>
  <c r="AH4640" i="3"/>
  <c r="AG4641" i="3"/>
  <c r="AH4641" i="3"/>
  <c r="AG4642" i="3"/>
  <c r="AH4642" i="3"/>
  <c r="AG4643" i="3"/>
  <c r="AH4643" i="3"/>
  <c r="AG4644" i="3"/>
  <c r="AH4644" i="3"/>
  <c r="AG4645" i="3"/>
  <c r="AH4645" i="3"/>
  <c r="AG4646" i="3"/>
  <c r="AH4646" i="3"/>
  <c r="AG4647" i="3"/>
  <c r="AH4647" i="3"/>
  <c r="AG4648" i="3"/>
  <c r="AH4648" i="3"/>
  <c r="AG4649" i="3"/>
  <c r="AH4649" i="3"/>
  <c r="AG4650" i="3"/>
  <c r="AH4650" i="3"/>
  <c r="AG4651" i="3"/>
  <c r="AH4651" i="3"/>
  <c r="AG4652" i="3"/>
  <c r="AH4652" i="3"/>
  <c r="AG4653" i="3"/>
  <c r="AH4653" i="3"/>
  <c r="AG4654" i="3"/>
  <c r="AH4654" i="3"/>
  <c r="AG4655" i="3"/>
  <c r="AH4655" i="3"/>
  <c r="AG4656" i="3"/>
  <c r="AH4656" i="3"/>
  <c r="AG4657" i="3"/>
  <c r="AH4657" i="3"/>
  <c r="AG4658" i="3"/>
  <c r="AH4658" i="3"/>
  <c r="AG4659" i="3"/>
  <c r="AH4659" i="3"/>
  <c r="AG4660" i="3"/>
  <c r="AH4660" i="3"/>
  <c r="AG4661" i="3"/>
  <c r="AH4661" i="3"/>
  <c r="AG4662" i="3"/>
  <c r="AH4662" i="3"/>
  <c r="AG4663" i="3"/>
  <c r="AH4663" i="3"/>
  <c r="AG4664" i="3"/>
  <c r="AH4664" i="3"/>
  <c r="AG4665" i="3"/>
  <c r="AH4665" i="3"/>
  <c r="AG4666" i="3"/>
  <c r="AH4666" i="3"/>
  <c r="AG4667" i="3"/>
  <c r="AH4667" i="3"/>
  <c r="AG4668" i="3"/>
  <c r="AH4668" i="3"/>
  <c r="AG4669" i="3"/>
  <c r="AH4669" i="3"/>
  <c r="AG4670" i="3"/>
  <c r="AH4670" i="3"/>
  <c r="AG4671" i="3"/>
  <c r="AH4671" i="3"/>
  <c r="AG4672" i="3"/>
  <c r="AH4672" i="3"/>
  <c r="AG4673" i="3"/>
  <c r="AH4673" i="3"/>
  <c r="AG4674" i="3"/>
  <c r="AH4674" i="3"/>
  <c r="AG4675" i="3"/>
  <c r="AH4675" i="3"/>
  <c r="AG4676" i="3"/>
  <c r="AH4676" i="3"/>
  <c r="AG4677" i="3"/>
  <c r="AH4677" i="3"/>
  <c r="AG4678" i="3"/>
  <c r="AH4678" i="3"/>
  <c r="AG4679" i="3"/>
  <c r="AH4679" i="3"/>
  <c r="AG4680" i="3"/>
  <c r="AH4680" i="3"/>
  <c r="AG4681" i="3"/>
  <c r="AH4681" i="3"/>
  <c r="AG4682" i="3"/>
  <c r="AH4682" i="3"/>
  <c r="AG4683" i="3"/>
  <c r="AH4683" i="3"/>
  <c r="AG4684" i="3"/>
  <c r="AH4684" i="3"/>
  <c r="AG4685" i="3"/>
  <c r="AH4685" i="3"/>
  <c r="AG4686" i="3"/>
  <c r="AH4686" i="3"/>
  <c r="AG4687" i="3"/>
  <c r="AH4687" i="3"/>
  <c r="AG4688" i="3"/>
  <c r="AH4688" i="3"/>
  <c r="AG4689" i="3"/>
  <c r="AH4689" i="3"/>
  <c r="AG4690" i="3"/>
  <c r="AH4690" i="3"/>
  <c r="AG4691" i="3"/>
  <c r="AH4691" i="3"/>
  <c r="AG4692" i="3"/>
  <c r="AH4692" i="3"/>
  <c r="AG4693" i="3"/>
  <c r="AH4693" i="3"/>
  <c r="AG4694" i="3"/>
  <c r="AH4694" i="3"/>
  <c r="AG4695" i="3"/>
  <c r="AH4695" i="3"/>
  <c r="AG4696" i="3"/>
  <c r="AH4696" i="3"/>
  <c r="AG4697" i="3"/>
  <c r="AH4697" i="3"/>
  <c r="AG4698" i="3"/>
  <c r="AH4698" i="3"/>
  <c r="AG4699" i="3"/>
  <c r="AH4699" i="3"/>
  <c r="AG4700" i="3"/>
  <c r="AH4700" i="3"/>
  <c r="AG4701" i="3"/>
  <c r="AH4701" i="3"/>
  <c r="AG4702" i="3"/>
  <c r="AH4702" i="3"/>
  <c r="AG4703" i="3"/>
  <c r="AH4703" i="3"/>
  <c r="AG4704" i="3"/>
  <c r="AH4704" i="3"/>
  <c r="AG4705" i="3"/>
  <c r="AH4705" i="3"/>
  <c r="AG4706" i="3"/>
  <c r="AH4706" i="3"/>
  <c r="AG4707" i="3"/>
  <c r="AH4707" i="3"/>
  <c r="AG4708" i="3"/>
  <c r="AH4708" i="3"/>
  <c r="AG4709" i="3"/>
  <c r="AH4709" i="3"/>
  <c r="AG4710" i="3"/>
  <c r="AH4710" i="3"/>
  <c r="AG4711" i="3"/>
  <c r="AH4711" i="3"/>
  <c r="AG4712" i="3"/>
  <c r="AH4712" i="3"/>
  <c r="AG4713" i="3"/>
  <c r="AH4713" i="3"/>
  <c r="AG4714" i="3"/>
  <c r="AH4714" i="3"/>
  <c r="AG4715" i="3"/>
  <c r="AH4715" i="3"/>
  <c r="AG4716" i="3"/>
  <c r="AH4716" i="3"/>
  <c r="AG4717" i="3"/>
  <c r="AH4717" i="3"/>
  <c r="AG4718" i="3"/>
  <c r="AH4718" i="3"/>
  <c r="AG4719" i="3"/>
  <c r="AH4719" i="3"/>
  <c r="AG4720" i="3"/>
  <c r="AH4720" i="3"/>
  <c r="AG4721" i="3"/>
  <c r="AH4721" i="3"/>
  <c r="AG4722" i="3"/>
  <c r="AH4722" i="3"/>
  <c r="AG4723" i="3"/>
  <c r="AH4723" i="3"/>
  <c r="AG4724" i="3"/>
  <c r="AH4724" i="3"/>
  <c r="AG4725" i="3"/>
  <c r="AH4725" i="3"/>
  <c r="AG4726" i="3"/>
  <c r="AH4726" i="3"/>
  <c r="AG4727" i="3"/>
  <c r="AH4727" i="3"/>
  <c r="AG4728" i="3"/>
  <c r="AH4728" i="3"/>
  <c r="AG4729" i="3"/>
  <c r="AH4729" i="3"/>
  <c r="AG4730" i="3"/>
  <c r="AH4730" i="3"/>
  <c r="AG4731" i="3"/>
  <c r="AH4731" i="3"/>
  <c r="AG4732" i="3"/>
  <c r="AH4732" i="3"/>
  <c r="AG4733" i="3"/>
  <c r="AH4733" i="3"/>
  <c r="AG4734" i="3"/>
  <c r="AH4734" i="3"/>
  <c r="AG4735" i="3"/>
  <c r="AH4735" i="3"/>
  <c r="AG4736" i="3"/>
  <c r="AH4736" i="3"/>
  <c r="AG4737" i="3"/>
  <c r="AH4737" i="3"/>
  <c r="AG4738" i="3"/>
  <c r="AH4738" i="3"/>
  <c r="AG4739" i="3"/>
  <c r="AH4739" i="3"/>
  <c r="AG4740" i="3"/>
  <c r="AH4740" i="3"/>
  <c r="AG4741" i="3"/>
  <c r="AH4741" i="3"/>
  <c r="AG4742" i="3"/>
  <c r="AH4742" i="3"/>
  <c r="AG4743" i="3"/>
  <c r="AH4743" i="3"/>
  <c r="AG4744" i="3"/>
  <c r="AH4744" i="3"/>
  <c r="AG4745" i="3"/>
  <c r="AH4745" i="3"/>
  <c r="AG4746" i="3"/>
  <c r="AH4746" i="3"/>
  <c r="AG4747" i="3"/>
  <c r="AH4747" i="3"/>
  <c r="AG4748" i="3"/>
  <c r="AH4748" i="3"/>
  <c r="AG4749" i="3"/>
  <c r="AH4749" i="3"/>
  <c r="AG4750" i="3"/>
  <c r="AH4750" i="3"/>
  <c r="AG4751" i="3"/>
  <c r="AH4751" i="3"/>
  <c r="AG4752" i="3"/>
  <c r="AH4752" i="3"/>
  <c r="AG4753" i="3"/>
  <c r="AH4753" i="3"/>
  <c r="AG4754" i="3"/>
  <c r="AH4754" i="3"/>
  <c r="AG4755" i="3"/>
  <c r="AH4755" i="3"/>
  <c r="AG4756" i="3"/>
  <c r="AH4756" i="3"/>
  <c r="AG4757" i="3"/>
  <c r="AH4757" i="3"/>
  <c r="AG4758" i="3"/>
  <c r="AH4758" i="3"/>
  <c r="AG4759" i="3"/>
  <c r="AH4759" i="3"/>
  <c r="AG4760" i="3"/>
  <c r="AH4760" i="3"/>
  <c r="AG4761" i="3"/>
  <c r="AH4761" i="3"/>
  <c r="AG4762" i="3"/>
  <c r="AH4762" i="3"/>
  <c r="AG4763" i="3"/>
  <c r="AH4763" i="3"/>
  <c r="AG4764" i="3"/>
  <c r="AH4764" i="3"/>
  <c r="AG4765" i="3"/>
  <c r="AH4765" i="3"/>
  <c r="AG4766" i="3"/>
  <c r="AH4766" i="3"/>
  <c r="AG4767" i="3"/>
  <c r="AH4767" i="3"/>
  <c r="AG4768" i="3"/>
  <c r="AH4768" i="3"/>
  <c r="AG4769" i="3"/>
  <c r="AH4769" i="3"/>
  <c r="AG4770" i="3"/>
  <c r="AH4770" i="3"/>
  <c r="AG4771" i="3"/>
  <c r="AH4771" i="3"/>
  <c r="AG4772" i="3"/>
  <c r="AH4772" i="3"/>
  <c r="AG4773" i="3"/>
  <c r="AH4773" i="3"/>
  <c r="AG4774" i="3"/>
  <c r="AH4774" i="3"/>
  <c r="AG4775" i="3"/>
  <c r="AH4775" i="3"/>
  <c r="AG4776" i="3"/>
  <c r="AH4776" i="3"/>
  <c r="AG4777" i="3"/>
  <c r="AH4777" i="3"/>
  <c r="AG4778" i="3"/>
  <c r="AH4778" i="3"/>
  <c r="AG4779" i="3"/>
  <c r="AH4779" i="3"/>
  <c r="AG4780" i="3"/>
  <c r="AH4780" i="3"/>
  <c r="AG4781" i="3"/>
  <c r="AH4781" i="3"/>
  <c r="AG4782" i="3"/>
  <c r="AH4782" i="3"/>
  <c r="AG4783" i="3"/>
  <c r="AH4783" i="3"/>
  <c r="AG4784" i="3"/>
  <c r="AH4784" i="3"/>
  <c r="AG4785" i="3"/>
  <c r="AH4785" i="3"/>
  <c r="AG4786" i="3"/>
  <c r="AH4786" i="3"/>
  <c r="AG4787" i="3"/>
  <c r="AH4787" i="3"/>
  <c r="AG4788" i="3"/>
  <c r="AH4788" i="3"/>
  <c r="AG4789" i="3"/>
  <c r="AH4789" i="3"/>
  <c r="AG4790" i="3"/>
  <c r="AH4790" i="3"/>
  <c r="AG4791" i="3"/>
  <c r="AH4791" i="3"/>
  <c r="AG4792" i="3"/>
  <c r="AH4792" i="3"/>
  <c r="AG4793" i="3"/>
  <c r="AH4793" i="3"/>
  <c r="AG4794" i="3"/>
  <c r="AH4794" i="3"/>
  <c r="AG4795" i="3"/>
  <c r="AH4795" i="3"/>
  <c r="AG4796" i="3"/>
  <c r="AH4796" i="3"/>
  <c r="AG4797" i="3"/>
  <c r="AH4797" i="3"/>
  <c r="AG4798" i="3"/>
  <c r="AH4798" i="3"/>
  <c r="AG4799" i="3"/>
  <c r="AH4799" i="3"/>
  <c r="AG4800" i="3"/>
  <c r="AH4800" i="3"/>
  <c r="AG4801" i="3"/>
  <c r="AH4801" i="3"/>
  <c r="AG4802" i="3"/>
  <c r="AH4802" i="3"/>
  <c r="AG4803" i="3"/>
  <c r="AH4803" i="3"/>
  <c r="AG4804" i="3"/>
  <c r="AH4804" i="3"/>
  <c r="AG4805" i="3"/>
  <c r="AH4805" i="3"/>
  <c r="AG4806" i="3"/>
  <c r="AH4806" i="3"/>
  <c r="AG4807" i="3"/>
  <c r="AH4807" i="3"/>
  <c r="AG4808" i="3"/>
  <c r="AH4808" i="3"/>
  <c r="AG4809" i="3"/>
  <c r="AH4809" i="3"/>
  <c r="AG4810" i="3"/>
  <c r="AH4810" i="3"/>
  <c r="AG4811" i="3"/>
  <c r="AH4811" i="3"/>
  <c r="AG4812" i="3"/>
  <c r="AH4812" i="3"/>
  <c r="AG4813" i="3"/>
  <c r="AH4813" i="3"/>
  <c r="AG4814" i="3"/>
  <c r="AH4814" i="3"/>
  <c r="AG4815" i="3"/>
  <c r="AH4815" i="3"/>
  <c r="AG4816" i="3"/>
  <c r="AH4816" i="3"/>
  <c r="AG4817" i="3"/>
  <c r="AH4817" i="3"/>
  <c r="AG4818" i="3"/>
  <c r="AH4818" i="3"/>
  <c r="AG4819" i="3"/>
  <c r="AH4819" i="3"/>
  <c r="AG4820" i="3"/>
  <c r="AH4820" i="3"/>
  <c r="AG4821" i="3"/>
  <c r="AH4821" i="3"/>
  <c r="AG4822" i="3"/>
  <c r="AH4822" i="3"/>
  <c r="AG4823" i="3"/>
  <c r="AH4823" i="3"/>
  <c r="AG4824" i="3"/>
  <c r="AH4824" i="3"/>
  <c r="AG4825" i="3"/>
  <c r="AH4825" i="3"/>
  <c r="AG4826" i="3"/>
  <c r="AH4826" i="3"/>
  <c r="AG4827" i="3"/>
  <c r="AH4827" i="3"/>
  <c r="AG4828" i="3"/>
  <c r="AH4828" i="3"/>
  <c r="AG4829" i="3"/>
  <c r="AH4829" i="3"/>
  <c r="AG4830" i="3"/>
  <c r="AH4830" i="3"/>
  <c r="AG4831" i="3"/>
  <c r="AH4831" i="3"/>
  <c r="AG4832" i="3"/>
  <c r="AH4832" i="3"/>
  <c r="AG4833" i="3"/>
  <c r="AH4833" i="3"/>
  <c r="AG4834" i="3"/>
  <c r="AH4834" i="3"/>
  <c r="AG4835" i="3"/>
  <c r="AH4835" i="3"/>
  <c r="AG4836" i="3"/>
  <c r="AH4836" i="3"/>
  <c r="AG4837" i="3"/>
  <c r="AH4837" i="3"/>
  <c r="AG4838" i="3"/>
  <c r="AH4838" i="3"/>
  <c r="AG4839" i="3"/>
  <c r="AH4839" i="3"/>
  <c r="AG4840" i="3"/>
  <c r="AH4840" i="3"/>
  <c r="AG4841" i="3"/>
  <c r="AH4841" i="3"/>
  <c r="AG4842" i="3"/>
  <c r="AH4842" i="3"/>
  <c r="AG4843" i="3"/>
  <c r="AH4843" i="3"/>
  <c r="AG4844" i="3"/>
  <c r="AH4844" i="3"/>
  <c r="AG4845" i="3"/>
  <c r="AH4845" i="3"/>
  <c r="AG4846" i="3"/>
  <c r="AH4846" i="3"/>
  <c r="AG4847" i="3"/>
  <c r="AH4847" i="3"/>
  <c r="AG4848" i="3"/>
  <c r="AH4848" i="3"/>
  <c r="AG4849" i="3"/>
  <c r="AH4849" i="3"/>
  <c r="AG4850" i="3"/>
  <c r="AH4850" i="3"/>
  <c r="AG4851" i="3"/>
  <c r="AH4851" i="3"/>
  <c r="AG4852" i="3"/>
  <c r="AH4852" i="3"/>
  <c r="AG4853" i="3"/>
  <c r="AH4853" i="3"/>
  <c r="AG4854" i="3"/>
  <c r="AH4854" i="3"/>
  <c r="AG4855" i="3"/>
  <c r="AH4855" i="3"/>
  <c r="AG4856" i="3"/>
  <c r="AH4856" i="3"/>
  <c r="AG4857" i="3"/>
  <c r="AH4857" i="3"/>
  <c r="AG4858" i="3"/>
  <c r="AH4858" i="3"/>
  <c r="AG4859" i="3"/>
  <c r="AH4859" i="3"/>
  <c r="AG4860" i="3"/>
  <c r="AH4860" i="3"/>
  <c r="AG4861" i="3"/>
  <c r="AH4861" i="3"/>
  <c r="AG4862" i="3"/>
  <c r="AH4862" i="3"/>
  <c r="AG4863" i="3"/>
  <c r="AH4863" i="3"/>
  <c r="AG4864" i="3"/>
  <c r="AH4864" i="3"/>
  <c r="AG4865" i="3"/>
  <c r="AH4865" i="3"/>
  <c r="AG4866" i="3"/>
  <c r="AH4866" i="3"/>
  <c r="AG4867" i="3"/>
  <c r="AH4867" i="3"/>
  <c r="AG4868" i="3"/>
  <c r="AH4868" i="3"/>
  <c r="AG4869" i="3"/>
  <c r="AH4869" i="3"/>
  <c r="AG4870" i="3"/>
  <c r="AH4870" i="3"/>
  <c r="AG4871" i="3"/>
  <c r="AH4871" i="3"/>
  <c r="AG4872" i="3"/>
  <c r="AH4872" i="3"/>
  <c r="AG4873" i="3"/>
  <c r="AH4873" i="3"/>
  <c r="AG4874" i="3"/>
  <c r="AH4874" i="3"/>
  <c r="AG4875" i="3"/>
  <c r="AH4875" i="3"/>
  <c r="AG4876" i="3"/>
  <c r="AH4876" i="3"/>
  <c r="AG4877" i="3"/>
  <c r="AH4877" i="3"/>
  <c r="AG4878" i="3"/>
  <c r="AH4878" i="3"/>
  <c r="AG4879" i="3"/>
  <c r="AH4879" i="3"/>
  <c r="AG4880" i="3"/>
  <c r="AH4880" i="3"/>
  <c r="AG4881" i="3"/>
  <c r="AH4881" i="3"/>
  <c r="AG4882" i="3"/>
  <c r="AH4882" i="3"/>
  <c r="AG4883" i="3"/>
  <c r="AH4883" i="3"/>
  <c r="AG4884" i="3"/>
  <c r="AH4884" i="3"/>
  <c r="AG4885" i="3"/>
  <c r="AH4885" i="3"/>
  <c r="AG4886" i="3"/>
  <c r="AH4886" i="3"/>
  <c r="AG4887" i="3"/>
  <c r="AH4887" i="3"/>
  <c r="AG4888" i="3"/>
  <c r="AH4888" i="3"/>
  <c r="AG4889" i="3"/>
  <c r="AH4889" i="3"/>
  <c r="AG4890" i="3"/>
  <c r="AH4890" i="3"/>
  <c r="AG4891" i="3"/>
  <c r="AH4891" i="3"/>
  <c r="AG4892" i="3"/>
  <c r="AH4892" i="3"/>
  <c r="AG4893" i="3"/>
  <c r="AH4893" i="3"/>
  <c r="AG4894" i="3"/>
  <c r="AH4894" i="3"/>
  <c r="AG4895" i="3"/>
  <c r="AH4895" i="3"/>
  <c r="AG4896" i="3"/>
  <c r="AH4896" i="3"/>
  <c r="AG4897" i="3"/>
  <c r="AH4897" i="3"/>
  <c r="AG4898" i="3"/>
  <c r="AH4898" i="3"/>
  <c r="AG4899" i="3"/>
  <c r="AH4899" i="3"/>
  <c r="AG4900" i="3"/>
  <c r="AH4900" i="3"/>
  <c r="AG4901" i="3"/>
  <c r="AH4901" i="3"/>
  <c r="AG4902" i="3"/>
  <c r="AH4902" i="3"/>
  <c r="AG4903" i="3"/>
  <c r="AH4903" i="3"/>
  <c r="AG4904" i="3"/>
  <c r="AH4904" i="3"/>
  <c r="AG4905" i="3"/>
  <c r="AH4905" i="3"/>
  <c r="AG4906" i="3"/>
  <c r="AH4906" i="3"/>
  <c r="AG4907" i="3"/>
  <c r="AH4907" i="3"/>
  <c r="AG4908" i="3"/>
  <c r="AH4908" i="3"/>
  <c r="AG4909" i="3"/>
  <c r="AH4909" i="3"/>
  <c r="AG4910" i="3"/>
  <c r="AH4910" i="3"/>
  <c r="AG4911" i="3"/>
  <c r="AH4911" i="3"/>
  <c r="AG4912" i="3"/>
  <c r="AH4912" i="3"/>
  <c r="AG4913" i="3"/>
  <c r="AH4913" i="3"/>
  <c r="AG4914" i="3"/>
  <c r="AH4914" i="3"/>
  <c r="AG4915" i="3"/>
  <c r="AH4915" i="3"/>
  <c r="AG4916" i="3"/>
  <c r="AH4916" i="3"/>
  <c r="AG4917" i="3"/>
  <c r="AH4917" i="3"/>
  <c r="AG4918" i="3"/>
  <c r="AH4918" i="3"/>
  <c r="AG4919" i="3"/>
  <c r="AH4919" i="3"/>
  <c r="AG4920" i="3"/>
  <c r="AH4920" i="3"/>
  <c r="AG4921" i="3"/>
  <c r="AH4921" i="3"/>
  <c r="AG4922" i="3"/>
  <c r="AH4922" i="3"/>
  <c r="AG4923" i="3"/>
  <c r="AH4923" i="3"/>
  <c r="AG4924" i="3"/>
  <c r="AH4924" i="3"/>
  <c r="AG4925" i="3"/>
  <c r="AH4925" i="3"/>
  <c r="AG4926" i="3"/>
  <c r="AH4926" i="3"/>
  <c r="AG4927" i="3"/>
  <c r="AH4927" i="3"/>
  <c r="AG4928" i="3"/>
  <c r="AH4928" i="3"/>
  <c r="AG4929" i="3"/>
  <c r="AH4929" i="3"/>
  <c r="AG4930" i="3"/>
  <c r="AH4930" i="3"/>
  <c r="AG4931" i="3"/>
  <c r="AH4931" i="3"/>
  <c r="AG4932" i="3"/>
  <c r="AH4932" i="3"/>
  <c r="AG4933" i="3"/>
  <c r="AH4933" i="3"/>
  <c r="AG4934" i="3"/>
  <c r="AH4934" i="3"/>
  <c r="AG4935" i="3"/>
  <c r="AH4935" i="3"/>
  <c r="AG4936" i="3"/>
  <c r="AH4936" i="3"/>
  <c r="AG4937" i="3"/>
  <c r="AH4937" i="3"/>
  <c r="AG4938" i="3"/>
  <c r="AH4938" i="3"/>
  <c r="AG4939" i="3"/>
  <c r="AH4939" i="3"/>
  <c r="AG4940" i="3"/>
  <c r="AH4940" i="3"/>
  <c r="AG4941" i="3"/>
  <c r="AH4941" i="3"/>
  <c r="AG4942" i="3"/>
  <c r="AH4942" i="3"/>
  <c r="AG4943" i="3"/>
  <c r="AH4943" i="3"/>
  <c r="AG4944" i="3"/>
  <c r="AH4944" i="3"/>
  <c r="AG4945" i="3"/>
  <c r="AH4945" i="3"/>
  <c r="AG4946" i="3"/>
  <c r="AH4946" i="3"/>
  <c r="AG4947" i="3"/>
  <c r="AH4947" i="3"/>
  <c r="AG4948" i="3"/>
  <c r="AH4948" i="3"/>
  <c r="AG4949" i="3"/>
  <c r="AH4949" i="3"/>
  <c r="AG4950" i="3"/>
  <c r="AH4950" i="3"/>
  <c r="AG4951" i="3"/>
  <c r="AH4951" i="3"/>
  <c r="AG4952" i="3"/>
  <c r="AH4952" i="3"/>
  <c r="AG4953" i="3"/>
  <c r="AH4953" i="3"/>
  <c r="AG4954" i="3"/>
  <c r="AH4954" i="3"/>
  <c r="AG4955" i="3"/>
  <c r="AH4955" i="3"/>
  <c r="AG4956" i="3"/>
  <c r="AH4956" i="3"/>
  <c r="AG4957" i="3"/>
  <c r="AH4957" i="3"/>
  <c r="AG4958" i="3"/>
  <c r="AH4958" i="3"/>
  <c r="AG4959" i="3"/>
  <c r="AH4959" i="3"/>
  <c r="AG4960" i="3"/>
  <c r="AH4960" i="3"/>
  <c r="AG4961" i="3"/>
  <c r="AH4961" i="3"/>
  <c r="AG4962" i="3"/>
  <c r="AH4962" i="3"/>
  <c r="AG4963" i="3"/>
  <c r="AH4963" i="3"/>
  <c r="AG4964" i="3"/>
  <c r="AH4964" i="3"/>
  <c r="AG4965" i="3"/>
  <c r="AH4965" i="3"/>
  <c r="AG4966" i="3"/>
  <c r="AH4966" i="3"/>
  <c r="AG4967" i="3"/>
  <c r="AH4967" i="3"/>
  <c r="AG4968" i="3"/>
  <c r="AH4968" i="3"/>
  <c r="AG4969" i="3"/>
  <c r="AH4969" i="3"/>
  <c r="AG4970" i="3"/>
  <c r="AH4970" i="3"/>
  <c r="AG4971" i="3"/>
  <c r="AH4971" i="3"/>
  <c r="AG4972" i="3"/>
  <c r="AH4972" i="3"/>
  <c r="AG4973" i="3"/>
  <c r="AH4973" i="3"/>
  <c r="AG4974" i="3"/>
  <c r="AH4974" i="3"/>
  <c r="AG4975" i="3"/>
  <c r="AH4975" i="3"/>
  <c r="AG4976" i="3"/>
  <c r="AH4976" i="3"/>
  <c r="AG4977" i="3"/>
  <c r="AH4977" i="3"/>
  <c r="AG4978" i="3"/>
  <c r="AH4978" i="3"/>
  <c r="AG4979" i="3"/>
  <c r="AH4979" i="3"/>
  <c r="AG4980" i="3"/>
  <c r="AH4980" i="3"/>
  <c r="AG4981" i="3"/>
  <c r="AH4981" i="3"/>
  <c r="AG4982" i="3"/>
  <c r="AH4982" i="3"/>
  <c r="AG4983" i="3"/>
  <c r="AH4983" i="3"/>
  <c r="AG4984" i="3"/>
  <c r="AH4984" i="3"/>
  <c r="AG4985" i="3"/>
  <c r="AH4985" i="3"/>
  <c r="AG4986" i="3"/>
  <c r="AH4986" i="3"/>
  <c r="AG4987" i="3"/>
  <c r="AH4987" i="3"/>
  <c r="AG4988" i="3"/>
  <c r="AH4988" i="3"/>
  <c r="AG4989" i="3"/>
  <c r="AH4989" i="3"/>
  <c r="AG4990" i="3"/>
  <c r="AH4990" i="3"/>
  <c r="AG4991" i="3"/>
  <c r="AH4991" i="3"/>
  <c r="AG4992" i="3"/>
  <c r="AH4992" i="3"/>
  <c r="AG4993" i="3"/>
  <c r="AH4993" i="3"/>
  <c r="AG4994" i="3"/>
  <c r="AH4994" i="3"/>
  <c r="AG4995" i="3"/>
  <c r="AH4995" i="3"/>
  <c r="AG4996" i="3"/>
  <c r="AH4996" i="3"/>
  <c r="AG4997" i="3"/>
  <c r="AH4997" i="3"/>
  <c r="AG4998" i="3"/>
  <c r="AH4998" i="3"/>
  <c r="AG4999" i="3"/>
  <c r="AH4999" i="3"/>
  <c r="AG5000" i="3"/>
  <c r="AH5000" i="3"/>
  <c r="AG5001" i="3"/>
  <c r="AH5001" i="3"/>
  <c r="AG5002" i="3"/>
  <c r="AH5002" i="3"/>
  <c r="AG5003" i="3"/>
  <c r="AH5003" i="3"/>
  <c r="AG5004" i="3"/>
  <c r="AH5004" i="3"/>
  <c r="AG5005" i="3"/>
  <c r="AH5005" i="3"/>
  <c r="AG5006" i="3"/>
  <c r="AH5006" i="3"/>
  <c r="AG5007" i="3"/>
  <c r="AH5007" i="3"/>
  <c r="AG5008" i="3"/>
  <c r="AH5008" i="3"/>
  <c r="AG5009" i="3"/>
  <c r="AH5009" i="3"/>
  <c r="AG5010" i="3"/>
  <c r="AH5010" i="3"/>
  <c r="AG5011" i="3"/>
  <c r="AH5011" i="3"/>
  <c r="AG5012" i="3"/>
  <c r="AH5012" i="3"/>
  <c r="AG5013" i="3"/>
  <c r="AH5013" i="3"/>
  <c r="AG5014" i="3"/>
  <c r="AH5014" i="3"/>
  <c r="AG5015" i="3"/>
  <c r="AH5015" i="3"/>
  <c r="AG5016" i="3"/>
  <c r="AH5016" i="3"/>
  <c r="AG5017" i="3"/>
  <c r="AH5017" i="3"/>
  <c r="AG5018" i="3"/>
  <c r="AH5018" i="3"/>
  <c r="AG5019" i="3"/>
  <c r="AH5019" i="3"/>
  <c r="AG5020" i="3"/>
  <c r="AH5020" i="3"/>
  <c r="AG5021" i="3"/>
  <c r="AH5021" i="3"/>
  <c r="AG5022" i="3"/>
  <c r="AH5022" i="3"/>
  <c r="AG5023" i="3"/>
  <c r="AH5023" i="3"/>
  <c r="AG5024" i="3"/>
  <c r="AH5024" i="3"/>
  <c r="AG5025" i="3"/>
  <c r="AH5025" i="3"/>
  <c r="AG5026" i="3"/>
  <c r="AH5026" i="3"/>
  <c r="AG5027" i="3"/>
  <c r="AH5027" i="3"/>
  <c r="AG5028" i="3"/>
  <c r="AH5028" i="3"/>
  <c r="AG5029" i="3"/>
  <c r="AH5029" i="3"/>
  <c r="AG5030" i="3"/>
  <c r="AH5030" i="3"/>
  <c r="AG5031" i="3"/>
  <c r="AH5031" i="3"/>
  <c r="AG5032" i="3"/>
  <c r="AH5032" i="3"/>
  <c r="AG5033" i="3"/>
  <c r="AH5033" i="3"/>
  <c r="AG5034" i="3"/>
  <c r="AH5034" i="3"/>
  <c r="AG5035" i="3"/>
  <c r="AH5035" i="3"/>
  <c r="AG5036" i="3"/>
  <c r="AH5036" i="3"/>
  <c r="AG5037" i="3"/>
  <c r="AH5037" i="3"/>
  <c r="AG5038" i="3"/>
  <c r="AH5038" i="3"/>
  <c r="AG5039" i="3"/>
  <c r="AH5039" i="3"/>
  <c r="AG5040" i="3"/>
  <c r="AH5040" i="3"/>
  <c r="AG5041" i="3"/>
  <c r="AH5041" i="3"/>
  <c r="AG5042" i="3"/>
  <c r="AH5042" i="3"/>
  <c r="AG5043" i="3"/>
  <c r="AH5043" i="3"/>
  <c r="AG5044" i="3"/>
  <c r="AH5044" i="3"/>
  <c r="AG5045" i="3"/>
  <c r="AH5045" i="3"/>
  <c r="AG5046" i="3"/>
  <c r="AH5046" i="3"/>
  <c r="AG5047" i="3"/>
  <c r="AH5047" i="3"/>
  <c r="AG5048" i="3"/>
  <c r="AH5048" i="3"/>
  <c r="AG5049" i="3"/>
  <c r="AH5049" i="3"/>
  <c r="AG5050" i="3"/>
  <c r="AH5050" i="3"/>
  <c r="AG5051" i="3"/>
  <c r="AH5051" i="3"/>
  <c r="AG5052" i="3"/>
  <c r="AH5052" i="3"/>
  <c r="AG5053" i="3"/>
  <c r="AH5053" i="3"/>
  <c r="AG5054" i="3"/>
  <c r="AH5054" i="3"/>
  <c r="AG5055" i="3"/>
  <c r="AH5055" i="3"/>
  <c r="AG5056" i="3"/>
  <c r="AH5056" i="3"/>
  <c r="AG5057" i="3"/>
  <c r="AH5057" i="3"/>
  <c r="AG5058" i="3"/>
  <c r="AH5058" i="3"/>
  <c r="AG5059" i="3"/>
  <c r="AH5059" i="3"/>
  <c r="AG5060" i="3"/>
  <c r="AH5060" i="3"/>
  <c r="AG5061" i="3"/>
  <c r="AH5061" i="3"/>
  <c r="AG5062" i="3"/>
  <c r="AH5062" i="3"/>
  <c r="AG5063" i="3"/>
  <c r="AH5063" i="3"/>
  <c r="AG5064" i="3"/>
  <c r="AH5064" i="3"/>
  <c r="AG5065" i="3"/>
  <c r="AH5065" i="3"/>
  <c r="AG5066" i="3"/>
  <c r="AH5066" i="3"/>
  <c r="AG5067" i="3"/>
  <c r="AH5067" i="3"/>
  <c r="AG5068" i="3"/>
  <c r="AH5068" i="3"/>
  <c r="AG5069" i="3"/>
  <c r="AH5069" i="3"/>
  <c r="AG5070" i="3"/>
  <c r="AH5070" i="3"/>
  <c r="AG5071" i="3"/>
  <c r="AH5071" i="3"/>
  <c r="AG5072" i="3"/>
  <c r="AH5072" i="3"/>
  <c r="AG5073" i="3"/>
  <c r="AH5073" i="3"/>
  <c r="AG5074" i="3"/>
  <c r="AH5074" i="3"/>
  <c r="AG5075" i="3"/>
  <c r="AH5075" i="3"/>
  <c r="AG5076" i="3"/>
  <c r="AH5076" i="3"/>
  <c r="AG5077" i="3"/>
  <c r="AH5077" i="3"/>
  <c r="AG5078" i="3"/>
  <c r="AH5078" i="3"/>
  <c r="AG5079" i="3"/>
  <c r="AH5079" i="3"/>
  <c r="AG5080" i="3"/>
  <c r="AH5080" i="3"/>
  <c r="AG5081" i="3"/>
  <c r="AH5081" i="3"/>
  <c r="AG5082" i="3"/>
  <c r="AH5082" i="3"/>
  <c r="AG5083" i="3"/>
  <c r="AH5083" i="3"/>
  <c r="AG5084" i="3"/>
  <c r="AH5084" i="3"/>
  <c r="AG5085" i="3"/>
  <c r="AH5085" i="3"/>
  <c r="AG5086" i="3"/>
  <c r="AH5086" i="3"/>
  <c r="AG5087" i="3"/>
  <c r="AH5087" i="3"/>
  <c r="AG5088" i="3"/>
  <c r="AH5088" i="3"/>
  <c r="AG5089" i="3"/>
  <c r="AH5089" i="3"/>
  <c r="AG5090" i="3"/>
  <c r="AH5090" i="3"/>
  <c r="AG5091" i="3"/>
  <c r="AH5091" i="3"/>
  <c r="AG5092" i="3"/>
  <c r="AH5092" i="3"/>
  <c r="AG5093" i="3"/>
  <c r="AH5093" i="3"/>
  <c r="AG5094" i="3"/>
  <c r="AH5094" i="3"/>
  <c r="AG5095" i="3"/>
  <c r="AH5095" i="3"/>
  <c r="AG5096" i="3"/>
  <c r="AH5096" i="3"/>
  <c r="AG5097" i="3"/>
  <c r="AH5097" i="3"/>
  <c r="AG5098" i="3"/>
  <c r="AH5098" i="3"/>
  <c r="AG5099" i="3"/>
  <c r="AH5099" i="3"/>
  <c r="AG5100" i="3"/>
  <c r="AH5100" i="3"/>
  <c r="AG5101" i="3"/>
  <c r="AH5101" i="3"/>
  <c r="AG5102" i="3"/>
  <c r="AH5102" i="3"/>
  <c r="AG5103" i="3"/>
  <c r="AH5103" i="3"/>
  <c r="AG5104" i="3"/>
  <c r="AH5104" i="3"/>
  <c r="AG5105" i="3"/>
  <c r="AH5105" i="3"/>
  <c r="AG5106" i="3"/>
  <c r="AH5106" i="3"/>
  <c r="AG5107" i="3"/>
  <c r="AH5107" i="3"/>
  <c r="AG5108" i="3"/>
  <c r="AH5108" i="3"/>
  <c r="AG5109" i="3"/>
  <c r="AH5109" i="3"/>
  <c r="AG5110" i="3"/>
  <c r="AH5110" i="3"/>
  <c r="AG5111" i="3"/>
  <c r="AH5111" i="3"/>
  <c r="AG5112" i="3"/>
  <c r="AH5112" i="3"/>
  <c r="AG5113" i="3"/>
  <c r="AH5113" i="3"/>
  <c r="AG5114" i="3"/>
  <c r="AH5114" i="3"/>
  <c r="AG5115" i="3"/>
  <c r="AH5115" i="3"/>
  <c r="AG5116" i="3"/>
  <c r="AH5116" i="3"/>
  <c r="AG5117" i="3"/>
  <c r="AH5117" i="3"/>
  <c r="AG5118" i="3"/>
  <c r="AH5118" i="3"/>
  <c r="AG5119" i="3"/>
  <c r="AH5119" i="3"/>
  <c r="AG5120" i="3"/>
  <c r="AH5120" i="3"/>
  <c r="AG5121" i="3"/>
  <c r="AH5121" i="3"/>
  <c r="AG5122" i="3"/>
  <c r="AH5122" i="3"/>
  <c r="AG5123" i="3"/>
  <c r="AH5123" i="3"/>
  <c r="AG5124" i="3"/>
  <c r="AH5124" i="3"/>
  <c r="AG5125" i="3"/>
  <c r="AH5125" i="3"/>
  <c r="AG5126" i="3"/>
  <c r="AH5126" i="3"/>
  <c r="AG5127" i="3"/>
  <c r="AH5127" i="3"/>
  <c r="AG5128" i="3"/>
  <c r="AH5128" i="3"/>
  <c r="AG5129" i="3"/>
  <c r="AH5129" i="3"/>
  <c r="AG5130" i="3"/>
  <c r="AH5130" i="3"/>
  <c r="AG5131" i="3"/>
  <c r="AH5131" i="3"/>
  <c r="AG5132" i="3"/>
  <c r="AH5132" i="3"/>
  <c r="AG5133" i="3"/>
  <c r="AH5133" i="3"/>
  <c r="AG5134" i="3"/>
  <c r="AH5134" i="3"/>
  <c r="AG5135" i="3"/>
  <c r="AH5135" i="3"/>
  <c r="AG5136" i="3"/>
  <c r="AH5136" i="3"/>
  <c r="AG5137" i="3"/>
  <c r="AH5137" i="3"/>
  <c r="AG5138" i="3"/>
  <c r="AH5138" i="3"/>
  <c r="AG5139" i="3"/>
  <c r="AH5139" i="3"/>
  <c r="AG5140" i="3"/>
  <c r="AH5140" i="3"/>
  <c r="AG5141" i="3"/>
  <c r="AH5141" i="3"/>
  <c r="AG5142" i="3"/>
  <c r="AH5142" i="3"/>
  <c r="AG5143" i="3"/>
  <c r="AH5143" i="3"/>
  <c r="AG5144" i="3"/>
  <c r="AH5144" i="3"/>
  <c r="AG5145" i="3"/>
  <c r="AH5145" i="3"/>
  <c r="AG5146" i="3"/>
  <c r="AH5146" i="3"/>
  <c r="AG5147" i="3"/>
  <c r="AH5147" i="3"/>
  <c r="AG5148" i="3"/>
  <c r="AH5148" i="3"/>
  <c r="AG5149" i="3"/>
  <c r="AH5149" i="3"/>
  <c r="AG5150" i="3"/>
  <c r="AH5150" i="3"/>
  <c r="AG5151" i="3"/>
  <c r="AH5151" i="3"/>
  <c r="AG5152" i="3"/>
  <c r="AH5152" i="3"/>
  <c r="AG5153" i="3"/>
  <c r="AH5153" i="3"/>
  <c r="AG5154" i="3"/>
  <c r="AH5154" i="3"/>
  <c r="AG5155" i="3"/>
  <c r="AH5155" i="3"/>
  <c r="AG5156" i="3"/>
  <c r="AH5156" i="3"/>
  <c r="AG5157" i="3"/>
  <c r="AH5157" i="3"/>
  <c r="AG5158" i="3"/>
  <c r="AH5158" i="3"/>
  <c r="AG5159" i="3"/>
  <c r="AH5159" i="3"/>
  <c r="AG5160" i="3"/>
  <c r="AH5160" i="3"/>
  <c r="AG5161" i="3"/>
  <c r="AH5161" i="3"/>
  <c r="AG5162" i="3"/>
  <c r="AH5162" i="3"/>
  <c r="AG5163" i="3"/>
  <c r="AH5163" i="3"/>
  <c r="AG5164" i="3"/>
  <c r="AH5164" i="3"/>
  <c r="AG5165" i="3"/>
  <c r="AH5165" i="3"/>
  <c r="AG5166" i="3"/>
  <c r="AH5166" i="3"/>
  <c r="AG5167" i="3"/>
  <c r="AH5167" i="3"/>
  <c r="AG5168" i="3"/>
  <c r="AH5168" i="3"/>
  <c r="AG5169" i="3"/>
  <c r="AH5169" i="3"/>
  <c r="AG5170" i="3"/>
  <c r="AH5170" i="3"/>
  <c r="AG5171" i="3"/>
  <c r="AH5171" i="3"/>
  <c r="AG5172" i="3"/>
  <c r="AH5172" i="3"/>
  <c r="AG5173" i="3"/>
  <c r="AH5173" i="3"/>
  <c r="AG5174" i="3"/>
  <c r="AH5174" i="3"/>
  <c r="AG5175" i="3"/>
  <c r="AH5175" i="3"/>
  <c r="AG5176" i="3"/>
  <c r="AH5176" i="3"/>
  <c r="AG5177" i="3"/>
  <c r="AH5177" i="3"/>
  <c r="AG5178" i="3"/>
  <c r="AH5178" i="3"/>
  <c r="AG5179" i="3"/>
  <c r="AH5179" i="3"/>
  <c r="AG5180" i="3"/>
  <c r="AH5180" i="3"/>
  <c r="AG5181" i="3"/>
  <c r="AH5181" i="3"/>
  <c r="AG5182" i="3"/>
  <c r="AH5182" i="3"/>
  <c r="AG5183" i="3"/>
  <c r="AH5183" i="3"/>
  <c r="AG5184" i="3"/>
  <c r="AH5184" i="3"/>
  <c r="AG5185" i="3"/>
  <c r="AH5185" i="3"/>
  <c r="AG5186" i="3"/>
  <c r="AH5186" i="3"/>
  <c r="AG5187" i="3"/>
  <c r="AH5187" i="3"/>
  <c r="AG5188" i="3"/>
  <c r="AH5188" i="3"/>
  <c r="AG5189" i="3"/>
  <c r="AH5189" i="3"/>
  <c r="AG5190" i="3"/>
  <c r="AH5190" i="3"/>
  <c r="AG5191" i="3"/>
  <c r="AH5191" i="3"/>
  <c r="AG5192" i="3"/>
  <c r="AH5192" i="3"/>
  <c r="AG5193" i="3"/>
  <c r="AH5193" i="3"/>
  <c r="AG5194" i="3"/>
  <c r="AH5194" i="3"/>
  <c r="AG5195" i="3"/>
  <c r="AH5195" i="3"/>
  <c r="AG5196" i="3"/>
  <c r="AH5196" i="3"/>
  <c r="AG5197" i="3"/>
  <c r="AH5197" i="3"/>
  <c r="AG5198" i="3"/>
  <c r="AH5198" i="3"/>
  <c r="AG5199" i="3"/>
  <c r="AH5199" i="3"/>
  <c r="AG5200" i="3"/>
  <c r="AH5200" i="3"/>
  <c r="AG5201" i="3"/>
  <c r="AH5201" i="3"/>
  <c r="AG5202" i="3"/>
  <c r="AH5202" i="3"/>
  <c r="AG5203" i="3"/>
  <c r="AH5203" i="3"/>
  <c r="AG5204" i="3"/>
  <c r="AH5204" i="3"/>
  <c r="AG5205" i="3"/>
  <c r="AH5205" i="3"/>
  <c r="AG5206" i="3"/>
  <c r="AH5206" i="3"/>
  <c r="AG5207" i="3"/>
  <c r="AH5207" i="3"/>
  <c r="AG5208" i="3"/>
  <c r="AH5208" i="3"/>
  <c r="AG5209" i="3"/>
  <c r="AH5209" i="3"/>
  <c r="AG5210" i="3"/>
  <c r="AH5210" i="3"/>
  <c r="AG5211" i="3"/>
  <c r="AH5211" i="3"/>
  <c r="AG5212" i="3"/>
  <c r="AH5212" i="3"/>
  <c r="AG5213" i="3"/>
  <c r="AH5213" i="3"/>
  <c r="AG5214" i="3"/>
  <c r="AH5214" i="3"/>
  <c r="AG5215" i="3"/>
  <c r="AH5215" i="3"/>
  <c r="AG5216" i="3"/>
  <c r="AH5216" i="3"/>
  <c r="AG5217" i="3"/>
  <c r="AH5217" i="3"/>
  <c r="AG5218" i="3"/>
  <c r="AH5218" i="3"/>
  <c r="AG5219" i="3"/>
  <c r="AH5219" i="3"/>
  <c r="AG5220" i="3"/>
  <c r="AH5220" i="3"/>
  <c r="AG5221" i="3"/>
  <c r="AH5221" i="3"/>
  <c r="AG5222" i="3"/>
  <c r="AH5222" i="3"/>
  <c r="AG5223" i="3"/>
  <c r="AH5223" i="3"/>
  <c r="AG5224" i="3"/>
  <c r="AH5224" i="3"/>
  <c r="AG5225" i="3"/>
  <c r="AH5225" i="3"/>
  <c r="AG5226" i="3"/>
  <c r="AH5226" i="3"/>
  <c r="AG5227" i="3"/>
  <c r="AH5227" i="3"/>
  <c r="AG5228" i="3"/>
  <c r="AH5228" i="3"/>
  <c r="AG5229" i="3"/>
  <c r="AH5229" i="3"/>
  <c r="AG5230" i="3"/>
  <c r="AH5230" i="3"/>
  <c r="AG5231" i="3"/>
  <c r="AH5231" i="3"/>
  <c r="AG5232" i="3"/>
  <c r="AH5232" i="3"/>
  <c r="AG5233" i="3"/>
  <c r="AH5233" i="3"/>
  <c r="AG5234" i="3"/>
  <c r="AH5234" i="3"/>
  <c r="AG5235" i="3"/>
  <c r="AH5235" i="3"/>
  <c r="AG5236" i="3"/>
  <c r="AH5236" i="3"/>
  <c r="AG5237" i="3"/>
  <c r="AH5237" i="3"/>
  <c r="AG5238" i="3"/>
  <c r="AH5238" i="3"/>
  <c r="AG5239" i="3"/>
  <c r="AH5239" i="3"/>
  <c r="AG5240" i="3"/>
  <c r="AH5240" i="3"/>
  <c r="AG5241" i="3"/>
  <c r="AH5241" i="3"/>
  <c r="AG5242" i="3"/>
  <c r="AH5242" i="3"/>
  <c r="AG5243" i="3"/>
  <c r="AH5243" i="3"/>
  <c r="AG5244" i="3"/>
  <c r="AH5244" i="3"/>
  <c r="AG5245" i="3"/>
  <c r="AH5245" i="3"/>
  <c r="AG5246" i="3"/>
  <c r="AH5246" i="3"/>
  <c r="AG5247" i="3"/>
  <c r="AH5247" i="3"/>
  <c r="AG5248" i="3"/>
  <c r="AH5248" i="3"/>
  <c r="AG5249" i="3"/>
  <c r="AH5249" i="3"/>
  <c r="AG5250" i="3"/>
  <c r="AH5250" i="3"/>
  <c r="AG5251" i="3"/>
  <c r="AH5251" i="3"/>
  <c r="AG5252" i="3"/>
  <c r="AH5252" i="3"/>
  <c r="AG5253" i="3"/>
  <c r="AH5253" i="3"/>
  <c r="AG5254" i="3"/>
  <c r="AH5254" i="3"/>
  <c r="AG5255" i="3"/>
  <c r="AH5255" i="3"/>
  <c r="AG5256" i="3"/>
  <c r="AH5256" i="3"/>
  <c r="AG5257" i="3"/>
  <c r="AH5257" i="3"/>
  <c r="AG5258" i="3"/>
  <c r="AH5258" i="3"/>
  <c r="AG5259" i="3"/>
  <c r="AH5259" i="3"/>
  <c r="AG5260" i="3"/>
  <c r="AH5260" i="3"/>
  <c r="AG5261" i="3"/>
  <c r="AH5261" i="3"/>
  <c r="AG5262" i="3"/>
  <c r="AH5262" i="3"/>
  <c r="AG5263" i="3"/>
  <c r="AH5263" i="3"/>
  <c r="AG5264" i="3"/>
  <c r="AH5264" i="3"/>
  <c r="AG5265" i="3"/>
  <c r="AH5265" i="3"/>
  <c r="AG5266" i="3"/>
  <c r="AH5266" i="3"/>
  <c r="AG5267" i="3"/>
  <c r="AH5267" i="3"/>
  <c r="AG5268" i="3"/>
  <c r="AH5268" i="3"/>
  <c r="AG5269" i="3"/>
  <c r="AH5269" i="3"/>
  <c r="AG5270" i="3"/>
  <c r="AH5270" i="3"/>
  <c r="AG5271" i="3"/>
  <c r="AH5271" i="3"/>
  <c r="AG5272" i="3"/>
  <c r="AH5272" i="3"/>
  <c r="AG5273" i="3"/>
  <c r="AH5273" i="3"/>
  <c r="AG5274" i="3"/>
  <c r="AH5274" i="3"/>
  <c r="AG5275" i="3"/>
  <c r="AH5275" i="3"/>
  <c r="AG5276" i="3"/>
  <c r="AH5276" i="3"/>
  <c r="AG5277" i="3"/>
  <c r="AH5277" i="3"/>
  <c r="AG5278" i="3"/>
  <c r="AH5278" i="3"/>
  <c r="AG5279" i="3"/>
  <c r="AH5279" i="3"/>
  <c r="AG5280" i="3"/>
  <c r="AH5280" i="3"/>
  <c r="AG5281" i="3"/>
  <c r="AH5281" i="3"/>
  <c r="AG5282" i="3"/>
  <c r="AH5282" i="3"/>
  <c r="AG5283" i="3"/>
  <c r="AH5283" i="3"/>
  <c r="AG5284" i="3"/>
  <c r="AH5284" i="3"/>
  <c r="AG5285" i="3"/>
  <c r="AH5285" i="3"/>
  <c r="AG5286" i="3"/>
  <c r="AH5286" i="3"/>
  <c r="AG5287" i="3"/>
  <c r="AH5287" i="3"/>
  <c r="AG5288" i="3"/>
  <c r="AH5288" i="3"/>
  <c r="AG5289" i="3"/>
  <c r="AH5289" i="3"/>
  <c r="AG5290" i="3"/>
  <c r="AH5290" i="3"/>
  <c r="AG5291" i="3"/>
  <c r="AH5291" i="3"/>
  <c r="AG5292" i="3"/>
  <c r="AH5292" i="3"/>
  <c r="AG5293" i="3"/>
  <c r="AH5293" i="3"/>
  <c r="AG5294" i="3"/>
  <c r="AH5294" i="3"/>
  <c r="AG5295" i="3"/>
  <c r="AH5295" i="3"/>
  <c r="AG5296" i="3"/>
  <c r="AH5296" i="3"/>
  <c r="AG5297" i="3"/>
  <c r="AH5297" i="3"/>
  <c r="AG5298" i="3"/>
  <c r="AH5298" i="3"/>
  <c r="AG5299" i="3"/>
  <c r="AH5299" i="3"/>
  <c r="AG5300" i="3"/>
  <c r="AH5300" i="3"/>
  <c r="AG5301" i="3"/>
  <c r="AH5301" i="3"/>
  <c r="AG5302" i="3"/>
  <c r="AH5302" i="3"/>
  <c r="AG5303" i="3"/>
  <c r="AH5303" i="3"/>
  <c r="AG5304" i="3"/>
  <c r="AH5304" i="3"/>
  <c r="AG5305" i="3"/>
  <c r="AH5305" i="3"/>
  <c r="AG5306" i="3"/>
  <c r="AH5306" i="3"/>
  <c r="AG5307" i="3"/>
  <c r="AH5307" i="3"/>
  <c r="AG5308" i="3"/>
  <c r="AH5308" i="3"/>
  <c r="AG5309" i="3"/>
  <c r="AH5309" i="3"/>
  <c r="AG5310" i="3"/>
  <c r="AH5310" i="3"/>
  <c r="AG5311" i="3"/>
  <c r="AH5311" i="3"/>
  <c r="AG5312" i="3"/>
  <c r="AH5312" i="3"/>
  <c r="AG5313" i="3"/>
  <c r="AH5313" i="3"/>
  <c r="AG5314" i="3"/>
  <c r="AH5314" i="3"/>
  <c r="AG5315" i="3"/>
  <c r="AH5315" i="3"/>
  <c r="AG5316" i="3"/>
  <c r="AH5316" i="3"/>
  <c r="AG5317" i="3"/>
  <c r="AH5317" i="3"/>
  <c r="AG5318" i="3"/>
  <c r="AH5318" i="3"/>
  <c r="AG5319" i="3"/>
  <c r="AH5319" i="3"/>
  <c r="AG5320" i="3"/>
  <c r="AH5320" i="3"/>
  <c r="AG5321" i="3"/>
  <c r="AH5321" i="3"/>
  <c r="AG5322" i="3"/>
  <c r="AH5322" i="3"/>
  <c r="AG5323" i="3"/>
  <c r="AH5323" i="3"/>
  <c r="AG5324" i="3"/>
  <c r="AH5324" i="3"/>
  <c r="AG5325" i="3"/>
  <c r="AH5325" i="3"/>
  <c r="AG5326" i="3"/>
  <c r="AH5326" i="3"/>
  <c r="AG5327" i="3"/>
  <c r="AH5327" i="3"/>
  <c r="AG5328" i="3"/>
  <c r="AH5328" i="3"/>
  <c r="AG5329" i="3"/>
  <c r="AH5329" i="3"/>
  <c r="AG5330" i="3"/>
  <c r="AH5330" i="3"/>
  <c r="AG5331" i="3"/>
  <c r="AH5331" i="3"/>
  <c r="AG5332" i="3"/>
  <c r="AH5332" i="3"/>
  <c r="AG5333" i="3"/>
  <c r="AH5333" i="3"/>
  <c r="AG5334" i="3"/>
  <c r="AH5334" i="3"/>
  <c r="AG5335" i="3"/>
  <c r="AH5335" i="3"/>
  <c r="AG5336" i="3"/>
  <c r="AH5336" i="3"/>
  <c r="AG5337" i="3"/>
  <c r="AH5337" i="3"/>
  <c r="AG5338" i="3"/>
  <c r="AH5338" i="3"/>
  <c r="AG5339" i="3"/>
  <c r="AH5339" i="3"/>
  <c r="AG5340" i="3"/>
  <c r="AH5340" i="3"/>
  <c r="AG5341" i="3"/>
  <c r="AH5341" i="3"/>
  <c r="AG5342" i="3"/>
  <c r="AH5342" i="3"/>
  <c r="AG5343" i="3"/>
  <c r="AH5343" i="3"/>
  <c r="AG5344" i="3"/>
  <c r="AH5344" i="3"/>
  <c r="AG5345" i="3"/>
  <c r="AH5345" i="3"/>
  <c r="AG5346" i="3"/>
  <c r="AH5346" i="3"/>
  <c r="AG5347" i="3"/>
  <c r="AH5347" i="3"/>
  <c r="AG5348" i="3"/>
  <c r="AH5348" i="3"/>
  <c r="AG5349" i="3"/>
  <c r="AH5349" i="3"/>
  <c r="AG5350" i="3"/>
  <c r="AH5350" i="3"/>
  <c r="AG5351" i="3"/>
  <c r="AH5351" i="3"/>
  <c r="AG5352" i="3"/>
  <c r="AH5352" i="3"/>
  <c r="AG5353" i="3"/>
  <c r="AH5353" i="3"/>
  <c r="AG5354" i="3"/>
  <c r="AH5354" i="3"/>
  <c r="AG5355" i="3"/>
  <c r="AH5355" i="3"/>
  <c r="AG5356" i="3"/>
  <c r="AH5356" i="3"/>
  <c r="AG5357" i="3"/>
  <c r="AH5357" i="3"/>
  <c r="AG5358" i="3"/>
  <c r="AH5358" i="3"/>
  <c r="AG5359" i="3"/>
  <c r="AH5359" i="3"/>
  <c r="AG5360" i="3"/>
  <c r="AH5360" i="3"/>
  <c r="AG5361" i="3"/>
  <c r="AH5361" i="3"/>
  <c r="AG5362" i="3"/>
  <c r="AH5362" i="3"/>
  <c r="AG5363" i="3"/>
  <c r="AH5363" i="3"/>
  <c r="AG5364" i="3"/>
  <c r="AH5364" i="3"/>
  <c r="AG5365" i="3"/>
  <c r="AH5365" i="3"/>
  <c r="AG5366" i="3"/>
  <c r="AH5366" i="3"/>
  <c r="AG5367" i="3"/>
  <c r="AH5367" i="3"/>
  <c r="AG5368" i="3"/>
  <c r="AH5368" i="3"/>
  <c r="AG5369" i="3"/>
  <c r="AH5369" i="3"/>
  <c r="AG5370" i="3"/>
  <c r="AH5370" i="3"/>
  <c r="AG5371" i="3"/>
  <c r="AH5371" i="3"/>
  <c r="AG5372" i="3"/>
  <c r="AH5372" i="3"/>
  <c r="AG5373" i="3"/>
  <c r="AH5373" i="3"/>
  <c r="AG5374" i="3"/>
  <c r="AH5374" i="3"/>
  <c r="AG5375" i="3"/>
  <c r="AH5375" i="3"/>
  <c r="AG5376" i="3"/>
  <c r="AH5376" i="3"/>
  <c r="AG5377" i="3"/>
  <c r="AH5377" i="3"/>
  <c r="AG5378" i="3"/>
  <c r="AH5378" i="3"/>
  <c r="AG5379" i="3"/>
  <c r="AH5379" i="3"/>
  <c r="AG5380" i="3"/>
  <c r="AH5380" i="3"/>
  <c r="AG5381" i="3"/>
  <c r="AH5381" i="3"/>
  <c r="AG5382" i="3"/>
  <c r="AH5382" i="3"/>
  <c r="AG5383" i="3"/>
  <c r="AH5383" i="3"/>
  <c r="AG5384" i="3"/>
  <c r="AH5384" i="3"/>
  <c r="AG5385" i="3"/>
  <c r="AH5385" i="3"/>
  <c r="AG5386" i="3"/>
  <c r="AH5386" i="3"/>
  <c r="AG5387" i="3"/>
  <c r="AH5387" i="3"/>
  <c r="AG5388" i="3"/>
  <c r="AH5388" i="3"/>
  <c r="AG5389" i="3"/>
  <c r="AH5389" i="3"/>
  <c r="AG5390" i="3"/>
  <c r="AH5390" i="3"/>
  <c r="AG5391" i="3"/>
  <c r="AH5391" i="3"/>
  <c r="AG5392" i="3"/>
  <c r="AH5392" i="3"/>
  <c r="AG5393" i="3"/>
  <c r="AH5393" i="3"/>
  <c r="AG5394" i="3"/>
  <c r="AH5394" i="3"/>
  <c r="AG5395" i="3"/>
  <c r="AH5395" i="3"/>
  <c r="AG5396" i="3"/>
  <c r="AH5396" i="3"/>
  <c r="AG5397" i="3"/>
  <c r="AH5397" i="3"/>
  <c r="AG5398" i="3"/>
  <c r="AH5398" i="3"/>
  <c r="AG5399" i="3"/>
  <c r="AH5399" i="3"/>
  <c r="AG5400" i="3"/>
  <c r="AH5400" i="3"/>
  <c r="AG5401" i="3"/>
  <c r="AH5401" i="3"/>
  <c r="AG5402" i="3"/>
  <c r="AH5402" i="3"/>
  <c r="AG5403" i="3"/>
  <c r="AH5403" i="3"/>
  <c r="AG5404" i="3"/>
  <c r="AH5404" i="3"/>
  <c r="AG5405" i="3"/>
  <c r="AH5405" i="3"/>
  <c r="AG5406" i="3"/>
  <c r="AH5406" i="3"/>
  <c r="AG5407" i="3"/>
  <c r="AH5407" i="3"/>
  <c r="AG5408" i="3"/>
  <c r="AH5408" i="3"/>
  <c r="AG5409" i="3"/>
  <c r="AH5409" i="3"/>
  <c r="AG5410" i="3"/>
  <c r="AH5410" i="3"/>
  <c r="AG5411" i="3"/>
  <c r="AH5411" i="3"/>
  <c r="AG5412" i="3"/>
  <c r="AH5412" i="3"/>
  <c r="AG5413" i="3"/>
  <c r="AH5413" i="3"/>
  <c r="AG5414" i="3"/>
  <c r="AH5414" i="3"/>
  <c r="AG5415" i="3"/>
  <c r="AH5415" i="3"/>
  <c r="AG5416" i="3"/>
  <c r="AH5416" i="3"/>
  <c r="AG5417" i="3"/>
  <c r="AH5417" i="3"/>
  <c r="AG5418" i="3"/>
  <c r="AH5418" i="3"/>
  <c r="AG5419" i="3"/>
  <c r="AH5419" i="3"/>
  <c r="AG5420" i="3"/>
  <c r="AH5420" i="3"/>
  <c r="AG5421" i="3"/>
  <c r="AH5421" i="3"/>
  <c r="AG5422" i="3"/>
  <c r="AH5422" i="3"/>
  <c r="AG5423" i="3"/>
  <c r="AH5423" i="3"/>
  <c r="AG5424" i="3"/>
  <c r="AH5424" i="3"/>
  <c r="AG5425" i="3"/>
  <c r="AH5425" i="3"/>
  <c r="AG5426" i="3"/>
  <c r="AH5426" i="3"/>
  <c r="AG5427" i="3"/>
  <c r="AH5427" i="3"/>
  <c r="AG5428" i="3"/>
  <c r="AH5428" i="3"/>
  <c r="AG5429" i="3"/>
  <c r="AH5429" i="3"/>
  <c r="AG5430" i="3"/>
  <c r="AH5430" i="3"/>
  <c r="AG5431" i="3"/>
  <c r="AH5431" i="3"/>
  <c r="AG5432" i="3"/>
  <c r="AH5432" i="3"/>
  <c r="AG5433" i="3"/>
  <c r="AH5433" i="3"/>
  <c r="AG5434" i="3"/>
  <c r="AH5434" i="3"/>
  <c r="AG5435" i="3"/>
  <c r="AH5435" i="3"/>
  <c r="AG5436" i="3"/>
  <c r="AH5436" i="3"/>
  <c r="AG5437" i="3"/>
  <c r="AH5437" i="3"/>
  <c r="AG5438" i="3"/>
  <c r="AH5438" i="3"/>
  <c r="AG5439" i="3"/>
  <c r="AH5439" i="3"/>
  <c r="AG5440" i="3"/>
  <c r="AH5440" i="3"/>
  <c r="AG5441" i="3"/>
  <c r="AH5441" i="3"/>
  <c r="AG5442" i="3"/>
  <c r="AH5442" i="3"/>
  <c r="AG5443" i="3"/>
  <c r="AH5443" i="3"/>
  <c r="AG5444" i="3"/>
  <c r="AH5444" i="3"/>
  <c r="AG5445" i="3"/>
  <c r="AH5445" i="3"/>
  <c r="AG5446" i="3"/>
  <c r="AH5446" i="3"/>
  <c r="AG5447" i="3"/>
  <c r="AH5447" i="3"/>
  <c r="AG5448" i="3"/>
  <c r="AH5448" i="3"/>
  <c r="AG5449" i="3"/>
  <c r="AH5449" i="3"/>
  <c r="AG5450" i="3"/>
  <c r="AH5450" i="3"/>
  <c r="AG5451" i="3"/>
  <c r="AH5451" i="3"/>
  <c r="AG5452" i="3"/>
  <c r="AH5452" i="3"/>
  <c r="AG5453" i="3"/>
  <c r="AH5453" i="3"/>
  <c r="AG5454" i="3"/>
  <c r="AH5454" i="3"/>
  <c r="AG5455" i="3"/>
  <c r="AH5455" i="3"/>
  <c r="AG5456" i="3"/>
  <c r="AH5456" i="3"/>
  <c r="AG5457" i="3"/>
  <c r="AH5457" i="3"/>
  <c r="AG5458" i="3"/>
  <c r="AH5458" i="3"/>
  <c r="AG5459" i="3"/>
  <c r="AH5459" i="3"/>
  <c r="AG5460" i="3"/>
  <c r="AH5460" i="3"/>
  <c r="AG5461" i="3"/>
  <c r="AH5461" i="3"/>
  <c r="AG5462" i="3"/>
  <c r="AH5462" i="3"/>
  <c r="AG5463" i="3"/>
  <c r="AH5463" i="3"/>
  <c r="AG5464" i="3"/>
  <c r="AH5464" i="3"/>
  <c r="AG5465" i="3"/>
  <c r="AH5465" i="3"/>
  <c r="AG5466" i="3"/>
  <c r="AH5466" i="3"/>
  <c r="AG5467" i="3"/>
  <c r="AH5467" i="3"/>
  <c r="AG5468" i="3"/>
  <c r="AH5468" i="3"/>
  <c r="AG5469" i="3"/>
  <c r="AH5469" i="3"/>
  <c r="AG5470" i="3"/>
  <c r="AH5470" i="3"/>
  <c r="AG5471" i="3"/>
  <c r="AH5471" i="3"/>
  <c r="AG5472" i="3"/>
  <c r="AH5472" i="3"/>
  <c r="AG5473" i="3"/>
  <c r="AH5473" i="3"/>
  <c r="AG5474" i="3"/>
  <c r="AH5474" i="3"/>
  <c r="AG5475" i="3"/>
  <c r="AH5475" i="3"/>
  <c r="AG5476" i="3"/>
  <c r="AH5476" i="3"/>
  <c r="AG5477" i="3"/>
  <c r="AH5477" i="3"/>
  <c r="AG5478" i="3"/>
  <c r="AH5478" i="3"/>
  <c r="AG5479" i="3"/>
  <c r="AH5479" i="3"/>
  <c r="AG5480" i="3"/>
  <c r="AH5480" i="3"/>
  <c r="AG5481" i="3"/>
  <c r="AH5481" i="3"/>
  <c r="AG5482" i="3"/>
  <c r="AH5482" i="3"/>
  <c r="AG5483" i="3"/>
  <c r="AH5483" i="3"/>
  <c r="AG5484" i="3"/>
  <c r="AH5484" i="3"/>
  <c r="AG5485" i="3"/>
  <c r="AH5485" i="3"/>
  <c r="AG5486" i="3"/>
  <c r="AH5486" i="3"/>
  <c r="AG5487" i="3"/>
  <c r="AH5487" i="3"/>
  <c r="AG5488" i="3"/>
  <c r="AH5488" i="3"/>
  <c r="AG5489" i="3"/>
  <c r="AH5489" i="3"/>
  <c r="AG5490" i="3"/>
  <c r="AH5490" i="3"/>
  <c r="AG5491" i="3"/>
  <c r="AH5491" i="3"/>
  <c r="AG5492" i="3"/>
  <c r="AH5492" i="3"/>
  <c r="AG5493" i="3"/>
  <c r="AH5493" i="3"/>
  <c r="AG5494" i="3"/>
  <c r="AH5494" i="3"/>
  <c r="AG5495" i="3"/>
  <c r="AH5495" i="3"/>
  <c r="AG5496" i="3"/>
  <c r="AH5496" i="3"/>
  <c r="AG5497" i="3"/>
  <c r="AH5497" i="3"/>
  <c r="AG5498" i="3"/>
  <c r="AH5498" i="3"/>
  <c r="AG5499" i="3"/>
  <c r="AH5499" i="3"/>
  <c r="AG5500" i="3"/>
  <c r="AH5500" i="3"/>
  <c r="AG5501" i="3"/>
  <c r="AH5501" i="3"/>
  <c r="AG5502" i="3"/>
  <c r="AH5502" i="3"/>
  <c r="AG5503" i="3"/>
  <c r="AH5503" i="3"/>
  <c r="AG5504" i="3"/>
  <c r="AH5504" i="3"/>
  <c r="AG5505" i="3"/>
  <c r="AH5505" i="3"/>
  <c r="AG5506" i="3"/>
  <c r="AH5506" i="3"/>
  <c r="AG5507" i="3"/>
  <c r="AH5507" i="3"/>
  <c r="AG5508" i="3"/>
  <c r="AH5508" i="3"/>
  <c r="AG5509" i="3"/>
  <c r="AH5509" i="3"/>
  <c r="AG5510" i="3"/>
  <c r="AH5510" i="3"/>
  <c r="AG5511" i="3"/>
  <c r="AH5511" i="3"/>
  <c r="AG5512" i="3"/>
  <c r="AH5512" i="3"/>
  <c r="AG5513" i="3"/>
  <c r="AH5513" i="3"/>
  <c r="AG5514" i="3"/>
  <c r="AH5514" i="3"/>
  <c r="AG5515" i="3"/>
  <c r="AH5515" i="3"/>
  <c r="AG5516" i="3"/>
  <c r="AH5516" i="3"/>
  <c r="AG5517" i="3"/>
  <c r="AH5517" i="3"/>
  <c r="AG5518" i="3"/>
  <c r="AH5518" i="3"/>
  <c r="AG5519" i="3"/>
  <c r="AH5519" i="3"/>
  <c r="AG5520" i="3"/>
  <c r="AH5520" i="3"/>
  <c r="AG5521" i="3"/>
  <c r="AH5521" i="3"/>
  <c r="AG5522" i="3"/>
  <c r="AH5522" i="3"/>
  <c r="AG5523" i="3"/>
  <c r="AH5523" i="3"/>
  <c r="AG5524" i="3"/>
  <c r="AH5524" i="3"/>
  <c r="AG5525" i="3"/>
  <c r="AH5525" i="3"/>
  <c r="AG5526" i="3"/>
  <c r="AH5526" i="3"/>
  <c r="AG5527" i="3"/>
  <c r="AH5527" i="3"/>
  <c r="AG5528" i="3"/>
  <c r="AH5528" i="3"/>
  <c r="AG5529" i="3"/>
  <c r="AH5529" i="3"/>
  <c r="AG5530" i="3"/>
  <c r="AH5530" i="3"/>
  <c r="AG5531" i="3"/>
  <c r="AH5531" i="3"/>
  <c r="AG5532" i="3"/>
  <c r="AH5532" i="3"/>
  <c r="AG5533" i="3"/>
  <c r="AH5533" i="3"/>
  <c r="AG5534" i="3"/>
  <c r="AH5534" i="3"/>
  <c r="AG5535" i="3"/>
  <c r="AH5535" i="3"/>
  <c r="AG5536" i="3"/>
  <c r="AH5536" i="3"/>
  <c r="AG5537" i="3"/>
  <c r="AH5537" i="3"/>
  <c r="AG5538" i="3"/>
  <c r="AH5538" i="3"/>
  <c r="AG5539" i="3"/>
  <c r="AH5539" i="3"/>
  <c r="AG5540" i="3"/>
  <c r="AH5540" i="3"/>
  <c r="AG5541" i="3"/>
  <c r="AH5541" i="3"/>
  <c r="AG5542" i="3"/>
  <c r="AH5542" i="3"/>
  <c r="AG5543" i="3"/>
  <c r="AH5543" i="3"/>
  <c r="AG5544" i="3"/>
  <c r="AH5544" i="3"/>
  <c r="AG5545" i="3"/>
  <c r="AH5545" i="3"/>
  <c r="AG5546" i="3"/>
  <c r="AH5546" i="3"/>
  <c r="AG5547" i="3"/>
  <c r="AH5547" i="3"/>
  <c r="AG5548" i="3"/>
  <c r="AH5548" i="3"/>
  <c r="AG5549" i="3"/>
  <c r="AH5549" i="3"/>
  <c r="AG5550" i="3"/>
  <c r="AH5550" i="3"/>
  <c r="AG5551" i="3"/>
  <c r="AH5551" i="3"/>
  <c r="AG5552" i="3"/>
  <c r="AH5552" i="3"/>
  <c r="AG5553" i="3"/>
  <c r="AH5553" i="3"/>
  <c r="AG5554" i="3"/>
  <c r="AH5554" i="3"/>
  <c r="AG5555" i="3"/>
  <c r="AH5555" i="3"/>
  <c r="AG5556" i="3"/>
  <c r="AH5556" i="3"/>
  <c r="AG5557" i="3"/>
  <c r="AH5557" i="3"/>
  <c r="AG5558" i="3"/>
  <c r="AH5558" i="3"/>
  <c r="AG5559" i="3"/>
  <c r="AH5559" i="3"/>
  <c r="AG5560" i="3"/>
  <c r="AH5560" i="3"/>
  <c r="AG5561" i="3"/>
  <c r="AH5561" i="3"/>
  <c r="AG5562" i="3"/>
  <c r="AH5562" i="3"/>
  <c r="AG5563" i="3"/>
  <c r="AH5563" i="3"/>
  <c r="AG5564" i="3"/>
  <c r="AH5564" i="3"/>
  <c r="AG5565" i="3"/>
  <c r="AH5565" i="3"/>
  <c r="AG5566" i="3"/>
  <c r="AH5566" i="3"/>
  <c r="AG5567" i="3"/>
  <c r="AH5567" i="3"/>
  <c r="AG5568" i="3"/>
  <c r="AH5568" i="3"/>
  <c r="AG5569" i="3"/>
  <c r="AH5569" i="3"/>
  <c r="AG5570" i="3"/>
  <c r="AH5570" i="3"/>
  <c r="AG5571" i="3"/>
  <c r="AH5571" i="3"/>
  <c r="AG5572" i="3"/>
  <c r="AH5572" i="3"/>
  <c r="AG5573" i="3"/>
  <c r="AH5573" i="3"/>
  <c r="AG5574" i="3"/>
  <c r="AH5574" i="3"/>
  <c r="AG5575" i="3"/>
  <c r="AH5575" i="3"/>
  <c r="AG5576" i="3"/>
  <c r="AH5576" i="3"/>
  <c r="AG5577" i="3"/>
  <c r="AH5577" i="3"/>
  <c r="AG5578" i="3"/>
  <c r="AH5578" i="3"/>
  <c r="AG5579" i="3"/>
  <c r="AH5579" i="3"/>
  <c r="AG5580" i="3"/>
  <c r="AH5580" i="3"/>
  <c r="AG5581" i="3"/>
  <c r="AH5581" i="3"/>
  <c r="AG5582" i="3"/>
  <c r="AH5582" i="3"/>
  <c r="AG5583" i="3"/>
  <c r="AH5583" i="3"/>
  <c r="AG5584" i="3"/>
  <c r="AH5584" i="3"/>
  <c r="AG5585" i="3"/>
  <c r="AH5585" i="3"/>
  <c r="AG5586" i="3"/>
  <c r="AH5586" i="3"/>
  <c r="AG5587" i="3"/>
  <c r="AH5587" i="3"/>
  <c r="AG5588" i="3"/>
  <c r="AH5588" i="3"/>
  <c r="AG5589" i="3"/>
  <c r="AH5589" i="3"/>
  <c r="AG5590" i="3"/>
  <c r="AH5590" i="3"/>
  <c r="AG5591" i="3"/>
  <c r="AH5591" i="3"/>
  <c r="AG5592" i="3"/>
  <c r="AH5592" i="3"/>
  <c r="AG5593" i="3"/>
  <c r="AH5593" i="3"/>
  <c r="AG5594" i="3"/>
  <c r="AH5594" i="3"/>
  <c r="AG5595" i="3"/>
  <c r="AH5595" i="3"/>
  <c r="AG5596" i="3"/>
  <c r="AH5596" i="3"/>
  <c r="AG5597" i="3"/>
  <c r="AH5597" i="3"/>
  <c r="AG5598" i="3"/>
  <c r="AH5598" i="3"/>
  <c r="AG5599" i="3"/>
  <c r="AH5599" i="3"/>
  <c r="AG5600" i="3"/>
  <c r="AH5600" i="3"/>
  <c r="AG5601" i="3"/>
  <c r="AH5601" i="3"/>
  <c r="AG5602" i="3"/>
  <c r="AH5602" i="3"/>
  <c r="AG5603" i="3"/>
  <c r="AH5603" i="3"/>
  <c r="AG5604" i="3"/>
  <c r="AH5604" i="3"/>
  <c r="AG5605" i="3"/>
  <c r="AH5605" i="3"/>
  <c r="AG5606" i="3"/>
  <c r="AH5606" i="3"/>
  <c r="AG5607" i="3"/>
  <c r="AH5607" i="3"/>
  <c r="AG5608" i="3"/>
  <c r="AH5608" i="3"/>
  <c r="AG5609" i="3"/>
  <c r="AH5609" i="3"/>
  <c r="AG5610" i="3"/>
  <c r="AH5610" i="3"/>
  <c r="AG5611" i="3"/>
  <c r="AH5611" i="3"/>
  <c r="AG5612" i="3"/>
  <c r="AH5612" i="3"/>
  <c r="AG5613" i="3"/>
  <c r="AH5613" i="3"/>
  <c r="AG5614" i="3"/>
  <c r="AH5614" i="3"/>
  <c r="AG5615" i="3"/>
  <c r="AH5615" i="3"/>
  <c r="AG5616" i="3"/>
  <c r="AH5616" i="3"/>
  <c r="AG5617" i="3"/>
  <c r="AH5617" i="3"/>
  <c r="AG5618" i="3"/>
  <c r="AH5618" i="3"/>
  <c r="AG5619" i="3"/>
  <c r="AH5619" i="3"/>
  <c r="AG5620" i="3"/>
  <c r="AH5620" i="3"/>
  <c r="AG5621" i="3"/>
  <c r="AH5621" i="3"/>
  <c r="AG5622" i="3"/>
  <c r="AH5622" i="3"/>
  <c r="AG5623" i="3"/>
  <c r="AH5623" i="3"/>
  <c r="AG5624" i="3"/>
  <c r="AH5624" i="3"/>
  <c r="AG5625" i="3"/>
  <c r="AH5625" i="3"/>
  <c r="AG5626" i="3"/>
  <c r="AH5626" i="3"/>
  <c r="AG5627" i="3"/>
  <c r="AH5627" i="3"/>
  <c r="AG5628" i="3"/>
  <c r="AH5628" i="3"/>
  <c r="AG5629" i="3"/>
  <c r="AH5629" i="3"/>
  <c r="AG5630" i="3"/>
  <c r="AH5630" i="3"/>
  <c r="AG5631" i="3"/>
  <c r="AH5631" i="3"/>
  <c r="AG5632" i="3"/>
  <c r="AH5632" i="3"/>
  <c r="AG5633" i="3"/>
  <c r="AH5633" i="3"/>
  <c r="AG5634" i="3"/>
  <c r="AH5634" i="3"/>
  <c r="AG5635" i="3"/>
  <c r="AH5635" i="3"/>
  <c r="AG5636" i="3"/>
  <c r="AH5636" i="3"/>
  <c r="AG5637" i="3"/>
  <c r="AH5637" i="3"/>
  <c r="AG5638" i="3"/>
  <c r="AH5638" i="3"/>
  <c r="AG5639" i="3"/>
  <c r="AH5639" i="3"/>
  <c r="AG5640" i="3"/>
  <c r="AH5640" i="3"/>
  <c r="AG5641" i="3"/>
  <c r="AH5641" i="3"/>
  <c r="AG5642" i="3"/>
  <c r="AH5642" i="3"/>
  <c r="AG5643" i="3"/>
  <c r="AH5643" i="3"/>
  <c r="AG5644" i="3"/>
  <c r="AH5644" i="3"/>
  <c r="AG5645" i="3"/>
  <c r="AH5645" i="3"/>
  <c r="AG5646" i="3"/>
  <c r="AH5646" i="3"/>
  <c r="AG5647" i="3"/>
  <c r="AH5647" i="3"/>
  <c r="AG5648" i="3"/>
  <c r="AH5648" i="3"/>
  <c r="AG5649" i="3"/>
  <c r="AH5649" i="3"/>
  <c r="AG5650" i="3"/>
  <c r="AH5650" i="3"/>
  <c r="AG5651" i="3"/>
  <c r="AH5651" i="3"/>
  <c r="AG5652" i="3"/>
  <c r="AH5652" i="3"/>
  <c r="AG5653" i="3"/>
  <c r="AH5653" i="3"/>
  <c r="AG5654" i="3"/>
  <c r="AH5654" i="3"/>
  <c r="AG5655" i="3"/>
  <c r="AH5655" i="3"/>
  <c r="AG5656" i="3"/>
  <c r="AH5656" i="3"/>
  <c r="AG5657" i="3"/>
  <c r="AH5657" i="3"/>
  <c r="AG5658" i="3"/>
  <c r="AH5658" i="3"/>
  <c r="AG5659" i="3"/>
  <c r="AH5659" i="3"/>
  <c r="AG5660" i="3"/>
  <c r="AH5660" i="3"/>
  <c r="AG5661" i="3"/>
  <c r="AH5661" i="3"/>
  <c r="AG5662" i="3"/>
  <c r="AH5662" i="3"/>
  <c r="AG5663" i="3"/>
  <c r="AH5663" i="3"/>
  <c r="AG5664" i="3"/>
  <c r="AH5664" i="3"/>
  <c r="AG5665" i="3"/>
  <c r="AH5665" i="3"/>
  <c r="AG5666" i="3"/>
  <c r="AH5666" i="3"/>
  <c r="AG5667" i="3"/>
  <c r="AH5667" i="3"/>
  <c r="AG5668" i="3"/>
  <c r="AH5668" i="3"/>
  <c r="AG5669" i="3"/>
  <c r="AH5669" i="3"/>
  <c r="AG5670" i="3"/>
  <c r="AH5670" i="3"/>
  <c r="AG5671" i="3"/>
  <c r="AH5671" i="3"/>
  <c r="AG5672" i="3"/>
  <c r="AH5672" i="3"/>
  <c r="AG5673" i="3"/>
  <c r="AH5673" i="3"/>
  <c r="AG5674" i="3"/>
  <c r="AH5674" i="3"/>
  <c r="AG5675" i="3"/>
  <c r="AH5675" i="3"/>
  <c r="AG5676" i="3"/>
  <c r="AH5676" i="3"/>
  <c r="AG5677" i="3"/>
  <c r="AH5677" i="3"/>
  <c r="AG5678" i="3"/>
  <c r="AH5678" i="3"/>
  <c r="AG5679" i="3"/>
  <c r="AH5679" i="3"/>
  <c r="AG5680" i="3"/>
  <c r="AH5680" i="3"/>
  <c r="AG5681" i="3"/>
  <c r="AH5681" i="3"/>
  <c r="AG5682" i="3"/>
  <c r="AH5682" i="3"/>
  <c r="AG5683" i="3"/>
  <c r="AH5683" i="3"/>
  <c r="AG5684" i="3"/>
  <c r="AH5684" i="3"/>
  <c r="AG5685" i="3"/>
  <c r="AH5685" i="3"/>
  <c r="AG5686" i="3"/>
  <c r="AH5686" i="3"/>
  <c r="AG5687" i="3"/>
  <c r="AH5687" i="3"/>
  <c r="AG5688" i="3"/>
  <c r="AH5688" i="3"/>
  <c r="AG5689" i="3"/>
  <c r="AH5689" i="3"/>
  <c r="AG5690" i="3"/>
  <c r="AH5690" i="3"/>
  <c r="AG5691" i="3"/>
  <c r="AH5691" i="3"/>
  <c r="AG5692" i="3"/>
  <c r="AH5692" i="3"/>
  <c r="AG5693" i="3"/>
  <c r="AH5693" i="3"/>
  <c r="AG5694" i="3"/>
  <c r="AH5694" i="3"/>
  <c r="AG5695" i="3"/>
  <c r="AH5695" i="3"/>
  <c r="AG5696" i="3"/>
  <c r="AH5696" i="3"/>
  <c r="AG5697" i="3"/>
  <c r="AH5697" i="3"/>
  <c r="AG5698" i="3"/>
  <c r="AH5698" i="3"/>
  <c r="AG5699" i="3"/>
  <c r="AH5699" i="3"/>
  <c r="AG5700" i="3"/>
  <c r="AH5700" i="3"/>
  <c r="AG5701" i="3"/>
  <c r="AH5701" i="3"/>
  <c r="AG5702" i="3"/>
  <c r="AH5702" i="3"/>
  <c r="AG5703" i="3"/>
  <c r="AH5703" i="3"/>
  <c r="AG5704" i="3"/>
  <c r="AH5704" i="3"/>
  <c r="AG5705" i="3"/>
  <c r="AH5705" i="3"/>
  <c r="AG5706" i="3"/>
  <c r="AH5706" i="3"/>
  <c r="AG5707" i="3"/>
  <c r="AH5707" i="3"/>
  <c r="AG5708" i="3"/>
  <c r="AH5708" i="3"/>
  <c r="AG5709" i="3"/>
  <c r="AH5709" i="3"/>
  <c r="AG5710" i="3"/>
  <c r="AH5710" i="3"/>
  <c r="AG5711" i="3"/>
  <c r="AH5711" i="3"/>
  <c r="AG5712" i="3"/>
  <c r="AH5712" i="3"/>
  <c r="AG5713" i="3"/>
  <c r="AH5713" i="3"/>
  <c r="AG5714" i="3"/>
  <c r="AH5714" i="3"/>
  <c r="AG5715" i="3"/>
  <c r="AH5715" i="3"/>
  <c r="AG5716" i="3"/>
  <c r="AH5716" i="3"/>
  <c r="AG5717" i="3"/>
  <c r="AH5717" i="3"/>
  <c r="AG5718" i="3"/>
  <c r="AH5718" i="3"/>
  <c r="AG5719" i="3"/>
  <c r="AH5719" i="3"/>
  <c r="AG5720" i="3"/>
  <c r="AH5720" i="3"/>
  <c r="AG5721" i="3"/>
  <c r="AH5721" i="3"/>
  <c r="AG5722" i="3"/>
  <c r="AH5722" i="3"/>
  <c r="AG5723" i="3"/>
  <c r="AH5723" i="3"/>
  <c r="AG5724" i="3"/>
  <c r="AH5724" i="3"/>
  <c r="AG5725" i="3"/>
  <c r="AH5725" i="3"/>
  <c r="AG5726" i="3"/>
  <c r="AH5726" i="3"/>
  <c r="AG5727" i="3"/>
  <c r="AH5727" i="3"/>
  <c r="AG5728" i="3"/>
  <c r="AH5728" i="3"/>
  <c r="AG5729" i="3"/>
  <c r="AH5729" i="3"/>
  <c r="AG5730" i="3"/>
  <c r="AH5730" i="3"/>
  <c r="AG5731" i="3"/>
  <c r="AH5731" i="3"/>
  <c r="AG5732" i="3"/>
  <c r="AH5732" i="3"/>
  <c r="AG5733" i="3"/>
  <c r="AH5733" i="3"/>
  <c r="AG5734" i="3"/>
  <c r="AH5734" i="3"/>
  <c r="AG5735" i="3"/>
  <c r="AH5735" i="3"/>
  <c r="AG5736" i="3"/>
  <c r="AH5736" i="3"/>
  <c r="AG5737" i="3"/>
  <c r="AH5737" i="3"/>
  <c r="AG5738" i="3"/>
  <c r="AH5738" i="3"/>
  <c r="AG5739" i="3"/>
  <c r="AH5739" i="3"/>
  <c r="AG5740" i="3"/>
  <c r="AH5740" i="3"/>
  <c r="AG5741" i="3"/>
  <c r="AH5741" i="3"/>
  <c r="AG5742" i="3"/>
  <c r="AH5742" i="3"/>
  <c r="AG5743" i="3"/>
  <c r="AH5743" i="3"/>
  <c r="AG5744" i="3"/>
  <c r="AH5744" i="3"/>
  <c r="AG5745" i="3"/>
  <c r="AH5745" i="3"/>
  <c r="AG5746" i="3"/>
  <c r="AH5746" i="3"/>
  <c r="AG5747" i="3"/>
  <c r="AH5747" i="3"/>
  <c r="AG5748" i="3"/>
  <c r="AH5748" i="3"/>
  <c r="AG5749" i="3"/>
  <c r="AH5749" i="3"/>
  <c r="AG5750" i="3"/>
  <c r="AH5750" i="3"/>
  <c r="AG5751" i="3"/>
  <c r="AH5751" i="3"/>
  <c r="AG5752" i="3"/>
  <c r="AH5752" i="3"/>
  <c r="AG5753" i="3"/>
  <c r="AH5753" i="3"/>
  <c r="AG5754" i="3"/>
  <c r="AH5754" i="3"/>
  <c r="AG5755" i="3"/>
  <c r="AH5755" i="3"/>
  <c r="AG5756" i="3"/>
  <c r="AH5756" i="3"/>
  <c r="AG5757" i="3"/>
  <c r="AH5757" i="3"/>
  <c r="AG5758" i="3"/>
  <c r="AH5758" i="3"/>
  <c r="AG5759" i="3"/>
  <c r="AH5759" i="3"/>
  <c r="AG5760" i="3"/>
  <c r="AH5760" i="3"/>
  <c r="AG5761" i="3"/>
  <c r="AH5761" i="3"/>
  <c r="AG5762" i="3"/>
  <c r="AH5762" i="3"/>
  <c r="AG5763" i="3"/>
  <c r="AH5763" i="3"/>
  <c r="AG5764" i="3"/>
  <c r="AH5764" i="3"/>
  <c r="AG5765" i="3"/>
  <c r="AH5765" i="3"/>
  <c r="AG5766" i="3"/>
  <c r="AH5766" i="3"/>
  <c r="AG5767" i="3"/>
  <c r="AH5767" i="3"/>
  <c r="AG5768" i="3"/>
  <c r="AH5768" i="3"/>
  <c r="AG5769" i="3"/>
  <c r="AH5769" i="3"/>
  <c r="AG5770" i="3"/>
  <c r="AH5770" i="3"/>
  <c r="AG5771" i="3"/>
  <c r="AH5771" i="3"/>
  <c r="AG5772" i="3"/>
  <c r="AH5772" i="3"/>
  <c r="AG5773" i="3"/>
  <c r="AH5773" i="3"/>
  <c r="AG5774" i="3"/>
  <c r="AH5774" i="3"/>
  <c r="AG5775" i="3"/>
  <c r="AH5775" i="3"/>
  <c r="AG5776" i="3"/>
  <c r="AH5776" i="3"/>
  <c r="AG5777" i="3"/>
  <c r="AH5777" i="3"/>
  <c r="AG5778" i="3"/>
  <c r="AH5778" i="3"/>
  <c r="AG5779" i="3"/>
  <c r="AH5779" i="3"/>
  <c r="AG5780" i="3"/>
  <c r="AH5780" i="3"/>
  <c r="AG5781" i="3"/>
  <c r="AH5781" i="3"/>
  <c r="AG5782" i="3"/>
  <c r="AH5782" i="3"/>
  <c r="AG5783" i="3"/>
  <c r="AH5783" i="3"/>
  <c r="AG5784" i="3"/>
  <c r="AH5784" i="3"/>
  <c r="AG5785" i="3"/>
  <c r="AH5785" i="3"/>
  <c r="AG5786" i="3"/>
  <c r="AH5786" i="3"/>
  <c r="AG5787" i="3"/>
  <c r="AH5787" i="3"/>
  <c r="AG5788" i="3"/>
  <c r="AH5788" i="3"/>
  <c r="AG5789" i="3"/>
  <c r="AH5789" i="3"/>
  <c r="AG5790" i="3"/>
  <c r="AH5790" i="3"/>
  <c r="AG5791" i="3"/>
  <c r="AH5791" i="3"/>
  <c r="AG5792" i="3"/>
  <c r="AH5792" i="3"/>
  <c r="AG5793" i="3"/>
  <c r="AH5793" i="3"/>
  <c r="AG5794" i="3"/>
  <c r="AH5794" i="3"/>
  <c r="AG5795" i="3"/>
  <c r="AH5795" i="3"/>
  <c r="AG5796" i="3"/>
  <c r="AH5796" i="3"/>
  <c r="AG5797" i="3"/>
  <c r="AH5797" i="3"/>
  <c r="AG5798" i="3"/>
  <c r="AH5798" i="3"/>
  <c r="AG5799" i="3"/>
  <c r="AH5799" i="3"/>
  <c r="AG5800" i="3"/>
  <c r="AH5800" i="3"/>
  <c r="AG5801" i="3"/>
  <c r="AH5801" i="3"/>
  <c r="AG5802" i="3"/>
  <c r="AH5802" i="3"/>
  <c r="AG5803" i="3"/>
  <c r="AH5803" i="3"/>
  <c r="AG5804" i="3"/>
  <c r="AH5804" i="3"/>
  <c r="AG5805" i="3"/>
  <c r="AH5805" i="3"/>
  <c r="AG5806" i="3"/>
  <c r="AH5806" i="3"/>
  <c r="AG5807" i="3"/>
  <c r="AH5807" i="3"/>
  <c r="AG5808" i="3"/>
  <c r="AH5808" i="3"/>
  <c r="AG5809" i="3"/>
  <c r="AH5809" i="3"/>
  <c r="AG5810" i="3"/>
  <c r="AH5810" i="3"/>
  <c r="AG5811" i="3"/>
  <c r="AH5811" i="3"/>
  <c r="AG5812" i="3"/>
  <c r="AH5812" i="3"/>
  <c r="AG5813" i="3"/>
  <c r="AH5813" i="3"/>
  <c r="AG5814" i="3"/>
  <c r="AH5814" i="3"/>
  <c r="AG5815" i="3"/>
  <c r="AH5815" i="3"/>
  <c r="AG5816" i="3"/>
  <c r="AH5816" i="3"/>
  <c r="AG5817" i="3"/>
  <c r="AH5817" i="3"/>
  <c r="AG5818" i="3"/>
  <c r="AH5818" i="3"/>
  <c r="AG5819" i="3"/>
  <c r="AH5819" i="3"/>
  <c r="AG5820" i="3"/>
  <c r="AH5820" i="3"/>
  <c r="AG5821" i="3"/>
  <c r="AH5821" i="3"/>
  <c r="AG5822" i="3"/>
  <c r="AH5822" i="3"/>
  <c r="AG5823" i="3"/>
  <c r="AH5823" i="3"/>
  <c r="AG5824" i="3"/>
  <c r="AH5824" i="3"/>
  <c r="AG5825" i="3"/>
  <c r="AH5825" i="3"/>
  <c r="AG5826" i="3"/>
  <c r="AH5826" i="3"/>
  <c r="AG5827" i="3"/>
  <c r="AH5827" i="3"/>
  <c r="AG5828" i="3"/>
  <c r="AH5828" i="3"/>
  <c r="AG5829" i="3"/>
  <c r="AH5829" i="3"/>
  <c r="AG5830" i="3"/>
  <c r="AH5830" i="3"/>
  <c r="AG5831" i="3"/>
  <c r="AH5831" i="3"/>
  <c r="AG5832" i="3"/>
  <c r="AH5832" i="3"/>
  <c r="AG5833" i="3"/>
  <c r="AH5833" i="3"/>
  <c r="AG5834" i="3"/>
  <c r="AH5834" i="3"/>
  <c r="AG5835" i="3"/>
  <c r="AH5835" i="3"/>
  <c r="AG5836" i="3"/>
  <c r="AH5836" i="3"/>
  <c r="AG5837" i="3"/>
  <c r="AH5837" i="3"/>
  <c r="AG5838" i="3"/>
  <c r="AH5838" i="3"/>
  <c r="AG5839" i="3"/>
  <c r="AH5839" i="3"/>
  <c r="AG5840" i="3"/>
  <c r="AH5840" i="3"/>
  <c r="AG5841" i="3"/>
  <c r="AH5841" i="3"/>
  <c r="AG5842" i="3"/>
  <c r="AH5842" i="3"/>
  <c r="AG5843" i="3"/>
  <c r="AH5843" i="3"/>
  <c r="AG5844" i="3"/>
  <c r="AH5844" i="3"/>
  <c r="AG5845" i="3"/>
  <c r="AH5845" i="3"/>
  <c r="AG5846" i="3"/>
  <c r="AH5846" i="3"/>
  <c r="AG5847" i="3"/>
  <c r="AH5847" i="3"/>
  <c r="AG5848" i="3"/>
  <c r="AH5848" i="3"/>
  <c r="AG5849" i="3"/>
  <c r="AH5849" i="3"/>
  <c r="AG5850" i="3"/>
  <c r="AH5850" i="3"/>
  <c r="AG5851" i="3"/>
  <c r="AH5851" i="3"/>
  <c r="AG5852" i="3"/>
  <c r="AH5852" i="3"/>
  <c r="AG5853" i="3"/>
  <c r="AH5853" i="3"/>
  <c r="AG5854" i="3"/>
  <c r="AH5854" i="3"/>
  <c r="AG5855" i="3"/>
  <c r="AH5855" i="3"/>
  <c r="AG5856" i="3"/>
  <c r="AH5856" i="3"/>
  <c r="AG5857" i="3"/>
  <c r="AH5857" i="3"/>
  <c r="AG5858" i="3"/>
  <c r="AH5858" i="3"/>
  <c r="AG5859" i="3"/>
  <c r="AH5859" i="3"/>
  <c r="AG5860" i="3"/>
  <c r="AH5860" i="3"/>
  <c r="AG5861" i="3"/>
  <c r="AH5861" i="3"/>
  <c r="AG5862" i="3"/>
  <c r="AH5862" i="3"/>
  <c r="AG5863" i="3"/>
  <c r="AH5863" i="3"/>
  <c r="AG5864" i="3"/>
  <c r="AH5864" i="3"/>
  <c r="AG5865" i="3"/>
  <c r="AH5865" i="3"/>
  <c r="AG5866" i="3"/>
  <c r="AH5866" i="3"/>
  <c r="AG5867" i="3"/>
  <c r="AH5867" i="3"/>
  <c r="AG5868" i="3"/>
  <c r="AH5868" i="3"/>
  <c r="AG5869" i="3"/>
  <c r="AH5869" i="3"/>
  <c r="AG5870" i="3"/>
  <c r="AH5870" i="3"/>
  <c r="AG5871" i="3"/>
  <c r="AH5871" i="3"/>
  <c r="AG5872" i="3"/>
  <c r="AH5872" i="3"/>
  <c r="AG5873" i="3"/>
  <c r="AH5873" i="3"/>
  <c r="AG5874" i="3"/>
  <c r="AH5874" i="3"/>
  <c r="AG5875" i="3"/>
  <c r="AH5875" i="3"/>
  <c r="AG5876" i="3"/>
  <c r="AH5876" i="3"/>
  <c r="AG5877" i="3"/>
  <c r="AH5877" i="3"/>
  <c r="AG5878" i="3"/>
  <c r="AH5878" i="3"/>
  <c r="AG5879" i="3"/>
  <c r="AH5879" i="3"/>
  <c r="AG5880" i="3"/>
  <c r="AH5880" i="3"/>
  <c r="AG5881" i="3"/>
  <c r="AH5881" i="3"/>
  <c r="AG5882" i="3"/>
  <c r="AH5882" i="3"/>
  <c r="AG5883" i="3"/>
  <c r="AH5883" i="3"/>
  <c r="AG5884" i="3"/>
  <c r="AH5884" i="3"/>
  <c r="AG5885" i="3"/>
  <c r="AH5885" i="3"/>
  <c r="AG5886" i="3"/>
  <c r="AH5886" i="3"/>
  <c r="AG5887" i="3"/>
  <c r="AH5887" i="3"/>
  <c r="AG5888" i="3"/>
  <c r="AH5888" i="3"/>
  <c r="AG5889" i="3"/>
  <c r="AH5889" i="3"/>
  <c r="AG5890" i="3"/>
  <c r="AH5890" i="3"/>
  <c r="AG5891" i="3"/>
  <c r="AH5891" i="3"/>
  <c r="AG5892" i="3"/>
  <c r="AH5892" i="3"/>
  <c r="AG5893" i="3"/>
  <c r="AH5893" i="3"/>
  <c r="AG5894" i="3"/>
  <c r="AH5894" i="3"/>
  <c r="AG5895" i="3"/>
  <c r="AH5895" i="3"/>
  <c r="AG5896" i="3"/>
  <c r="AH5896" i="3"/>
  <c r="AG5897" i="3"/>
  <c r="AH5897" i="3"/>
  <c r="AG5898" i="3"/>
  <c r="AH5898" i="3"/>
  <c r="AG5899" i="3"/>
  <c r="AH5899" i="3"/>
  <c r="AG5900" i="3"/>
  <c r="AH5900" i="3"/>
  <c r="AG5901" i="3"/>
  <c r="AH5901" i="3"/>
  <c r="AG5902" i="3"/>
  <c r="AH5902" i="3"/>
  <c r="AG5903" i="3"/>
  <c r="AH5903" i="3"/>
  <c r="AG5904" i="3"/>
  <c r="AH5904" i="3"/>
  <c r="AG5905" i="3"/>
  <c r="AH5905" i="3"/>
  <c r="AG5906" i="3"/>
  <c r="AH5906" i="3"/>
  <c r="AG5907" i="3"/>
  <c r="AH5907" i="3"/>
  <c r="AG5908" i="3"/>
  <c r="AH5908" i="3"/>
  <c r="AG5909" i="3"/>
  <c r="AH5909" i="3"/>
  <c r="AG5910" i="3"/>
  <c r="AH5910" i="3"/>
  <c r="AG5911" i="3"/>
  <c r="AH5911" i="3"/>
  <c r="AG5912" i="3"/>
  <c r="AH5912" i="3"/>
  <c r="AG5913" i="3"/>
  <c r="AH5913" i="3"/>
  <c r="AG5914" i="3"/>
  <c r="AH5914" i="3"/>
  <c r="AG5915" i="3"/>
  <c r="AH5915" i="3"/>
  <c r="AG5916" i="3"/>
  <c r="AH5916" i="3"/>
  <c r="AG5917" i="3"/>
  <c r="AH5917" i="3"/>
  <c r="AG5918" i="3"/>
  <c r="AH5918" i="3"/>
  <c r="AG5919" i="3"/>
  <c r="AH5919" i="3"/>
  <c r="AG5920" i="3"/>
  <c r="AH5920" i="3"/>
  <c r="AG5921" i="3"/>
  <c r="AH5921" i="3"/>
  <c r="AG5922" i="3"/>
  <c r="AH5922" i="3"/>
  <c r="AG5923" i="3"/>
  <c r="AH5923" i="3"/>
  <c r="AG5924" i="3"/>
  <c r="AH5924" i="3"/>
  <c r="AG5925" i="3"/>
  <c r="AH5925" i="3"/>
  <c r="AG5926" i="3"/>
  <c r="AH5926" i="3"/>
  <c r="AG5927" i="3"/>
  <c r="AH5927" i="3"/>
  <c r="AG5928" i="3"/>
  <c r="AH5928" i="3"/>
  <c r="AG5929" i="3"/>
  <c r="AH5929" i="3"/>
  <c r="AG5930" i="3"/>
  <c r="AH5930" i="3"/>
  <c r="AG5931" i="3"/>
  <c r="AH5931" i="3"/>
  <c r="AG5932" i="3"/>
  <c r="AH5932" i="3"/>
  <c r="AG5933" i="3"/>
  <c r="AH5933" i="3"/>
  <c r="AG5934" i="3"/>
  <c r="AH5934" i="3"/>
  <c r="AG5935" i="3"/>
  <c r="AH5935" i="3"/>
  <c r="AG5936" i="3"/>
  <c r="AH5936" i="3"/>
  <c r="AG5937" i="3"/>
  <c r="AH5937" i="3"/>
  <c r="AG5938" i="3"/>
  <c r="AH5938" i="3"/>
  <c r="AG5939" i="3"/>
  <c r="AH5939" i="3"/>
  <c r="AG5940" i="3"/>
  <c r="AH5940" i="3"/>
  <c r="AG5941" i="3"/>
  <c r="AH5941" i="3"/>
  <c r="AG5942" i="3"/>
  <c r="AH5942" i="3"/>
  <c r="AG5943" i="3"/>
  <c r="AH5943" i="3"/>
  <c r="AG5944" i="3"/>
  <c r="AH5944" i="3"/>
  <c r="AG5945" i="3"/>
  <c r="AH5945" i="3"/>
  <c r="AG5946" i="3"/>
  <c r="AH5946" i="3"/>
  <c r="AG5947" i="3"/>
  <c r="AH5947" i="3"/>
  <c r="AG5948" i="3"/>
  <c r="AH5948" i="3"/>
  <c r="AG5949" i="3"/>
  <c r="AH5949" i="3"/>
  <c r="AG5950" i="3"/>
  <c r="AH5950" i="3"/>
  <c r="AG5951" i="3"/>
  <c r="AH5951" i="3"/>
  <c r="AG5952" i="3"/>
  <c r="AH5952" i="3"/>
  <c r="AG5953" i="3"/>
  <c r="AH5953" i="3"/>
  <c r="AG5954" i="3"/>
  <c r="AH5954" i="3"/>
  <c r="AG5955" i="3"/>
  <c r="AH5955" i="3"/>
  <c r="AG5956" i="3"/>
  <c r="AH5956" i="3"/>
  <c r="AG5957" i="3"/>
  <c r="AH5957" i="3"/>
  <c r="AG5958" i="3"/>
  <c r="AH5958" i="3"/>
  <c r="AG5959" i="3"/>
  <c r="AH5959" i="3"/>
  <c r="AG5960" i="3"/>
  <c r="AH5960" i="3"/>
  <c r="AG5961" i="3"/>
  <c r="AH5961" i="3"/>
  <c r="AG5962" i="3"/>
  <c r="AH5962" i="3"/>
  <c r="AG5963" i="3"/>
  <c r="AH5963" i="3"/>
  <c r="AG5964" i="3"/>
  <c r="AH5964" i="3"/>
  <c r="AG5965" i="3"/>
  <c r="AH5965" i="3"/>
  <c r="AG5966" i="3"/>
  <c r="AH5966" i="3"/>
  <c r="AG5967" i="3"/>
  <c r="AH5967" i="3"/>
  <c r="AG5968" i="3"/>
  <c r="AH5968" i="3"/>
  <c r="AG5969" i="3"/>
  <c r="AH5969" i="3"/>
  <c r="AG5970" i="3"/>
  <c r="AH5970" i="3"/>
  <c r="AG5971" i="3"/>
  <c r="AH5971" i="3"/>
  <c r="AG5972" i="3"/>
  <c r="AH5972" i="3"/>
  <c r="AG5973" i="3"/>
  <c r="AH5973" i="3"/>
  <c r="AG5974" i="3"/>
  <c r="AH5974" i="3"/>
  <c r="AG5975" i="3"/>
  <c r="AH5975" i="3"/>
  <c r="AG5976" i="3"/>
  <c r="AH5976" i="3"/>
  <c r="AG5977" i="3"/>
  <c r="AH5977" i="3"/>
  <c r="AG5978" i="3"/>
  <c r="AH5978" i="3"/>
  <c r="AG5979" i="3"/>
  <c r="AH5979" i="3"/>
  <c r="AG5980" i="3"/>
  <c r="AH5980" i="3"/>
  <c r="AG5981" i="3"/>
  <c r="AH5981" i="3"/>
  <c r="AG5982" i="3"/>
  <c r="AH5982" i="3"/>
  <c r="AG5983" i="3"/>
  <c r="AH5983" i="3"/>
  <c r="AG5984" i="3"/>
  <c r="AH5984" i="3"/>
  <c r="AG5985" i="3"/>
  <c r="AH5985" i="3"/>
  <c r="AG5986" i="3"/>
  <c r="AH5986" i="3"/>
  <c r="AG5987" i="3"/>
  <c r="AH5987" i="3"/>
  <c r="AG5988" i="3"/>
  <c r="AH5988" i="3"/>
  <c r="AG5989" i="3"/>
  <c r="AH5989" i="3"/>
  <c r="AG5990" i="3"/>
  <c r="AH5990" i="3"/>
  <c r="AG5991" i="3"/>
  <c r="AH5991" i="3"/>
  <c r="AG5992" i="3"/>
  <c r="AH5992" i="3"/>
  <c r="AG5993" i="3"/>
  <c r="AH5993" i="3"/>
  <c r="AG5994" i="3"/>
  <c r="AH5994" i="3"/>
  <c r="AG5995" i="3"/>
  <c r="AH5995" i="3"/>
  <c r="AG5996" i="3"/>
  <c r="AH5996" i="3"/>
  <c r="AG5997" i="3"/>
  <c r="AH5997" i="3"/>
  <c r="AG5998" i="3"/>
  <c r="AH5998" i="3"/>
  <c r="AG5999" i="3"/>
  <c r="AH5999" i="3"/>
  <c r="AG6000" i="3"/>
  <c r="AH6000" i="3"/>
  <c r="AG6001" i="3"/>
  <c r="AH6001" i="3"/>
  <c r="AG6002" i="3"/>
  <c r="AH6002" i="3"/>
  <c r="AG6003" i="3"/>
  <c r="AH6003" i="3"/>
  <c r="AG6004" i="3"/>
  <c r="AH6004" i="3"/>
  <c r="AG6005" i="3"/>
  <c r="AH6005" i="3"/>
  <c r="AG6006" i="3"/>
  <c r="AH6006" i="3"/>
  <c r="AG6007" i="3"/>
  <c r="AH6007" i="3"/>
  <c r="AG6008" i="3"/>
  <c r="AH6008" i="3"/>
  <c r="AG6009" i="3"/>
  <c r="AH6009" i="3"/>
  <c r="AG6010" i="3"/>
  <c r="AH6010" i="3"/>
  <c r="AG6011" i="3"/>
  <c r="AH6011" i="3"/>
  <c r="AG6012" i="3"/>
  <c r="AH6012" i="3"/>
  <c r="AG6013" i="3"/>
  <c r="AH6013" i="3"/>
  <c r="AG6014" i="3"/>
  <c r="AH6014" i="3"/>
  <c r="AG6015" i="3"/>
  <c r="AH6015" i="3"/>
  <c r="AG6016" i="3"/>
  <c r="AH6016" i="3"/>
  <c r="AG6017" i="3"/>
  <c r="AH6017" i="3"/>
  <c r="AG6018" i="3"/>
  <c r="AH6018" i="3"/>
  <c r="AG6019" i="3"/>
  <c r="AH6019" i="3"/>
  <c r="AG6020" i="3"/>
  <c r="AH6020" i="3"/>
  <c r="AG6021" i="3"/>
  <c r="AH6021" i="3"/>
  <c r="AG6022" i="3"/>
  <c r="AH6022" i="3"/>
  <c r="AG6023" i="3"/>
  <c r="AH6023" i="3"/>
  <c r="AG6024" i="3"/>
  <c r="AH6024" i="3"/>
  <c r="AG6025" i="3"/>
  <c r="AH6025" i="3"/>
  <c r="AG6026" i="3"/>
  <c r="AH6026" i="3"/>
  <c r="AG6027" i="3"/>
  <c r="AH6027" i="3"/>
  <c r="AG6028" i="3"/>
  <c r="AH6028" i="3"/>
  <c r="AG6029" i="3"/>
  <c r="AH6029" i="3"/>
  <c r="AG6030" i="3"/>
  <c r="AH6030" i="3"/>
  <c r="AG6031" i="3"/>
  <c r="AH6031" i="3"/>
  <c r="AG6032" i="3"/>
  <c r="AH6032" i="3"/>
  <c r="AG6033" i="3"/>
  <c r="AH6033" i="3"/>
  <c r="AG6034" i="3"/>
  <c r="AH6034" i="3"/>
  <c r="AG6035" i="3"/>
  <c r="AH6035" i="3"/>
  <c r="AG6036" i="3"/>
  <c r="AH6036" i="3"/>
  <c r="AG6037" i="3"/>
  <c r="AH6037" i="3"/>
  <c r="AG6038" i="3"/>
  <c r="AH6038" i="3"/>
  <c r="AG6039" i="3"/>
  <c r="AH6039" i="3"/>
  <c r="AG6040" i="3"/>
  <c r="AH6040" i="3"/>
  <c r="AG6041" i="3"/>
  <c r="AH6041" i="3"/>
  <c r="AG6042" i="3"/>
  <c r="AH6042" i="3"/>
  <c r="AG6043" i="3"/>
  <c r="AH6043" i="3"/>
  <c r="AG6044" i="3"/>
  <c r="AH6044" i="3"/>
  <c r="AG6045" i="3"/>
  <c r="AH6045" i="3"/>
  <c r="AG6046" i="3"/>
  <c r="AH6046" i="3"/>
  <c r="AG6047" i="3"/>
  <c r="AH6047" i="3"/>
  <c r="AG6048" i="3"/>
  <c r="AH6048" i="3"/>
  <c r="AG6049" i="3"/>
  <c r="AH6049" i="3"/>
  <c r="AG6050" i="3"/>
  <c r="AH6050" i="3"/>
  <c r="AG6051" i="3"/>
  <c r="AH6051" i="3"/>
  <c r="AG6052" i="3"/>
  <c r="AH6052" i="3"/>
  <c r="AG6053" i="3"/>
  <c r="AH6053" i="3"/>
  <c r="AG6054" i="3"/>
  <c r="AH6054" i="3"/>
  <c r="AG6055" i="3"/>
  <c r="AH6055" i="3"/>
  <c r="AG6056" i="3"/>
  <c r="AH6056" i="3"/>
  <c r="AG6057" i="3"/>
  <c r="AH6057" i="3"/>
  <c r="AG6058" i="3"/>
  <c r="AH6058" i="3"/>
  <c r="AG6059" i="3"/>
  <c r="AH6059" i="3"/>
  <c r="AG6060" i="3"/>
  <c r="AH6060" i="3"/>
  <c r="AG6061" i="3"/>
  <c r="AH6061" i="3"/>
  <c r="AG6062" i="3"/>
  <c r="AH6062" i="3"/>
  <c r="AG6063" i="3"/>
  <c r="AH6063" i="3"/>
  <c r="AG6064" i="3"/>
  <c r="AH6064" i="3"/>
  <c r="AG6065" i="3"/>
  <c r="AH6065" i="3"/>
  <c r="AG6066" i="3"/>
  <c r="AH6066" i="3"/>
  <c r="AG6067" i="3"/>
  <c r="AH6067" i="3"/>
  <c r="AG6068" i="3"/>
  <c r="AH6068" i="3"/>
  <c r="AG6069" i="3"/>
  <c r="AH6069" i="3"/>
  <c r="AG6070" i="3"/>
  <c r="AH6070" i="3"/>
  <c r="AG6071" i="3"/>
  <c r="AH6071" i="3"/>
  <c r="AG6072" i="3"/>
  <c r="AH6072" i="3"/>
  <c r="AG6073" i="3"/>
  <c r="AH6073" i="3"/>
  <c r="AG6074" i="3"/>
  <c r="AH6074" i="3"/>
  <c r="AG6075" i="3"/>
  <c r="AH6075" i="3"/>
  <c r="AG6076" i="3"/>
  <c r="AH6076" i="3"/>
  <c r="AG6077" i="3"/>
  <c r="AH6077" i="3"/>
  <c r="AG6078" i="3"/>
  <c r="AH6078" i="3"/>
  <c r="AG6079" i="3"/>
  <c r="AH6079" i="3"/>
  <c r="AG6080" i="3"/>
  <c r="AH6080" i="3"/>
  <c r="AG6081" i="3"/>
  <c r="AH6081" i="3"/>
  <c r="AG6082" i="3"/>
  <c r="AH6082" i="3"/>
  <c r="AG6083" i="3"/>
  <c r="AH6083" i="3"/>
  <c r="AG6084" i="3"/>
  <c r="AH6084" i="3"/>
  <c r="AG6085" i="3"/>
  <c r="AH6085" i="3"/>
  <c r="AG6086" i="3"/>
  <c r="AH6086" i="3"/>
  <c r="AG6087" i="3"/>
  <c r="AH6087" i="3"/>
  <c r="AG6088" i="3"/>
  <c r="AH6088" i="3"/>
  <c r="AG6089" i="3"/>
  <c r="AH6089" i="3"/>
  <c r="AG6090" i="3"/>
  <c r="AH6090" i="3"/>
  <c r="AG6091" i="3"/>
  <c r="AH6091" i="3"/>
  <c r="AG6092" i="3"/>
  <c r="AH6092" i="3"/>
  <c r="AG6093" i="3"/>
  <c r="AH6093" i="3"/>
  <c r="AG6094" i="3"/>
  <c r="AH6094" i="3"/>
  <c r="AG6095" i="3"/>
  <c r="AH6095" i="3"/>
  <c r="AG6096" i="3"/>
  <c r="AH6096" i="3"/>
  <c r="AG6097" i="3"/>
  <c r="AH6097" i="3"/>
  <c r="AG6098" i="3"/>
  <c r="AH6098" i="3"/>
  <c r="AG6099" i="3"/>
  <c r="AH6099" i="3"/>
  <c r="AG6100" i="3"/>
  <c r="AH6100" i="3"/>
  <c r="AG6101" i="3"/>
  <c r="AH6101" i="3"/>
  <c r="AG6102" i="3"/>
  <c r="AH6102" i="3"/>
  <c r="AG6103" i="3"/>
  <c r="AH6103" i="3"/>
  <c r="AG6104" i="3"/>
  <c r="AH6104" i="3"/>
  <c r="AG6105" i="3"/>
  <c r="AH6105" i="3"/>
  <c r="AG6106" i="3"/>
  <c r="AH6106" i="3"/>
  <c r="AG6107" i="3"/>
  <c r="AH6107" i="3"/>
  <c r="AG6108" i="3"/>
  <c r="AH6108" i="3"/>
  <c r="AG6109" i="3"/>
  <c r="AH6109" i="3"/>
  <c r="AG6110" i="3"/>
  <c r="AH6110" i="3"/>
  <c r="AG6111" i="3"/>
  <c r="AH6111" i="3"/>
  <c r="AG6112" i="3"/>
  <c r="AH6112" i="3"/>
  <c r="AG6113" i="3"/>
  <c r="AH6113" i="3"/>
  <c r="AG6114" i="3"/>
  <c r="AH6114" i="3"/>
  <c r="AG6115" i="3"/>
  <c r="AH6115" i="3"/>
  <c r="AG6116" i="3"/>
  <c r="AH6116" i="3"/>
  <c r="AG6117" i="3"/>
  <c r="AH6117" i="3"/>
  <c r="AG6118" i="3"/>
  <c r="AH6118" i="3"/>
  <c r="AG6119" i="3"/>
  <c r="AH6119" i="3"/>
  <c r="AG6120" i="3"/>
  <c r="AH6120" i="3"/>
  <c r="AG6121" i="3"/>
  <c r="AH6121" i="3"/>
  <c r="AG6122" i="3"/>
  <c r="AH6122" i="3"/>
  <c r="AG6123" i="3"/>
  <c r="AH6123" i="3"/>
  <c r="AG6124" i="3"/>
  <c r="AH6124" i="3"/>
  <c r="AG6125" i="3"/>
  <c r="AH6125" i="3"/>
  <c r="AG6126" i="3"/>
  <c r="AH6126" i="3"/>
  <c r="AG6127" i="3"/>
  <c r="AH6127" i="3"/>
  <c r="AG6128" i="3"/>
  <c r="AH6128" i="3"/>
  <c r="AG6129" i="3"/>
  <c r="AH6129" i="3"/>
  <c r="AG6130" i="3"/>
  <c r="AH6130" i="3"/>
  <c r="AG6131" i="3"/>
  <c r="AH6131" i="3"/>
  <c r="AG6132" i="3"/>
  <c r="AH6132" i="3"/>
  <c r="AG6133" i="3"/>
  <c r="AH6133" i="3"/>
  <c r="AG6134" i="3"/>
  <c r="AH6134" i="3"/>
  <c r="AG6135" i="3"/>
  <c r="AH6135" i="3"/>
  <c r="AG6136" i="3"/>
  <c r="AH6136" i="3"/>
  <c r="AG6137" i="3"/>
  <c r="AH6137" i="3"/>
  <c r="AG6138" i="3"/>
  <c r="AH6138" i="3"/>
  <c r="AG6139" i="3"/>
  <c r="AH6139" i="3"/>
  <c r="AG6140" i="3"/>
  <c r="AH6140" i="3"/>
  <c r="AG6141" i="3"/>
  <c r="AH6141" i="3"/>
  <c r="AG6142" i="3"/>
  <c r="AH6142" i="3"/>
  <c r="AG6143" i="3"/>
  <c r="AH6143" i="3"/>
  <c r="AG6144" i="3"/>
  <c r="AH6144" i="3"/>
  <c r="AG6145" i="3"/>
  <c r="AH6145" i="3"/>
  <c r="AG6146" i="3"/>
  <c r="AH6146" i="3"/>
  <c r="AG6147" i="3"/>
  <c r="AH6147" i="3"/>
  <c r="AG6148" i="3"/>
  <c r="AH6148" i="3"/>
  <c r="AG6149" i="3"/>
  <c r="AH6149" i="3"/>
  <c r="AG6150" i="3"/>
  <c r="AH6150" i="3"/>
  <c r="AG6151" i="3"/>
  <c r="AH6151" i="3"/>
  <c r="AG6152" i="3"/>
  <c r="AH6152" i="3"/>
  <c r="AG6153" i="3"/>
  <c r="AH6153" i="3"/>
  <c r="AG6154" i="3"/>
  <c r="AH6154" i="3"/>
  <c r="AG6155" i="3"/>
  <c r="AH6155" i="3"/>
  <c r="AG6156" i="3"/>
  <c r="AH6156" i="3"/>
  <c r="AG6157" i="3"/>
  <c r="AH6157" i="3"/>
  <c r="AG6158" i="3"/>
  <c r="AH6158" i="3"/>
  <c r="AG6159" i="3"/>
  <c r="AH6159" i="3"/>
  <c r="AG6160" i="3"/>
  <c r="AH6160" i="3"/>
  <c r="AG6161" i="3"/>
  <c r="AH6161" i="3"/>
  <c r="AG6162" i="3"/>
  <c r="AH6162" i="3"/>
  <c r="AG6163" i="3"/>
  <c r="AH6163" i="3"/>
  <c r="AG6164" i="3"/>
  <c r="AH6164" i="3"/>
  <c r="AG6165" i="3"/>
  <c r="AH6165" i="3"/>
  <c r="AG6166" i="3"/>
  <c r="AH6166" i="3"/>
  <c r="AG6167" i="3"/>
  <c r="AH6167" i="3"/>
  <c r="AG6168" i="3"/>
  <c r="AH6168" i="3"/>
  <c r="AG6169" i="3"/>
  <c r="AH6169" i="3"/>
  <c r="AG6170" i="3"/>
  <c r="AH6170" i="3"/>
  <c r="AG6171" i="3"/>
  <c r="AH6171" i="3"/>
  <c r="AG6172" i="3"/>
  <c r="AH6172" i="3"/>
  <c r="AG6173" i="3"/>
  <c r="AH6173" i="3"/>
  <c r="AG6174" i="3"/>
  <c r="AH6174" i="3"/>
  <c r="AG6175" i="3"/>
  <c r="AH6175" i="3"/>
  <c r="AG6176" i="3"/>
  <c r="AH6176" i="3"/>
  <c r="AG6177" i="3"/>
  <c r="AH6177" i="3"/>
  <c r="AG6178" i="3"/>
  <c r="AH6178" i="3"/>
  <c r="AG6179" i="3"/>
  <c r="AH6179" i="3"/>
  <c r="AG6180" i="3"/>
  <c r="AH6180" i="3"/>
  <c r="AG6181" i="3"/>
  <c r="AH6181" i="3"/>
  <c r="AG6182" i="3"/>
  <c r="AH6182" i="3"/>
  <c r="AG6183" i="3"/>
  <c r="AH6183" i="3"/>
  <c r="AG6184" i="3"/>
  <c r="AH6184" i="3"/>
  <c r="AG6185" i="3"/>
  <c r="AH6185" i="3"/>
  <c r="AG6186" i="3"/>
  <c r="AH6186" i="3"/>
  <c r="AG6187" i="3"/>
  <c r="AH6187" i="3"/>
  <c r="AG6188" i="3"/>
  <c r="AH6188" i="3"/>
  <c r="AG6189" i="3"/>
  <c r="AH6189" i="3"/>
  <c r="AG6190" i="3"/>
  <c r="AH6190" i="3"/>
  <c r="AG6191" i="3"/>
  <c r="AH6191" i="3"/>
  <c r="AG6192" i="3"/>
  <c r="AH6192" i="3"/>
  <c r="AG6193" i="3"/>
  <c r="AH6193" i="3"/>
  <c r="AG6194" i="3"/>
  <c r="AH6194" i="3"/>
  <c r="AG6195" i="3"/>
  <c r="AH6195" i="3"/>
  <c r="AG6196" i="3"/>
  <c r="AH6196" i="3"/>
  <c r="AG6197" i="3"/>
  <c r="AH6197" i="3"/>
  <c r="AG6198" i="3"/>
  <c r="AH6198" i="3"/>
  <c r="AG6199" i="3"/>
  <c r="AH6199" i="3"/>
  <c r="AG6200" i="3"/>
  <c r="AH6200" i="3"/>
  <c r="AG6201" i="3"/>
  <c r="AH6201" i="3"/>
  <c r="AG6202" i="3"/>
  <c r="AH6202" i="3"/>
  <c r="AG6203" i="3"/>
  <c r="AH6203" i="3"/>
  <c r="AG6204" i="3"/>
  <c r="AH6204" i="3"/>
  <c r="AG6205" i="3"/>
  <c r="AH6205" i="3"/>
  <c r="AG6206" i="3"/>
  <c r="AH6206" i="3"/>
  <c r="AG6207" i="3"/>
  <c r="AH6207" i="3"/>
  <c r="AG6208" i="3"/>
  <c r="AH6208" i="3"/>
  <c r="AG6209" i="3"/>
  <c r="AH6209" i="3"/>
  <c r="AG6210" i="3"/>
  <c r="AH6210" i="3"/>
  <c r="AG6211" i="3"/>
  <c r="AH6211" i="3"/>
  <c r="AG6212" i="3"/>
  <c r="AH6212" i="3"/>
  <c r="AG6213" i="3"/>
  <c r="AH6213" i="3"/>
  <c r="AG6214" i="3"/>
  <c r="AH6214" i="3"/>
  <c r="AG6215" i="3"/>
  <c r="AH6215" i="3"/>
  <c r="AG6216" i="3"/>
  <c r="AH6216" i="3"/>
  <c r="AG6217" i="3"/>
  <c r="AH6217" i="3"/>
  <c r="AG6218" i="3"/>
  <c r="AH6218" i="3"/>
  <c r="AG6219" i="3"/>
  <c r="AH6219" i="3"/>
  <c r="AG6220" i="3"/>
  <c r="AH6220" i="3"/>
  <c r="AG6221" i="3"/>
  <c r="AH6221" i="3"/>
  <c r="AG6222" i="3"/>
  <c r="AH6222" i="3"/>
  <c r="AG6223" i="3"/>
  <c r="AH6223" i="3"/>
  <c r="AG6224" i="3"/>
  <c r="AH6224" i="3"/>
  <c r="AG6225" i="3"/>
  <c r="AH6225" i="3"/>
  <c r="AG6226" i="3"/>
  <c r="AH6226" i="3"/>
  <c r="AG6227" i="3"/>
  <c r="AH6227" i="3"/>
  <c r="AG6228" i="3"/>
  <c r="AH6228" i="3"/>
  <c r="AG6229" i="3"/>
  <c r="AH6229" i="3"/>
  <c r="AG6230" i="3"/>
  <c r="AH6230" i="3"/>
  <c r="AG6231" i="3"/>
  <c r="AH6231" i="3"/>
  <c r="AG6232" i="3"/>
  <c r="AH6232" i="3"/>
  <c r="AG6233" i="3"/>
  <c r="AH6233" i="3"/>
  <c r="AG6234" i="3"/>
  <c r="AH6234" i="3"/>
  <c r="AG6235" i="3"/>
  <c r="AH6235" i="3"/>
  <c r="AG6236" i="3"/>
  <c r="AH6236" i="3"/>
  <c r="AG6237" i="3"/>
  <c r="AH6237" i="3"/>
  <c r="AG6238" i="3"/>
  <c r="AH6238" i="3"/>
  <c r="AG6239" i="3"/>
  <c r="AH6239" i="3"/>
  <c r="AG6240" i="3"/>
  <c r="AH6240" i="3"/>
  <c r="AG6241" i="3"/>
  <c r="AH6241" i="3"/>
  <c r="AG6242" i="3"/>
  <c r="AH6242" i="3"/>
  <c r="AG6243" i="3"/>
  <c r="AH6243" i="3"/>
  <c r="AG6244" i="3"/>
  <c r="AH6244" i="3"/>
  <c r="AG6245" i="3"/>
  <c r="AH6245" i="3"/>
  <c r="AG6246" i="3"/>
  <c r="AH6246" i="3"/>
  <c r="AG6247" i="3"/>
  <c r="AH6247" i="3"/>
  <c r="AG6248" i="3"/>
  <c r="AH6248" i="3"/>
  <c r="AG6249" i="3"/>
  <c r="AH6249" i="3"/>
  <c r="AG6250" i="3"/>
  <c r="AH6250" i="3"/>
  <c r="AG6251" i="3"/>
  <c r="AH6251" i="3"/>
  <c r="AG6252" i="3"/>
  <c r="AH6252" i="3"/>
  <c r="AG6253" i="3"/>
  <c r="AH6253" i="3"/>
  <c r="AG6254" i="3"/>
  <c r="AH6254" i="3"/>
  <c r="AG6255" i="3"/>
  <c r="AH6255" i="3"/>
  <c r="AG6256" i="3"/>
  <c r="AH6256" i="3"/>
  <c r="AG6257" i="3"/>
  <c r="AH6257" i="3"/>
  <c r="AG6258" i="3"/>
  <c r="AH6258" i="3"/>
  <c r="AG6259" i="3"/>
  <c r="AH6259" i="3"/>
  <c r="AG6260" i="3"/>
  <c r="AH6260" i="3"/>
  <c r="AG6261" i="3"/>
  <c r="AH6261" i="3"/>
  <c r="AG6262" i="3"/>
  <c r="AH6262" i="3"/>
  <c r="AG6263" i="3"/>
  <c r="AH6263" i="3"/>
  <c r="AG6264" i="3"/>
  <c r="AH6264" i="3"/>
  <c r="AG6265" i="3"/>
  <c r="AH6265" i="3"/>
  <c r="AG6266" i="3"/>
  <c r="AH6266" i="3"/>
  <c r="AG6267" i="3"/>
  <c r="AH6267" i="3"/>
  <c r="AG6268" i="3"/>
  <c r="AH6268" i="3"/>
  <c r="AG6269" i="3"/>
  <c r="AH6269" i="3"/>
  <c r="AG6270" i="3"/>
  <c r="AH6270" i="3"/>
  <c r="AG6271" i="3"/>
  <c r="AH6271" i="3"/>
  <c r="AG6272" i="3"/>
  <c r="AH6272" i="3"/>
  <c r="AG6273" i="3"/>
  <c r="AH6273" i="3"/>
  <c r="AG6274" i="3"/>
  <c r="AH6274" i="3"/>
  <c r="AG6275" i="3"/>
  <c r="AH6275" i="3"/>
  <c r="AG6276" i="3"/>
  <c r="AH6276" i="3"/>
  <c r="AG6277" i="3"/>
  <c r="AH6277" i="3"/>
  <c r="AG6278" i="3"/>
  <c r="AH6278" i="3"/>
  <c r="AG6279" i="3"/>
  <c r="AH6279" i="3"/>
  <c r="AG6280" i="3"/>
  <c r="AH6280" i="3"/>
  <c r="AG6281" i="3"/>
  <c r="AH6281" i="3"/>
  <c r="AG6282" i="3"/>
  <c r="AH6282" i="3"/>
  <c r="AG6283" i="3"/>
  <c r="AH6283" i="3"/>
  <c r="AG6284" i="3"/>
  <c r="AH6284" i="3"/>
  <c r="AG6285" i="3"/>
  <c r="AH6285" i="3"/>
  <c r="AG6286" i="3"/>
  <c r="AH6286" i="3"/>
  <c r="AG6287" i="3"/>
  <c r="AH6287" i="3"/>
  <c r="AG6288" i="3"/>
  <c r="AH6288" i="3"/>
  <c r="AG6289" i="3"/>
  <c r="AH6289" i="3"/>
  <c r="AG6290" i="3"/>
  <c r="AH6290" i="3"/>
  <c r="AG6291" i="3"/>
  <c r="AH6291" i="3"/>
  <c r="AG6292" i="3"/>
  <c r="AH6292" i="3"/>
  <c r="AG6293" i="3"/>
  <c r="AH6293" i="3"/>
  <c r="AG6294" i="3"/>
  <c r="AH6294" i="3"/>
  <c r="AG6295" i="3"/>
  <c r="AH6295" i="3"/>
  <c r="AG6296" i="3"/>
  <c r="AH6296" i="3"/>
  <c r="AG6297" i="3"/>
  <c r="AH6297" i="3"/>
  <c r="AG6298" i="3"/>
  <c r="AH6298" i="3"/>
  <c r="AG6299" i="3"/>
  <c r="AH6299" i="3"/>
  <c r="AG6300" i="3"/>
  <c r="AH6300" i="3"/>
  <c r="AG6301" i="3"/>
  <c r="AH6301" i="3"/>
  <c r="AG6302" i="3"/>
  <c r="AH6302" i="3"/>
  <c r="AG6303" i="3"/>
  <c r="AH6303" i="3"/>
  <c r="AG6304" i="3"/>
  <c r="AH6304" i="3"/>
  <c r="AG6305" i="3"/>
  <c r="AH6305" i="3"/>
  <c r="AG6306" i="3"/>
  <c r="AH6306" i="3"/>
  <c r="AG6307" i="3"/>
  <c r="AH6307" i="3"/>
  <c r="AG6308" i="3"/>
  <c r="AH6308" i="3"/>
  <c r="AG6309" i="3"/>
  <c r="AH6309" i="3"/>
  <c r="AG6310" i="3"/>
  <c r="AH6310" i="3"/>
  <c r="AG6311" i="3"/>
  <c r="AH6311" i="3"/>
  <c r="AG6312" i="3"/>
  <c r="AH6312" i="3"/>
  <c r="AG6313" i="3"/>
  <c r="AH6313" i="3"/>
  <c r="AG6314" i="3"/>
  <c r="AH6314" i="3"/>
  <c r="AG6315" i="3"/>
  <c r="AH6315" i="3"/>
  <c r="AG6316" i="3"/>
  <c r="AH6316" i="3"/>
  <c r="AG6317" i="3"/>
  <c r="AH6317" i="3"/>
  <c r="AG6318" i="3"/>
  <c r="AH6318" i="3"/>
  <c r="AG6319" i="3"/>
  <c r="AH6319" i="3"/>
  <c r="AG6320" i="3"/>
  <c r="AH6320" i="3"/>
  <c r="AG6321" i="3"/>
  <c r="AH6321" i="3"/>
  <c r="AG6322" i="3"/>
  <c r="AH6322" i="3"/>
  <c r="AG6323" i="3"/>
  <c r="AH6323" i="3"/>
  <c r="AG6324" i="3"/>
  <c r="AH6324" i="3"/>
  <c r="AG6325" i="3"/>
  <c r="AH6325" i="3"/>
  <c r="AG6326" i="3"/>
  <c r="AH6326" i="3"/>
  <c r="AG6327" i="3"/>
  <c r="AH6327" i="3"/>
  <c r="AG6328" i="3"/>
  <c r="AH6328" i="3"/>
  <c r="AG6329" i="3"/>
  <c r="AH6329" i="3"/>
  <c r="AG6330" i="3"/>
  <c r="AH6330" i="3"/>
  <c r="AG6331" i="3"/>
  <c r="AH6331" i="3"/>
  <c r="AG6332" i="3"/>
  <c r="AH6332" i="3"/>
  <c r="AG6333" i="3"/>
  <c r="AH6333" i="3"/>
  <c r="AG6334" i="3"/>
  <c r="AH6334" i="3"/>
  <c r="AG6335" i="3"/>
  <c r="AH6335" i="3"/>
  <c r="AG6336" i="3"/>
  <c r="AH6336" i="3"/>
  <c r="AG6337" i="3"/>
  <c r="AH6337" i="3"/>
  <c r="AG6338" i="3"/>
  <c r="AH6338" i="3"/>
  <c r="AG6339" i="3"/>
  <c r="AH6339" i="3"/>
  <c r="AG6340" i="3"/>
  <c r="AH6340" i="3"/>
  <c r="AG6341" i="3"/>
  <c r="AH6341" i="3"/>
  <c r="AG6342" i="3"/>
  <c r="AH6342" i="3"/>
  <c r="AG6343" i="3"/>
  <c r="AH6343" i="3"/>
  <c r="AG6344" i="3"/>
  <c r="AH6344" i="3"/>
  <c r="AG6345" i="3"/>
  <c r="AH6345" i="3"/>
  <c r="AG6346" i="3"/>
  <c r="AH6346" i="3"/>
  <c r="AG6347" i="3"/>
  <c r="AH6347" i="3"/>
  <c r="AG6348" i="3"/>
  <c r="AH6348" i="3"/>
  <c r="AG6349" i="3"/>
  <c r="AH6349" i="3"/>
  <c r="AG6350" i="3"/>
  <c r="AH6350" i="3"/>
  <c r="AG6351" i="3"/>
  <c r="AH6351" i="3"/>
  <c r="AG6352" i="3"/>
  <c r="AH6352" i="3"/>
  <c r="AG6353" i="3"/>
  <c r="AH6353" i="3"/>
  <c r="AG6354" i="3"/>
  <c r="AH6354" i="3"/>
  <c r="AG6355" i="3"/>
  <c r="AH6355" i="3"/>
  <c r="AG6356" i="3"/>
  <c r="AH6356" i="3"/>
  <c r="AG6357" i="3"/>
  <c r="AH6357" i="3"/>
  <c r="AG6358" i="3"/>
  <c r="AH6358" i="3"/>
  <c r="AG6359" i="3"/>
  <c r="AH6359" i="3"/>
  <c r="AG6360" i="3"/>
  <c r="AH6360" i="3"/>
  <c r="AG6361" i="3"/>
  <c r="AH6361" i="3"/>
  <c r="AG6362" i="3"/>
  <c r="AH6362" i="3"/>
  <c r="AG6363" i="3"/>
  <c r="AH6363" i="3"/>
  <c r="AG6364" i="3"/>
  <c r="AH6364" i="3"/>
  <c r="AG6365" i="3"/>
  <c r="AH6365" i="3"/>
  <c r="AG6366" i="3"/>
  <c r="AH6366" i="3"/>
  <c r="AG6367" i="3"/>
  <c r="AH6367" i="3"/>
  <c r="AG6368" i="3"/>
  <c r="AH6368" i="3"/>
  <c r="AG6369" i="3"/>
  <c r="AH6369" i="3"/>
  <c r="AG6370" i="3"/>
  <c r="AH6370" i="3"/>
  <c r="AG6371" i="3"/>
  <c r="AH6371" i="3"/>
  <c r="AG6372" i="3"/>
  <c r="AH6372" i="3"/>
  <c r="AG6373" i="3"/>
  <c r="AH6373" i="3"/>
  <c r="AG6374" i="3"/>
  <c r="AH6374" i="3"/>
  <c r="AG6375" i="3"/>
  <c r="AH6375" i="3"/>
  <c r="AG6376" i="3"/>
  <c r="AH6376" i="3"/>
  <c r="AG6377" i="3"/>
  <c r="AH6377" i="3"/>
  <c r="AG6378" i="3"/>
  <c r="AH6378" i="3"/>
  <c r="AG6379" i="3"/>
  <c r="AH6379" i="3"/>
  <c r="AG6380" i="3"/>
  <c r="AH6380" i="3"/>
  <c r="AG6381" i="3"/>
  <c r="AH6381" i="3"/>
  <c r="AG6382" i="3"/>
  <c r="AH6382" i="3"/>
  <c r="AG6383" i="3"/>
  <c r="AH6383" i="3"/>
  <c r="AG6384" i="3"/>
  <c r="AH6384" i="3"/>
  <c r="AG6385" i="3"/>
  <c r="AH6385" i="3"/>
  <c r="AG6386" i="3"/>
  <c r="AH6386" i="3"/>
  <c r="AG6387" i="3"/>
  <c r="AH6387" i="3"/>
  <c r="AG6388" i="3"/>
  <c r="AH6388" i="3"/>
  <c r="AG6389" i="3"/>
  <c r="AH6389" i="3"/>
  <c r="AG6390" i="3"/>
  <c r="AH6390" i="3"/>
  <c r="AG6391" i="3"/>
  <c r="AH6391" i="3"/>
  <c r="AG6392" i="3"/>
  <c r="AH6392" i="3"/>
  <c r="AG6393" i="3"/>
  <c r="AH6393" i="3"/>
  <c r="AG6394" i="3"/>
  <c r="AH6394" i="3"/>
  <c r="AG6395" i="3"/>
  <c r="AH6395" i="3"/>
  <c r="AG6396" i="3"/>
  <c r="AH6396" i="3"/>
  <c r="AG6397" i="3"/>
  <c r="AH6397" i="3"/>
  <c r="AG6398" i="3"/>
  <c r="AH6398" i="3"/>
  <c r="AG6399" i="3"/>
  <c r="AH6399" i="3"/>
  <c r="AG6400" i="3"/>
  <c r="AH6400" i="3"/>
  <c r="AG6401" i="3"/>
  <c r="AH6401" i="3"/>
  <c r="AG6402" i="3"/>
  <c r="AH6402" i="3"/>
  <c r="AG6403" i="3"/>
  <c r="AH6403" i="3"/>
  <c r="AG6404" i="3"/>
  <c r="AH6404" i="3"/>
  <c r="AG6405" i="3"/>
  <c r="AH6405" i="3"/>
  <c r="AG6406" i="3"/>
  <c r="AH6406" i="3"/>
  <c r="AG6407" i="3"/>
  <c r="AH6407" i="3"/>
  <c r="AG6408" i="3"/>
  <c r="AH6408" i="3"/>
  <c r="AG6409" i="3"/>
  <c r="AH6409" i="3"/>
  <c r="AG6410" i="3"/>
  <c r="AH6410" i="3"/>
  <c r="AG6411" i="3"/>
  <c r="AH6411" i="3"/>
  <c r="AG6412" i="3"/>
  <c r="AH6412" i="3"/>
  <c r="AG6413" i="3"/>
  <c r="AH6413" i="3"/>
  <c r="AG6414" i="3"/>
  <c r="AH6414" i="3"/>
  <c r="AG6415" i="3"/>
  <c r="AH6415" i="3"/>
  <c r="AG6416" i="3"/>
  <c r="AH6416" i="3"/>
  <c r="AG6417" i="3"/>
  <c r="AH6417" i="3"/>
  <c r="AG6418" i="3"/>
  <c r="AH6418" i="3"/>
  <c r="AG6419" i="3"/>
  <c r="AH6419" i="3"/>
  <c r="AG6420" i="3"/>
  <c r="AH6420" i="3"/>
  <c r="AG6421" i="3"/>
  <c r="AH6421" i="3"/>
  <c r="AG6422" i="3"/>
  <c r="AH6422" i="3"/>
  <c r="AG6423" i="3"/>
  <c r="AH6423" i="3"/>
  <c r="AG6424" i="3"/>
  <c r="AH6424" i="3"/>
  <c r="AG6425" i="3"/>
  <c r="AH6425" i="3"/>
  <c r="AG6426" i="3"/>
  <c r="AH6426" i="3"/>
  <c r="AG6427" i="3"/>
  <c r="AH6427" i="3"/>
  <c r="AG6428" i="3"/>
  <c r="AH6428" i="3"/>
  <c r="AG6429" i="3"/>
  <c r="AH6429" i="3"/>
  <c r="AG6430" i="3"/>
  <c r="AH6430" i="3"/>
  <c r="AG6431" i="3"/>
  <c r="AH6431" i="3"/>
  <c r="AG6432" i="3"/>
  <c r="AH6432" i="3"/>
  <c r="AG6433" i="3"/>
  <c r="AH6433" i="3"/>
  <c r="AG6434" i="3"/>
  <c r="AH6434" i="3"/>
  <c r="AG6435" i="3"/>
  <c r="AH6435" i="3"/>
  <c r="AG6436" i="3"/>
  <c r="AH6436" i="3"/>
  <c r="AG6437" i="3"/>
  <c r="AH6437" i="3"/>
  <c r="AG6438" i="3"/>
  <c r="AH6438" i="3"/>
  <c r="AG6439" i="3"/>
  <c r="AH6439" i="3"/>
  <c r="AG6440" i="3"/>
  <c r="AH6440" i="3"/>
  <c r="AG6441" i="3"/>
  <c r="AH6441" i="3"/>
  <c r="AG6442" i="3"/>
  <c r="AH6442" i="3"/>
  <c r="AG6443" i="3"/>
  <c r="AH6443" i="3"/>
  <c r="AG6444" i="3"/>
  <c r="AH6444" i="3"/>
  <c r="AG6445" i="3"/>
  <c r="AH6445" i="3"/>
  <c r="AG6446" i="3"/>
  <c r="AH6446" i="3"/>
  <c r="AG6447" i="3"/>
  <c r="AH6447" i="3"/>
  <c r="AG6448" i="3"/>
  <c r="AH6448" i="3"/>
  <c r="AG6449" i="3"/>
  <c r="AH6449" i="3"/>
  <c r="AG6450" i="3"/>
  <c r="AH6450" i="3"/>
  <c r="AG6451" i="3"/>
  <c r="AH6451" i="3"/>
  <c r="AG6452" i="3"/>
  <c r="AH6452" i="3"/>
  <c r="AG6453" i="3"/>
  <c r="AH6453" i="3"/>
  <c r="AG6454" i="3"/>
  <c r="AH6454" i="3"/>
  <c r="AG6455" i="3"/>
  <c r="AH6455" i="3"/>
  <c r="AG6456" i="3"/>
  <c r="AH6456" i="3"/>
  <c r="AG6457" i="3"/>
  <c r="AH6457" i="3"/>
  <c r="AG6458" i="3"/>
  <c r="AH6458" i="3"/>
  <c r="AG6459" i="3"/>
  <c r="AH6459" i="3"/>
  <c r="AG6460" i="3"/>
  <c r="AH6460" i="3"/>
  <c r="AG6461" i="3"/>
  <c r="AH6461" i="3"/>
  <c r="AG6462" i="3"/>
  <c r="AH6462" i="3"/>
  <c r="AG6463" i="3"/>
  <c r="AH6463" i="3"/>
  <c r="AG6464" i="3"/>
  <c r="AH6464" i="3"/>
  <c r="AG6465" i="3"/>
  <c r="AH6465" i="3"/>
  <c r="AG6466" i="3"/>
  <c r="AH6466" i="3"/>
  <c r="AG6467" i="3"/>
  <c r="AH6467" i="3"/>
  <c r="AG6468" i="3"/>
  <c r="AH6468" i="3"/>
  <c r="AG6469" i="3"/>
  <c r="AH6469" i="3"/>
  <c r="AG6470" i="3"/>
  <c r="AH6470" i="3"/>
  <c r="AG6471" i="3"/>
  <c r="AH6471" i="3"/>
  <c r="AG6472" i="3"/>
  <c r="AH6472" i="3"/>
  <c r="AG6473" i="3"/>
  <c r="AH6473" i="3"/>
  <c r="AG6474" i="3"/>
  <c r="AH6474" i="3"/>
  <c r="AG6475" i="3"/>
  <c r="AH6475" i="3"/>
  <c r="AG6476" i="3"/>
  <c r="AH6476" i="3"/>
  <c r="AG6477" i="3"/>
  <c r="AH6477" i="3"/>
  <c r="AG6478" i="3"/>
  <c r="AH6478" i="3"/>
  <c r="AG6479" i="3"/>
  <c r="AH6479" i="3"/>
  <c r="AG6480" i="3"/>
  <c r="AH6480" i="3"/>
  <c r="AG6481" i="3"/>
  <c r="AH6481" i="3"/>
  <c r="AG6482" i="3"/>
  <c r="AH6482" i="3"/>
  <c r="AG6483" i="3"/>
  <c r="AH6483" i="3"/>
  <c r="AG6484" i="3"/>
  <c r="AH6484" i="3"/>
  <c r="AG6485" i="3"/>
  <c r="AH6485" i="3"/>
  <c r="AG6486" i="3"/>
  <c r="AH6486" i="3"/>
  <c r="AG6487" i="3"/>
  <c r="AH6487" i="3"/>
  <c r="AG6488" i="3"/>
  <c r="AH6488" i="3"/>
  <c r="AG6489" i="3"/>
  <c r="AH6489" i="3"/>
  <c r="AG6490" i="3"/>
  <c r="AH6490" i="3"/>
  <c r="AG6491" i="3"/>
  <c r="AH6491" i="3"/>
  <c r="AG6492" i="3"/>
  <c r="AH6492" i="3"/>
  <c r="AG6493" i="3"/>
  <c r="AH6493" i="3"/>
  <c r="AG6494" i="3"/>
  <c r="AH6494" i="3"/>
  <c r="AG6495" i="3"/>
  <c r="AH6495" i="3"/>
  <c r="AG6496" i="3"/>
  <c r="AH6496" i="3"/>
  <c r="AG6497" i="3"/>
  <c r="AH6497" i="3"/>
  <c r="AG6498" i="3"/>
  <c r="AH6498" i="3"/>
  <c r="AG6499" i="3"/>
  <c r="AH6499" i="3"/>
  <c r="AG6500" i="3"/>
  <c r="AH6500" i="3"/>
  <c r="AG6501" i="3"/>
  <c r="AH6501" i="3"/>
  <c r="AG6502" i="3"/>
  <c r="AH6502" i="3"/>
  <c r="AG6503" i="3"/>
  <c r="AH6503" i="3"/>
  <c r="AG6504" i="3"/>
  <c r="AH6504" i="3"/>
  <c r="AG6505" i="3"/>
  <c r="AH6505" i="3"/>
  <c r="AG6506" i="3"/>
  <c r="AH6506" i="3"/>
  <c r="AG6507" i="3"/>
  <c r="AH6507" i="3"/>
  <c r="AG6508" i="3"/>
  <c r="AH6508" i="3"/>
  <c r="AG6509" i="3"/>
  <c r="AH6509" i="3"/>
  <c r="AG6510" i="3"/>
  <c r="AH6510" i="3"/>
  <c r="AG6511" i="3"/>
  <c r="AH6511" i="3"/>
  <c r="AG6512" i="3"/>
  <c r="AH6512" i="3"/>
  <c r="AG6513" i="3"/>
  <c r="AH6513" i="3"/>
  <c r="AG6514" i="3"/>
  <c r="AH6514" i="3"/>
  <c r="AG6515" i="3"/>
  <c r="AH6515" i="3"/>
  <c r="AG6516" i="3"/>
  <c r="AH6516" i="3"/>
  <c r="AG6517" i="3"/>
  <c r="AH6517" i="3"/>
  <c r="AG6518" i="3"/>
  <c r="AH6518" i="3"/>
  <c r="AG6519" i="3"/>
  <c r="AH6519" i="3"/>
  <c r="AG6520" i="3"/>
  <c r="AH6520" i="3"/>
  <c r="AG6521" i="3"/>
  <c r="AH6521" i="3"/>
  <c r="AG6522" i="3"/>
  <c r="AH6522" i="3"/>
  <c r="AG6523" i="3"/>
  <c r="AH6523" i="3"/>
  <c r="AG6524" i="3"/>
  <c r="AH6524" i="3"/>
  <c r="AG6525" i="3"/>
  <c r="AH6525" i="3"/>
  <c r="AG6526" i="3"/>
  <c r="AH6526" i="3"/>
  <c r="AG6527" i="3"/>
  <c r="AH6527" i="3"/>
  <c r="AG6528" i="3"/>
  <c r="AH6528" i="3"/>
  <c r="AG6529" i="3"/>
  <c r="AH6529" i="3"/>
  <c r="AG6530" i="3"/>
  <c r="AH6530" i="3"/>
  <c r="AG6531" i="3"/>
  <c r="AH6531" i="3"/>
  <c r="AG6532" i="3"/>
  <c r="AH6532" i="3"/>
  <c r="AG6533" i="3"/>
  <c r="AH6533" i="3"/>
  <c r="AG6534" i="3"/>
  <c r="AH6534" i="3"/>
  <c r="AG6535" i="3"/>
  <c r="AH6535" i="3"/>
  <c r="AG6536" i="3"/>
  <c r="AH6536" i="3"/>
  <c r="AG6537" i="3"/>
  <c r="AH6537" i="3"/>
  <c r="AG6538" i="3"/>
  <c r="AH6538" i="3"/>
  <c r="AG6539" i="3"/>
  <c r="AH6539" i="3"/>
  <c r="AG6540" i="3"/>
  <c r="AH6540" i="3"/>
  <c r="AG6541" i="3"/>
  <c r="AH6541" i="3"/>
  <c r="AG6542" i="3"/>
  <c r="AH6542" i="3"/>
  <c r="AG6543" i="3"/>
  <c r="AH6543" i="3"/>
  <c r="AG6544" i="3"/>
  <c r="AH6544" i="3"/>
  <c r="AG6545" i="3"/>
  <c r="AH6545" i="3"/>
  <c r="AG6546" i="3"/>
  <c r="AH6546" i="3"/>
  <c r="AG6547" i="3"/>
  <c r="AH6547" i="3"/>
  <c r="AG6548" i="3"/>
  <c r="AH6548" i="3"/>
  <c r="AG6549" i="3"/>
  <c r="AH6549" i="3"/>
  <c r="AG6550" i="3"/>
  <c r="AH6550" i="3"/>
  <c r="AG6551" i="3"/>
  <c r="AH6551" i="3"/>
  <c r="AG6552" i="3"/>
  <c r="AH6552" i="3"/>
  <c r="AG6553" i="3"/>
  <c r="AH6553" i="3"/>
  <c r="AG6554" i="3"/>
  <c r="AH6554" i="3"/>
  <c r="AG6555" i="3"/>
  <c r="AH6555" i="3"/>
  <c r="AG6556" i="3"/>
  <c r="AH6556" i="3"/>
  <c r="AG6557" i="3"/>
  <c r="AH6557" i="3"/>
  <c r="AG6558" i="3"/>
  <c r="AH6558" i="3"/>
  <c r="AG6559" i="3"/>
  <c r="AH6559" i="3"/>
  <c r="AG6560" i="3"/>
  <c r="AH6560" i="3"/>
  <c r="AG6561" i="3"/>
  <c r="AH6561" i="3"/>
  <c r="AG6562" i="3"/>
  <c r="AH6562" i="3"/>
  <c r="AG6563" i="3"/>
  <c r="AH6563" i="3"/>
  <c r="AG6564" i="3"/>
  <c r="AH6564" i="3"/>
  <c r="AG6565" i="3"/>
  <c r="AH6565" i="3"/>
  <c r="AG6566" i="3"/>
  <c r="AH6566" i="3"/>
  <c r="AG6567" i="3"/>
  <c r="AH6567" i="3"/>
  <c r="AG6568" i="3"/>
  <c r="AH6568" i="3"/>
  <c r="AG6569" i="3"/>
  <c r="AH6569" i="3"/>
  <c r="AG6570" i="3"/>
  <c r="AH6570" i="3"/>
  <c r="AG6571" i="3"/>
  <c r="AH6571" i="3"/>
  <c r="AG6572" i="3"/>
  <c r="AH6572" i="3"/>
  <c r="AG6573" i="3"/>
  <c r="AH6573" i="3"/>
  <c r="AG6574" i="3"/>
  <c r="AH6574" i="3"/>
  <c r="AG6575" i="3"/>
  <c r="AH6575" i="3"/>
  <c r="AG6576" i="3"/>
  <c r="AH6576" i="3"/>
  <c r="AG6577" i="3"/>
  <c r="AH6577" i="3"/>
  <c r="AG6578" i="3"/>
  <c r="AH6578" i="3"/>
  <c r="AG6579" i="3"/>
  <c r="AH6579" i="3"/>
  <c r="AG6580" i="3"/>
  <c r="AH6580" i="3"/>
  <c r="AG6581" i="3"/>
  <c r="AH6581" i="3"/>
  <c r="AG6582" i="3"/>
  <c r="AH6582" i="3"/>
  <c r="AG6583" i="3"/>
  <c r="AH6583" i="3"/>
  <c r="AG6584" i="3"/>
  <c r="AH6584" i="3"/>
  <c r="AG6585" i="3"/>
  <c r="AH6585" i="3"/>
  <c r="AG6586" i="3"/>
  <c r="AH6586" i="3"/>
  <c r="AG6587" i="3"/>
  <c r="AH6587" i="3"/>
  <c r="AG6588" i="3"/>
  <c r="AH6588" i="3"/>
  <c r="AG6589" i="3"/>
  <c r="AH6589" i="3"/>
  <c r="AG6590" i="3"/>
  <c r="AH6590" i="3"/>
  <c r="AG6591" i="3"/>
  <c r="AH6591" i="3"/>
  <c r="AG6592" i="3"/>
  <c r="AH6592" i="3"/>
  <c r="AG6593" i="3"/>
  <c r="AH6593" i="3"/>
  <c r="AG6594" i="3"/>
  <c r="AH6594" i="3"/>
  <c r="AG6595" i="3"/>
  <c r="AH6595" i="3"/>
  <c r="AG6596" i="3"/>
  <c r="AH6596" i="3"/>
  <c r="AG6597" i="3"/>
  <c r="AH6597" i="3"/>
  <c r="AG6598" i="3"/>
  <c r="AH6598" i="3"/>
  <c r="AG6599" i="3"/>
  <c r="AH6599" i="3"/>
  <c r="AG6600" i="3"/>
  <c r="AH6600" i="3"/>
  <c r="AG6601" i="3"/>
  <c r="AH6601" i="3"/>
  <c r="AG6602" i="3"/>
  <c r="AH6602" i="3"/>
  <c r="AG6603" i="3"/>
  <c r="AH6603" i="3"/>
  <c r="AG6604" i="3"/>
  <c r="AH6604" i="3"/>
  <c r="AG6605" i="3"/>
  <c r="AH6605" i="3"/>
  <c r="AG6606" i="3"/>
  <c r="AH6606" i="3"/>
  <c r="AG6607" i="3"/>
  <c r="AH6607" i="3"/>
  <c r="AG6608" i="3"/>
  <c r="AH6608" i="3"/>
  <c r="AG6609" i="3"/>
  <c r="AH6609" i="3"/>
  <c r="AG6610" i="3"/>
  <c r="AH6610" i="3"/>
  <c r="AG6611" i="3"/>
  <c r="AH6611" i="3"/>
  <c r="AG6612" i="3"/>
  <c r="AH6612" i="3"/>
  <c r="AG6613" i="3"/>
  <c r="AH6613" i="3"/>
  <c r="AG6614" i="3"/>
  <c r="AH6614" i="3"/>
  <c r="AG6615" i="3"/>
  <c r="AH6615" i="3"/>
  <c r="AG6616" i="3"/>
  <c r="AH6616" i="3"/>
  <c r="AG6617" i="3"/>
  <c r="AH6617" i="3"/>
  <c r="AG6618" i="3"/>
  <c r="AH6618" i="3"/>
  <c r="AG6619" i="3"/>
  <c r="AH6619" i="3"/>
  <c r="AG6620" i="3"/>
  <c r="AH6620" i="3"/>
  <c r="AG6621" i="3"/>
  <c r="AH6621" i="3"/>
  <c r="AG6622" i="3"/>
  <c r="AH6622" i="3"/>
  <c r="AG6623" i="3"/>
  <c r="AH6623" i="3"/>
  <c r="AG6624" i="3"/>
  <c r="AH6624" i="3"/>
  <c r="AG6625" i="3"/>
  <c r="AH6625" i="3"/>
  <c r="AG6626" i="3"/>
  <c r="AH6626" i="3"/>
  <c r="AG6627" i="3"/>
  <c r="AH6627" i="3"/>
  <c r="AG6628" i="3"/>
  <c r="AH6628" i="3"/>
  <c r="AG6629" i="3"/>
  <c r="AH6629" i="3"/>
  <c r="AG6630" i="3"/>
  <c r="AH6630" i="3"/>
  <c r="AG6631" i="3"/>
  <c r="AH6631" i="3"/>
  <c r="AG6632" i="3"/>
  <c r="AH6632" i="3"/>
  <c r="AG6633" i="3"/>
  <c r="AH6633" i="3"/>
  <c r="AG6634" i="3"/>
  <c r="AH6634" i="3"/>
  <c r="AG6635" i="3"/>
  <c r="AH6635" i="3"/>
  <c r="AG6636" i="3"/>
  <c r="AH6636" i="3"/>
  <c r="AG6637" i="3"/>
  <c r="AH6637" i="3"/>
  <c r="AG6638" i="3"/>
  <c r="AH6638" i="3"/>
  <c r="AG6639" i="3"/>
  <c r="AH6639" i="3"/>
  <c r="AG6640" i="3"/>
  <c r="AH6640" i="3"/>
  <c r="AG6641" i="3"/>
  <c r="AH6641" i="3"/>
  <c r="AG6642" i="3"/>
  <c r="AH6642" i="3"/>
  <c r="AG6643" i="3"/>
  <c r="AH6643" i="3"/>
  <c r="AG6644" i="3"/>
  <c r="AH6644" i="3"/>
  <c r="AG6645" i="3"/>
  <c r="AH6645" i="3"/>
  <c r="AG6646" i="3"/>
  <c r="AH6646" i="3"/>
  <c r="AG6647" i="3"/>
  <c r="AH6647" i="3"/>
  <c r="AG6648" i="3"/>
  <c r="AH6648" i="3"/>
  <c r="AG6649" i="3"/>
  <c r="AH6649" i="3"/>
  <c r="AG6650" i="3"/>
  <c r="AH6650" i="3"/>
  <c r="AG6651" i="3"/>
  <c r="AH6651" i="3"/>
  <c r="AG6652" i="3"/>
  <c r="AH6652" i="3"/>
  <c r="AG6653" i="3"/>
  <c r="AH6653" i="3"/>
  <c r="AG6654" i="3"/>
  <c r="AH6654" i="3"/>
  <c r="AG6655" i="3"/>
  <c r="AH6655" i="3"/>
  <c r="AG6656" i="3"/>
  <c r="AH6656" i="3"/>
  <c r="AG6657" i="3"/>
  <c r="AH6657" i="3"/>
  <c r="AG6658" i="3"/>
  <c r="AH6658" i="3"/>
  <c r="AG6659" i="3"/>
  <c r="AH6659" i="3"/>
  <c r="AG6660" i="3"/>
  <c r="AH6660" i="3"/>
  <c r="AG6661" i="3"/>
  <c r="AH6661" i="3"/>
  <c r="AG6662" i="3"/>
  <c r="AH6662" i="3"/>
  <c r="AG6663" i="3"/>
  <c r="AH6663" i="3"/>
  <c r="AG6664" i="3"/>
  <c r="AH6664" i="3"/>
  <c r="AG6665" i="3"/>
  <c r="AH6665" i="3"/>
  <c r="AG6666" i="3"/>
  <c r="AH6666" i="3"/>
  <c r="AG6667" i="3"/>
  <c r="AH6667" i="3"/>
  <c r="AG6668" i="3"/>
  <c r="AH6668" i="3"/>
  <c r="AG6669" i="3"/>
  <c r="AH6669" i="3"/>
  <c r="AG6670" i="3"/>
  <c r="AH6670" i="3"/>
  <c r="AG6671" i="3"/>
  <c r="AH6671" i="3"/>
  <c r="AG6672" i="3"/>
  <c r="AH6672" i="3"/>
  <c r="AG6673" i="3"/>
  <c r="AH6673" i="3"/>
  <c r="AG6674" i="3"/>
  <c r="AH6674" i="3"/>
  <c r="AG6675" i="3"/>
  <c r="AH6675" i="3"/>
  <c r="AG6676" i="3"/>
  <c r="AH6676" i="3"/>
  <c r="AG6677" i="3"/>
  <c r="AH6677" i="3"/>
  <c r="AG6678" i="3"/>
  <c r="AH6678" i="3"/>
  <c r="AG6679" i="3"/>
  <c r="AH6679" i="3"/>
  <c r="AG6680" i="3"/>
  <c r="AH6680" i="3"/>
  <c r="AG6681" i="3"/>
  <c r="AH6681" i="3"/>
  <c r="AG6682" i="3"/>
  <c r="AH6682" i="3"/>
  <c r="AG6683" i="3"/>
  <c r="AH6683" i="3"/>
  <c r="AG6684" i="3"/>
  <c r="AH6684" i="3"/>
  <c r="AG6685" i="3"/>
  <c r="AH6685" i="3"/>
  <c r="AG6686" i="3"/>
  <c r="AH6686" i="3"/>
  <c r="AG6687" i="3"/>
  <c r="AH6687" i="3"/>
  <c r="AG6688" i="3"/>
  <c r="AH6688" i="3"/>
  <c r="AG6689" i="3"/>
  <c r="AH6689" i="3"/>
  <c r="AG6690" i="3"/>
  <c r="AH6690" i="3"/>
  <c r="AG6691" i="3"/>
  <c r="AH6691" i="3"/>
  <c r="AG6692" i="3"/>
  <c r="AH6692" i="3"/>
  <c r="AG6693" i="3"/>
  <c r="AH6693" i="3"/>
  <c r="AG6694" i="3"/>
  <c r="AH6694" i="3"/>
  <c r="AG6695" i="3"/>
  <c r="AH6695" i="3"/>
  <c r="AG6696" i="3"/>
  <c r="AH6696" i="3"/>
  <c r="AG6697" i="3"/>
  <c r="AH6697" i="3"/>
  <c r="AG6698" i="3"/>
  <c r="AH6698" i="3"/>
  <c r="AG6699" i="3"/>
  <c r="AH6699" i="3"/>
  <c r="AG6700" i="3"/>
  <c r="AH6700" i="3"/>
  <c r="AG6701" i="3"/>
  <c r="AH6701" i="3"/>
  <c r="AG6702" i="3"/>
  <c r="AH6702" i="3"/>
  <c r="AG6703" i="3"/>
  <c r="AH6703" i="3"/>
  <c r="AG6704" i="3"/>
  <c r="AH6704" i="3"/>
  <c r="AG6705" i="3"/>
  <c r="AH6705" i="3"/>
  <c r="AG6706" i="3"/>
  <c r="AH6706" i="3"/>
  <c r="AG6707" i="3"/>
  <c r="AH6707" i="3"/>
  <c r="AG6708" i="3"/>
  <c r="AH6708" i="3"/>
  <c r="AG6709" i="3"/>
  <c r="AH6709" i="3"/>
  <c r="AG6710" i="3"/>
  <c r="AH6710" i="3"/>
  <c r="AG6711" i="3"/>
  <c r="AH6711" i="3"/>
  <c r="AG6712" i="3"/>
  <c r="AH6712" i="3"/>
  <c r="AG6713" i="3"/>
  <c r="AH6713" i="3"/>
  <c r="AG6714" i="3"/>
  <c r="AH6714" i="3"/>
  <c r="AG6715" i="3"/>
  <c r="AH6715" i="3"/>
  <c r="AG6716" i="3"/>
  <c r="AH6716" i="3"/>
  <c r="AG6717" i="3"/>
  <c r="AH6717" i="3"/>
  <c r="AG6718" i="3"/>
  <c r="AH6718" i="3"/>
  <c r="AG6719" i="3"/>
  <c r="AH6719" i="3"/>
  <c r="AG6720" i="3"/>
  <c r="AH6720" i="3"/>
  <c r="AG6721" i="3"/>
  <c r="AH6721" i="3"/>
  <c r="AG6722" i="3"/>
  <c r="AH6722" i="3"/>
  <c r="AG6723" i="3"/>
  <c r="AH6723" i="3"/>
  <c r="AG6724" i="3"/>
  <c r="AH6724" i="3"/>
  <c r="AG6725" i="3"/>
  <c r="AH6725" i="3"/>
  <c r="AG6726" i="3"/>
  <c r="AH6726" i="3"/>
  <c r="AG6727" i="3"/>
  <c r="AH6727" i="3"/>
  <c r="AG6728" i="3"/>
  <c r="AH6728" i="3"/>
  <c r="AG6729" i="3"/>
  <c r="AH6729" i="3"/>
  <c r="AG6730" i="3"/>
  <c r="AH6730" i="3"/>
  <c r="AG6731" i="3"/>
  <c r="AH6731" i="3"/>
  <c r="AG6732" i="3"/>
  <c r="AH6732" i="3"/>
  <c r="AG6733" i="3"/>
  <c r="AH6733" i="3"/>
  <c r="AG6734" i="3"/>
  <c r="AH6734" i="3"/>
  <c r="AG6735" i="3"/>
  <c r="AH6735" i="3"/>
  <c r="AG6736" i="3"/>
  <c r="AH6736" i="3"/>
  <c r="AG6737" i="3"/>
  <c r="AH6737" i="3"/>
  <c r="AG6738" i="3"/>
  <c r="AH6738" i="3"/>
  <c r="AG6739" i="3"/>
  <c r="AH6739" i="3"/>
  <c r="AG6740" i="3"/>
  <c r="AH6740" i="3"/>
  <c r="AG6741" i="3"/>
  <c r="AH6741" i="3"/>
  <c r="AG6742" i="3"/>
  <c r="AH6742" i="3"/>
  <c r="AG6743" i="3"/>
  <c r="AH6743" i="3"/>
  <c r="AG6744" i="3"/>
  <c r="AH6744" i="3"/>
  <c r="AG6745" i="3"/>
  <c r="AH6745" i="3"/>
  <c r="AG6746" i="3"/>
  <c r="AH6746" i="3"/>
  <c r="AG6747" i="3"/>
  <c r="AH6747" i="3"/>
  <c r="AG6748" i="3"/>
  <c r="AH6748" i="3"/>
  <c r="AG6749" i="3"/>
  <c r="AH6749" i="3"/>
  <c r="AG6750" i="3"/>
  <c r="AH6750" i="3"/>
  <c r="AG6751" i="3"/>
  <c r="AH6751" i="3"/>
  <c r="AG6752" i="3"/>
  <c r="AH6752" i="3"/>
  <c r="AG6753" i="3"/>
  <c r="AH6753" i="3"/>
  <c r="AG6754" i="3"/>
  <c r="AH6754" i="3"/>
  <c r="AG6755" i="3"/>
  <c r="AH6755" i="3"/>
  <c r="AG6756" i="3"/>
  <c r="AH6756" i="3"/>
  <c r="AG6757" i="3"/>
  <c r="AH6757" i="3"/>
  <c r="AG6758" i="3"/>
  <c r="AH6758" i="3"/>
  <c r="AG6759" i="3"/>
  <c r="AH6759" i="3"/>
  <c r="AG6760" i="3"/>
  <c r="AH6760" i="3"/>
  <c r="AG6761" i="3"/>
  <c r="AH6761" i="3"/>
  <c r="AG6762" i="3"/>
  <c r="AH6762" i="3"/>
  <c r="AG6763" i="3"/>
  <c r="AH6763" i="3"/>
  <c r="AG6764" i="3"/>
  <c r="AH6764" i="3"/>
  <c r="AG6765" i="3"/>
  <c r="AH6765" i="3"/>
  <c r="AG6766" i="3"/>
  <c r="AH6766" i="3"/>
  <c r="AG6767" i="3"/>
  <c r="AH6767" i="3"/>
  <c r="AG6768" i="3"/>
  <c r="AH6768" i="3"/>
  <c r="AG6769" i="3"/>
  <c r="AH6769" i="3"/>
  <c r="AG6770" i="3"/>
  <c r="AH6770" i="3"/>
  <c r="AG6771" i="3"/>
  <c r="AH6771" i="3"/>
  <c r="AG6772" i="3"/>
  <c r="AH6772" i="3"/>
  <c r="AG6773" i="3"/>
  <c r="AH6773" i="3"/>
  <c r="AG6774" i="3"/>
  <c r="AH6774" i="3"/>
  <c r="AG6775" i="3"/>
  <c r="AH6775" i="3"/>
  <c r="AG6776" i="3"/>
  <c r="AH6776" i="3"/>
  <c r="AG6777" i="3"/>
  <c r="AH6777" i="3"/>
  <c r="AG6778" i="3"/>
  <c r="AH6778" i="3"/>
  <c r="AG6779" i="3"/>
  <c r="AH6779" i="3"/>
  <c r="AG6780" i="3"/>
  <c r="AH6780" i="3"/>
  <c r="AG6781" i="3"/>
  <c r="AH6781" i="3"/>
  <c r="AG6782" i="3"/>
  <c r="AH6782" i="3"/>
  <c r="AG6783" i="3"/>
  <c r="AH6783" i="3"/>
  <c r="AG6784" i="3"/>
  <c r="AH6784" i="3"/>
  <c r="AG6785" i="3"/>
  <c r="AH6785" i="3"/>
  <c r="AG6786" i="3"/>
  <c r="AH6786" i="3"/>
  <c r="AG6787" i="3"/>
  <c r="AH6787" i="3"/>
  <c r="AG6788" i="3"/>
  <c r="AH6788" i="3"/>
  <c r="AG6789" i="3"/>
  <c r="AH6789" i="3"/>
  <c r="AG6790" i="3"/>
  <c r="AH6790" i="3"/>
  <c r="AG6791" i="3"/>
  <c r="AH6791" i="3"/>
  <c r="AG6792" i="3"/>
  <c r="AH6792" i="3"/>
  <c r="AG6793" i="3"/>
  <c r="AH6793" i="3"/>
  <c r="AG6794" i="3"/>
  <c r="AH6794" i="3"/>
  <c r="AG6795" i="3"/>
  <c r="AH6795" i="3"/>
  <c r="AG6796" i="3"/>
  <c r="AH6796" i="3"/>
  <c r="AG6797" i="3"/>
  <c r="AH6797" i="3"/>
  <c r="AG6798" i="3"/>
  <c r="AH6798" i="3"/>
  <c r="AG6799" i="3"/>
  <c r="AH6799" i="3"/>
  <c r="AG6800" i="3"/>
  <c r="AH6800" i="3"/>
  <c r="AG6801" i="3"/>
  <c r="AH6801" i="3"/>
  <c r="AG6802" i="3"/>
  <c r="AH6802" i="3"/>
  <c r="AG6803" i="3"/>
  <c r="AH6803" i="3"/>
  <c r="AG6804" i="3"/>
  <c r="AH6804" i="3"/>
  <c r="AG6805" i="3"/>
  <c r="AH6805" i="3"/>
  <c r="AG6806" i="3"/>
  <c r="AH6806" i="3"/>
  <c r="AG6807" i="3"/>
  <c r="AH6807" i="3"/>
  <c r="AG6808" i="3"/>
  <c r="AH6808" i="3"/>
  <c r="AG6809" i="3"/>
  <c r="AH6809" i="3"/>
  <c r="AG6810" i="3"/>
  <c r="AH6810" i="3"/>
  <c r="AG6811" i="3"/>
  <c r="AH6811" i="3"/>
  <c r="AG6812" i="3"/>
  <c r="AH6812" i="3"/>
  <c r="AG6813" i="3"/>
  <c r="AH6813" i="3"/>
  <c r="AG6814" i="3"/>
  <c r="AH6814" i="3"/>
  <c r="AG6815" i="3"/>
  <c r="AH6815" i="3"/>
  <c r="AG6816" i="3"/>
  <c r="AH6816" i="3"/>
  <c r="AG6817" i="3"/>
  <c r="AH6817" i="3"/>
  <c r="AG6818" i="3"/>
  <c r="AH6818" i="3"/>
  <c r="AG6819" i="3"/>
  <c r="AH6819" i="3"/>
  <c r="AG6820" i="3"/>
  <c r="AH6820" i="3"/>
  <c r="AG6821" i="3"/>
  <c r="AH6821" i="3"/>
  <c r="AG6822" i="3"/>
  <c r="AH6822" i="3"/>
  <c r="AG6823" i="3"/>
  <c r="AH6823" i="3"/>
  <c r="AG6824" i="3"/>
  <c r="AH6824" i="3"/>
  <c r="AG6825" i="3"/>
  <c r="AH6825" i="3"/>
  <c r="AG6826" i="3"/>
  <c r="AH6826" i="3"/>
  <c r="AG6827" i="3"/>
  <c r="AH6827" i="3"/>
  <c r="AG6828" i="3"/>
  <c r="AH6828" i="3"/>
  <c r="AG6829" i="3"/>
  <c r="AH6829" i="3"/>
  <c r="AG6830" i="3"/>
  <c r="AH6830" i="3"/>
  <c r="AG6831" i="3"/>
  <c r="AH6831" i="3"/>
  <c r="AG6832" i="3"/>
  <c r="AH6832" i="3"/>
  <c r="AG6833" i="3"/>
  <c r="AH6833" i="3"/>
  <c r="AG6834" i="3"/>
  <c r="AH6834" i="3"/>
  <c r="AG6835" i="3"/>
  <c r="AH6835" i="3"/>
  <c r="AG6836" i="3"/>
  <c r="AH6836" i="3"/>
  <c r="AG6837" i="3"/>
  <c r="AH6837" i="3"/>
  <c r="AG6838" i="3"/>
  <c r="AH6838" i="3"/>
  <c r="AG6839" i="3"/>
  <c r="AH6839" i="3"/>
  <c r="AG6840" i="3"/>
  <c r="AH6840" i="3"/>
  <c r="AG6841" i="3"/>
  <c r="AH6841" i="3"/>
  <c r="AG6842" i="3"/>
  <c r="AH6842" i="3"/>
  <c r="AG6843" i="3"/>
  <c r="AH6843" i="3"/>
  <c r="AG6844" i="3"/>
  <c r="AH6844" i="3"/>
  <c r="AG6845" i="3"/>
  <c r="AH6845" i="3"/>
  <c r="AG6846" i="3"/>
  <c r="AH6846" i="3"/>
  <c r="AG6847" i="3"/>
  <c r="AH6847" i="3"/>
  <c r="AG6848" i="3"/>
  <c r="AH6848" i="3"/>
  <c r="AG6849" i="3"/>
  <c r="AH6849" i="3"/>
  <c r="AG6850" i="3"/>
  <c r="AH6850" i="3"/>
  <c r="AG6851" i="3"/>
  <c r="AH6851" i="3"/>
  <c r="AG6852" i="3"/>
  <c r="AH6852" i="3"/>
  <c r="AG6853" i="3"/>
  <c r="AH6853" i="3"/>
  <c r="AG6854" i="3"/>
  <c r="AH6854" i="3"/>
  <c r="AG6855" i="3"/>
  <c r="AH6855" i="3"/>
  <c r="AG6856" i="3"/>
  <c r="AH6856" i="3"/>
  <c r="AG6857" i="3"/>
  <c r="AH6857" i="3"/>
  <c r="AG6858" i="3"/>
  <c r="AH6858" i="3"/>
  <c r="AG6859" i="3"/>
  <c r="AH6859" i="3"/>
  <c r="AG6860" i="3"/>
  <c r="AH6860" i="3"/>
  <c r="AG6861" i="3"/>
  <c r="AH6861" i="3"/>
  <c r="AG6862" i="3"/>
  <c r="AH6862" i="3"/>
  <c r="AG6863" i="3"/>
  <c r="AH6863" i="3"/>
  <c r="AG6864" i="3"/>
  <c r="AH6864" i="3"/>
  <c r="AG6865" i="3"/>
  <c r="AH6865" i="3"/>
  <c r="AG6866" i="3"/>
  <c r="AH6866" i="3"/>
  <c r="AG6867" i="3"/>
  <c r="AH6867" i="3"/>
  <c r="AG6868" i="3"/>
  <c r="AH6868" i="3"/>
  <c r="AG6869" i="3"/>
  <c r="AH6869" i="3"/>
  <c r="AG6870" i="3"/>
  <c r="AH6870" i="3"/>
  <c r="AG6871" i="3"/>
  <c r="AH6871" i="3"/>
  <c r="AG6872" i="3"/>
  <c r="AH6872" i="3"/>
  <c r="AG6873" i="3"/>
  <c r="AH6873" i="3"/>
  <c r="AG6874" i="3"/>
  <c r="AH6874" i="3"/>
  <c r="AG6875" i="3"/>
  <c r="AH6875" i="3"/>
  <c r="AG6876" i="3"/>
  <c r="AH6876" i="3"/>
  <c r="AG6877" i="3"/>
  <c r="AH6877" i="3"/>
  <c r="AG6878" i="3"/>
  <c r="AH6878" i="3"/>
  <c r="AG6879" i="3"/>
  <c r="AH6879" i="3"/>
  <c r="AG6880" i="3"/>
  <c r="AH6880" i="3"/>
  <c r="AG6881" i="3"/>
  <c r="AH6881" i="3"/>
  <c r="AG6882" i="3"/>
  <c r="AH6882" i="3"/>
  <c r="AG6883" i="3"/>
  <c r="AH6883" i="3"/>
  <c r="AG6884" i="3"/>
  <c r="AH6884" i="3"/>
  <c r="AG6885" i="3"/>
  <c r="AH6885" i="3"/>
  <c r="AG6886" i="3"/>
  <c r="AH6886" i="3"/>
  <c r="AG6887" i="3"/>
  <c r="AH6887" i="3"/>
  <c r="AG6888" i="3"/>
  <c r="AH6888" i="3"/>
  <c r="AG6889" i="3"/>
  <c r="AH6889" i="3"/>
  <c r="AG6890" i="3"/>
  <c r="AH6890" i="3"/>
  <c r="AG6891" i="3"/>
  <c r="AH6891" i="3"/>
  <c r="AG6892" i="3"/>
  <c r="AH6892" i="3"/>
  <c r="AG6893" i="3"/>
  <c r="AH6893" i="3"/>
  <c r="AG6894" i="3"/>
  <c r="AH6894" i="3"/>
  <c r="AG6895" i="3"/>
  <c r="AH6895" i="3"/>
  <c r="AG6896" i="3"/>
  <c r="AH6896" i="3"/>
  <c r="AG6897" i="3"/>
  <c r="AH6897" i="3"/>
  <c r="AG6898" i="3"/>
  <c r="AH6898" i="3"/>
  <c r="AG6899" i="3"/>
  <c r="AH6899" i="3"/>
  <c r="AG6900" i="3"/>
  <c r="AH6900" i="3"/>
  <c r="AG6901" i="3"/>
  <c r="AH6901" i="3"/>
  <c r="AG6902" i="3"/>
  <c r="AH6902" i="3"/>
  <c r="AG6903" i="3"/>
  <c r="AH6903" i="3"/>
  <c r="AG6904" i="3"/>
  <c r="AH6904" i="3"/>
  <c r="AG6905" i="3"/>
  <c r="AH6905" i="3"/>
  <c r="AG6906" i="3"/>
  <c r="AH6906" i="3"/>
  <c r="AG6907" i="3"/>
  <c r="AH6907" i="3"/>
  <c r="AG6908" i="3"/>
  <c r="AH6908" i="3"/>
  <c r="AG6909" i="3"/>
  <c r="AH6909" i="3"/>
  <c r="AG6910" i="3"/>
  <c r="AH6910" i="3"/>
  <c r="AG6911" i="3"/>
  <c r="AH6911" i="3"/>
  <c r="AG6912" i="3"/>
  <c r="AH6912" i="3"/>
  <c r="AG6913" i="3"/>
  <c r="AH6913" i="3"/>
  <c r="AG6914" i="3"/>
  <c r="AH6914" i="3"/>
  <c r="AG6915" i="3"/>
  <c r="AH6915" i="3"/>
  <c r="AG6916" i="3"/>
  <c r="AH6916" i="3"/>
  <c r="AG6917" i="3"/>
  <c r="AH6917" i="3"/>
  <c r="AG6918" i="3"/>
  <c r="AH6918" i="3"/>
  <c r="AG6919" i="3"/>
  <c r="AH6919" i="3"/>
  <c r="AG6920" i="3"/>
  <c r="AH6920" i="3"/>
  <c r="AG6921" i="3"/>
  <c r="AH6921" i="3"/>
  <c r="AG6922" i="3"/>
  <c r="AH6922" i="3"/>
  <c r="AG6923" i="3"/>
  <c r="AH6923" i="3"/>
  <c r="AG6924" i="3"/>
  <c r="AH6924" i="3"/>
  <c r="AG6925" i="3"/>
  <c r="AH6925" i="3"/>
  <c r="AG6926" i="3"/>
  <c r="AH6926" i="3"/>
  <c r="AG6927" i="3"/>
  <c r="AH6927" i="3"/>
  <c r="AG6928" i="3"/>
  <c r="AH6928" i="3"/>
  <c r="AG6929" i="3"/>
  <c r="AH6929" i="3"/>
  <c r="AG6930" i="3"/>
  <c r="AH6930" i="3"/>
  <c r="AG6931" i="3"/>
  <c r="AH6931" i="3"/>
  <c r="AG6932" i="3"/>
  <c r="AH6932" i="3"/>
  <c r="AG6933" i="3"/>
  <c r="AH6933" i="3"/>
  <c r="AG6934" i="3"/>
  <c r="AH6934" i="3"/>
  <c r="AG6935" i="3"/>
  <c r="AH6935" i="3"/>
  <c r="AG6936" i="3"/>
  <c r="AH6936" i="3"/>
  <c r="AG6937" i="3"/>
  <c r="AH6937" i="3"/>
  <c r="AG6938" i="3"/>
  <c r="AH6938" i="3"/>
  <c r="AG6939" i="3"/>
  <c r="AH6939" i="3"/>
  <c r="AG6940" i="3"/>
  <c r="AH6940" i="3"/>
  <c r="AG6941" i="3"/>
  <c r="AH6941" i="3"/>
  <c r="AG6942" i="3"/>
  <c r="AH6942" i="3"/>
  <c r="AG6943" i="3"/>
  <c r="AH6943" i="3"/>
  <c r="AG6944" i="3"/>
  <c r="AH6944" i="3"/>
  <c r="AG6945" i="3"/>
  <c r="AH6945" i="3"/>
  <c r="AG6946" i="3"/>
  <c r="AH6946" i="3"/>
  <c r="AG6947" i="3"/>
  <c r="AH6947" i="3"/>
  <c r="AG6948" i="3"/>
  <c r="AH6948" i="3"/>
  <c r="AG6949" i="3"/>
  <c r="AH6949" i="3"/>
  <c r="AG6950" i="3"/>
  <c r="AH6950" i="3"/>
  <c r="AG6951" i="3"/>
  <c r="AH6951" i="3"/>
  <c r="AG6952" i="3"/>
  <c r="AH6952" i="3"/>
  <c r="AG6953" i="3"/>
  <c r="AH6953" i="3"/>
  <c r="AG6954" i="3"/>
  <c r="AH6954" i="3"/>
  <c r="AG6955" i="3"/>
  <c r="AH6955" i="3"/>
  <c r="AG6956" i="3"/>
  <c r="AH6956" i="3"/>
  <c r="AG6957" i="3"/>
  <c r="AH6957" i="3"/>
  <c r="AG6958" i="3"/>
  <c r="AH6958" i="3"/>
  <c r="AG6959" i="3"/>
  <c r="AH6959" i="3"/>
  <c r="AG6960" i="3"/>
  <c r="AH6960" i="3"/>
  <c r="AG6961" i="3"/>
  <c r="AH6961" i="3"/>
  <c r="AG6962" i="3"/>
  <c r="AH6962" i="3"/>
  <c r="AG6963" i="3"/>
  <c r="AH6963" i="3"/>
  <c r="AG6964" i="3"/>
  <c r="AH6964" i="3"/>
  <c r="AG6965" i="3"/>
  <c r="AH6965" i="3"/>
  <c r="AG6966" i="3"/>
  <c r="AH6966" i="3"/>
  <c r="AG6967" i="3"/>
  <c r="AH6967" i="3"/>
  <c r="AG6968" i="3"/>
  <c r="AH6968" i="3"/>
  <c r="AG6969" i="3"/>
  <c r="AH6969" i="3"/>
  <c r="AG6970" i="3"/>
  <c r="AH6970" i="3"/>
  <c r="AG6971" i="3"/>
  <c r="AH6971" i="3"/>
  <c r="AG6972" i="3"/>
  <c r="AH6972" i="3"/>
  <c r="AG6973" i="3"/>
  <c r="AH6973" i="3"/>
  <c r="AG6974" i="3"/>
  <c r="AH6974" i="3"/>
  <c r="AG6975" i="3"/>
  <c r="AH6975" i="3"/>
  <c r="AG6976" i="3"/>
  <c r="AH6976" i="3"/>
  <c r="AG6977" i="3"/>
  <c r="AH6977" i="3"/>
  <c r="AG6978" i="3"/>
  <c r="AH6978" i="3"/>
  <c r="AG6979" i="3"/>
  <c r="AH6979" i="3"/>
  <c r="AG6980" i="3"/>
  <c r="AH6980" i="3"/>
  <c r="AG6981" i="3"/>
  <c r="AH6981" i="3"/>
  <c r="AG6982" i="3"/>
  <c r="AH6982" i="3"/>
  <c r="AG6983" i="3"/>
  <c r="AH6983" i="3"/>
  <c r="AG6984" i="3"/>
  <c r="AH6984" i="3"/>
  <c r="AG6985" i="3"/>
  <c r="AH6985" i="3"/>
  <c r="AG6986" i="3"/>
  <c r="AH6986" i="3"/>
  <c r="AG6987" i="3"/>
  <c r="AH6987" i="3"/>
  <c r="AG6988" i="3"/>
  <c r="AH6988" i="3"/>
  <c r="AG6989" i="3"/>
  <c r="AH6989" i="3"/>
  <c r="AG6990" i="3"/>
  <c r="AH6990" i="3"/>
  <c r="AG6991" i="3"/>
  <c r="AH6991" i="3"/>
  <c r="AG6992" i="3"/>
  <c r="AH6992" i="3"/>
  <c r="AG6993" i="3"/>
  <c r="AH6993" i="3"/>
  <c r="AG6994" i="3"/>
  <c r="AH6994" i="3"/>
  <c r="AG6995" i="3"/>
  <c r="AH6995" i="3"/>
  <c r="AG6996" i="3"/>
  <c r="AH6996" i="3"/>
  <c r="AG6997" i="3"/>
  <c r="AH6997" i="3"/>
  <c r="AG6998" i="3"/>
  <c r="AH6998" i="3"/>
  <c r="AG6999" i="3"/>
  <c r="AH6999" i="3"/>
  <c r="AG7000" i="3"/>
  <c r="AH7000" i="3"/>
  <c r="AG7001" i="3"/>
  <c r="AH7001" i="3"/>
  <c r="AG7002" i="3"/>
  <c r="AH7002" i="3"/>
  <c r="AG7003" i="3"/>
  <c r="AH7003" i="3"/>
  <c r="AG7004" i="3"/>
  <c r="AH7004" i="3"/>
  <c r="AG7005" i="3"/>
  <c r="AH7005" i="3"/>
  <c r="AG7006" i="3"/>
  <c r="AH7006" i="3"/>
  <c r="AG7007" i="3"/>
  <c r="AH7007" i="3"/>
  <c r="AG7008" i="3"/>
  <c r="AH7008" i="3"/>
  <c r="AG7009" i="3"/>
  <c r="AH7009" i="3"/>
  <c r="AG7010" i="3"/>
  <c r="AH7010" i="3"/>
  <c r="AG7011" i="3"/>
  <c r="AH7011" i="3"/>
  <c r="AG7012" i="3"/>
  <c r="AH7012" i="3"/>
  <c r="AG7013" i="3"/>
  <c r="AH7013" i="3"/>
  <c r="AG7014" i="3"/>
  <c r="AH7014" i="3"/>
  <c r="AG7015" i="3"/>
  <c r="AH7015" i="3"/>
  <c r="AG7016" i="3"/>
  <c r="AH7016" i="3"/>
  <c r="AG7017" i="3"/>
  <c r="AH7017" i="3"/>
  <c r="AG7018" i="3"/>
  <c r="AH7018" i="3"/>
  <c r="AG7019" i="3"/>
  <c r="AH7019" i="3"/>
  <c r="AG7020" i="3"/>
  <c r="AH7020" i="3"/>
  <c r="AG7021" i="3"/>
  <c r="AH7021" i="3"/>
  <c r="AG7022" i="3"/>
  <c r="AH7022" i="3"/>
  <c r="AG7023" i="3"/>
  <c r="AH7023" i="3"/>
  <c r="AG7024" i="3"/>
  <c r="AH7024" i="3"/>
  <c r="AG7025" i="3"/>
  <c r="AH7025" i="3"/>
  <c r="AG7026" i="3"/>
  <c r="AH7026" i="3"/>
  <c r="AG7027" i="3"/>
  <c r="AH7027" i="3"/>
  <c r="AG7028" i="3"/>
  <c r="AH7028" i="3"/>
  <c r="AG7029" i="3"/>
  <c r="AH7029" i="3"/>
  <c r="AG7030" i="3"/>
  <c r="AH7030" i="3"/>
  <c r="AG7031" i="3"/>
  <c r="AH7031" i="3"/>
  <c r="AG7032" i="3"/>
  <c r="AH7032" i="3"/>
  <c r="AG7033" i="3"/>
  <c r="AH7033" i="3"/>
  <c r="AG7034" i="3"/>
  <c r="AH7034" i="3"/>
  <c r="AG7035" i="3"/>
  <c r="AH7035" i="3"/>
  <c r="AG7036" i="3"/>
  <c r="AH7036" i="3"/>
  <c r="AG7037" i="3"/>
  <c r="AH7037" i="3"/>
  <c r="AG7038" i="3"/>
  <c r="AH7038" i="3"/>
  <c r="AG7039" i="3"/>
  <c r="AH7039" i="3"/>
  <c r="AG7040" i="3"/>
  <c r="AH7040" i="3"/>
  <c r="AG7041" i="3"/>
  <c r="AH7041" i="3"/>
  <c r="AG7042" i="3"/>
  <c r="AH7042" i="3"/>
  <c r="AG7043" i="3"/>
  <c r="AH7043" i="3"/>
  <c r="AG7044" i="3"/>
  <c r="AH7044" i="3"/>
  <c r="AG7045" i="3"/>
  <c r="AH7045" i="3"/>
  <c r="AG7046" i="3"/>
  <c r="AH7046" i="3"/>
  <c r="AG7047" i="3"/>
  <c r="AH7047" i="3"/>
  <c r="AG7048" i="3"/>
  <c r="AH7048" i="3"/>
  <c r="AG7049" i="3"/>
  <c r="AH7049" i="3"/>
  <c r="AG7050" i="3"/>
  <c r="AH7050" i="3"/>
  <c r="AG7051" i="3"/>
  <c r="AH7051" i="3"/>
  <c r="AG7052" i="3"/>
  <c r="AH7052" i="3"/>
  <c r="AG7053" i="3"/>
  <c r="AH7053" i="3"/>
  <c r="AG7054" i="3"/>
  <c r="AH7054" i="3"/>
  <c r="AG7055" i="3"/>
  <c r="AH7055" i="3"/>
  <c r="AG7056" i="3"/>
  <c r="AH7056" i="3"/>
  <c r="AG7057" i="3"/>
  <c r="AH7057" i="3"/>
  <c r="AG7058" i="3"/>
  <c r="AH7058" i="3"/>
  <c r="AG7059" i="3"/>
  <c r="AH7059" i="3"/>
  <c r="AG7060" i="3"/>
  <c r="AH7060" i="3"/>
  <c r="AG7061" i="3"/>
  <c r="AH7061" i="3"/>
  <c r="AG7062" i="3"/>
  <c r="AH7062" i="3"/>
  <c r="AG7063" i="3"/>
  <c r="AH7063" i="3"/>
  <c r="AG7064" i="3"/>
  <c r="AH7064" i="3"/>
  <c r="AG7065" i="3"/>
  <c r="AH7065" i="3"/>
  <c r="AG7066" i="3"/>
  <c r="AH7066" i="3"/>
  <c r="AG7067" i="3"/>
  <c r="AH7067" i="3"/>
  <c r="AG7068" i="3"/>
  <c r="AH7068" i="3"/>
  <c r="AG7069" i="3"/>
  <c r="AH7069" i="3"/>
  <c r="AG7070" i="3"/>
  <c r="AH7070" i="3"/>
  <c r="AG7071" i="3"/>
  <c r="AH7071" i="3"/>
  <c r="AG7072" i="3"/>
  <c r="AH7072" i="3"/>
  <c r="AG7073" i="3"/>
  <c r="AH7073" i="3"/>
  <c r="AG7074" i="3"/>
  <c r="AH7074" i="3"/>
  <c r="AG7075" i="3"/>
  <c r="AH7075" i="3"/>
  <c r="AG7076" i="3"/>
  <c r="AH7076" i="3"/>
  <c r="AG7077" i="3"/>
  <c r="AH7077" i="3"/>
  <c r="AG7078" i="3"/>
  <c r="AH7078" i="3"/>
  <c r="AG7079" i="3"/>
  <c r="AH7079" i="3"/>
  <c r="AG7080" i="3"/>
  <c r="AH7080" i="3"/>
  <c r="AG7081" i="3"/>
  <c r="AH7081" i="3"/>
  <c r="AG7082" i="3"/>
  <c r="AH7082" i="3"/>
  <c r="AG7083" i="3"/>
  <c r="AH7083" i="3"/>
  <c r="AG7084" i="3"/>
  <c r="AH7084" i="3"/>
  <c r="AG7085" i="3"/>
  <c r="AH7085" i="3"/>
  <c r="AG7086" i="3"/>
  <c r="AH7086" i="3"/>
  <c r="AG7087" i="3"/>
  <c r="AH7087" i="3"/>
  <c r="AG7088" i="3"/>
  <c r="AH7088" i="3"/>
  <c r="AG7089" i="3"/>
  <c r="AH7089" i="3"/>
  <c r="AG7090" i="3"/>
  <c r="AH7090" i="3"/>
  <c r="AG7091" i="3"/>
  <c r="AH7091" i="3"/>
  <c r="AG7092" i="3"/>
  <c r="AH7092" i="3"/>
  <c r="AG7093" i="3"/>
  <c r="AH7093" i="3"/>
  <c r="AG7094" i="3"/>
  <c r="AH7094" i="3"/>
  <c r="AG7095" i="3"/>
  <c r="AH7095" i="3"/>
  <c r="AG7096" i="3"/>
  <c r="AH7096" i="3"/>
  <c r="AG7097" i="3"/>
  <c r="AH7097" i="3"/>
  <c r="AG7098" i="3"/>
  <c r="AH7098" i="3"/>
  <c r="AG7099" i="3"/>
  <c r="AH7099" i="3"/>
  <c r="AG7100" i="3"/>
  <c r="AH7100" i="3"/>
  <c r="AG7101" i="3"/>
  <c r="AH7101" i="3"/>
  <c r="AG7102" i="3"/>
  <c r="AH7102" i="3"/>
  <c r="AG7103" i="3"/>
  <c r="AH7103" i="3"/>
  <c r="AG7104" i="3"/>
  <c r="AH7104" i="3"/>
  <c r="AG7105" i="3"/>
  <c r="AH7105" i="3"/>
  <c r="AG7106" i="3"/>
  <c r="AH7106" i="3"/>
  <c r="AG7107" i="3"/>
  <c r="AH7107" i="3"/>
  <c r="AG7108" i="3"/>
  <c r="AH7108" i="3"/>
  <c r="AG7109" i="3"/>
  <c r="AH7109" i="3"/>
  <c r="AG7110" i="3"/>
  <c r="AH7110" i="3"/>
  <c r="AG7111" i="3"/>
  <c r="AH7111" i="3"/>
  <c r="AG7112" i="3"/>
  <c r="AH7112" i="3"/>
  <c r="AG7113" i="3"/>
  <c r="AH7113" i="3"/>
  <c r="AG7114" i="3"/>
  <c r="AH7114" i="3"/>
  <c r="AG7115" i="3"/>
  <c r="AH7115" i="3"/>
  <c r="AG7116" i="3"/>
  <c r="AH7116" i="3"/>
  <c r="AG7117" i="3"/>
  <c r="AH7117" i="3"/>
  <c r="AG7118" i="3"/>
  <c r="AH7118" i="3"/>
  <c r="AG7119" i="3"/>
  <c r="AH7119" i="3"/>
  <c r="AG7120" i="3"/>
  <c r="AH7120" i="3"/>
  <c r="AG7121" i="3"/>
  <c r="AH7121" i="3"/>
  <c r="AG7122" i="3"/>
  <c r="AH7122" i="3"/>
  <c r="AG7123" i="3"/>
  <c r="AH7123" i="3"/>
  <c r="AG7124" i="3"/>
  <c r="AH7124" i="3"/>
  <c r="AG7125" i="3"/>
  <c r="AH7125" i="3"/>
  <c r="AG7126" i="3"/>
  <c r="AH7126" i="3"/>
  <c r="AG7127" i="3"/>
  <c r="AH7127" i="3"/>
  <c r="AG7128" i="3"/>
  <c r="AH7128" i="3"/>
  <c r="AG7129" i="3"/>
  <c r="AH7129" i="3"/>
  <c r="AG7130" i="3"/>
  <c r="AH7130" i="3"/>
  <c r="AG7131" i="3"/>
  <c r="AH7131" i="3"/>
  <c r="AG7132" i="3"/>
  <c r="AH7132" i="3"/>
  <c r="AG7133" i="3"/>
  <c r="AH7133" i="3"/>
  <c r="AG7134" i="3"/>
  <c r="AH7134" i="3"/>
  <c r="AG7135" i="3"/>
  <c r="AH7135" i="3"/>
  <c r="AG7136" i="3"/>
  <c r="AH7136" i="3"/>
  <c r="AG7137" i="3"/>
  <c r="AH7137" i="3"/>
  <c r="AG7138" i="3"/>
  <c r="AH7138" i="3"/>
  <c r="AG7139" i="3"/>
  <c r="AH7139" i="3"/>
  <c r="AG7140" i="3"/>
  <c r="AH7140" i="3"/>
  <c r="AG7141" i="3"/>
  <c r="AH7141" i="3"/>
  <c r="AG7142" i="3"/>
  <c r="AH7142" i="3"/>
  <c r="AG7143" i="3"/>
  <c r="AH7143" i="3"/>
  <c r="AG7144" i="3"/>
  <c r="AH7144" i="3"/>
  <c r="AG7145" i="3"/>
  <c r="AH7145" i="3"/>
  <c r="AG7146" i="3"/>
  <c r="AH7146" i="3"/>
  <c r="AG7147" i="3"/>
  <c r="AH7147" i="3"/>
  <c r="AG7148" i="3"/>
  <c r="AH7148" i="3"/>
  <c r="AG7149" i="3"/>
  <c r="AH7149" i="3"/>
  <c r="AG7150" i="3"/>
  <c r="AH7150" i="3"/>
  <c r="AG7151" i="3"/>
  <c r="AH7151" i="3"/>
  <c r="AG7152" i="3"/>
  <c r="AH7152" i="3"/>
  <c r="AG7153" i="3"/>
  <c r="AH7153" i="3"/>
  <c r="AG7154" i="3"/>
  <c r="AH7154" i="3"/>
  <c r="AG7155" i="3"/>
  <c r="AH7155" i="3"/>
  <c r="AG7156" i="3"/>
  <c r="AH7156" i="3"/>
  <c r="AG7157" i="3"/>
  <c r="AH7157" i="3"/>
  <c r="AG7158" i="3"/>
  <c r="AH7158" i="3"/>
  <c r="AG7159" i="3"/>
  <c r="AH7159" i="3"/>
  <c r="AG7160" i="3"/>
  <c r="AH7160" i="3"/>
  <c r="AG7161" i="3"/>
  <c r="AH7161" i="3"/>
  <c r="AG7162" i="3"/>
  <c r="AH7162" i="3"/>
  <c r="AG7163" i="3"/>
  <c r="AH7163" i="3"/>
  <c r="AG7164" i="3"/>
  <c r="AH7164" i="3"/>
  <c r="AG7165" i="3"/>
  <c r="AH7165" i="3"/>
  <c r="AG7166" i="3"/>
  <c r="AH7166" i="3"/>
  <c r="AG7167" i="3"/>
  <c r="AH7167" i="3"/>
  <c r="AG7168" i="3"/>
  <c r="AH7168" i="3"/>
  <c r="AG7169" i="3"/>
  <c r="AH7169" i="3"/>
  <c r="AG7170" i="3"/>
  <c r="AH7170" i="3"/>
  <c r="AG7171" i="3"/>
  <c r="AH7171" i="3"/>
  <c r="AG7172" i="3"/>
  <c r="AH7172" i="3"/>
  <c r="AG7173" i="3"/>
  <c r="AH7173" i="3"/>
  <c r="AG7174" i="3"/>
  <c r="AH7174" i="3"/>
  <c r="AG7175" i="3"/>
  <c r="AH7175" i="3"/>
  <c r="AG7176" i="3"/>
  <c r="AH7176" i="3"/>
  <c r="AG7177" i="3"/>
  <c r="AH7177" i="3"/>
  <c r="AG7178" i="3"/>
  <c r="AH7178" i="3"/>
  <c r="AG7179" i="3"/>
  <c r="AH7179" i="3"/>
  <c r="AG7180" i="3"/>
  <c r="AH7180" i="3"/>
  <c r="AG7181" i="3"/>
  <c r="AH7181" i="3"/>
  <c r="AG7182" i="3"/>
  <c r="AH7182" i="3"/>
  <c r="AG7183" i="3"/>
  <c r="AH7183" i="3"/>
  <c r="AG7184" i="3"/>
  <c r="AH7184" i="3"/>
  <c r="AG7185" i="3"/>
  <c r="AH7185" i="3"/>
  <c r="AG7186" i="3"/>
  <c r="AH7186" i="3"/>
  <c r="AG7187" i="3"/>
  <c r="AH7187" i="3"/>
  <c r="AG7188" i="3"/>
  <c r="AH7188" i="3"/>
  <c r="AG7189" i="3"/>
  <c r="AH7189" i="3"/>
  <c r="AG7190" i="3"/>
  <c r="AH7190" i="3"/>
  <c r="AG7191" i="3"/>
  <c r="AH7191" i="3"/>
  <c r="AG7192" i="3"/>
  <c r="AH7192" i="3"/>
  <c r="AG7193" i="3"/>
  <c r="AH7193" i="3"/>
  <c r="AG7194" i="3"/>
  <c r="AH7194" i="3"/>
  <c r="AG7195" i="3"/>
  <c r="AH7195" i="3"/>
  <c r="AG7196" i="3"/>
  <c r="AH7196" i="3"/>
  <c r="AG7197" i="3"/>
  <c r="AH7197" i="3"/>
  <c r="AG7198" i="3"/>
  <c r="AH7198" i="3"/>
  <c r="AG7199" i="3"/>
  <c r="AH7199" i="3"/>
  <c r="AG7200" i="3"/>
  <c r="AH7200" i="3"/>
  <c r="AG7201" i="3"/>
  <c r="AH7201" i="3"/>
  <c r="AG7202" i="3"/>
  <c r="AH7202" i="3"/>
  <c r="AG7203" i="3"/>
  <c r="AH7203" i="3"/>
  <c r="AG7204" i="3"/>
  <c r="AH7204" i="3"/>
  <c r="AG7205" i="3"/>
  <c r="AH7205" i="3"/>
  <c r="AG7206" i="3"/>
  <c r="AH7206" i="3"/>
  <c r="AG7207" i="3"/>
  <c r="AH7207" i="3"/>
  <c r="AG7208" i="3"/>
  <c r="AH7208" i="3"/>
  <c r="AG7209" i="3"/>
  <c r="AH7209" i="3"/>
  <c r="AG7210" i="3"/>
  <c r="AH7210" i="3"/>
  <c r="AG7211" i="3"/>
  <c r="AH7211" i="3"/>
  <c r="AG7212" i="3"/>
  <c r="AH7212" i="3"/>
  <c r="AG7213" i="3"/>
  <c r="AH7213" i="3"/>
  <c r="AG7214" i="3"/>
  <c r="AH7214" i="3"/>
  <c r="AG7215" i="3"/>
  <c r="AH7215" i="3"/>
  <c r="AG7216" i="3"/>
  <c r="AH7216" i="3"/>
  <c r="AG7217" i="3"/>
  <c r="AH7217" i="3"/>
  <c r="AG7218" i="3"/>
  <c r="AH7218" i="3"/>
  <c r="AG7219" i="3"/>
  <c r="AH7219" i="3"/>
  <c r="AG7220" i="3"/>
  <c r="AH7220" i="3"/>
  <c r="AG7221" i="3"/>
  <c r="AH7221" i="3"/>
  <c r="AG7222" i="3"/>
  <c r="AH7222" i="3"/>
  <c r="AG7223" i="3"/>
  <c r="AH7223" i="3"/>
  <c r="AG7224" i="3"/>
  <c r="AH7224" i="3"/>
  <c r="AG7225" i="3"/>
  <c r="AH7225" i="3"/>
  <c r="AG7226" i="3"/>
  <c r="AH7226" i="3"/>
  <c r="AG7227" i="3"/>
  <c r="AH7227" i="3"/>
  <c r="AG7228" i="3"/>
  <c r="AH7228" i="3"/>
  <c r="AG7229" i="3"/>
  <c r="AH7229" i="3"/>
  <c r="AG7230" i="3"/>
  <c r="AH7230" i="3"/>
  <c r="AG7231" i="3"/>
  <c r="AH7231" i="3"/>
  <c r="AG7232" i="3"/>
  <c r="AH7232" i="3"/>
  <c r="AG7233" i="3"/>
  <c r="AH7233" i="3"/>
  <c r="AG7234" i="3"/>
  <c r="AH7234" i="3"/>
  <c r="AG7235" i="3"/>
  <c r="AH7235" i="3"/>
  <c r="AG7236" i="3"/>
  <c r="AH7236" i="3"/>
  <c r="AG7237" i="3"/>
  <c r="AH7237" i="3"/>
  <c r="AG7238" i="3"/>
  <c r="AH7238" i="3"/>
  <c r="AG7239" i="3"/>
  <c r="AH7239" i="3"/>
  <c r="AG7240" i="3"/>
  <c r="AH7240" i="3"/>
  <c r="AG7241" i="3"/>
  <c r="AH7241" i="3"/>
  <c r="AG7242" i="3"/>
  <c r="AH7242" i="3"/>
  <c r="AG7243" i="3"/>
  <c r="AH7243" i="3"/>
  <c r="AG7244" i="3"/>
  <c r="AH7244" i="3"/>
  <c r="AG7245" i="3"/>
  <c r="AH7245" i="3"/>
  <c r="AG7246" i="3"/>
  <c r="AH7246" i="3"/>
  <c r="AG7247" i="3"/>
  <c r="AH7247" i="3"/>
  <c r="AG7248" i="3"/>
  <c r="AH7248" i="3"/>
  <c r="AG7249" i="3"/>
  <c r="AH7249" i="3"/>
  <c r="AG7250" i="3"/>
  <c r="AH7250" i="3"/>
  <c r="AG7251" i="3"/>
  <c r="AH7251" i="3"/>
  <c r="AG7252" i="3"/>
  <c r="AH7252" i="3"/>
  <c r="AG7253" i="3"/>
  <c r="AH7253" i="3"/>
  <c r="AG7254" i="3"/>
  <c r="AH7254" i="3"/>
  <c r="AG7255" i="3"/>
  <c r="AH7255" i="3"/>
  <c r="AG7256" i="3"/>
  <c r="AH7256" i="3"/>
  <c r="AG7257" i="3"/>
  <c r="AH7257" i="3"/>
  <c r="AG7258" i="3"/>
  <c r="AH7258" i="3"/>
  <c r="AG7259" i="3"/>
  <c r="AH7259" i="3"/>
  <c r="AG7260" i="3"/>
  <c r="AH7260" i="3"/>
  <c r="AG7261" i="3"/>
  <c r="AH7261" i="3"/>
  <c r="AG7262" i="3"/>
  <c r="AH7262" i="3"/>
  <c r="AG7263" i="3"/>
  <c r="AH7263" i="3"/>
  <c r="AG7264" i="3"/>
  <c r="AH7264" i="3"/>
  <c r="AG7265" i="3"/>
  <c r="AH7265" i="3"/>
  <c r="AG7266" i="3"/>
  <c r="AH7266" i="3"/>
  <c r="AG7267" i="3"/>
  <c r="AH7267" i="3"/>
  <c r="AG7268" i="3"/>
  <c r="AH7268" i="3"/>
  <c r="AG7269" i="3"/>
  <c r="AH7269" i="3"/>
  <c r="AG7270" i="3"/>
  <c r="AH7270" i="3"/>
  <c r="AG7271" i="3"/>
  <c r="AH7271" i="3"/>
  <c r="AG7272" i="3"/>
  <c r="AH7272" i="3"/>
  <c r="AG7273" i="3"/>
  <c r="AH7273" i="3"/>
  <c r="AG7274" i="3"/>
  <c r="AH7274" i="3"/>
  <c r="AG7275" i="3"/>
  <c r="AH7275" i="3"/>
  <c r="AG7276" i="3"/>
  <c r="AH7276" i="3"/>
  <c r="AG7277" i="3"/>
  <c r="AH7277" i="3"/>
  <c r="AG7278" i="3"/>
  <c r="AH7278" i="3"/>
  <c r="AG7279" i="3"/>
  <c r="AH7279" i="3"/>
  <c r="AG7280" i="3"/>
  <c r="AH7280" i="3"/>
  <c r="AG7281" i="3"/>
  <c r="AH7281" i="3"/>
  <c r="AG7282" i="3"/>
  <c r="AH7282" i="3"/>
  <c r="AG7283" i="3"/>
  <c r="AH7283" i="3"/>
  <c r="AG7284" i="3"/>
  <c r="AH7284" i="3"/>
  <c r="AG7285" i="3"/>
  <c r="AH7285" i="3"/>
  <c r="AG7286" i="3"/>
  <c r="AH7286" i="3"/>
  <c r="AG7287" i="3"/>
  <c r="AH7287" i="3"/>
  <c r="AG7288" i="3"/>
  <c r="AH7288" i="3"/>
  <c r="AG7289" i="3"/>
  <c r="AH7289" i="3"/>
  <c r="AG7290" i="3"/>
  <c r="AH7290" i="3"/>
  <c r="AG7291" i="3"/>
  <c r="AH7291" i="3"/>
  <c r="AG7292" i="3"/>
  <c r="AH7292" i="3"/>
  <c r="AG7293" i="3"/>
  <c r="AH7293" i="3"/>
  <c r="AG7294" i="3"/>
  <c r="AH7294" i="3"/>
  <c r="AG7295" i="3"/>
  <c r="AH7295" i="3"/>
  <c r="AG7296" i="3"/>
  <c r="AH7296" i="3"/>
  <c r="AG7297" i="3"/>
  <c r="AH7297" i="3"/>
  <c r="AG7298" i="3"/>
  <c r="AH7298" i="3"/>
  <c r="AG7299" i="3"/>
  <c r="AH7299" i="3"/>
  <c r="AG7300" i="3"/>
  <c r="AH7300" i="3"/>
  <c r="AG7301" i="3"/>
  <c r="AH7301" i="3"/>
  <c r="AG7302" i="3"/>
  <c r="AH7302" i="3"/>
  <c r="AG7303" i="3"/>
  <c r="AH7303" i="3"/>
  <c r="AG7304" i="3"/>
  <c r="AH7304" i="3"/>
  <c r="AG7305" i="3"/>
  <c r="AH7305" i="3"/>
  <c r="AG7306" i="3"/>
  <c r="AH7306" i="3"/>
  <c r="AG7307" i="3"/>
  <c r="AH7307" i="3"/>
  <c r="AG7308" i="3"/>
  <c r="AH7308" i="3"/>
  <c r="AG7309" i="3"/>
  <c r="AH7309" i="3"/>
  <c r="AG7310" i="3"/>
  <c r="AH7310" i="3"/>
  <c r="AG7311" i="3"/>
  <c r="AH7311" i="3"/>
  <c r="AG7312" i="3"/>
  <c r="AH7312" i="3"/>
  <c r="AG7313" i="3"/>
  <c r="AH7313" i="3"/>
  <c r="AG7314" i="3"/>
  <c r="AH7314" i="3"/>
  <c r="AG7315" i="3"/>
  <c r="AH7315" i="3"/>
  <c r="AG7316" i="3"/>
  <c r="AH7316" i="3"/>
  <c r="AG7317" i="3"/>
  <c r="AH7317" i="3"/>
  <c r="AG7318" i="3"/>
  <c r="AH7318" i="3"/>
  <c r="AG7319" i="3"/>
  <c r="AH7319" i="3"/>
  <c r="AG7320" i="3"/>
  <c r="AH7320" i="3"/>
  <c r="AG7321" i="3"/>
  <c r="AH7321" i="3"/>
  <c r="AG7322" i="3"/>
  <c r="AH7322" i="3"/>
  <c r="AG7323" i="3"/>
  <c r="AH7323" i="3"/>
  <c r="AG7324" i="3"/>
  <c r="AH7324" i="3"/>
  <c r="AG7325" i="3"/>
  <c r="AH7325" i="3"/>
  <c r="AG7326" i="3"/>
  <c r="AH7326" i="3"/>
  <c r="AG7327" i="3"/>
  <c r="AH7327" i="3"/>
  <c r="AG7328" i="3"/>
  <c r="AH7328" i="3"/>
  <c r="AG7329" i="3"/>
  <c r="AH7329" i="3"/>
  <c r="AG7330" i="3"/>
  <c r="AH7330" i="3"/>
  <c r="AG7331" i="3"/>
  <c r="AH7331" i="3"/>
  <c r="AG7332" i="3"/>
  <c r="AH7332" i="3"/>
  <c r="AG7333" i="3"/>
  <c r="AH7333" i="3"/>
  <c r="AG7334" i="3"/>
  <c r="AH7334" i="3"/>
  <c r="AG7335" i="3"/>
  <c r="AH7335" i="3"/>
  <c r="AG7336" i="3"/>
  <c r="AH7336" i="3"/>
  <c r="AG7337" i="3"/>
  <c r="AH7337" i="3"/>
  <c r="AG7338" i="3"/>
  <c r="AH7338" i="3"/>
  <c r="AG7339" i="3"/>
  <c r="AH7339" i="3"/>
  <c r="AG7340" i="3"/>
  <c r="AH7340" i="3"/>
  <c r="AG7341" i="3"/>
  <c r="AH7341" i="3"/>
  <c r="AG7342" i="3"/>
  <c r="AH7342" i="3"/>
  <c r="AG7343" i="3"/>
  <c r="AH7343" i="3"/>
  <c r="AG7344" i="3"/>
  <c r="AH7344" i="3"/>
  <c r="AG7345" i="3"/>
  <c r="AH7345" i="3"/>
  <c r="AG7346" i="3"/>
  <c r="AH7346" i="3"/>
  <c r="AG7347" i="3"/>
  <c r="AH7347" i="3"/>
  <c r="AG7348" i="3"/>
  <c r="AH7348" i="3"/>
  <c r="AG7349" i="3"/>
  <c r="AH7349" i="3"/>
  <c r="AG7350" i="3"/>
  <c r="AH7350" i="3"/>
  <c r="AG7351" i="3"/>
  <c r="AH7351" i="3"/>
  <c r="AG7352" i="3"/>
  <c r="AH7352" i="3"/>
  <c r="AG7353" i="3"/>
  <c r="AH7353" i="3"/>
  <c r="AG7354" i="3"/>
  <c r="AH7354" i="3"/>
  <c r="AG7355" i="3"/>
  <c r="AH7355" i="3"/>
  <c r="AG7356" i="3"/>
  <c r="AH7356" i="3"/>
  <c r="AG7357" i="3"/>
  <c r="AH7357" i="3"/>
  <c r="AG7358" i="3"/>
  <c r="AH7358" i="3"/>
  <c r="AG7359" i="3"/>
  <c r="AH7359" i="3"/>
  <c r="AG7360" i="3"/>
  <c r="AH7360" i="3"/>
  <c r="AG7361" i="3"/>
  <c r="AH7361" i="3"/>
  <c r="AG7362" i="3"/>
  <c r="AH7362" i="3"/>
  <c r="AG7363" i="3"/>
  <c r="AH7363" i="3"/>
  <c r="AG7364" i="3"/>
  <c r="AH7364" i="3"/>
  <c r="AG7365" i="3"/>
  <c r="AH7365" i="3"/>
  <c r="AG7366" i="3"/>
  <c r="AH7366" i="3"/>
  <c r="AG7367" i="3"/>
  <c r="AH7367" i="3"/>
  <c r="AG7368" i="3"/>
  <c r="AH7368" i="3"/>
  <c r="AG7369" i="3"/>
  <c r="AH7369" i="3"/>
  <c r="AG7370" i="3"/>
  <c r="AH7370" i="3"/>
  <c r="AG7371" i="3"/>
  <c r="AH7371" i="3"/>
  <c r="AG7372" i="3"/>
  <c r="AH7372" i="3"/>
  <c r="AG7373" i="3"/>
  <c r="AH7373" i="3"/>
  <c r="AG7374" i="3"/>
  <c r="AH7374" i="3"/>
  <c r="AG7375" i="3"/>
  <c r="AH7375" i="3"/>
  <c r="AG7376" i="3"/>
  <c r="AH7376" i="3"/>
  <c r="AG7377" i="3"/>
  <c r="AH7377" i="3"/>
  <c r="AG7378" i="3"/>
  <c r="AH7378" i="3"/>
  <c r="AG7379" i="3"/>
  <c r="AH7379" i="3"/>
  <c r="AG7380" i="3"/>
  <c r="AH7380" i="3"/>
  <c r="AG7381" i="3"/>
  <c r="AH7381" i="3"/>
  <c r="AG7382" i="3"/>
  <c r="AH7382" i="3"/>
  <c r="AG7383" i="3"/>
  <c r="AH7383" i="3"/>
  <c r="AG7384" i="3"/>
  <c r="AH7384" i="3"/>
  <c r="AG7385" i="3"/>
  <c r="AH7385" i="3"/>
  <c r="AG7386" i="3"/>
  <c r="AH7386" i="3"/>
  <c r="AG7387" i="3"/>
  <c r="AH7387" i="3"/>
  <c r="AG7388" i="3"/>
  <c r="AH7388" i="3"/>
  <c r="AG7389" i="3"/>
  <c r="AH7389" i="3"/>
  <c r="AG7390" i="3"/>
  <c r="AH7390" i="3"/>
  <c r="AG7391" i="3"/>
  <c r="AH7391" i="3"/>
  <c r="AG7392" i="3"/>
  <c r="AH7392" i="3"/>
  <c r="AG7393" i="3"/>
  <c r="AH7393" i="3"/>
  <c r="AG7394" i="3"/>
  <c r="AH7394" i="3"/>
  <c r="AG7395" i="3"/>
  <c r="AH7395" i="3"/>
  <c r="AG7396" i="3"/>
  <c r="AH7396" i="3"/>
  <c r="AG7397" i="3"/>
  <c r="AH7397" i="3"/>
  <c r="AG7398" i="3"/>
  <c r="AH7398" i="3"/>
  <c r="AG7399" i="3"/>
  <c r="AH7399" i="3"/>
  <c r="AG7400" i="3"/>
  <c r="AH7400" i="3"/>
  <c r="AG7401" i="3"/>
  <c r="AH7401" i="3"/>
  <c r="AG7402" i="3"/>
  <c r="AH7402" i="3"/>
  <c r="AG7403" i="3"/>
  <c r="AH7403" i="3"/>
  <c r="AG7404" i="3"/>
  <c r="AH7404" i="3"/>
  <c r="AG7405" i="3"/>
  <c r="AH7405" i="3"/>
  <c r="AG7406" i="3"/>
  <c r="AH7406" i="3"/>
  <c r="AG7407" i="3"/>
  <c r="AH7407" i="3"/>
  <c r="AG7408" i="3"/>
  <c r="AH7408" i="3"/>
  <c r="AG7409" i="3"/>
  <c r="AH7409" i="3"/>
  <c r="AG7410" i="3"/>
  <c r="AH7410" i="3"/>
  <c r="AG7411" i="3"/>
  <c r="AH7411" i="3"/>
  <c r="AG7412" i="3"/>
  <c r="AH7412" i="3"/>
  <c r="AG7413" i="3"/>
  <c r="AH7413" i="3"/>
  <c r="AG7414" i="3"/>
  <c r="AH7414" i="3"/>
  <c r="AG7415" i="3"/>
  <c r="AH7415" i="3"/>
  <c r="AG7416" i="3"/>
  <c r="AH7416" i="3"/>
  <c r="AG7417" i="3"/>
  <c r="AH7417" i="3"/>
  <c r="AG7418" i="3"/>
  <c r="AH7418" i="3"/>
  <c r="AG7419" i="3"/>
  <c r="AH7419" i="3"/>
  <c r="AG7420" i="3"/>
  <c r="AH7420" i="3"/>
  <c r="AG7421" i="3"/>
  <c r="AH7421" i="3"/>
  <c r="AG7422" i="3"/>
  <c r="AH7422" i="3"/>
  <c r="AG7423" i="3"/>
  <c r="AH7423" i="3"/>
  <c r="AG7424" i="3"/>
  <c r="AH7424" i="3"/>
  <c r="AG7425" i="3"/>
  <c r="AH7425" i="3"/>
  <c r="AG7426" i="3"/>
  <c r="AH7426" i="3"/>
  <c r="AG7427" i="3"/>
  <c r="AH7427" i="3"/>
  <c r="AG7428" i="3"/>
  <c r="AH7428" i="3"/>
  <c r="AG7429" i="3"/>
  <c r="AH7429" i="3"/>
  <c r="AG7430" i="3"/>
  <c r="AH7430" i="3"/>
  <c r="AG7431" i="3"/>
  <c r="AH7431" i="3"/>
  <c r="AG7432" i="3"/>
  <c r="AH7432" i="3"/>
  <c r="AG7433" i="3"/>
  <c r="AH7433" i="3"/>
  <c r="AG7434" i="3"/>
  <c r="AH7434" i="3"/>
  <c r="AG7435" i="3"/>
  <c r="AH7435" i="3"/>
  <c r="AG7436" i="3"/>
  <c r="AH7436" i="3"/>
  <c r="AG7437" i="3"/>
  <c r="AH7437" i="3"/>
  <c r="AG7438" i="3"/>
  <c r="AH7438" i="3"/>
  <c r="AG7439" i="3"/>
  <c r="AH7439" i="3"/>
  <c r="AG7440" i="3"/>
  <c r="AH7440" i="3"/>
  <c r="AG7441" i="3"/>
  <c r="AH7441" i="3"/>
  <c r="AG7442" i="3"/>
  <c r="AH7442" i="3"/>
  <c r="AG7443" i="3"/>
  <c r="AH7443" i="3"/>
  <c r="AG7444" i="3"/>
  <c r="AH7444" i="3"/>
  <c r="AG7445" i="3"/>
  <c r="AH7445" i="3"/>
  <c r="AG7446" i="3"/>
  <c r="AH7446" i="3"/>
  <c r="AG7447" i="3"/>
  <c r="AH7447" i="3"/>
  <c r="AG7448" i="3"/>
  <c r="AH7448" i="3"/>
  <c r="AG7449" i="3"/>
  <c r="AH7449" i="3"/>
  <c r="AG7450" i="3"/>
  <c r="AH7450" i="3"/>
  <c r="AG7451" i="3"/>
  <c r="AH7451" i="3"/>
  <c r="AG7452" i="3"/>
  <c r="AH7452" i="3"/>
  <c r="AG7453" i="3"/>
  <c r="AH7453" i="3"/>
  <c r="AG7454" i="3"/>
  <c r="AH7454" i="3"/>
  <c r="AG7455" i="3"/>
  <c r="AH7455" i="3"/>
  <c r="AG7456" i="3"/>
  <c r="AH7456" i="3"/>
  <c r="AG7457" i="3"/>
  <c r="AH7457" i="3"/>
  <c r="AG7458" i="3"/>
  <c r="AH7458" i="3"/>
  <c r="AG7459" i="3"/>
  <c r="AH7459" i="3"/>
  <c r="AG7460" i="3"/>
  <c r="AH7460" i="3"/>
  <c r="AG7461" i="3"/>
  <c r="AH7461" i="3"/>
  <c r="AG7462" i="3"/>
  <c r="AH7462" i="3"/>
  <c r="AG7463" i="3"/>
  <c r="AH7463" i="3"/>
  <c r="AG7464" i="3"/>
  <c r="AH7464" i="3"/>
  <c r="AG7465" i="3"/>
  <c r="AH7465" i="3"/>
  <c r="AG7466" i="3"/>
  <c r="AH7466" i="3"/>
  <c r="AG7467" i="3"/>
  <c r="AH7467" i="3"/>
  <c r="AG7468" i="3"/>
  <c r="AH7468" i="3"/>
  <c r="AG7469" i="3"/>
  <c r="AH7469" i="3"/>
  <c r="AG7470" i="3"/>
  <c r="AH7470" i="3"/>
  <c r="AG7471" i="3"/>
  <c r="AH7471" i="3"/>
  <c r="AG7472" i="3"/>
  <c r="AH7472" i="3"/>
  <c r="AG7473" i="3"/>
  <c r="AH7473" i="3"/>
  <c r="AG7474" i="3"/>
  <c r="AH7474" i="3"/>
  <c r="AG7475" i="3"/>
  <c r="AH7475" i="3"/>
  <c r="AG7476" i="3"/>
  <c r="AH7476" i="3"/>
  <c r="AG7477" i="3"/>
  <c r="AH7477" i="3"/>
  <c r="AG7478" i="3"/>
  <c r="AH7478" i="3"/>
  <c r="AG7479" i="3"/>
  <c r="AH7479" i="3"/>
  <c r="AG7480" i="3"/>
  <c r="AH7480" i="3"/>
  <c r="AG7481" i="3"/>
  <c r="AH7481" i="3"/>
  <c r="AG7482" i="3"/>
  <c r="AH7482" i="3"/>
  <c r="AG7483" i="3"/>
  <c r="AH7483" i="3"/>
  <c r="AG7484" i="3"/>
  <c r="AH7484" i="3"/>
  <c r="AG7485" i="3"/>
  <c r="AH7485" i="3"/>
  <c r="AG7486" i="3"/>
  <c r="AH7486" i="3"/>
  <c r="AG7487" i="3"/>
  <c r="AH7487" i="3"/>
  <c r="AG7488" i="3"/>
  <c r="AH7488" i="3"/>
  <c r="AG7489" i="3"/>
  <c r="AH7489" i="3"/>
  <c r="AG7490" i="3"/>
  <c r="AH7490" i="3"/>
  <c r="AG7491" i="3"/>
  <c r="AH7491" i="3"/>
  <c r="AG7492" i="3"/>
  <c r="AH7492" i="3"/>
  <c r="AG7493" i="3"/>
  <c r="AH7493" i="3"/>
  <c r="AG7494" i="3"/>
  <c r="AH7494" i="3"/>
  <c r="AG7495" i="3"/>
  <c r="AH7495" i="3"/>
  <c r="AG7496" i="3"/>
  <c r="AH7496" i="3"/>
  <c r="AG7497" i="3"/>
  <c r="AH7497" i="3"/>
  <c r="AG7498" i="3"/>
  <c r="AH7498" i="3"/>
  <c r="AG7499" i="3"/>
  <c r="AH7499" i="3"/>
  <c r="AG7500" i="3"/>
  <c r="AH7500" i="3"/>
  <c r="AG7501" i="3"/>
  <c r="AH7501" i="3"/>
  <c r="AG7502" i="3"/>
  <c r="AH7502" i="3"/>
  <c r="AG7503" i="3"/>
  <c r="AH7503" i="3"/>
  <c r="AG7504" i="3"/>
  <c r="AH7504" i="3"/>
  <c r="AG7505" i="3"/>
  <c r="AH7505" i="3"/>
  <c r="AG7506" i="3"/>
  <c r="AH7506" i="3"/>
  <c r="AG7507" i="3"/>
  <c r="AH7507" i="3"/>
  <c r="AG7508" i="3"/>
  <c r="AH7508" i="3"/>
  <c r="AG7509" i="3"/>
  <c r="AH7509" i="3"/>
  <c r="AG7510" i="3"/>
  <c r="AH7510" i="3"/>
  <c r="AG7511" i="3"/>
  <c r="AH7511" i="3"/>
  <c r="AG7512" i="3"/>
  <c r="AH7512" i="3"/>
  <c r="AG7513" i="3"/>
  <c r="AH7513" i="3"/>
  <c r="AG7514" i="3"/>
  <c r="AH7514" i="3"/>
  <c r="AG7515" i="3"/>
  <c r="AH7515" i="3"/>
  <c r="AG7516" i="3"/>
  <c r="AH7516" i="3"/>
  <c r="AG7517" i="3"/>
  <c r="AH7517" i="3"/>
  <c r="AG7518" i="3"/>
  <c r="AH7518" i="3"/>
  <c r="AG7519" i="3"/>
  <c r="AH7519" i="3"/>
  <c r="AG7520" i="3"/>
  <c r="AH7520" i="3"/>
  <c r="AG7521" i="3"/>
  <c r="AH7521" i="3"/>
  <c r="AG7522" i="3"/>
  <c r="AH7522" i="3"/>
  <c r="AG7523" i="3"/>
  <c r="AH7523" i="3"/>
  <c r="AG7524" i="3"/>
  <c r="AH7524" i="3"/>
  <c r="AG7525" i="3"/>
  <c r="AH7525" i="3"/>
  <c r="AG7526" i="3"/>
  <c r="AH7526" i="3"/>
  <c r="AG7527" i="3"/>
  <c r="AH7527" i="3"/>
  <c r="AG7528" i="3"/>
  <c r="AH7528" i="3"/>
  <c r="AG7529" i="3"/>
  <c r="AH7529" i="3"/>
  <c r="AG7530" i="3"/>
  <c r="AH7530" i="3"/>
  <c r="AG7531" i="3"/>
  <c r="AH7531" i="3"/>
  <c r="AG7532" i="3"/>
  <c r="AH7532" i="3"/>
  <c r="AG7533" i="3"/>
  <c r="AH7533" i="3"/>
  <c r="AG7534" i="3"/>
  <c r="AH7534" i="3"/>
  <c r="AG7535" i="3"/>
  <c r="AH7535" i="3"/>
  <c r="AG7536" i="3"/>
  <c r="AH7536" i="3"/>
  <c r="AG7537" i="3"/>
  <c r="AH7537" i="3"/>
  <c r="AG7538" i="3"/>
  <c r="AH7538" i="3"/>
  <c r="AG7539" i="3"/>
  <c r="AH7539" i="3"/>
  <c r="AG7540" i="3"/>
  <c r="AH7540" i="3"/>
  <c r="AG7541" i="3"/>
  <c r="AH7541" i="3"/>
  <c r="AG7542" i="3"/>
  <c r="AH7542" i="3"/>
  <c r="AG7543" i="3"/>
  <c r="AH7543" i="3"/>
  <c r="AG7544" i="3"/>
  <c r="AH7544" i="3"/>
  <c r="AG7545" i="3"/>
  <c r="AH7545" i="3"/>
  <c r="AG7546" i="3"/>
  <c r="AH7546" i="3"/>
  <c r="AG7547" i="3"/>
  <c r="AH7547" i="3"/>
  <c r="AG7548" i="3"/>
  <c r="AH7548" i="3"/>
  <c r="AG7549" i="3"/>
  <c r="AH7549" i="3"/>
  <c r="AG7550" i="3"/>
  <c r="AH7550" i="3"/>
  <c r="AG7551" i="3"/>
  <c r="AH7551" i="3"/>
  <c r="AG7552" i="3"/>
  <c r="AH7552" i="3"/>
  <c r="AG7553" i="3"/>
  <c r="AH7553" i="3"/>
  <c r="AG7554" i="3"/>
  <c r="AH7554" i="3"/>
  <c r="AG7555" i="3"/>
  <c r="AH7555" i="3"/>
  <c r="AG7556" i="3"/>
  <c r="AH7556" i="3"/>
  <c r="AG7557" i="3"/>
  <c r="AH7557" i="3"/>
  <c r="AG7558" i="3"/>
  <c r="AH7558" i="3"/>
  <c r="AG7559" i="3"/>
  <c r="AH7559" i="3"/>
  <c r="AG7560" i="3"/>
  <c r="AH7560" i="3"/>
  <c r="AG7561" i="3"/>
  <c r="AH7561" i="3"/>
  <c r="AG7562" i="3"/>
  <c r="AH7562" i="3"/>
  <c r="AG7563" i="3"/>
  <c r="AH7563" i="3"/>
  <c r="AG7564" i="3"/>
  <c r="AH7564" i="3"/>
  <c r="AG7565" i="3"/>
  <c r="AH7565" i="3"/>
  <c r="AG7566" i="3"/>
  <c r="AH7566" i="3"/>
  <c r="AG7567" i="3"/>
  <c r="AH7567" i="3"/>
  <c r="AG7568" i="3"/>
  <c r="AH7568" i="3"/>
  <c r="AG7569" i="3"/>
  <c r="AH7569" i="3"/>
  <c r="AG7570" i="3"/>
  <c r="AH7570" i="3"/>
  <c r="AG7571" i="3"/>
  <c r="AH7571" i="3"/>
  <c r="AG7572" i="3"/>
  <c r="AH7572" i="3"/>
  <c r="AG7573" i="3"/>
  <c r="AH7573" i="3"/>
  <c r="AG7574" i="3"/>
  <c r="AH7574" i="3"/>
  <c r="AG7575" i="3"/>
  <c r="AH7575" i="3"/>
  <c r="AG7576" i="3"/>
  <c r="AH7576" i="3"/>
  <c r="AG7577" i="3"/>
  <c r="AH7577" i="3"/>
  <c r="AG7578" i="3"/>
  <c r="AH7578" i="3"/>
  <c r="AG7579" i="3"/>
  <c r="AH7579" i="3"/>
  <c r="AG7580" i="3"/>
  <c r="AH7580" i="3"/>
  <c r="AG7581" i="3"/>
  <c r="AH7581" i="3"/>
  <c r="AG7582" i="3"/>
  <c r="AH7582" i="3"/>
  <c r="AG7583" i="3"/>
  <c r="AH7583" i="3"/>
  <c r="AG7584" i="3"/>
  <c r="AH7584" i="3"/>
  <c r="AG7585" i="3"/>
  <c r="AH7585" i="3"/>
  <c r="AG7586" i="3"/>
  <c r="AH7586" i="3"/>
  <c r="AG7587" i="3"/>
  <c r="AH7587" i="3"/>
  <c r="AG7588" i="3"/>
  <c r="AH7588" i="3"/>
  <c r="AG7589" i="3"/>
  <c r="AH7589" i="3"/>
  <c r="AG7590" i="3"/>
  <c r="AH7590" i="3"/>
  <c r="AG7591" i="3"/>
  <c r="AH7591" i="3"/>
  <c r="AG7592" i="3"/>
  <c r="AH7592" i="3"/>
  <c r="AG7593" i="3"/>
  <c r="AH7593" i="3"/>
  <c r="AG7594" i="3"/>
  <c r="AH7594" i="3"/>
  <c r="AG7595" i="3"/>
  <c r="AH7595" i="3"/>
  <c r="AG7596" i="3"/>
  <c r="AH7596" i="3"/>
  <c r="AG7597" i="3"/>
  <c r="AH7597" i="3"/>
  <c r="AG7598" i="3"/>
  <c r="AH7598" i="3"/>
  <c r="AG7599" i="3"/>
  <c r="AH7599" i="3"/>
  <c r="AG7600" i="3"/>
  <c r="AH7600" i="3"/>
  <c r="AG7601" i="3"/>
  <c r="AH7601" i="3"/>
  <c r="AG7602" i="3"/>
  <c r="AH7602" i="3"/>
  <c r="AG7603" i="3"/>
  <c r="AH7603" i="3"/>
  <c r="AG7604" i="3"/>
  <c r="AH7604" i="3"/>
  <c r="AG7605" i="3"/>
  <c r="AH7605" i="3"/>
  <c r="AG7606" i="3"/>
  <c r="AH7606" i="3"/>
  <c r="AG7607" i="3"/>
  <c r="AH7607" i="3"/>
  <c r="AG7608" i="3"/>
  <c r="AH7608" i="3"/>
  <c r="AG7609" i="3"/>
  <c r="AH7609" i="3"/>
  <c r="AG7610" i="3"/>
  <c r="AH7610" i="3"/>
  <c r="AG7611" i="3"/>
  <c r="AH7611" i="3"/>
  <c r="AG7612" i="3"/>
  <c r="AH7612" i="3"/>
  <c r="AG7613" i="3"/>
  <c r="AH7613" i="3"/>
  <c r="AG7614" i="3"/>
  <c r="AH7614" i="3"/>
  <c r="AG7615" i="3"/>
  <c r="AH7615" i="3"/>
  <c r="AG7616" i="3"/>
  <c r="AH7616" i="3"/>
  <c r="AG7617" i="3"/>
  <c r="AH7617" i="3"/>
  <c r="AG7618" i="3"/>
  <c r="AH7618" i="3"/>
  <c r="AG7619" i="3"/>
  <c r="AH7619" i="3"/>
  <c r="AG7620" i="3"/>
  <c r="AH7620" i="3"/>
  <c r="AG7621" i="3"/>
  <c r="AH7621" i="3"/>
  <c r="AG7622" i="3"/>
  <c r="AH7622" i="3"/>
  <c r="AG7623" i="3"/>
  <c r="AH7623" i="3"/>
  <c r="AG7624" i="3"/>
  <c r="AH7624" i="3"/>
  <c r="AG7625" i="3"/>
  <c r="AH7625" i="3"/>
  <c r="AG7626" i="3"/>
  <c r="AH7626" i="3"/>
  <c r="AG7627" i="3"/>
  <c r="AH7627" i="3"/>
  <c r="AG7628" i="3"/>
  <c r="AH7628" i="3"/>
  <c r="AG7629" i="3"/>
  <c r="AH7629" i="3"/>
  <c r="AG7630" i="3"/>
  <c r="AH7630" i="3"/>
  <c r="AG7631" i="3"/>
  <c r="AH7631" i="3"/>
  <c r="AG7632" i="3"/>
  <c r="AH7632" i="3"/>
  <c r="AG7633" i="3"/>
  <c r="AH7633" i="3"/>
  <c r="AG7634" i="3"/>
  <c r="AH7634" i="3"/>
  <c r="AG7635" i="3"/>
  <c r="AH7635" i="3"/>
  <c r="AG7636" i="3"/>
  <c r="AH7636" i="3"/>
  <c r="AG7637" i="3"/>
  <c r="AH7637" i="3"/>
  <c r="AG7638" i="3"/>
  <c r="AH7638" i="3"/>
  <c r="AG7639" i="3"/>
  <c r="AH7639" i="3"/>
  <c r="AG7640" i="3"/>
  <c r="AH7640" i="3"/>
  <c r="AG7641" i="3"/>
  <c r="AH7641" i="3"/>
  <c r="AG7642" i="3"/>
  <c r="AH7642" i="3"/>
  <c r="AG7643" i="3"/>
  <c r="AH7643" i="3"/>
  <c r="AG7644" i="3"/>
  <c r="AH7644" i="3"/>
  <c r="AG7645" i="3"/>
  <c r="AH7645" i="3"/>
  <c r="AG7646" i="3"/>
  <c r="AH7646" i="3"/>
  <c r="AG7647" i="3"/>
  <c r="AH7647" i="3"/>
  <c r="AG7648" i="3"/>
  <c r="AH7648" i="3"/>
  <c r="AG7649" i="3"/>
  <c r="AH7649" i="3"/>
  <c r="AG7650" i="3"/>
  <c r="AH7650" i="3"/>
  <c r="AG7651" i="3"/>
  <c r="AH7651" i="3"/>
  <c r="AG7652" i="3"/>
  <c r="AH7652" i="3"/>
  <c r="AG7653" i="3"/>
  <c r="AH7653" i="3"/>
  <c r="AG7654" i="3"/>
  <c r="AH7654" i="3"/>
  <c r="AG7655" i="3"/>
  <c r="AH7655" i="3"/>
  <c r="AG7656" i="3"/>
  <c r="AH7656" i="3"/>
  <c r="AG7657" i="3"/>
  <c r="AH7657" i="3"/>
  <c r="AG7658" i="3"/>
  <c r="AH7658" i="3"/>
  <c r="AG7659" i="3"/>
  <c r="AH7659" i="3"/>
  <c r="AG7660" i="3"/>
  <c r="AH7660" i="3"/>
  <c r="AG7661" i="3"/>
  <c r="AH7661" i="3"/>
  <c r="AG7662" i="3"/>
  <c r="AH7662" i="3"/>
  <c r="AG7663" i="3"/>
  <c r="AH7663" i="3"/>
  <c r="AG7664" i="3"/>
  <c r="AH7664" i="3"/>
  <c r="AG7665" i="3"/>
  <c r="AH7665" i="3"/>
  <c r="AG7666" i="3"/>
  <c r="AH7666" i="3"/>
  <c r="AG7667" i="3"/>
  <c r="AH7667" i="3"/>
  <c r="AG7668" i="3"/>
  <c r="AH7668" i="3"/>
  <c r="AG7669" i="3"/>
  <c r="AH7669" i="3"/>
  <c r="AG7670" i="3"/>
  <c r="AH7670" i="3"/>
  <c r="AG7671" i="3"/>
  <c r="AH7671" i="3"/>
  <c r="AG7672" i="3"/>
  <c r="AH7672" i="3"/>
  <c r="AG7673" i="3"/>
  <c r="AH7673" i="3"/>
  <c r="AG7674" i="3"/>
  <c r="AH7674" i="3"/>
  <c r="AG7675" i="3"/>
  <c r="AH7675" i="3"/>
  <c r="AG7676" i="3"/>
  <c r="AH7676" i="3"/>
  <c r="AG7677" i="3"/>
  <c r="AH7677" i="3"/>
  <c r="AG7678" i="3"/>
  <c r="AH7678" i="3"/>
  <c r="AG7679" i="3"/>
  <c r="AH7679" i="3"/>
  <c r="AG7680" i="3"/>
  <c r="AH7680" i="3"/>
  <c r="AG7681" i="3"/>
  <c r="AH7681" i="3"/>
  <c r="AG7682" i="3"/>
  <c r="AH7682" i="3"/>
  <c r="AG7683" i="3"/>
  <c r="AH7683" i="3"/>
  <c r="AG7684" i="3"/>
  <c r="AH7684" i="3"/>
  <c r="AG7685" i="3"/>
  <c r="AH7685" i="3"/>
  <c r="AG7686" i="3"/>
  <c r="AH7686" i="3"/>
  <c r="AG7687" i="3"/>
  <c r="AH7687" i="3"/>
  <c r="AG7688" i="3"/>
  <c r="AH7688" i="3"/>
  <c r="AG7689" i="3"/>
  <c r="AH7689" i="3"/>
  <c r="AG7690" i="3"/>
  <c r="AH7690" i="3"/>
  <c r="AG7691" i="3"/>
  <c r="AH7691" i="3"/>
  <c r="AG7692" i="3"/>
  <c r="AH7692" i="3"/>
  <c r="AG7693" i="3"/>
  <c r="AH7693" i="3"/>
  <c r="AG7694" i="3"/>
  <c r="AH7694" i="3"/>
  <c r="AG7695" i="3"/>
  <c r="AH7695" i="3"/>
  <c r="AG7696" i="3"/>
  <c r="AH7696" i="3"/>
  <c r="AG7697" i="3"/>
  <c r="AH7697" i="3"/>
  <c r="AG7698" i="3"/>
  <c r="AH7698" i="3"/>
  <c r="AG7699" i="3"/>
  <c r="AH7699" i="3"/>
  <c r="AG7700" i="3"/>
  <c r="AH7700" i="3"/>
  <c r="AG7701" i="3"/>
  <c r="AH7701" i="3"/>
  <c r="AG7702" i="3"/>
  <c r="AH7702" i="3"/>
  <c r="AG7703" i="3"/>
  <c r="AH7703" i="3"/>
  <c r="AG7704" i="3"/>
  <c r="AH7704" i="3"/>
  <c r="AG7705" i="3"/>
  <c r="AH7705" i="3"/>
  <c r="AG7706" i="3"/>
  <c r="AH7706" i="3"/>
  <c r="AG7707" i="3"/>
  <c r="AH7707" i="3"/>
  <c r="AG7708" i="3"/>
  <c r="AH7708" i="3"/>
  <c r="AG7709" i="3"/>
  <c r="AH7709" i="3"/>
  <c r="AG7710" i="3"/>
  <c r="AH7710" i="3"/>
  <c r="AG7711" i="3"/>
  <c r="AH7711" i="3"/>
  <c r="AG7712" i="3"/>
  <c r="AH7712" i="3"/>
  <c r="AG7713" i="3"/>
  <c r="AH7713" i="3"/>
  <c r="AG7714" i="3"/>
  <c r="AH7714" i="3"/>
  <c r="AG7715" i="3"/>
  <c r="AH7715" i="3"/>
  <c r="AG7716" i="3"/>
  <c r="AH7716" i="3"/>
  <c r="AG7717" i="3"/>
  <c r="AH7717" i="3"/>
  <c r="AG7718" i="3"/>
  <c r="AH7718" i="3"/>
  <c r="AG7719" i="3"/>
  <c r="AH7719" i="3"/>
  <c r="AG7720" i="3"/>
  <c r="AH7720" i="3"/>
  <c r="AG7721" i="3"/>
  <c r="AH7721" i="3"/>
  <c r="AG7722" i="3"/>
  <c r="AH7722" i="3"/>
  <c r="AG7723" i="3"/>
  <c r="AH7723" i="3"/>
  <c r="AG7724" i="3"/>
  <c r="AH7724" i="3"/>
  <c r="AG7725" i="3"/>
  <c r="AH7725" i="3"/>
  <c r="AG7726" i="3"/>
  <c r="AH7726" i="3"/>
  <c r="AG7727" i="3"/>
  <c r="AH7727" i="3"/>
  <c r="AG7728" i="3"/>
  <c r="AH7728" i="3"/>
  <c r="AG7729" i="3"/>
  <c r="AH7729" i="3"/>
  <c r="AG7730" i="3"/>
  <c r="AH7730" i="3"/>
  <c r="AG7731" i="3"/>
  <c r="AH7731" i="3"/>
  <c r="AG7732" i="3"/>
  <c r="AH7732" i="3"/>
  <c r="AG7733" i="3"/>
  <c r="AH7733" i="3"/>
  <c r="AG7734" i="3"/>
  <c r="AH7734" i="3"/>
  <c r="AG7735" i="3"/>
  <c r="AH7735" i="3"/>
  <c r="AG7736" i="3"/>
  <c r="AH7736" i="3"/>
  <c r="AG7737" i="3"/>
  <c r="AH7737" i="3"/>
  <c r="AG7738" i="3"/>
  <c r="AH7738" i="3"/>
  <c r="AG7739" i="3"/>
  <c r="AH7739" i="3"/>
  <c r="AG7740" i="3"/>
  <c r="AH7740" i="3"/>
  <c r="AG7741" i="3"/>
  <c r="AH7741" i="3"/>
  <c r="AG7742" i="3"/>
  <c r="AH7742" i="3"/>
  <c r="AG7743" i="3"/>
  <c r="AH7743" i="3"/>
  <c r="AG7744" i="3"/>
  <c r="AH7744" i="3"/>
  <c r="AG7745" i="3"/>
  <c r="AH7745" i="3"/>
  <c r="AG7746" i="3"/>
  <c r="AH7746" i="3"/>
  <c r="AG7747" i="3"/>
  <c r="AH7747" i="3"/>
  <c r="AG7748" i="3"/>
  <c r="AH7748" i="3"/>
  <c r="AG7749" i="3"/>
  <c r="AH7749" i="3"/>
  <c r="AG7750" i="3"/>
  <c r="AH7750" i="3"/>
  <c r="AG7751" i="3"/>
  <c r="AH7751" i="3"/>
  <c r="AG7752" i="3"/>
  <c r="AH7752" i="3"/>
  <c r="AG7753" i="3"/>
  <c r="AH7753" i="3"/>
  <c r="AG7754" i="3"/>
  <c r="AH7754" i="3"/>
  <c r="AG7755" i="3"/>
  <c r="AH7755" i="3"/>
  <c r="AG7756" i="3"/>
  <c r="AH7756" i="3"/>
  <c r="AG7757" i="3"/>
  <c r="AH7757" i="3"/>
  <c r="AG7758" i="3"/>
  <c r="AH7758" i="3"/>
  <c r="AG7759" i="3"/>
  <c r="AH7759" i="3"/>
  <c r="AG7760" i="3"/>
  <c r="AH7760" i="3"/>
  <c r="AG7761" i="3"/>
  <c r="AH7761" i="3"/>
  <c r="AG7762" i="3"/>
  <c r="AH7762" i="3"/>
  <c r="AG7763" i="3"/>
  <c r="AH7763" i="3"/>
  <c r="AG7764" i="3"/>
  <c r="AH7764" i="3"/>
  <c r="AG7765" i="3"/>
  <c r="AH7765" i="3"/>
  <c r="AG7766" i="3"/>
  <c r="AH7766" i="3"/>
  <c r="AG7767" i="3"/>
  <c r="AH7767" i="3"/>
  <c r="AG7768" i="3"/>
  <c r="AH7768" i="3"/>
  <c r="AG7769" i="3"/>
  <c r="AH7769" i="3"/>
  <c r="AG7770" i="3"/>
  <c r="AH7770" i="3"/>
  <c r="AG7771" i="3"/>
  <c r="AH7771" i="3"/>
  <c r="AG7772" i="3"/>
  <c r="AH7772" i="3"/>
  <c r="AG7773" i="3"/>
  <c r="AH7773" i="3"/>
  <c r="AG7774" i="3"/>
  <c r="AH7774" i="3"/>
  <c r="AG7775" i="3"/>
  <c r="AH7775" i="3"/>
  <c r="AG7776" i="3"/>
  <c r="AH7776" i="3"/>
  <c r="AG7777" i="3"/>
  <c r="AH7777" i="3"/>
  <c r="AG7778" i="3"/>
  <c r="AH7778" i="3"/>
  <c r="AG7779" i="3"/>
  <c r="AH7779" i="3"/>
  <c r="AG7780" i="3"/>
  <c r="AH7780" i="3"/>
  <c r="AG7781" i="3"/>
  <c r="AH7781" i="3"/>
  <c r="AG7782" i="3"/>
  <c r="AH7782" i="3"/>
  <c r="AG7783" i="3"/>
  <c r="AH7783" i="3"/>
  <c r="AG7784" i="3"/>
  <c r="AH7784" i="3"/>
  <c r="AG7785" i="3"/>
  <c r="AH7785" i="3"/>
  <c r="AG7786" i="3"/>
  <c r="AH7786" i="3"/>
  <c r="AG7787" i="3"/>
  <c r="AH7787" i="3"/>
  <c r="AG7788" i="3"/>
  <c r="AH7788" i="3"/>
  <c r="AG7789" i="3"/>
  <c r="AH7789" i="3"/>
  <c r="AG7790" i="3"/>
  <c r="AH7790" i="3"/>
  <c r="AG7791" i="3"/>
  <c r="AH7791" i="3"/>
  <c r="AG7792" i="3"/>
  <c r="AH7792" i="3"/>
  <c r="AG7793" i="3"/>
  <c r="AH7793" i="3"/>
  <c r="AG7794" i="3"/>
  <c r="AH7794" i="3"/>
  <c r="AG7795" i="3"/>
  <c r="AH7795" i="3"/>
  <c r="AG7796" i="3"/>
  <c r="AH7796" i="3"/>
  <c r="AG7797" i="3"/>
  <c r="AH7797" i="3"/>
  <c r="AG7798" i="3"/>
  <c r="AH7798" i="3"/>
  <c r="AG7799" i="3"/>
  <c r="AH7799" i="3"/>
  <c r="AG7800" i="3"/>
  <c r="AH7800" i="3"/>
  <c r="AG7801" i="3"/>
  <c r="AH7801" i="3"/>
  <c r="AG7802" i="3"/>
  <c r="AH7802" i="3"/>
  <c r="AG7803" i="3"/>
  <c r="AH7803" i="3"/>
  <c r="AG7804" i="3"/>
  <c r="AH7804" i="3"/>
  <c r="AG7805" i="3"/>
  <c r="AH7805" i="3"/>
  <c r="AG7806" i="3"/>
  <c r="AH7806" i="3"/>
  <c r="AG7807" i="3"/>
  <c r="AH7807" i="3"/>
  <c r="AG7808" i="3"/>
  <c r="AH7808" i="3"/>
  <c r="AG7809" i="3"/>
  <c r="AH7809" i="3"/>
  <c r="AG7810" i="3"/>
  <c r="AH7810" i="3"/>
  <c r="AG7811" i="3"/>
  <c r="AH7811" i="3"/>
  <c r="AG7812" i="3"/>
  <c r="AH7812" i="3"/>
  <c r="AG7813" i="3"/>
  <c r="AH7813" i="3"/>
  <c r="AG7814" i="3"/>
  <c r="AH7814" i="3"/>
  <c r="AG7815" i="3"/>
  <c r="AH7815" i="3"/>
  <c r="AG7816" i="3"/>
  <c r="AH7816" i="3"/>
  <c r="AG7817" i="3"/>
  <c r="AH7817" i="3"/>
  <c r="AG7818" i="3"/>
  <c r="AH7818" i="3"/>
  <c r="AG7819" i="3"/>
  <c r="AH7819" i="3"/>
  <c r="AG7820" i="3"/>
  <c r="AH7820" i="3"/>
  <c r="AG7821" i="3"/>
  <c r="AH7821" i="3"/>
  <c r="AG7822" i="3"/>
  <c r="AH7822" i="3"/>
  <c r="AG7823" i="3"/>
  <c r="AH7823" i="3"/>
  <c r="AG7824" i="3"/>
  <c r="AH7824" i="3"/>
  <c r="AG7825" i="3"/>
  <c r="AH7825" i="3"/>
  <c r="AG7826" i="3"/>
  <c r="AH7826" i="3"/>
  <c r="AG7827" i="3"/>
  <c r="AH7827" i="3"/>
  <c r="AG7828" i="3"/>
  <c r="AH7828" i="3"/>
  <c r="AG7829" i="3"/>
  <c r="AH7829" i="3"/>
  <c r="AG7830" i="3"/>
  <c r="AH7830" i="3"/>
  <c r="AG7831" i="3"/>
  <c r="AH7831" i="3"/>
  <c r="AG7832" i="3"/>
  <c r="AH7832" i="3"/>
  <c r="AG7833" i="3"/>
  <c r="AH7833" i="3"/>
  <c r="AG7834" i="3"/>
  <c r="AH7834" i="3"/>
  <c r="AG7835" i="3"/>
  <c r="AH7835" i="3"/>
  <c r="AG7836" i="3"/>
  <c r="AH7836" i="3"/>
  <c r="AG7837" i="3"/>
  <c r="AH7837" i="3"/>
  <c r="AG7838" i="3"/>
  <c r="AH7838" i="3"/>
  <c r="AG7839" i="3"/>
  <c r="AH7839" i="3"/>
  <c r="AG7840" i="3"/>
  <c r="AH7840" i="3"/>
  <c r="AG7841" i="3"/>
  <c r="AH7841" i="3"/>
  <c r="AG7842" i="3"/>
  <c r="AH7842" i="3"/>
  <c r="AG7843" i="3"/>
  <c r="AH7843" i="3"/>
  <c r="AG7844" i="3"/>
  <c r="AH7844" i="3"/>
  <c r="AG7845" i="3"/>
  <c r="AH7845" i="3"/>
  <c r="AG7846" i="3"/>
  <c r="AH7846" i="3"/>
  <c r="AG7847" i="3"/>
  <c r="AH7847" i="3"/>
  <c r="AG7848" i="3"/>
  <c r="AH7848" i="3"/>
  <c r="AG7849" i="3"/>
  <c r="AH7849" i="3"/>
  <c r="AG7850" i="3"/>
  <c r="AH7850" i="3"/>
  <c r="AG7851" i="3"/>
  <c r="AH7851" i="3"/>
  <c r="AG7852" i="3"/>
  <c r="AH7852" i="3"/>
  <c r="AG7853" i="3"/>
  <c r="AH7853" i="3"/>
  <c r="AG7854" i="3"/>
  <c r="AH7854" i="3"/>
  <c r="AG7855" i="3"/>
  <c r="AH7855" i="3"/>
  <c r="AG7856" i="3"/>
  <c r="AH7856" i="3"/>
  <c r="AG7857" i="3"/>
  <c r="AH7857" i="3"/>
  <c r="AG7858" i="3"/>
  <c r="AH7858" i="3"/>
  <c r="AG7859" i="3"/>
  <c r="AH7859" i="3"/>
  <c r="AG7860" i="3"/>
  <c r="AH7860" i="3"/>
  <c r="AG7861" i="3"/>
  <c r="AH7861" i="3"/>
  <c r="AG7862" i="3"/>
  <c r="AH7862" i="3"/>
  <c r="AG7863" i="3"/>
  <c r="AH7863" i="3"/>
  <c r="AG7864" i="3"/>
  <c r="AH7864" i="3"/>
  <c r="AG7865" i="3"/>
  <c r="AH7865" i="3"/>
  <c r="AG7866" i="3"/>
  <c r="AH7866" i="3"/>
  <c r="AG7867" i="3"/>
  <c r="AH7867" i="3"/>
  <c r="AG7868" i="3"/>
  <c r="AH7868" i="3"/>
  <c r="AG7869" i="3"/>
  <c r="AH7869" i="3"/>
  <c r="AG7870" i="3"/>
  <c r="AH7870" i="3"/>
  <c r="AG7871" i="3"/>
  <c r="AH7871" i="3"/>
  <c r="AG7872" i="3"/>
  <c r="AH7872" i="3"/>
  <c r="AG7873" i="3"/>
  <c r="AH7873" i="3"/>
  <c r="AG7874" i="3"/>
  <c r="AH7874" i="3"/>
  <c r="AG7875" i="3"/>
  <c r="AH7875" i="3"/>
  <c r="AG7876" i="3"/>
  <c r="AH7876" i="3"/>
  <c r="AG7877" i="3"/>
  <c r="AH7877" i="3"/>
  <c r="AG7878" i="3"/>
  <c r="AH7878" i="3"/>
  <c r="AG7879" i="3"/>
  <c r="AH7879" i="3"/>
  <c r="AG7880" i="3"/>
  <c r="AH7880" i="3"/>
  <c r="AG7881" i="3"/>
  <c r="AH7881" i="3"/>
  <c r="AG7882" i="3"/>
  <c r="AH7882" i="3"/>
  <c r="AG7883" i="3"/>
  <c r="AH7883" i="3"/>
  <c r="AG7884" i="3"/>
  <c r="AH7884" i="3"/>
  <c r="AG7885" i="3"/>
  <c r="AH7885" i="3"/>
  <c r="AG7886" i="3"/>
  <c r="AH7886" i="3"/>
  <c r="AG7887" i="3"/>
  <c r="AH7887" i="3"/>
  <c r="AG7888" i="3"/>
  <c r="AH7888" i="3"/>
  <c r="AG7889" i="3"/>
  <c r="AH7889" i="3"/>
  <c r="AG7890" i="3"/>
  <c r="AH7890" i="3"/>
  <c r="AG7891" i="3"/>
  <c r="AH7891" i="3"/>
  <c r="AG7892" i="3"/>
  <c r="AH7892" i="3"/>
  <c r="AG7893" i="3"/>
  <c r="AH7893" i="3"/>
  <c r="AG7894" i="3"/>
  <c r="AH7894" i="3"/>
  <c r="AG7895" i="3"/>
  <c r="AH7895" i="3"/>
  <c r="AG7896" i="3"/>
  <c r="AH7896" i="3"/>
  <c r="AG7897" i="3"/>
  <c r="AH7897" i="3"/>
  <c r="AG7898" i="3"/>
  <c r="AH7898" i="3"/>
  <c r="AG7899" i="3"/>
  <c r="AH7899" i="3"/>
  <c r="AG7900" i="3"/>
  <c r="AH7900" i="3"/>
  <c r="AG7901" i="3"/>
  <c r="AH7901" i="3"/>
  <c r="AG7902" i="3"/>
  <c r="AH7902" i="3"/>
  <c r="AG7903" i="3"/>
  <c r="AH7903" i="3"/>
  <c r="AG7904" i="3"/>
  <c r="AH7904" i="3"/>
  <c r="AG7905" i="3"/>
  <c r="AH7905" i="3"/>
  <c r="AG7906" i="3"/>
  <c r="AH7906" i="3"/>
  <c r="AG7907" i="3"/>
  <c r="AH7907" i="3"/>
  <c r="AG7908" i="3"/>
  <c r="AH7908" i="3"/>
  <c r="AG7909" i="3"/>
  <c r="AH7909" i="3"/>
  <c r="AG7910" i="3"/>
  <c r="AH7910" i="3"/>
  <c r="AG7911" i="3"/>
  <c r="AH7911" i="3"/>
  <c r="AG7912" i="3"/>
  <c r="AH7912" i="3"/>
  <c r="AG7913" i="3"/>
  <c r="AH7913" i="3"/>
  <c r="AG7914" i="3"/>
  <c r="AH7914" i="3"/>
  <c r="AG7915" i="3"/>
  <c r="AH7915" i="3"/>
  <c r="AG7916" i="3"/>
  <c r="AH7916" i="3"/>
  <c r="AG7917" i="3"/>
  <c r="AH7917" i="3"/>
  <c r="AG7918" i="3"/>
  <c r="AH7918" i="3"/>
  <c r="AG7919" i="3"/>
  <c r="AH7919" i="3"/>
  <c r="AG7920" i="3"/>
  <c r="AH7920" i="3"/>
  <c r="AG7921" i="3"/>
  <c r="AH7921" i="3"/>
  <c r="AG7922" i="3"/>
  <c r="AH7922" i="3"/>
  <c r="AG7923" i="3"/>
  <c r="AH7923" i="3"/>
  <c r="AG7924" i="3"/>
  <c r="AH7924" i="3"/>
  <c r="AG7925" i="3"/>
  <c r="AH7925" i="3"/>
  <c r="AG7926" i="3"/>
  <c r="AH7926" i="3"/>
  <c r="AG7927" i="3"/>
  <c r="AH7927" i="3"/>
  <c r="AG7928" i="3"/>
  <c r="AH7928" i="3"/>
  <c r="AG7929" i="3"/>
  <c r="AH7929" i="3"/>
  <c r="AG7930" i="3"/>
  <c r="AH7930" i="3"/>
  <c r="AG7931" i="3"/>
  <c r="AH7931" i="3"/>
  <c r="AG7932" i="3"/>
  <c r="AH7932" i="3"/>
  <c r="AG7933" i="3"/>
  <c r="AH7933" i="3"/>
  <c r="AG7934" i="3"/>
  <c r="AH7934" i="3"/>
  <c r="AG7935" i="3"/>
  <c r="AH7935" i="3"/>
  <c r="AG7936" i="3"/>
  <c r="AH7936" i="3"/>
  <c r="AG7937" i="3"/>
  <c r="AH7937" i="3"/>
  <c r="AG7938" i="3"/>
  <c r="AH7938" i="3"/>
  <c r="AG7939" i="3"/>
  <c r="AH7939" i="3"/>
  <c r="AG7940" i="3"/>
  <c r="AH7940" i="3"/>
  <c r="AG7941" i="3"/>
  <c r="AH7941" i="3"/>
  <c r="AG7942" i="3"/>
  <c r="AH7942" i="3"/>
  <c r="AG7943" i="3"/>
  <c r="AH7943" i="3"/>
  <c r="AG7944" i="3"/>
  <c r="AH7944" i="3"/>
  <c r="AG7945" i="3"/>
  <c r="AH7945" i="3"/>
  <c r="AG7946" i="3"/>
  <c r="AH7946" i="3"/>
  <c r="AG7947" i="3"/>
  <c r="AH7947" i="3"/>
  <c r="AG7948" i="3"/>
  <c r="AH7948" i="3"/>
  <c r="AG7949" i="3"/>
  <c r="AH7949" i="3"/>
  <c r="AG7950" i="3"/>
  <c r="AH7950" i="3"/>
  <c r="AG7951" i="3"/>
  <c r="AH7951" i="3"/>
  <c r="AG7952" i="3"/>
  <c r="AH7952" i="3"/>
  <c r="AG7953" i="3"/>
  <c r="AH7953" i="3"/>
  <c r="AG7954" i="3"/>
  <c r="AH7954" i="3"/>
  <c r="AG7955" i="3"/>
  <c r="AH7955" i="3"/>
  <c r="AG7956" i="3"/>
  <c r="AH7956" i="3"/>
  <c r="AG7957" i="3"/>
  <c r="AH7957" i="3"/>
  <c r="AG7958" i="3"/>
  <c r="AH7958" i="3"/>
  <c r="AG7959" i="3"/>
  <c r="AH7959" i="3"/>
  <c r="AG7960" i="3"/>
  <c r="AH7960" i="3"/>
  <c r="AG7961" i="3"/>
  <c r="AH7961" i="3"/>
  <c r="AG7962" i="3"/>
  <c r="AH7962" i="3"/>
  <c r="AG7963" i="3"/>
  <c r="AH7963" i="3"/>
  <c r="AG7964" i="3"/>
  <c r="AH7964" i="3"/>
  <c r="AG7965" i="3"/>
  <c r="AH7965" i="3"/>
  <c r="AG7966" i="3"/>
  <c r="AH7966" i="3"/>
  <c r="AG7967" i="3"/>
  <c r="AH7967" i="3"/>
  <c r="AG7968" i="3"/>
  <c r="AH7968" i="3"/>
  <c r="AG7969" i="3"/>
  <c r="AH7969" i="3"/>
  <c r="AG7970" i="3"/>
  <c r="AH7970" i="3"/>
  <c r="AG7971" i="3"/>
  <c r="AH7971" i="3"/>
  <c r="AG7972" i="3"/>
  <c r="AH7972" i="3"/>
  <c r="AG7973" i="3"/>
  <c r="AH7973" i="3"/>
  <c r="AG7974" i="3"/>
  <c r="AH7974" i="3"/>
  <c r="AG7975" i="3"/>
  <c r="AH7975" i="3"/>
  <c r="AG7976" i="3"/>
  <c r="AH7976" i="3"/>
  <c r="AG7977" i="3"/>
  <c r="AH7977" i="3"/>
  <c r="AG7978" i="3"/>
  <c r="AH7978" i="3"/>
  <c r="AG7979" i="3"/>
  <c r="AH7979" i="3"/>
  <c r="AG7980" i="3"/>
  <c r="AH7980" i="3"/>
  <c r="AG7981" i="3"/>
  <c r="AH7981" i="3"/>
  <c r="AG7982" i="3"/>
  <c r="AH7982" i="3"/>
  <c r="AG7983" i="3"/>
  <c r="AH7983" i="3"/>
  <c r="AG7984" i="3"/>
  <c r="AH7984" i="3"/>
  <c r="AG7985" i="3"/>
  <c r="AH7985" i="3"/>
  <c r="AG7986" i="3"/>
  <c r="AH7986" i="3"/>
  <c r="AG7987" i="3"/>
  <c r="AH7987" i="3"/>
  <c r="AG7988" i="3"/>
  <c r="AH7988" i="3"/>
  <c r="AG7989" i="3"/>
  <c r="AH7989" i="3"/>
  <c r="AG7990" i="3"/>
  <c r="AH7990" i="3"/>
  <c r="AG7991" i="3"/>
  <c r="AH7991" i="3"/>
  <c r="AG7992" i="3"/>
  <c r="AH7992" i="3"/>
  <c r="AG7993" i="3"/>
  <c r="AH7993" i="3"/>
  <c r="AG7994" i="3"/>
  <c r="AH7994" i="3"/>
  <c r="AG7995" i="3"/>
  <c r="AH7995" i="3"/>
  <c r="AG7996" i="3"/>
  <c r="AH7996" i="3"/>
  <c r="AG7997" i="3"/>
  <c r="AH7997" i="3"/>
  <c r="AG7998" i="3"/>
  <c r="AH7998" i="3"/>
  <c r="AG7999" i="3"/>
  <c r="AH7999" i="3"/>
  <c r="AG8000" i="3"/>
  <c r="AH8000" i="3"/>
  <c r="AG8001" i="3"/>
  <c r="AH8001" i="3"/>
  <c r="AG8002" i="3"/>
  <c r="AH8002" i="3"/>
  <c r="AG8003" i="3"/>
  <c r="AH8003" i="3"/>
  <c r="AG8004" i="3"/>
  <c r="AH8004" i="3"/>
  <c r="AG8005" i="3"/>
  <c r="AH8005" i="3"/>
  <c r="AG8006" i="3"/>
  <c r="AH8006" i="3"/>
  <c r="AG8007" i="3"/>
  <c r="AH8007" i="3"/>
  <c r="AG8008" i="3"/>
  <c r="AH8008" i="3"/>
  <c r="AG8009" i="3"/>
  <c r="AH8009" i="3"/>
  <c r="AG8010" i="3"/>
  <c r="AH8010" i="3"/>
  <c r="AG8011" i="3"/>
  <c r="AH8011" i="3"/>
  <c r="AG8012" i="3"/>
  <c r="AH8012" i="3"/>
  <c r="AG8013" i="3"/>
  <c r="AH8013" i="3"/>
  <c r="AG8014" i="3"/>
  <c r="AH8014" i="3"/>
  <c r="AG8015" i="3"/>
  <c r="AH8015" i="3"/>
  <c r="AG8016" i="3"/>
  <c r="AH8016" i="3"/>
  <c r="AG8017" i="3"/>
  <c r="AH8017" i="3"/>
  <c r="AG8018" i="3"/>
  <c r="AH8018" i="3"/>
  <c r="AG8019" i="3"/>
  <c r="AH8019" i="3"/>
  <c r="AG8020" i="3"/>
  <c r="AH8020" i="3"/>
  <c r="AG8021" i="3"/>
  <c r="AH8021" i="3"/>
  <c r="AG8022" i="3"/>
  <c r="AH8022" i="3"/>
  <c r="AG8023" i="3"/>
  <c r="AH8023" i="3"/>
  <c r="AG8024" i="3"/>
  <c r="AH8024" i="3"/>
  <c r="AG8025" i="3"/>
  <c r="AH8025" i="3"/>
  <c r="AG8026" i="3"/>
  <c r="AH8026" i="3"/>
  <c r="AG8027" i="3"/>
  <c r="AH8027" i="3"/>
  <c r="AG8028" i="3"/>
  <c r="AH8028" i="3"/>
  <c r="AG8029" i="3"/>
  <c r="AH8029" i="3"/>
  <c r="AG8030" i="3"/>
  <c r="AH8030" i="3"/>
  <c r="AG8031" i="3"/>
  <c r="AH8031" i="3"/>
  <c r="AG8032" i="3"/>
  <c r="AH8032" i="3"/>
  <c r="AG8033" i="3"/>
  <c r="AH8033" i="3"/>
  <c r="AG8034" i="3"/>
  <c r="AH8034" i="3"/>
  <c r="AG8035" i="3"/>
  <c r="AH8035" i="3"/>
  <c r="AG8036" i="3"/>
  <c r="AH8036" i="3"/>
  <c r="AG8037" i="3"/>
  <c r="AH8037" i="3"/>
  <c r="AG8038" i="3"/>
  <c r="AH8038" i="3"/>
  <c r="AG8039" i="3"/>
  <c r="AH8039" i="3"/>
  <c r="AG8040" i="3"/>
  <c r="AH8040" i="3"/>
  <c r="AG8041" i="3"/>
  <c r="AH8041" i="3"/>
  <c r="AG8042" i="3"/>
  <c r="AH8042" i="3"/>
  <c r="AG8043" i="3"/>
  <c r="AH8043" i="3"/>
  <c r="AG8044" i="3"/>
  <c r="AH8044" i="3"/>
  <c r="AG8045" i="3"/>
  <c r="AH8045" i="3"/>
  <c r="AG8046" i="3"/>
  <c r="AH8046" i="3"/>
  <c r="AG8047" i="3"/>
  <c r="AH8047" i="3"/>
  <c r="AG8048" i="3"/>
  <c r="AH8048" i="3"/>
  <c r="AG8049" i="3"/>
  <c r="AH8049" i="3"/>
  <c r="AG8050" i="3"/>
  <c r="AH8050" i="3"/>
  <c r="AG8051" i="3"/>
  <c r="AH8051" i="3"/>
  <c r="AG8052" i="3"/>
  <c r="AH8052" i="3"/>
  <c r="AG8053" i="3"/>
  <c r="AH8053" i="3"/>
  <c r="AG8054" i="3"/>
  <c r="AH8054" i="3"/>
  <c r="AG8055" i="3"/>
  <c r="AH8055" i="3"/>
  <c r="AG8056" i="3"/>
  <c r="AH8056" i="3"/>
  <c r="AG8057" i="3"/>
  <c r="AH8057" i="3"/>
  <c r="AG8058" i="3"/>
  <c r="AH8058" i="3"/>
  <c r="AG8059" i="3"/>
  <c r="AH8059" i="3"/>
  <c r="AG8060" i="3"/>
  <c r="AH8060" i="3"/>
  <c r="AG8061" i="3"/>
  <c r="AH8061" i="3"/>
  <c r="AG8062" i="3"/>
  <c r="AH8062" i="3"/>
  <c r="AG8063" i="3"/>
  <c r="AH8063" i="3"/>
  <c r="AG8064" i="3"/>
  <c r="AH8064" i="3"/>
  <c r="AG8065" i="3"/>
  <c r="AH8065" i="3"/>
  <c r="AG8066" i="3"/>
  <c r="AH8066" i="3"/>
  <c r="AG8067" i="3"/>
  <c r="AH8067" i="3"/>
  <c r="AG8068" i="3"/>
  <c r="AH8068" i="3"/>
  <c r="AG8069" i="3"/>
  <c r="AH8069" i="3"/>
  <c r="AG8070" i="3"/>
  <c r="AH8070" i="3"/>
  <c r="AG8071" i="3"/>
  <c r="AH8071" i="3"/>
  <c r="AG8072" i="3"/>
  <c r="AH8072" i="3"/>
  <c r="AG8073" i="3"/>
  <c r="AH8073" i="3"/>
  <c r="AG8074" i="3"/>
  <c r="AH8074" i="3"/>
  <c r="AG8075" i="3"/>
  <c r="AH8075" i="3"/>
  <c r="AG8076" i="3"/>
  <c r="AH8076" i="3"/>
  <c r="AG8077" i="3"/>
  <c r="AH8077" i="3"/>
  <c r="AG8078" i="3"/>
  <c r="AH8078" i="3"/>
  <c r="AG8079" i="3"/>
  <c r="AH8079" i="3"/>
  <c r="AG8080" i="3"/>
  <c r="AH8080" i="3"/>
  <c r="AG8081" i="3"/>
  <c r="AH8081" i="3"/>
  <c r="AG8082" i="3"/>
  <c r="AH8082" i="3"/>
  <c r="AG8083" i="3"/>
  <c r="AH8083" i="3"/>
  <c r="AG8084" i="3"/>
  <c r="AH8084" i="3"/>
  <c r="AG8085" i="3"/>
  <c r="AH8085" i="3"/>
  <c r="AG8086" i="3"/>
  <c r="AH8086" i="3"/>
  <c r="AG8087" i="3"/>
  <c r="AH8087" i="3"/>
  <c r="AG8088" i="3"/>
  <c r="AH8088" i="3"/>
  <c r="AG8089" i="3"/>
  <c r="AH8089" i="3"/>
  <c r="AG8090" i="3"/>
  <c r="AH8090" i="3"/>
  <c r="AG8091" i="3"/>
  <c r="AH8091" i="3"/>
  <c r="AG8092" i="3"/>
  <c r="AH8092" i="3"/>
  <c r="AG8093" i="3"/>
  <c r="AH8093" i="3"/>
  <c r="AG8094" i="3"/>
  <c r="AH8094" i="3"/>
  <c r="AG8095" i="3"/>
  <c r="AH8095" i="3"/>
  <c r="AG8096" i="3"/>
  <c r="AH8096" i="3"/>
  <c r="AG8097" i="3"/>
  <c r="AH8097" i="3"/>
  <c r="AG8098" i="3"/>
  <c r="AH8098" i="3"/>
  <c r="AG8099" i="3"/>
  <c r="AH8099" i="3"/>
  <c r="AG8100" i="3"/>
  <c r="AH8100" i="3"/>
  <c r="AG8101" i="3"/>
  <c r="AH8101" i="3"/>
  <c r="AG8102" i="3"/>
  <c r="AH8102" i="3"/>
  <c r="AG8103" i="3"/>
  <c r="AH8103" i="3"/>
  <c r="AG8104" i="3"/>
  <c r="AH8104" i="3"/>
  <c r="AG8105" i="3"/>
  <c r="AH8105" i="3"/>
  <c r="AG8106" i="3"/>
  <c r="AH8106" i="3"/>
  <c r="AG8107" i="3"/>
  <c r="AH8107" i="3"/>
  <c r="AG8108" i="3"/>
  <c r="AH8108" i="3"/>
  <c r="AG8109" i="3"/>
  <c r="AH8109" i="3"/>
  <c r="AG8110" i="3"/>
  <c r="AH8110" i="3"/>
  <c r="AG8111" i="3"/>
  <c r="AH8111" i="3"/>
  <c r="AG8112" i="3"/>
  <c r="AH8112" i="3"/>
  <c r="AG8113" i="3"/>
  <c r="AH8113" i="3"/>
  <c r="AG8114" i="3"/>
  <c r="AH8114" i="3"/>
  <c r="AG8115" i="3"/>
  <c r="AH8115" i="3"/>
  <c r="AG8116" i="3"/>
  <c r="AH8116" i="3"/>
  <c r="AG8117" i="3"/>
  <c r="AH8117" i="3"/>
  <c r="AG8118" i="3"/>
  <c r="AH8118" i="3"/>
  <c r="AG8119" i="3"/>
  <c r="AH8119" i="3"/>
  <c r="AG8120" i="3"/>
  <c r="AH8120" i="3"/>
  <c r="AG8121" i="3"/>
  <c r="AH8121" i="3"/>
  <c r="AG8122" i="3"/>
  <c r="AH8122" i="3"/>
  <c r="AG8123" i="3"/>
  <c r="AH8123" i="3"/>
  <c r="AG8124" i="3"/>
  <c r="AH8124" i="3"/>
  <c r="AG8125" i="3"/>
  <c r="AH8125" i="3"/>
  <c r="AG8126" i="3"/>
  <c r="AH8126" i="3"/>
  <c r="AG8127" i="3"/>
  <c r="AH8127" i="3"/>
  <c r="AG8128" i="3"/>
  <c r="AH8128" i="3"/>
  <c r="AG8129" i="3"/>
  <c r="AH8129" i="3"/>
  <c r="AG8130" i="3"/>
  <c r="AH8130" i="3"/>
  <c r="AG8131" i="3"/>
  <c r="AH8131" i="3"/>
  <c r="AG8132" i="3"/>
  <c r="AH8132" i="3"/>
  <c r="AG8133" i="3"/>
  <c r="AH8133" i="3"/>
  <c r="AG8134" i="3"/>
  <c r="AH8134" i="3"/>
  <c r="AG8135" i="3"/>
  <c r="AH8135" i="3"/>
  <c r="AG8136" i="3"/>
  <c r="AH8136" i="3"/>
  <c r="AG8137" i="3"/>
  <c r="AH8137" i="3"/>
  <c r="AG8138" i="3"/>
  <c r="AH8138" i="3"/>
  <c r="AG8139" i="3"/>
  <c r="AH8139" i="3"/>
  <c r="AG8140" i="3"/>
  <c r="AH8140" i="3"/>
  <c r="AG8141" i="3"/>
  <c r="AH8141" i="3"/>
  <c r="AG8142" i="3"/>
  <c r="AH8142" i="3"/>
  <c r="AG8143" i="3"/>
  <c r="AH8143" i="3"/>
  <c r="AG8144" i="3"/>
  <c r="AH8144" i="3"/>
  <c r="AG8145" i="3"/>
  <c r="AH8145" i="3"/>
  <c r="AG8146" i="3"/>
  <c r="AH8146" i="3"/>
  <c r="AG8147" i="3"/>
  <c r="AH8147" i="3"/>
  <c r="AG8148" i="3"/>
  <c r="AH8148" i="3"/>
  <c r="AG8149" i="3"/>
  <c r="AH8149" i="3"/>
  <c r="AG8150" i="3"/>
  <c r="AH8150" i="3"/>
  <c r="AG8151" i="3"/>
  <c r="AH8151" i="3"/>
  <c r="AG8152" i="3"/>
  <c r="AH8152" i="3"/>
  <c r="AG8153" i="3"/>
  <c r="AH8153" i="3"/>
  <c r="AG8154" i="3"/>
  <c r="AH8154" i="3"/>
  <c r="AG8155" i="3"/>
  <c r="AH8155" i="3"/>
  <c r="AG8156" i="3"/>
  <c r="AH8156" i="3"/>
  <c r="AG8157" i="3"/>
  <c r="AH8157" i="3"/>
  <c r="AG8158" i="3"/>
  <c r="AH8158" i="3"/>
  <c r="AG8159" i="3"/>
  <c r="AH8159" i="3"/>
  <c r="AG8160" i="3"/>
  <c r="AH8160" i="3"/>
  <c r="AG8161" i="3"/>
  <c r="AH8161" i="3"/>
  <c r="AG8162" i="3"/>
  <c r="AH8162" i="3"/>
  <c r="AG8163" i="3"/>
  <c r="AH8163" i="3"/>
  <c r="AG8164" i="3"/>
  <c r="AH8164" i="3"/>
  <c r="AG8165" i="3"/>
  <c r="AH8165" i="3"/>
  <c r="AG8166" i="3"/>
  <c r="AH8166" i="3"/>
  <c r="AG8167" i="3"/>
  <c r="AH8167" i="3"/>
  <c r="AG8168" i="3"/>
  <c r="AH8168" i="3"/>
  <c r="AG8169" i="3"/>
  <c r="AH8169" i="3"/>
  <c r="AG8170" i="3"/>
  <c r="AH8170" i="3"/>
  <c r="AG8171" i="3"/>
  <c r="AH8171" i="3"/>
  <c r="AG8172" i="3"/>
  <c r="AH8172" i="3"/>
  <c r="AG8173" i="3"/>
  <c r="AH8173" i="3"/>
  <c r="AG8174" i="3"/>
  <c r="AH8174" i="3"/>
  <c r="AG8175" i="3"/>
  <c r="AH8175" i="3"/>
  <c r="AG8176" i="3"/>
  <c r="AH8176" i="3"/>
  <c r="AG8177" i="3"/>
  <c r="AH8177" i="3"/>
  <c r="AG8178" i="3"/>
  <c r="AH8178" i="3"/>
  <c r="AG8179" i="3"/>
  <c r="AH8179" i="3"/>
  <c r="AG8180" i="3"/>
  <c r="AH8180" i="3"/>
  <c r="AG8181" i="3"/>
  <c r="AH8181" i="3"/>
  <c r="AG8182" i="3"/>
  <c r="AH8182" i="3"/>
  <c r="AG8183" i="3"/>
  <c r="AH8183" i="3"/>
  <c r="AG8184" i="3"/>
  <c r="AH8184" i="3"/>
  <c r="AG8185" i="3"/>
  <c r="AH8185" i="3"/>
  <c r="AG8186" i="3"/>
  <c r="AH8186" i="3"/>
  <c r="AG8187" i="3"/>
  <c r="AH8187" i="3"/>
  <c r="AG8188" i="3"/>
  <c r="AH8188" i="3"/>
  <c r="AG8189" i="3"/>
  <c r="AH8189" i="3"/>
  <c r="AG8190" i="3"/>
  <c r="AH8190" i="3"/>
  <c r="AG8191" i="3"/>
  <c r="AH8191" i="3"/>
  <c r="AG8192" i="3"/>
  <c r="AH8192" i="3"/>
  <c r="AG8193" i="3"/>
  <c r="AH8193" i="3"/>
  <c r="AG8194" i="3"/>
  <c r="AH8194" i="3"/>
  <c r="AG8195" i="3"/>
  <c r="AH8195" i="3"/>
  <c r="AG8196" i="3"/>
  <c r="AH8196" i="3"/>
  <c r="AG8197" i="3"/>
  <c r="AH8197" i="3"/>
  <c r="AG8198" i="3"/>
  <c r="AH8198" i="3"/>
  <c r="AG8199" i="3"/>
  <c r="AH8199" i="3"/>
  <c r="AG8200" i="3"/>
  <c r="AH8200" i="3"/>
  <c r="AG8201" i="3"/>
  <c r="AH8201" i="3"/>
  <c r="AG8202" i="3"/>
  <c r="AH8202" i="3"/>
  <c r="AG8203" i="3"/>
  <c r="AH8203" i="3"/>
  <c r="AG8204" i="3"/>
  <c r="AH8204" i="3"/>
  <c r="AG8205" i="3"/>
  <c r="AH8205" i="3"/>
  <c r="AG8206" i="3"/>
  <c r="AH8206" i="3"/>
  <c r="AG8207" i="3"/>
  <c r="AH8207" i="3"/>
  <c r="AG8208" i="3"/>
  <c r="AH8208" i="3"/>
  <c r="AG8209" i="3"/>
  <c r="AH8209" i="3"/>
  <c r="AG8210" i="3"/>
  <c r="AH8210" i="3"/>
  <c r="AG8211" i="3"/>
  <c r="AH8211" i="3"/>
  <c r="AG8212" i="3"/>
  <c r="AH8212" i="3"/>
  <c r="AG8213" i="3"/>
  <c r="AH8213" i="3"/>
  <c r="AG8214" i="3"/>
  <c r="AH8214" i="3"/>
  <c r="AG8215" i="3"/>
  <c r="AH8215" i="3"/>
  <c r="AG8216" i="3"/>
  <c r="AH8216" i="3"/>
  <c r="AG8217" i="3"/>
  <c r="AH8217" i="3"/>
  <c r="AG8218" i="3"/>
  <c r="AH8218" i="3"/>
  <c r="AG8219" i="3"/>
  <c r="AH8219" i="3"/>
  <c r="AG8220" i="3"/>
  <c r="AH8220" i="3"/>
  <c r="AG8221" i="3"/>
  <c r="AH8221" i="3"/>
  <c r="AG8222" i="3"/>
  <c r="AH8222" i="3"/>
  <c r="AG8223" i="3"/>
  <c r="AH8223" i="3"/>
  <c r="AG8224" i="3"/>
  <c r="AH8224" i="3"/>
  <c r="AG8225" i="3"/>
  <c r="AH8225" i="3"/>
  <c r="AG8226" i="3"/>
  <c r="AH8226" i="3"/>
  <c r="AG8227" i="3"/>
  <c r="AH8227" i="3"/>
  <c r="AG8228" i="3"/>
  <c r="AH8228" i="3"/>
  <c r="AG8229" i="3"/>
  <c r="AH8229" i="3"/>
  <c r="AG8230" i="3"/>
  <c r="AH8230" i="3"/>
  <c r="AG8231" i="3"/>
  <c r="AH8231" i="3"/>
  <c r="AG8232" i="3"/>
  <c r="AH8232" i="3"/>
  <c r="AG8233" i="3"/>
  <c r="AH8233" i="3"/>
  <c r="AG8234" i="3"/>
  <c r="AH8234" i="3"/>
  <c r="AG8235" i="3"/>
  <c r="AH8235" i="3"/>
  <c r="AG8236" i="3"/>
  <c r="AH8236" i="3"/>
  <c r="AG8237" i="3"/>
  <c r="AH8237" i="3"/>
  <c r="AG8238" i="3"/>
  <c r="AH8238" i="3"/>
  <c r="AG8239" i="3"/>
  <c r="AH8239" i="3"/>
  <c r="AG8240" i="3"/>
  <c r="AH8240" i="3"/>
  <c r="AG8241" i="3"/>
  <c r="AH8241" i="3"/>
  <c r="AG8242" i="3"/>
  <c r="AH8242" i="3"/>
  <c r="AG8243" i="3"/>
  <c r="AH8243" i="3"/>
  <c r="AG8244" i="3"/>
  <c r="AH8244" i="3"/>
  <c r="AG8245" i="3"/>
  <c r="AH8245" i="3"/>
  <c r="AG8246" i="3"/>
  <c r="AH8246" i="3"/>
  <c r="AG8247" i="3"/>
  <c r="AH8247" i="3"/>
  <c r="AG8248" i="3"/>
  <c r="AH8248" i="3"/>
  <c r="AG8249" i="3"/>
  <c r="AH8249" i="3"/>
  <c r="AG8250" i="3"/>
  <c r="AH8250" i="3"/>
  <c r="AG8251" i="3"/>
  <c r="AH8251" i="3"/>
  <c r="AG8252" i="3"/>
  <c r="AH8252" i="3"/>
  <c r="AG8253" i="3"/>
  <c r="AH8253" i="3"/>
  <c r="AG8254" i="3"/>
  <c r="AH8254" i="3"/>
  <c r="AG8255" i="3"/>
  <c r="AH8255" i="3"/>
  <c r="AG8256" i="3"/>
  <c r="AH8256" i="3"/>
  <c r="AG8257" i="3"/>
  <c r="AH8257" i="3"/>
  <c r="AG8258" i="3"/>
  <c r="AH8258" i="3"/>
  <c r="AG8259" i="3"/>
  <c r="AH8259" i="3"/>
  <c r="AG8260" i="3"/>
  <c r="AH8260" i="3"/>
  <c r="AG8261" i="3"/>
  <c r="AH8261" i="3"/>
  <c r="AG8262" i="3"/>
  <c r="AH8262" i="3"/>
  <c r="AG8263" i="3"/>
  <c r="AH8263" i="3"/>
  <c r="AG8264" i="3"/>
  <c r="AH8264" i="3"/>
  <c r="AG8265" i="3"/>
  <c r="AH8265" i="3"/>
  <c r="AG8266" i="3"/>
  <c r="AH8266" i="3"/>
  <c r="AG8267" i="3"/>
  <c r="AH8267" i="3"/>
  <c r="AG8268" i="3"/>
  <c r="AH8268" i="3"/>
  <c r="AG8269" i="3"/>
  <c r="AH8269" i="3"/>
  <c r="AG8270" i="3"/>
  <c r="AH8270" i="3"/>
  <c r="AG8271" i="3"/>
  <c r="AH8271" i="3"/>
  <c r="AG8272" i="3"/>
  <c r="AH8272" i="3"/>
  <c r="AG8273" i="3"/>
  <c r="AH8273" i="3"/>
  <c r="AG8274" i="3"/>
  <c r="AH8274" i="3"/>
  <c r="AG8275" i="3"/>
  <c r="AH8275" i="3"/>
  <c r="AG8276" i="3"/>
  <c r="AH8276" i="3"/>
  <c r="AG8277" i="3"/>
  <c r="AH8277" i="3"/>
  <c r="AG8278" i="3"/>
  <c r="AH8278" i="3"/>
  <c r="AG8279" i="3"/>
  <c r="AH8279" i="3"/>
  <c r="AG8280" i="3"/>
  <c r="AH8280" i="3"/>
  <c r="AG8281" i="3"/>
  <c r="AH8281" i="3"/>
  <c r="AG8282" i="3"/>
  <c r="AH8282" i="3"/>
  <c r="AG8283" i="3"/>
  <c r="AH8283" i="3"/>
  <c r="AG8284" i="3"/>
  <c r="AH8284" i="3"/>
  <c r="AG8285" i="3"/>
  <c r="AH8285" i="3"/>
  <c r="AG8286" i="3"/>
  <c r="AH8286" i="3"/>
  <c r="AG8287" i="3"/>
  <c r="AH8287" i="3"/>
  <c r="AG8288" i="3"/>
  <c r="AH8288" i="3"/>
  <c r="AG8289" i="3"/>
  <c r="AH8289" i="3"/>
  <c r="AG8290" i="3"/>
  <c r="AH8290" i="3"/>
  <c r="AG8291" i="3"/>
  <c r="AH8291" i="3"/>
  <c r="AG8292" i="3"/>
  <c r="AH8292" i="3"/>
  <c r="AG8293" i="3"/>
  <c r="AH8293" i="3"/>
  <c r="AG8294" i="3"/>
  <c r="AH8294" i="3"/>
  <c r="AG8295" i="3"/>
  <c r="AH8295" i="3"/>
  <c r="AG8296" i="3"/>
  <c r="AH8296" i="3"/>
  <c r="AG8297" i="3"/>
  <c r="AH8297" i="3"/>
  <c r="AG8298" i="3"/>
  <c r="AH8298" i="3"/>
  <c r="AG8299" i="3"/>
  <c r="AH8299" i="3"/>
  <c r="AG8300" i="3"/>
  <c r="AH8300" i="3"/>
  <c r="AG8301" i="3"/>
  <c r="AH8301" i="3"/>
  <c r="AG8302" i="3"/>
  <c r="AH8302" i="3"/>
  <c r="AG8303" i="3"/>
  <c r="AH8303" i="3"/>
  <c r="AG8304" i="3"/>
  <c r="AH8304" i="3"/>
  <c r="AG8305" i="3"/>
  <c r="AH8305" i="3"/>
  <c r="AG8306" i="3"/>
  <c r="AH8306" i="3"/>
  <c r="AG8307" i="3"/>
  <c r="AH8307" i="3"/>
  <c r="AG8308" i="3"/>
  <c r="AH8308" i="3"/>
  <c r="AG8309" i="3"/>
  <c r="AH8309" i="3"/>
  <c r="AG8310" i="3"/>
  <c r="AH8310" i="3"/>
  <c r="AG8311" i="3"/>
  <c r="AH8311" i="3"/>
  <c r="AG8312" i="3"/>
  <c r="AH8312" i="3"/>
  <c r="AG8313" i="3"/>
  <c r="AH8313" i="3"/>
  <c r="AG8314" i="3"/>
  <c r="AH8314" i="3"/>
  <c r="AG8315" i="3"/>
  <c r="AH8315" i="3"/>
  <c r="AG8316" i="3"/>
  <c r="AH8316" i="3"/>
  <c r="AG8317" i="3"/>
  <c r="AH8317" i="3"/>
  <c r="AG8318" i="3"/>
  <c r="AH8318" i="3"/>
  <c r="AG8319" i="3"/>
  <c r="AH8319" i="3"/>
  <c r="AG8320" i="3"/>
  <c r="AH8320" i="3"/>
  <c r="AG8321" i="3"/>
  <c r="AH8321" i="3"/>
  <c r="AG8322" i="3"/>
  <c r="AH8322" i="3"/>
  <c r="AG8323" i="3"/>
  <c r="AH8323" i="3"/>
  <c r="AG8324" i="3"/>
  <c r="AH8324" i="3"/>
  <c r="AG8325" i="3"/>
  <c r="AH8325" i="3"/>
  <c r="AG8326" i="3"/>
  <c r="AH8326" i="3"/>
  <c r="AG8327" i="3"/>
  <c r="AH8327" i="3"/>
  <c r="AG8328" i="3"/>
  <c r="AH8328" i="3"/>
  <c r="AG8329" i="3"/>
  <c r="AH8329" i="3"/>
  <c r="AG8330" i="3"/>
  <c r="AH8330" i="3"/>
  <c r="AG8331" i="3"/>
  <c r="AH8331" i="3"/>
  <c r="AG8332" i="3"/>
  <c r="AH8332" i="3"/>
  <c r="AG8333" i="3"/>
  <c r="AH8333" i="3"/>
  <c r="AG8334" i="3"/>
  <c r="AH8334" i="3"/>
  <c r="AG8335" i="3"/>
  <c r="AH8335" i="3"/>
  <c r="AG8336" i="3"/>
  <c r="AH8336" i="3"/>
  <c r="AG8337" i="3"/>
  <c r="AH8337" i="3"/>
  <c r="AG8338" i="3"/>
  <c r="AH8338" i="3"/>
  <c r="AG8339" i="3"/>
  <c r="AH8339" i="3"/>
  <c r="AG8340" i="3"/>
  <c r="AH8340" i="3"/>
  <c r="AG8341" i="3"/>
  <c r="AH8341" i="3"/>
  <c r="AG8342" i="3"/>
  <c r="AH8342" i="3"/>
  <c r="AG8343" i="3"/>
  <c r="AH8343" i="3"/>
  <c r="AG8344" i="3"/>
  <c r="AH8344" i="3"/>
  <c r="AG8345" i="3"/>
  <c r="AH8345" i="3"/>
  <c r="AG8346" i="3"/>
  <c r="AH8346" i="3"/>
  <c r="AG8347" i="3"/>
  <c r="AH8347" i="3"/>
  <c r="AG8348" i="3"/>
  <c r="AH8348" i="3"/>
  <c r="AG8349" i="3"/>
  <c r="AH8349" i="3"/>
  <c r="AG8350" i="3"/>
  <c r="AH8350" i="3"/>
  <c r="AG8351" i="3"/>
  <c r="AH8351" i="3"/>
  <c r="AG8352" i="3"/>
  <c r="AH8352" i="3"/>
  <c r="AG8353" i="3"/>
  <c r="AH8353" i="3"/>
  <c r="AG8354" i="3"/>
  <c r="AH8354" i="3"/>
  <c r="AG8355" i="3"/>
  <c r="AH8355" i="3"/>
  <c r="AG8356" i="3"/>
  <c r="AH8356" i="3"/>
  <c r="AG8357" i="3"/>
  <c r="AH8357" i="3"/>
  <c r="AG8358" i="3"/>
  <c r="AH8358" i="3"/>
  <c r="AG8359" i="3"/>
  <c r="AH8359" i="3"/>
  <c r="AG8360" i="3"/>
  <c r="AH8360" i="3"/>
  <c r="AG8361" i="3"/>
  <c r="AH8361" i="3"/>
  <c r="AG8362" i="3"/>
  <c r="AH8362" i="3"/>
  <c r="AG8363" i="3"/>
  <c r="AH8363" i="3"/>
  <c r="AG8364" i="3"/>
  <c r="AH8364" i="3"/>
  <c r="AG8365" i="3"/>
  <c r="AH8365" i="3"/>
  <c r="AG8366" i="3"/>
  <c r="AH8366" i="3"/>
  <c r="AG8367" i="3"/>
  <c r="AH8367" i="3"/>
  <c r="AG8368" i="3"/>
  <c r="AH8368" i="3"/>
  <c r="AG8369" i="3"/>
  <c r="AH8369" i="3"/>
  <c r="AG8370" i="3"/>
  <c r="AH8370" i="3"/>
  <c r="AG8371" i="3"/>
  <c r="AH8371" i="3"/>
  <c r="AG8372" i="3"/>
  <c r="AH8372" i="3"/>
  <c r="AG8373" i="3"/>
  <c r="AH8373" i="3"/>
  <c r="AG8374" i="3"/>
  <c r="AH8374" i="3"/>
  <c r="AG8375" i="3"/>
  <c r="AH8375" i="3"/>
  <c r="AG8376" i="3"/>
  <c r="AH8376" i="3"/>
  <c r="AG8377" i="3"/>
  <c r="AH8377" i="3"/>
  <c r="AG8378" i="3"/>
  <c r="AH8378" i="3"/>
  <c r="AG8379" i="3"/>
  <c r="AH8379" i="3"/>
  <c r="AG8380" i="3"/>
  <c r="AH8380" i="3"/>
  <c r="AG8381" i="3"/>
  <c r="AH8381" i="3"/>
  <c r="AG8382" i="3"/>
  <c r="AH8382" i="3"/>
  <c r="AG8383" i="3"/>
  <c r="AH8383" i="3"/>
  <c r="AG8384" i="3"/>
  <c r="AH8384" i="3"/>
  <c r="AG8385" i="3"/>
  <c r="AH8385" i="3"/>
  <c r="AG8386" i="3"/>
  <c r="AH8386" i="3"/>
  <c r="AG8387" i="3"/>
  <c r="AH8387" i="3"/>
  <c r="AG8388" i="3"/>
  <c r="AH8388" i="3"/>
  <c r="AG8389" i="3"/>
  <c r="AH8389" i="3"/>
  <c r="AG8390" i="3"/>
  <c r="AH8390" i="3"/>
  <c r="AG8391" i="3"/>
  <c r="AH8391" i="3"/>
  <c r="AG8392" i="3"/>
  <c r="AH8392" i="3"/>
  <c r="AG8393" i="3"/>
  <c r="AH8393" i="3"/>
  <c r="AG8394" i="3"/>
  <c r="AH8394" i="3"/>
  <c r="AG8395" i="3"/>
  <c r="AH8395" i="3"/>
  <c r="AG8396" i="3"/>
  <c r="AH8396" i="3"/>
  <c r="AG8397" i="3"/>
  <c r="AH8397" i="3"/>
  <c r="AG8398" i="3"/>
  <c r="AH8398" i="3"/>
  <c r="AG8399" i="3"/>
  <c r="AH8399" i="3"/>
  <c r="AG8400" i="3"/>
  <c r="AH8400" i="3"/>
  <c r="AG8401" i="3"/>
  <c r="AH8401" i="3"/>
  <c r="AG8402" i="3"/>
  <c r="AH8402" i="3"/>
  <c r="AG8403" i="3"/>
  <c r="AH8403" i="3"/>
  <c r="AG8404" i="3"/>
  <c r="AH8404" i="3"/>
  <c r="AG8405" i="3"/>
  <c r="AH8405" i="3"/>
  <c r="AG8406" i="3"/>
  <c r="AH8406" i="3"/>
  <c r="AG8407" i="3"/>
  <c r="AH8407" i="3"/>
  <c r="AG8408" i="3"/>
  <c r="AH8408" i="3"/>
  <c r="AG8409" i="3"/>
  <c r="AH8409" i="3"/>
  <c r="AG8410" i="3"/>
  <c r="AH8410" i="3"/>
  <c r="AG8411" i="3"/>
  <c r="AH8411" i="3"/>
  <c r="AG8412" i="3"/>
  <c r="AH8412" i="3"/>
  <c r="AG8413" i="3"/>
  <c r="AH8413" i="3"/>
  <c r="AG8414" i="3"/>
  <c r="AH8414" i="3"/>
  <c r="AG8415" i="3"/>
  <c r="AH8415" i="3"/>
  <c r="AG8416" i="3"/>
  <c r="AH8416" i="3"/>
  <c r="AG8417" i="3"/>
  <c r="AH8417" i="3"/>
  <c r="AG8418" i="3"/>
  <c r="AH8418" i="3"/>
  <c r="AG8419" i="3"/>
  <c r="AH8419" i="3"/>
  <c r="AG8420" i="3"/>
  <c r="AH8420" i="3"/>
  <c r="AG8421" i="3"/>
  <c r="AH8421" i="3"/>
  <c r="AG8422" i="3"/>
  <c r="AH8422" i="3"/>
  <c r="AG8423" i="3"/>
  <c r="AH8423" i="3"/>
  <c r="AG8424" i="3"/>
  <c r="AH8424" i="3"/>
  <c r="AG8425" i="3"/>
  <c r="AH8425" i="3"/>
  <c r="AG8426" i="3"/>
  <c r="AH8426" i="3"/>
  <c r="AG8427" i="3"/>
  <c r="AH8427" i="3"/>
  <c r="AG8428" i="3"/>
  <c r="AH8428" i="3"/>
  <c r="AG8429" i="3"/>
  <c r="AH8429" i="3"/>
  <c r="AG8430" i="3"/>
  <c r="AH8430" i="3"/>
  <c r="AG8431" i="3"/>
  <c r="AH8431" i="3"/>
  <c r="AG8432" i="3"/>
  <c r="AH8432" i="3"/>
  <c r="AG8433" i="3"/>
  <c r="AH8433" i="3"/>
  <c r="AG8434" i="3"/>
  <c r="AH8434" i="3"/>
  <c r="AG8435" i="3"/>
  <c r="AH8435" i="3"/>
  <c r="AG8436" i="3"/>
  <c r="AH8436" i="3"/>
  <c r="AG8437" i="3"/>
  <c r="AH8437" i="3"/>
  <c r="AG8438" i="3"/>
  <c r="AH8438" i="3"/>
  <c r="AG8439" i="3"/>
  <c r="AH8439" i="3"/>
  <c r="AG8440" i="3"/>
  <c r="AH8440" i="3"/>
  <c r="AG8441" i="3"/>
  <c r="AH8441" i="3"/>
  <c r="AG8442" i="3"/>
  <c r="AH8442" i="3"/>
  <c r="AG8443" i="3"/>
  <c r="AH8443" i="3"/>
  <c r="AG8444" i="3"/>
  <c r="AH8444" i="3"/>
  <c r="AG8445" i="3"/>
  <c r="AH8445" i="3"/>
  <c r="AG8446" i="3"/>
  <c r="AH8446" i="3"/>
  <c r="AG8447" i="3"/>
  <c r="AH8447" i="3"/>
  <c r="AG8448" i="3"/>
  <c r="AH8448" i="3"/>
  <c r="AG8449" i="3"/>
  <c r="AH8449" i="3"/>
  <c r="AG8450" i="3"/>
  <c r="AH8450" i="3"/>
  <c r="AG8451" i="3"/>
  <c r="AH8451" i="3"/>
  <c r="AG8452" i="3"/>
  <c r="AH8452" i="3"/>
  <c r="AG8453" i="3"/>
  <c r="AH8453" i="3"/>
  <c r="AG8454" i="3"/>
  <c r="AH8454" i="3"/>
  <c r="AG8455" i="3"/>
  <c r="AH8455" i="3"/>
  <c r="AG8456" i="3"/>
  <c r="AH8456" i="3"/>
  <c r="AG8457" i="3"/>
  <c r="AH8457" i="3"/>
  <c r="AG8458" i="3"/>
  <c r="AH8458" i="3"/>
  <c r="AG8459" i="3"/>
  <c r="AH8459" i="3"/>
  <c r="AG8460" i="3"/>
  <c r="AH8460" i="3"/>
  <c r="AG8461" i="3"/>
  <c r="AH8461" i="3"/>
  <c r="AG8462" i="3"/>
  <c r="AH8462" i="3"/>
  <c r="AG8463" i="3"/>
  <c r="AH8463" i="3"/>
  <c r="AG8464" i="3"/>
  <c r="AH8464" i="3"/>
  <c r="AG8465" i="3"/>
  <c r="AH8465" i="3"/>
  <c r="AG8466" i="3"/>
  <c r="AH8466" i="3"/>
  <c r="AG8467" i="3"/>
  <c r="AH8467" i="3"/>
  <c r="AG8468" i="3"/>
  <c r="AH8468" i="3"/>
  <c r="AG8469" i="3"/>
  <c r="AH8469" i="3"/>
  <c r="AG8470" i="3"/>
  <c r="AH8470" i="3"/>
  <c r="AG8471" i="3"/>
  <c r="AH8471" i="3"/>
  <c r="AG8472" i="3"/>
  <c r="AH8472" i="3"/>
  <c r="AG8473" i="3"/>
  <c r="AH8473" i="3"/>
  <c r="AG8474" i="3"/>
  <c r="AH8474" i="3"/>
  <c r="AG8475" i="3"/>
  <c r="AH8475" i="3"/>
  <c r="AG8476" i="3"/>
  <c r="AH8476" i="3"/>
  <c r="AG8477" i="3"/>
  <c r="AH8477" i="3"/>
  <c r="AG8478" i="3"/>
  <c r="AH8478" i="3"/>
  <c r="AG8479" i="3"/>
  <c r="AH8479" i="3"/>
  <c r="AG8480" i="3"/>
  <c r="AH8480" i="3"/>
  <c r="AG8481" i="3"/>
  <c r="AH8481" i="3"/>
  <c r="AG8482" i="3"/>
  <c r="AH8482" i="3"/>
  <c r="AG8483" i="3"/>
  <c r="AH8483" i="3"/>
  <c r="AG8484" i="3"/>
  <c r="AH8484" i="3"/>
  <c r="AG8485" i="3"/>
  <c r="AH8485" i="3"/>
  <c r="AG8486" i="3"/>
  <c r="AH8486" i="3"/>
  <c r="AG8487" i="3"/>
  <c r="AH8487" i="3"/>
  <c r="AG8488" i="3"/>
  <c r="AH8488" i="3"/>
  <c r="AG8489" i="3"/>
  <c r="AH8489" i="3"/>
  <c r="AG8490" i="3"/>
  <c r="AH8490" i="3"/>
  <c r="AG8491" i="3"/>
  <c r="AH8491" i="3"/>
  <c r="AG8492" i="3"/>
  <c r="AH8492" i="3"/>
  <c r="AG8493" i="3"/>
  <c r="AH8493" i="3"/>
  <c r="AG8494" i="3"/>
  <c r="AH8494" i="3"/>
  <c r="AG8495" i="3"/>
  <c r="AH8495" i="3"/>
  <c r="AG8496" i="3"/>
  <c r="AH8496" i="3"/>
  <c r="AG8497" i="3"/>
  <c r="AH8497" i="3"/>
  <c r="AG8498" i="3"/>
  <c r="AH8498" i="3"/>
  <c r="AG8499" i="3"/>
  <c r="AH8499" i="3"/>
  <c r="AG8500" i="3"/>
  <c r="AH8500" i="3"/>
  <c r="AG8501" i="3"/>
  <c r="AH8501" i="3"/>
  <c r="AG8502" i="3"/>
  <c r="AH8502" i="3"/>
  <c r="AG8503" i="3"/>
  <c r="AH8503" i="3"/>
  <c r="AG8504" i="3"/>
  <c r="AH8504" i="3"/>
  <c r="AG8505" i="3"/>
  <c r="AH8505" i="3"/>
  <c r="AG8506" i="3"/>
  <c r="AH8506" i="3"/>
  <c r="AG8507" i="3"/>
  <c r="AH8507" i="3"/>
  <c r="AG8508" i="3"/>
  <c r="AH8508" i="3"/>
  <c r="AG8509" i="3"/>
  <c r="AH8509" i="3"/>
  <c r="AG8510" i="3"/>
  <c r="AH8510" i="3"/>
  <c r="AG8511" i="3"/>
  <c r="AH8511" i="3"/>
  <c r="AG8512" i="3"/>
  <c r="AH8512" i="3"/>
  <c r="AG8513" i="3"/>
  <c r="AH8513" i="3"/>
  <c r="AG8514" i="3"/>
  <c r="AH8514" i="3"/>
  <c r="AG8515" i="3"/>
  <c r="AH8515" i="3"/>
  <c r="AG8516" i="3"/>
  <c r="AH8516" i="3"/>
  <c r="AG8517" i="3"/>
  <c r="AH8517" i="3"/>
  <c r="AG8518" i="3"/>
  <c r="AH8518" i="3"/>
  <c r="AG8519" i="3"/>
  <c r="AH8519" i="3"/>
  <c r="AG8520" i="3"/>
  <c r="AH8520" i="3"/>
  <c r="AG8521" i="3"/>
  <c r="AH8521" i="3"/>
  <c r="AG8522" i="3"/>
  <c r="AH8522" i="3"/>
  <c r="AG8523" i="3"/>
  <c r="AH8523" i="3"/>
  <c r="AG8524" i="3"/>
  <c r="AH8524" i="3"/>
  <c r="AG8525" i="3"/>
  <c r="AH8525" i="3"/>
  <c r="AG8526" i="3"/>
  <c r="AH8526" i="3"/>
  <c r="AG8527" i="3"/>
  <c r="AH8527" i="3"/>
  <c r="AG8528" i="3"/>
  <c r="AH8528" i="3"/>
  <c r="AG8529" i="3"/>
  <c r="AH8529" i="3"/>
  <c r="AG8530" i="3"/>
  <c r="AH8530" i="3"/>
  <c r="AG8531" i="3"/>
  <c r="AH8531" i="3"/>
  <c r="AG8532" i="3"/>
  <c r="AH8532" i="3"/>
  <c r="AG8533" i="3"/>
  <c r="AH8533" i="3"/>
  <c r="AG8534" i="3"/>
  <c r="AH8534" i="3"/>
  <c r="AG8535" i="3"/>
  <c r="AH8535" i="3"/>
  <c r="AG8536" i="3"/>
  <c r="AH8536" i="3"/>
  <c r="AG8537" i="3"/>
  <c r="AH8537" i="3"/>
  <c r="AG8538" i="3"/>
  <c r="AH8538" i="3"/>
  <c r="AG8539" i="3"/>
  <c r="AH8539" i="3"/>
  <c r="AG8540" i="3"/>
  <c r="AH8540" i="3"/>
  <c r="AG8541" i="3"/>
  <c r="AH8541" i="3"/>
  <c r="AG8542" i="3"/>
  <c r="AH8542" i="3"/>
  <c r="AG8543" i="3"/>
  <c r="AH8543" i="3"/>
  <c r="AG8544" i="3"/>
  <c r="AH8544" i="3"/>
  <c r="AG8545" i="3"/>
  <c r="AH8545" i="3"/>
  <c r="AG8546" i="3"/>
  <c r="AH8546" i="3"/>
  <c r="AG8547" i="3"/>
  <c r="AH8547" i="3"/>
  <c r="AG8548" i="3"/>
  <c r="AH8548" i="3"/>
  <c r="AG8549" i="3"/>
  <c r="AH8549" i="3"/>
  <c r="AG8550" i="3"/>
  <c r="AH8550" i="3"/>
  <c r="AG8551" i="3"/>
  <c r="AH8551" i="3"/>
  <c r="AG8552" i="3"/>
  <c r="AH8552" i="3"/>
  <c r="AG8553" i="3"/>
  <c r="AH8553" i="3"/>
  <c r="AG8554" i="3"/>
  <c r="AH8554" i="3"/>
  <c r="AG8555" i="3"/>
  <c r="AH8555" i="3"/>
  <c r="AG8556" i="3"/>
  <c r="AH8556" i="3"/>
  <c r="AG8557" i="3"/>
  <c r="AH8557" i="3"/>
  <c r="AG8558" i="3"/>
  <c r="AH8558" i="3"/>
  <c r="AG8559" i="3"/>
  <c r="AH8559" i="3"/>
  <c r="AG8560" i="3"/>
  <c r="AH8560" i="3"/>
  <c r="AG8561" i="3"/>
  <c r="AH8561" i="3"/>
  <c r="AG8562" i="3"/>
  <c r="AH8562" i="3"/>
  <c r="AG8563" i="3"/>
  <c r="AH8563" i="3"/>
  <c r="AG8564" i="3"/>
  <c r="AH8564" i="3"/>
  <c r="AG8565" i="3"/>
  <c r="AH8565" i="3"/>
  <c r="AG8566" i="3"/>
  <c r="AH8566" i="3"/>
  <c r="AG8567" i="3"/>
  <c r="AH8567" i="3"/>
  <c r="AG8568" i="3"/>
  <c r="AH8568" i="3"/>
  <c r="AG8569" i="3"/>
  <c r="AH8569" i="3"/>
  <c r="AG8570" i="3"/>
  <c r="AH8570" i="3"/>
  <c r="AG8571" i="3"/>
  <c r="AH8571" i="3"/>
  <c r="AG8572" i="3"/>
  <c r="AH8572" i="3"/>
  <c r="AG8573" i="3"/>
  <c r="AH8573" i="3"/>
  <c r="AG8574" i="3"/>
  <c r="AH8574" i="3"/>
  <c r="AG8575" i="3"/>
  <c r="AH8575" i="3"/>
  <c r="AG8576" i="3"/>
  <c r="AH8576" i="3"/>
  <c r="AG8577" i="3"/>
  <c r="AH8577" i="3"/>
  <c r="AG8578" i="3"/>
  <c r="AH8578" i="3"/>
  <c r="AG8579" i="3"/>
  <c r="AH8579" i="3"/>
  <c r="AG8580" i="3"/>
  <c r="AH8580" i="3"/>
  <c r="AG8581" i="3"/>
  <c r="AH8581" i="3"/>
  <c r="AG8582" i="3"/>
  <c r="AH8582" i="3"/>
  <c r="AG8583" i="3"/>
  <c r="AH8583" i="3"/>
  <c r="AG8584" i="3"/>
  <c r="AH8584" i="3"/>
  <c r="AG8585" i="3"/>
  <c r="AH8585" i="3"/>
  <c r="AG8586" i="3"/>
  <c r="AH8586" i="3"/>
  <c r="AG8587" i="3"/>
  <c r="AH8587" i="3"/>
  <c r="AG8588" i="3"/>
  <c r="AH8588" i="3"/>
  <c r="AG8589" i="3"/>
  <c r="AH8589" i="3"/>
  <c r="AG8590" i="3"/>
  <c r="AH8590" i="3"/>
  <c r="AG8591" i="3"/>
  <c r="AH8591" i="3"/>
  <c r="AG8592" i="3"/>
  <c r="AH8592" i="3"/>
  <c r="AG8593" i="3"/>
  <c r="AH8593" i="3"/>
  <c r="AG8594" i="3"/>
  <c r="AH8594" i="3"/>
  <c r="AG8595" i="3"/>
  <c r="AH8595" i="3"/>
  <c r="AG8596" i="3"/>
  <c r="AH8596" i="3"/>
  <c r="AG8597" i="3"/>
  <c r="AH8597" i="3"/>
  <c r="AG8598" i="3"/>
  <c r="AH8598" i="3"/>
  <c r="AG8599" i="3"/>
  <c r="AH8599" i="3"/>
  <c r="AG8600" i="3"/>
  <c r="AH8600" i="3"/>
  <c r="AG8601" i="3"/>
  <c r="AH8601" i="3"/>
  <c r="AG8602" i="3"/>
  <c r="AH8602" i="3"/>
  <c r="AG8603" i="3"/>
  <c r="AH8603" i="3"/>
  <c r="AG8604" i="3"/>
  <c r="AH8604" i="3"/>
  <c r="AG8605" i="3"/>
  <c r="AH8605" i="3"/>
  <c r="AG8606" i="3"/>
  <c r="AH8606" i="3"/>
  <c r="AG8607" i="3"/>
  <c r="AH8607" i="3"/>
  <c r="AG8608" i="3"/>
  <c r="AH8608" i="3"/>
  <c r="AG8609" i="3"/>
  <c r="AH8609" i="3"/>
  <c r="AG8610" i="3"/>
  <c r="AH8610" i="3"/>
  <c r="AG8611" i="3"/>
  <c r="AH8611" i="3"/>
  <c r="AG8612" i="3"/>
  <c r="AH8612" i="3"/>
  <c r="AG8613" i="3"/>
  <c r="AH8613" i="3"/>
  <c r="AG8614" i="3"/>
  <c r="AH8614" i="3"/>
  <c r="AG8615" i="3"/>
  <c r="AH8615" i="3"/>
  <c r="AG8616" i="3"/>
  <c r="AH8616" i="3"/>
  <c r="AG8617" i="3"/>
  <c r="AH8617" i="3"/>
  <c r="AG8618" i="3"/>
  <c r="AH8618" i="3"/>
  <c r="AG8619" i="3"/>
  <c r="AH8619" i="3"/>
  <c r="AG8620" i="3"/>
  <c r="AH8620" i="3"/>
  <c r="AG8621" i="3"/>
  <c r="AH8621" i="3"/>
  <c r="AG8622" i="3"/>
  <c r="AH8622" i="3"/>
  <c r="AG8623" i="3"/>
  <c r="AH8623" i="3"/>
  <c r="AG8624" i="3"/>
  <c r="AH8624" i="3"/>
  <c r="AG8625" i="3"/>
  <c r="AH8625" i="3"/>
  <c r="AG8626" i="3"/>
  <c r="AH8626" i="3"/>
  <c r="AG8627" i="3"/>
  <c r="AH8627" i="3"/>
  <c r="AG8628" i="3"/>
  <c r="AH8628" i="3"/>
  <c r="AG8629" i="3"/>
  <c r="AH8629" i="3"/>
  <c r="AG8630" i="3"/>
  <c r="AH8630" i="3"/>
  <c r="AG8631" i="3"/>
  <c r="AH8631" i="3"/>
  <c r="AG8632" i="3"/>
  <c r="AH8632" i="3"/>
  <c r="AG8633" i="3"/>
  <c r="AH8633" i="3"/>
  <c r="AG8634" i="3"/>
  <c r="AH8634" i="3"/>
  <c r="AG8635" i="3"/>
  <c r="AH8635" i="3"/>
  <c r="AG8636" i="3"/>
  <c r="AH8636" i="3"/>
  <c r="AG8637" i="3"/>
  <c r="AH8637" i="3"/>
  <c r="AG8638" i="3"/>
  <c r="AH8638" i="3"/>
  <c r="AG8639" i="3"/>
  <c r="AH8639" i="3"/>
  <c r="AG8640" i="3"/>
  <c r="AH8640" i="3"/>
  <c r="AG8641" i="3"/>
  <c r="AH8641" i="3"/>
  <c r="AG8642" i="3"/>
  <c r="AH8642" i="3"/>
  <c r="AG8643" i="3"/>
  <c r="AH8643" i="3"/>
  <c r="AG8644" i="3"/>
  <c r="AH8644" i="3"/>
  <c r="AG8645" i="3"/>
  <c r="AH8645" i="3"/>
  <c r="AG8646" i="3"/>
  <c r="AH8646" i="3"/>
  <c r="AG8647" i="3"/>
  <c r="AH8647" i="3"/>
  <c r="AG8648" i="3"/>
  <c r="AH8648" i="3"/>
  <c r="AG8649" i="3"/>
  <c r="AH8649" i="3"/>
  <c r="AG8650" i="3"/>
  <c r="AH8650" i="3"/>
  <c r="AG8651" i="3"/>
  <c r="AH8651" i="3"/>
  <c r="AG8652" i="3"/>
  <c r="AH8652" i="3"/>
  <c r="AG8653" i="3"/>
  <c r="AH8653" i="3"/>
  <c r="AG8654" i="3"/>
  <c r="AH8654" i="3"/>
  <c r="AG8655" i="3"/>
  <c r="AH8655" i="3"/>
  <c r="AG8656" i="3"/>
  <c r="AH8656" i="3"/>
  <c r="AG8657" i="3"/>
  <c r="AH8657" i="3"/>
  <c r="AG8658" i="3"/>
  <c r="AH8658" i="3"/>
  <c r="AG8659" i="3"/>
  <c r="AH8659" i="3"/>
  <c r="AG8660" i="3"/>
  <c r="AH8660" i="3"/>
  <c r="AG8661" i="3"/>
  <c r="AH8661" i="3"/>
  <c r="AG8662" i="3"/>
  <c r="AH8662" i="3"/>
  <c r="AG8663" i="3"/>
  <c r="AH8663" i="3"/>
  <c r="AG8664" i="3"/>
  <c r="AH8664" i="3"/>
  <c r="AG8665" i="3"/>
  <c r="AH8665" i="3"/>
  <c r="AG8666" i="3"/>
  <c r="AH8666" i="3"/>
  <c r="AG8667" i="3"/>
  <c r="AH8667" i="3"/>
  <c r="AG8668" i="3"/>
  <c r="AH8668" i="3"/>
  <c r="AG8669" i="3"/>
  <c r="AH8669" i="3"/>
  <c r="AG8670" i="3"/>
  <c r="AH8670" i="3"/>
  <c r="AG8671" i="3"/>
  <c r="AH8671" i="3"/>
  <c r="AG8672" i="3"/>
  <c r="AH8672" i="3"/>
  <c r="AG8673" i="3"/>
  <c r="AH8673" i="3"/>
  <c r="AG8674" i="3"/>
  <c r="AH8674" i="3"/>
  <c r="AG8675" i="3"/>
  <c r="AH8675" i="3"/>
  <c r="AG8676" i="3"/>
  <c r="AH8676" i="3"/>
  <c r="AG8677" i="3"/>
  <c r="AH8677" i="3"/>
  <c r="AG8678" i="3"/>
  <c r="AH8678" i="3"/>
  <c r="AG8679" i="3"/>
  <c r="AH8679" i="3"/>
  <c r="AG8680" i="3"/>
  <c r="AH8680" i="3"/>
  <c r="AG8681" i="3"/>
  <c r="AH8681" i="3"/>
  <c r="AG8682" i="3"/>
  <c r="AH8682" i="3"/>
  <c r="AG8683" i="3"/>
  <c r="AH8683" i="3"/>
  <c r="AG8684" i="3"/>
  <c r="AH8684" i="3"/>
  <c r="AG8685" i="3"/>
  <c r="AH8685" i="3"/>
  <c r="AG8686" i="3"/>
  <c r="AH8686" i="3"/>
  <c r="AG8687" i="3"/>
  <c r="AH8687" i="3"/>
  <c r="AG8688" i="3"/>
  <c r="AH8688" i="3"/>
  <c r="AG8689" i="3"/>
  <c r="AH8689" i="3"/>
  <c r="AG8690" i="3"/>
  <c r="AH8690" i="3"/>
  <c r="AG8691" i="3"/>
  <c r="AH8691" i="3"/>
  <c r="AG8692" i="3"/>
  <c r="AH8692" i="3"/>
  <c r="AG8693" i="3"/>
  <c r="AH8693" i="3"/>
  <c r="AG8694" i="3"/>
  <c r="AH8694" i="3"/>
  <c r="AG8695" i="3"/>
  <c r="AH8695" i="3"/>
  <c r="AG8696" i="3"/>
  <c r="AH8696" i="3"/>
  <c r="AG8697" i="3"/>
  <c r="AH8697" i="3"/>
  <c r="AG8698" i="3"/>
  <c r="AH8698" i="3"/>
  <c r="AG8699" i="3"/>
  <c r="AH8699" i="3"/>
  <c r="AG8700" i="3"/>
  <c r="AH8700" i="3"/>
  <c r="AG8701" i="3"/>
  <c r="AH8701" i="3"/>
  <c r="AG8702" i="3"/>
  <c r="AH8702" i="3"/>
  <c r="AG8703" i="3"/>
  <c r="AH8703" i="3"/>
  <c r="AG8704" i="3"/>
  <c r="AH8704" i="3"/>
  <c r="AG8705" i="3"/>
  <c r="AH8705" i="3"/>
  <c r="AG8706" i="3"/>
  <c r="AH8706" i="3"/>
  <c r="AG8707" i="3"/>
  <c r="AH8707" i="3"/>
  <c r="AG8708" i="3"/>
  <c r="AH8708" i="3"/>
  <c r="AG8709" i="3"/>
  <c r="AH8709" i="3"/>
  <c r="AG8710" i="3"/>
  <c r="AH8710" i="3"/>
  <c r="AG8711" i="3"/>
  <c r="AH8711" i="3"/>
  <c r="AG8712" i="3"/>
  <c r="AH8712" i="3"/>
  <c r="AG8713" i="3"/>
  <c r="AH8713" i="3"/>
  <c r="AG8714" i="3"/>
  <c r="AH8714" i="3"/>
  <c r="AG8715" i="3"/>
  <c r="AH8715" i="3"/>
  <c r="AG8716" i="3"/>
  <c r="AH8716" i="3"/>
  <c r="AG8717" i="3"/>
  <c r="AH8717" i="3"/>
  <c r="AG8718" i="3"/>
  <c r="AH8718" i="3"/>
  <c r="AG8719" i="3"/>
  <c r="AH8719" i="3"/>
  <c r="AG8720" i="3"/>
  <c r="AH8720" i="3"/>
  <c r="AG8721" i="3"/>
  <c r="AH8721" i="3"/>
  <c r="AG8722" i="3"/>
  <c r="AH8722" i="3"/>
  <c r="AG8723" i="3"/>
  <c r="AH8723" i="3"/>
  <c r="AG8724" i="3"/>
  <c r="AH8724" i="3"/>
  <c r="AG8725" i="3"/>
  <c r="AH8725" i="3"/>
  <c r="AG8726" i="3"/>
  <c r="AH8726" i="3"/>
  <c r="AG8727" i="3"/>
  <c r="AH8727" i="3"/>
  <c r="AG8728" i="3"/>
  <c r="AH8728" i="3"/>
  <c r="AG8729" i="3"/>
  <c r="AH8729" i="3"/>
  <c r="AG8730" i="3"/>
  <c r="AH8730" i="3"/>
  <c r="AG8731" i="3"/>
  <c r="AH8731" i="3"/>
  <c r="AG8732" i="3"/>
  <c r="AH8732" i="3"/>
  <c r="AG8733" i="3"/>
  <c r="AH8733" i="3"/>
  <c r="AG8734" i="3"/>
  <c r="AH8734" i="3"/>
  <c r="AG8735" i="3"/>
  <c r="AH8735" i="3"/>
  <c r="AG8736" i="3"/>
  <c r="AH8736" i="3"/>
  <c r="AG8737" i="3"/>
  <c r="AH8737" i="3"/>
  <c r="AG8738" i="3"/>
  <c r="AH8738" i="3"/>
  <c r="AG8739" i="3"/>
  <c r="AH8739" i="3"/>
  <c r="AG8740" i="3"/>
  <c r="AH8740" i="3"/>
  <c r="AG8741" i="3"/>
  <c r="AH8741" i="3"/>
  <c r="AG8742" i="3"/>
  <c r="AH8742" i="3"/>
  <c r="AG8743" i="3"/>
  <c r="AH8743" i="3"/>
  <c r="AG8744" i="3"/>
  <c r="AH8744" i="3"/>
  <c r="AG8745" i="3"/>
  <c r="AH8745" i="3"/>
  <c r="AG8746" i="3"/>
  <c r="AH8746" i="3"/>
  <c r="AG8747" i="3"/>
  <c r="AH8747" i="3"/>
  <c r="AG8748" i="3"/>
  <c r="AH8748" i="3"/>
  <c r="AG8749" i="3"/>
  <c r="AH8749" i="3"/>
  <c r="AG8750" i="3"/>
  <c r="AH8750" i="3"/>
  <c r="AG8751" i="3"/>
  <c r="AH8751" i="3"/>
  <c r="AG8752" i="3"/>
  <c r="AH8752" i="3"/>
  <c r="AG8753" i="3"/>
  <c r="AH8753" i="3"/>
  <c r="AG8754" i="3"/>
  <c r="AH8754" i="3"/>
  <c r="AG8755" i="3"/>
  <c r="AH8755" i="3"/>
  <c r="AG8756" i="3"/>
  <c r="AH8756" i="3"/>
  <c r="AG8757" i="3"/>
  <c r="AH8757" i="3"/>
  <c r="AG8758" i="3"/>
  <c r="AH8758" i="3"/>
  <c r="AG8759" i="3"/>
  <c r="AH8759" i="3"/>
  <c r="AG8760" i="3"/>
  <c r="AH8760" i="3"/>
  <c r="AG8761" i="3"/>
  <c r="AH8761" i="3"/>
  <c r="AG8762" i="3"/>
  <c r="AH8762" i="3"/>
  <c r="AG8763" i="3"/>
  <c r="AH8763" i="3"/>
  <c r="AG8764" i="3"/>
  <c r="AH8764" i="3"/>
  <c r="AG8765" i="3"/>
  <c r="AH8765" i="3"/>
  <c r="AG8766" i="3"/>
  <c r="AH8766" i="3"/>
  <c r="AG8767" i="3"/>
  <c r="AH8767" i="3"/>
  <c r="AG8768" i="3"/>
  <c r="AH8768" i="3"/>
  <c r="AG8769" i="3"/>
  <c r="AH8769" i="3"/>
  <c r="AG8770" i="3"/>
  <c r="AH8770" i="3"/>
  <c r="AG8771" i="3"/>
  <c r="AH8771" i="3"/>
  <c r="AG8772" i="3"/>
  <c r="AH8772" i="3"/>
  <c r="AG8773" i="3"/>
  <c r="AH8773" i="3"/>
  <c r="AG8774" i="3"/>
  <c r="AH8774" i="3"/>
  <c r="AG8775" i="3"/>
  <c r="AH8775" i="3"/>
  <c r="AG8776" i="3"/>
  <c r="AH8776" i="3"/>
  <c r="AG8777" i="3"/>
  <c r="AH8777" i="3"/>
  <c r="AG8778" i="3"/>
  <c r="AH8778" i="3"/>
  <c r="AG8779" i="3"/>
  <c r="AH8779" i="3"/>
  <c r="AG8780" i="3"/>
  <c r="AH8780" i="3"/>
  <c r="AG8781" i="3"/>
  <c r="AH8781" i="3"/>
  <c r="AG8782" i="3"/>
  <c r="AH8782" i="3"/>
  <c r="AG8783" i="3"/>
  <c r="AH8783" i="3"/>
  <c r="AG8784" i="3"/>
  <c r="AH8784" i="3"/>
  <c r="AG8785" i="3"/>
  <c r="AH8785" i="3"/>
  <c r="AG8786" i="3"/>
  <c r="AH8786" i="3"/>
  <c r="AG8787" i="3"/>
  <c r="AH8787" i="3"/>
  <c r="AG8788" i="3"/>
  <c r="AH8788" i="3"/>
  <c r="AG8789" i="3"/>
  <c r="AH8789" i="3"/>
  <c r="AG8790" i="3"/>
  <c r="AH8790" i="3"/>
  <c r="AG8791" i="3"/>
  <c r="AH8791" i="3"/>
  <c r="AG8792" i="3"/>
  <c r="AH8792" i="3"/>
  <c r="AG8793" i="3"/>
  <c r="AH8793" i="3"/>
  <c r="AG8794" i="3"/>
  <c r="AH8794" i="3"/>
  <c r="AG8795" i="3"/>
  <c r="AH8795" i="3"/>
  <c r="AG8796" i="3"/>
  <c r="AH8796" i="3"/>
  <c r="AG8797" i="3"/>
  <c r="AH8797" i="3"/>
  <c r="AG8798" i="3"/>
  <c r="AH8798" i="3"/>
  <c r="AG8799" i="3"/>
  <c r="AH8799" i="3"/>
  <c r="AG8800" i="3"/>
  <c r="AH8800" i="3"/>
  <c r="AG8801" i="3"/>
  <c r="AH8801" i="3"/>
  <c r="AG8802" i="3"/>
  <c r="AH8802" i="3"/>
  <c r="AG8803" i="3"/>
  <c r="AH8803" i="3"/>
  <c r="AG8804" i="3"/>
  <c r="AH8804" i="3"/>
  <c r="AG8805" i="3"/>
  <c r="AH8805" i="3"/>
  <c r="AG8806" i="3"/>
  <c r="AH8806" i="3"/>
  <c r="AG8807" i="3"/>
  <c r="AH8807" i="3"/>
  <c r="AG8808" i="3"/>
  <c r="AH8808" i="3"/>
  <c r="AG8809" i="3"/>
  <c r="AH8809" i="3"/>
  <c r="AG8810" i="3"/>
  <c r="AH8810" i="3"/>
  <c r="AG8811" i="3"/>
  <c r="AH8811" i="3"/>
  <c r="AG8812" i="3"/>
  <c r="AH8812" i="3"/>
  <c r="AG8813" i="3"/>
  <c r="AH8813" i="3"/>
  <c r="AG8814" i="3"/>
  <c r="AH8814" i="3"/>
  <c r="AG8815" i="3"/>
  <c r="AH8815" i="3"/>
  <c r="AG8816" i="3"/>
  <c r="AH8816" i="3"/>
  <c r="AG8817" i="3"/>
  <c r="AH8817" i="3"/>
  <c r="AG8818" i="3"/>
  <c r="AH8818" i="3"/>
  <c r="AG8819" i="3"/>
  <c r="AH8819" i="3"/>
  <c r="AG8820" i="3"/>
  <c r="AH8820" i="3"/>
  <c r="AG8821" i="3"/>
  <c r="AH8821" i="3"/>
  <c r="AG8822" i="3"/>
  <c r="AH8822" i="3"/>
  <c r="AG8823" i="3"/>
  <c r="AH8823" i="3"/>
  <c r="AG8824" i="3"/>
  <c r="AH8824" i="3"/>
  <c r="AG8825" i="3"/>
  <c r="AH8825" i="3"/>
  <c r="AG8826" i="3"/>
  <c r="AH8826" i="3"/>
  <c r="AG8827" i="3"/>
  <c r="AH8827" i="3"/>
  <c r="AG8828" i="3"/>
  <c r="AH8828" i="3"/>
  <c r="AG8829" i="3"/>
  <c r="AH8829" i="3"/>
  <c r="AG8830" i="3"/>
  <c r="AH8830" i="3"/>
  <c r="AG8831" i="3"/>
  <c r="AH8831" i="3"/>
  <c r="AG8832" i="3"/>
  <c r="AH8832" i="3"/>
  <c r="AG8833" i="3"/>
  <c r="AH8833" i="3"/>
  <c r="AG8834" i="3"/>
  <c r="AH8834" i="3"/>
  <c r="AG8835" i="3"/>
  <c r="AH8835" i="3"/>
  <c r="AG8836" i="3"/>
  <c r="AH8836" i="3"/>
  <c r="AG8837" i="3"/>
  <c r="AH8837" i="3"/>
  <c r="AG8838" i="3"/>
  <c r="AH8838" i="3"/>
  <c r="AG8839" i="3"/>
  <c r="AH8839" i="3"/>
  <c r="AG8840" i="3"/>
  <c r="AH8840" i="3"/>
  <c r="AG8841" i="3"/>
  <c r="AH8841" i="3"/>
  <c r="AG8842" i="3"/>
  <c r="AH8842" i="3"/>
  <c r="AG8843" i="3"/>
  <c r="AH8843" i="3"/>
  <c r="AG8844" i="3"/>
  <c r="AH8844" i="3"/>
  <c r="AG8845" i="3"/>
  <c r="AH8845" i="3"/>
  <c r="AG8846" i="3"/>
  <c r="AH8846" i="3"/>
  <c r="AG8847" i="3"/>
  <c r="AH8847" i="3"/>
  <c r="AG8848" i="3"/>
  <c r="AH8848" i="3"/>
  <c r="AG8849" i="3"/>
  <c r="AH8849" i="3"/>
  <c r="AG8850" i="3"/>
  <c r="AH8850" i="3"/>
  <c r="AG8851" i="3"/>
  <c r="AH8851" i="3"/>
  <c r="AG8852" i="3"/>
  <c r="AH8852" i="3"/>
  <c r="AG8853" i="3"/>
  <c r="AH8853" i="3"/>
  <c r="AG8854" i="3"/>
  <c r="AH8854" i="3"/>
  <c r="AG8855" i="3"/>
  <c r="AH8855" i="3"/>
  <c r="AG8856" i="3"/>
  <c r="AH8856" i="3"/>
  <c r="AG8857" i="3"/>
  <c r="AH8857" i="3"/>
  <c r="AG8858" i="3"/>
  <c r="AH8858" i="3"/>
  <c r="AG8859" i="3"/>
  <c r="AH8859" i="3"/>
  <c r="AG8860" i="3"/>
  <c r="AH8860" i="3"/>
  <c r="AG8861" i="3"/>
  <c r="AH8861" i="3"/>
  <c r="AG8862" i="3"/>
  <c r="AH8862" i="3"/>
  <c r="AG8863" i="3"/>
  <c r="AH8863" i="3"/>
  <c r="AG8864" i="3"/>
  <c r="AH8864" i="3"/>
  <c r="AG8865" i="3"/>
  <c r="AH8865" i="3"/>
  <c r="AG8866" i="3"/>
  <c r="AH8866" i="3"/>
  <c r="AG8867" i="3"/>
  <c r="AH8867" i="3"/>
  <c r="AG8868" i="3"/>
  <c r="AH8868" i="3"/>
  <c r="AG8869" i="3"/>
  <c r="AH8869" i="3"/>
  <c r="AG8870" i="3"/>
  <c r="AH8870" i="3"/>
  <c r="AG8871" i="3"/>
  <c r="AH8871" i="3"/>
  <c r="AG8872" i="3"/>
  <c r="AH8872" i="3"/>
  <c r="AG8873" i="3"/>
  <c r="AH8873" i="3"/>
  <c r="AG8874" i="3"/>
  <c r="AH8874" i="3"/>
  <c r="AG8875" i="3"/>
  <c r="AH8875" i="3"/>
  <c r="AG8876" i="3"/>
  <c r="AH8876" i="3"/>
  <c r="AG8877" i="3"/>
  <c r="AH8877" i="3"/>
  <c r="AG8878" i="3"/>
  <c r="AH8878" i="3"/>
  <c r="AG8879" i="3"/>
  <c r="AH8879" i="3"/>
  <c r="AG8880" i="3"/>
  <c r="AH8880" i="3"/>
  <c r="AG8881" i="3"/>
  <c r="AH8881" i="3"/>
  <c r="AG8882" i="3"/>
  <c r="AH8882" i="3"/>
  <c r="AG8883" i="3"/>
  <c r="AH8883" i="3"/>
  <c r="AG8884" i="3"/>
  <c r="AH8884" i="3"/>
  <c r="AG8885" i="3"/>
  <c r="AH8885" i="3"/>
  <c r="AG8886" i="3"/>
  <c r="AH8886" i="3"/>
  <c r="AG8887" i="3"/>
  <c r="AH8887" i="3"/>
  <c r="AG8888" i="3"/>
  <c r="AH8888" i="3"/>
  <c r="AG8889" i="3"/>
  <c r="AH8889" i="3"/>
  <c r="AG8890" i="3"/>
  <c r="AH8890" i="3"/>
  <c r="AG8891" i="3"/>
  <c r="AH8891" i="3"/>
  <c r="AG8892" i="3"/>
  <c r="AH8892" i="3"/>
  <c r="AG8893" i="3"/>
  <c r="AH8893" i="3"/>
  <c r="AG8894" i="3"/>
  <c r="AH8894" i="3"/>
  <c r="AG8895" i="3"/>
  <c r="AH8895" i="3"/>
  <c r="AG8896" i="3"/>
  <c r="AH8896" i="3"/>
  <c r="AG8897" i="3"/>
  <c r="AH8897" i="3"/>
  <c r="AG8898" i="3"/>
  <c r="AH8898" i="3"/>
  <c r="AG8899" i="3"/>
  <c r="AH8899" i="3"/>
  <c r="AG8900" i="3"/>
  <c r="AH8900" i="3"/>
  <c r="AG8901" i="3"/>
  <c r="AH8901" i="3"/>
  <c r="AG8902" i="3"/>
  <c r="AH8902" i="3"/>
  <c r="AG8903" i="3"/>
  <c r="AH8903" i="3"/>
  <c r="AG8904" i="3"/>
  <c r="AH8904" i="3"/>
  <c r="AG8905" i="3"/>
  <c r="AH8905" i="3"/>
  <c r="AG8906" i="3"/>
  <c r="AH8906" i="3"/>
  <c r="AG8907" i="3"/>
  <c r="AH8907" i="3"/>
  <c r="AG8908" i="3"/>
  <c r="AH8908" i="3"/>
  <c r="AG8909" i="3"/>
  <c r="AH8909" i="3"/>
  <c r="AG8910" i="3"/>
  <c r="AH8910" i="3"/>
  <c r="AG8911" i="3"/>
  <c r="AH8911" i="3"/>
  <c r="AG8912" i="3"/>
  <c r="AH8912" i="3"/>
  <c r="AG8913" i="3"/>
  <c r="AH8913" i="3"/>
  <c r="AG8914" i="3"/>
  <c r="AH8914" i="3"/>
  <c r="AG8915" i="3"/>
  <c r="AH8915" i="3"/>
  <c r="AG8916" i="3"/>
  <c r="AH8916" i="3"/>
  <c r="AG8917" i="3"/>
  <c r="AH8917" i="3"/>
  <c r="AG8918" i="3"/>
  <c r="AH8918" i="3"/>
  <c r="AG8919" i="3"/>
  <c r="AH8919" i="3"/>
  <c r="AG8920" i="3"/>
  <c r="AH8920" i="3"/>
  <c r="AG8921" i="3"/>
  <c r="AH8921" i="3"/>
  <c r="AG8922" i="3"/>
  <c r="AH8922" i="3"/>
  <c r="AG8923" i="3"/>
  <c r="AH8923" i="3"/>
  <c r="AG8924" i="3"/>
  <c r="AH8924" i="3"/>
  <c r="AG8925" i="3"/>
  <c r="AH8925" i="3"/>
  <c r="AG8926" i="3"/>
  <c r="AH8926" i="3"/>
  <c r="AG8927" i="3"/>
  <c r="AH8927" i="3"/>
  <c r="AG8928" i="3"/>
  <c r="AH8928" i="3"/>
  <c r="AG8929" i="3"/>
  <c r="AH8929" i="3"/>
  <c r="AG8930" i="3"/>
  <c r="AH8930" i="3"/>
  <c r="AG8931" i="3"/>
  <c r="AH8931" i="3"/>
  <c r="AG8932" i="3"/>
  <c r="AH8932" i="3"/>
  <c r="AG8933" i="3"/>
  <c r="AH8933" i="3"/>
  <c r="AG8934" i="3"/>
  <c r="AH8934" i="3"/>
  <c r="AG8935" i="3"/>
  <c r="AH8935" i="3"/>
  <c r="AG8936" i="3"/>
  <c r="AH8936" i="3"/>
  <c r="AG8937" i="3"/>
  <c r="AH8937" i="3"/>
  <c r="AG8938" i="3"/>
  <c r="AH8938" i="3"/>
  <c r="AG8939" i="3"/>
  <c r="AH8939" i="3"/>
  <c r="AG8940" i="3"/>
  <c r="AH8940" i="3"/>
  <c r="AG8941" i="3"/>
  <c r="AH8941" i="3"/>
  <c r="AG8942" i="3"/>
  <c r="AH8942" i="3"/>
  <c r="AG8943" i="3"/>
  <c r="AH8943" i="3"/>
  <c r="AG8944" i="3"/>
  <c r="AH8944" i="3"/>
  <c r="AG8945" i="3"/>
  <c r="AH8945" i="3"/>
  <c r="AG8946" i="3"/>
  <c r="AH8946" i="3"/>
  <c r="AG8947" i="3"/>
  <c r="AH8947" i="3"/>
  <c r="AG8948" i="3"/>
  <c r="AH8948" i="3"/>
  <c r="AG8949" i="3"/>
  <c r="AH8949" i="3"/>
  <c r="AG8950" i="3"/>
  <c r="AH8950" i="3"/>
  <c r="AG8951" i="3"/>
  <c r="AH8951" i="3"/>
  <c r="AG8952" i="3"/>
  <c r="AH8952" i="3"/>
  <c r="AG8953" i="3"/>
  <c r="AH8953" i="3"/>
  <c r="AG8954" i="3"/>
  <c r="AH8954" i="3"/>
  <c r="AG8955" i="3"/>
  <c r="AH8955" i="3"/>
  <c r="AG8956" i="3"/>
  <c r="AH8956" i="3"/>
  <c r="AG8957" i="3"/>
  <c r="AH8957" i="3"/>
  <c r="AG8958" i="3"/>
  <c r="AH8958" i="3"/>
  <c r="AG8959" i="3"/>
  <c r="AH8959" i="3"/>
  <c r="AG8960" i="3"/>
  <c r="AH8960" i="3"/>
  <c r="AG8961" i="3"/>
  <c r="AH8961" i="3"/>
  <c r="AG8962" i="3"/>
  <c r="AH8962" i="3"/>
  <c r="AG8963" i="3"/>
  <c r="AH8963" i="3"/>
  <c r="AG8964" i="3"/>
  <c r="AH8964" i="3"/>
  <c r="AG8965" i="3"/>
  <c r="AH8965" i="3"/>
  <c r="AG8966" i="3"/>
  <c r="AH8966" i="3"/>
  <c r="AG8967" i="3"/>
  <c r="AH8967" i="3"/>
  <c r="AG8968" i="3"/>
  <c r="AH8968" i="3"/>
  <c r="AG8969" i="3"/>
  <c r="AH8969" i="3"/>
  <c r="AG8970" i="3"/>
  <c r="AH8970" i="3"/>
  <c r="AG8971" i="3"/>
  <c r="AH8971" i="3"/>
  <c r="AG8972" i="3"/>
  <c r="AH8972" i="3"/>
  <c r="AG8973" i="3"/>
  <c r="AH8973" i="3"/>
  <c r="AG8974" i="3"/>
  <c r="AH8974" i="3"/>
  <c r="AG8975" i="3"/>
  <c r="AH8975" i="3"/>
  <c r="AG8976" i="3"/>
  <c r="AH8976" i="3"/>
  <c r="AG8977" i="3"/>
  <c r="AH8977" i="3"/>
  <c r="AG8978" i="3"/>
  <c r="AH8978" i="3"/>
  <c r="AG8979" i="3"/>
  <c r="AH8979" i="3"/>
  <c r="AG8980" i="3"/>
  <c r="AH8980" i="3"/>
  <c r="AG8981" i="3"/>
  <c r="AH8981" i="3"/>
  <c r="AG8982" i="3"/>
  <c r="AH8982" i="3"/>
  <c r="AG8983" i="3"/>
  <c r="AH8983" i="3"/>
  <c r="AG8984" i="3"/>
  <c r="AH8984" i="3"/>
  <c r="AG8985" i="3"/>
  <c r="AH8985" i="3"/>
  <c r="AG8986" i="3"/>
  <c r="AH8986" i="3"/>
  <c r="AG8987" i="3"/>
  <c r="AH8987" i="3"/>
  <c r="AG8988" i="3"/>
  <c r="AH8988" i="3"/>
  <c r="AG8989" i="3"/>
  <c r="AH8989" i="3"/>
  <c r="AG8990" i="3"/>
  <c r="AH8990" i="3"/>
  <c r="AG8991" i="3"/>
  <c r="AH8991" i="3"/>
  <c r="AG8992" i="3"/>
  <c r="AH8992" i="3"/>
  <c r="AG8993" i="3"/>
  <c r="AH8993" i="3"/>
  <c r="AG8994" i="3"/>
  <c r="AH8994" i="3"/>
  <c r="AG8995" i="3"/>
  <c r="AH8995" i="3"/>
  <c r="AG8996" i="3"/>
  <c r="AH8996" i="3"/>
  <c r="AG8997" i="3"/>
  <c r="AH8997" i="3"/>
  <c r="AG8998" i="3"/>
  <c r="AH8998" i="3"/>
  <c r="AG8999" i="3"/>
  <c r="AH8999" i="3"/>
  <c r="AG9000" i="3"/>
  <c r="AH9000" i="3"/>
  <c r="S422" i="1"/>
  <c r="R422" i="1"/>
  <c r="Q422" i="1"/>
  <c r="AA421" i="1"/>
  <c r="AB421" i="1" s="1"/>
  <c r="X421" i="1"/>
  <c r="AA420" i="1"/>
  <c r="AB420" i="1" s="1"/>
  <c r="X420" i="1"/>
  <c r="AA419" i="1"/>
  <c r="AB419" i="1" s="1"/>
  <c r="X419" i="1"/>
  <c r="AA418" i="1"/>
  <c r="AB418" i="1" s="1"/>
  <c r="X418" i="1"/>
  <c r="AA417" i="1"/>
  <c r="AB417" i="1" s="1"/>
  <c r="X417" i="1"/>
  <c r="AA416" i="1"/>
  <c r="AB416" i="1" s="1"/>
  <c r="X416" i="1"/>
  <c r="AB415" i="1"/>
  <c r="AA415" i="1"/>
  <c r="X415" i="1"/>
  <c r="AA414" i="1"/>
  <c r="AB414" i="1" s="1"/>
  <c r="X414" i="1"/>
  <c r="AA413" i="1"/>
  <c r="AB413" i="1" s="1"/>
  <c r="X413" i="1"/>
  <c r="AA412" i="1"/>
  <c r="AB412" i="1" s="1"/>
  <c r="X412" i="1"/>
  <c r="AA411" i="1"/>
  <c r="AB411" i="1" s="1"/>
  <c r="X411" i="1"/>
  <c r="AA410" i="1"/>
  <c r="AB410" i="1" s="1"/>
  <c r="X410" i="1"/>
  <c r="AA409" i="1"/>
  <c r="AB409" i="1" s="1"/>
  <c r="X409" i="1"/>
  <c r="AA408" i="1"/>
  <c r="AB408" i="1" s="1"/>
  <c r="X408" i="1"/>
  <c r="AA407" i="1"/>
  <c r="AB407" i="1" s="1"/>
  <c r="X407" i="1"/>
  <c r="AA406" i="1"/>
  <c r="AB406" i="1" s="1"/>
  <c r="X406" i="1"/>
  <c r="AB405" i="1"/>
  <c r="AA405" i="1"/>
  <c r="X405" i="1"/>
  <c r="AB404" i="1"/>
  <c r="AA404" i="1"/>
  <c r="X404" i="1"/>
  <c r="AA403" i="1"/>
  <c r="AB403" i="1" s="1"/>
  <c r="X403" i="1"/>
  <c r="AA402" i="1"/>
  <c r="AB402" i="1" s="1"/>
  <c r="X402" i="1"/>
  <c r="AA401" i="1"/>
  <c r="AB401" i="1" s="1"/>
  <c r="X401" i="1"/>
  <c r="AA400" i="1"/>
  <c r="AB400" i="1" s="1"/>
  <c r="X400" i="1"/>
  <c r="AA399" i="1"/>
  <c r="AB399" i="1" s="1"/>
  <c r="X399" i="1"/>
  <c r="AA398" i="1"/>
  <c r="AB398" i="1" s="1"/>
  <c r="X398" i="1"/>
  <c r="AA397" i="1"/>
  <c r="AB397" i="1" s="1"/>
  <c r="X397" i="1"/>
  <c r="AA396" i="1"/>
  <c r="AB396" i="1" s="1"/>
  <c r="X396" i="1"/>
  <c r="AA395" i="1"/>
  <c r="AB395" i="1" s="1"/>
  <c r="X395" i="1"/>
  <c r="AA394" i="1"/>
  <c r="AB394" i="1" s="1"/>
  <c r="X394" i="1"/>
  <c r="AB393" i="1"/>
  <c r="AA393" i="1"/>
  <c r="X393" i="1"/>
  <c r="AA392" i="1"/>
  <c r="AB392" i="1" s="1"/>
  <c r="X392" i="1"/>
  <c r="AA391" i="1"/>
  <c r="AB391" i="1" s="1"/>
  <c r="X391" i="1"/>
  <c r="AB390" i="1"/>
  <c r="AA390" i="1"/>
  <c r="X390" i="1"/>
  <c r="AA389" i="1"/>
  <c r="AB389" i="1" s="1"/>
  <c r="X389" i="1"/>
  <c r="AA388" i="1"/>
  <c r="AB388" i="1" s="1"/>
  <c r="X388" i="1"/>
  <c r="AA387" i="1"/>
  <c r="AB387" i="1" s="1"/>
  <c r="X387" i="1"/>
  <c r="AA386" i="1"/>
  <c r="AB386" i="1" s="1"/>
  <c r="X386" i="1"/>
  <c r="AA385" i="1"/>
  <c r="AB385" i="1" s="1"/>
  <c r="X385" i="1"/>
  <c r="AA384" i="1"/>
  <c r="AB384" i="1" s="1"/>
  <c r="X384" i="1"/>
  <c r="AA383" i="1"/>
  <c r="AB383" i="1" s="1"/>
  <c r="X383" i="1"/>
  <c r="AB382" i="1"/>
  <c r="AA382" i="1"/>
  <c r="X382" i="1"/>
  <c r="AA381" i="1"/>
  <c r="AB381" i="1" s="1"/>
  <c r="X381" i="1"/>
  <c r="AA380" i="1"/>
  <c r="AB380" i="1" s="1"/>
  <c r="X380" i="1"/>
  <c r="AA379" i="1"/>
  <c r="AB379" i="1" s="1"/>
  <c r="X379" i="1"/>
  <c r="AA378" i="1"/>
  <c r="AB378" i="1" s="1"/>
  <c r="X378" i="1"/>
  <c r="AA377" i="1"/>
  <c r="AB377" i="1" s="1"/>
  <c r="X377" i="1"/>
  <c r="AA376" i="1"/>
  <c r="AB376" i="1" s="1"/>
  <c r="X376" i="1"/>
  <c r="AA375" i="1"/>
  <c r="AB375" i="1" s="1"/>
  <c r="X375" i="1"/>
  <c r="AA374" i="1"/>
  <c r="AB374" i="1" s="1"/>
  <c r="X374" i="1"/>
  <c r="AA373" i="1"/>
  <c r="AB373" i="1" s="1"/>
  <c r="X373" i="1"/>
  <c r="AA372" i="1"/>
  <c r="AB372" i="1" s="1"/>
  <c r="X372" i="1"/>
  <c r="AB371" i="1"/>
  <c r="AA371" i="1"/>
  <c r="X371" i="1"/>
  <c r="AA370" i="1"/>
  <c r="AB370" i="1" s="1"/>
  <c r="X370" i="1"/>
  <c r="AA369" i="1"/>
  <c r="AB369" i="1" s="1"/>
  <c r="X369" i="1"/>
  <c r="AA368" i="1"/>
  <c r="AB368" i="1" s="1"/>
  <c r="X368" i="1"/>
  <c r="AA367" i="1"/>
  <c r="AB367" i="1" s="1"/>
  <c r="X367" i="1"/>
  <c r="AA366" i="1"/>
  <c r="AB366" i="1" s="1"/>
  <c r="X366" i="1"/>
  <c r="AA365" i="1"/>
  <c r="AB365" i="1" s="1"/>
  <c r="X365" i="1"/>
  <c r="AA364" i="1"/>
  <c r="AB364" i="1" s="1"/>
  <c r="X364" i="1"/>
  <c r="AA363" i="1"/>
  <c r="AB363" i="1" s="1"/>
  <c r="X363" i="1"/>
  <c r="AA362" i="1"/>
  <c r="AB362" i="1" s="1"/>
  <c r="X362" i="1"/>
  <c r="AA361" i="1"/>
  <c r="AB361" i="1" s="1"/>
  <c r="X361" i="1"/>
  <c r="AB360" i="1"/>
  <c r="AA360" i="1"/>
  <c r="X360" i="1"/>
  <c r="AA359" i="1"/>
  <c r="AB359" i="1" s="1"/>
  <c r="X359" i="1"/>
  <c r="AA358" i="1"/>
  <c r="AB358" i="1" s="1"/>
  <c r="X358" i="1"/>
  <c r="AA357" i="1"/>
  <c r="AB357" i="1" s="1"/>
  <c r="X357" i="1"/>
  <c r="AA356" i="1"/>
  <c r="AB356" i="1" s="1"/>
  <c r="X356" i="1"/>
  <c r="AA355" i="1"/>
  <c r="AB355" i="1" s="1"/>
  <c r="X355" i="1"/>
  <c r="AA354" i="1"/>
  <c r="AB354" i="1" s="1"/>
  <c r="X354" i="1"/>
  <c r="AB353" i="1"/>
  <c r="AA353" i="1"/>
  <c r="X353" i="1"/>
  <c r="AA352" i="1"/>
  <c r="AB352" i="1" s="1"/>
  <c r="X352" i="1"/>
  <c r="AA351" i="1"/>
  <c r="AB351" i="1" s="1"/>
  <c r="X351" i="1"/>
  <c r="AB350" i="1"/>
  <c r="AA350" i="1"/>
  <c r="X350" i="1"/>
  <c r="AB349" i="1"/>
  <c r="AA349" i="1"/>
  <c r="X349" i="1"/>
  <c r="AA348" i="1"/>
  <c r="AB348" i="1" s="1"/>
  <c r="X348" i="1"/>
  <c r="AA347" i="1"/>
  <c r="AB347" i="1" s="1"/>
  <c r="X347" i="1"/>
  <c r="AA346" i="1"/>
  <c r="AB346" i="1" s="1"/>
  <c r="X346" i="1"/>
  <c r="AA345" i="1"/>
  <c r="AB345" i="1" s="1"/>
  <c r="X345" i="1"/>
  <c r="AA344" i="1"/>
  <c r="AB344" i="1" s="1"/>
  <c r="X344" i="1"/>
  <c r="AA343" i="1"/>
  <c r="AB343" i="1" s="1"/>
  <c r="X343" i="1"/>
  <c r="AA342" i="1"/>
  <c r="AB342" i="1" s="1"/>
  <c r="X342" i="1"/>
  <c r="AB341" i="1"/>
  <c r="AA341" i="1"/>
  <c r="X341" i="1"/>
  <c r="AA340" i="1"/>
  <c r="AB340" i="1" s="1"/>
  <c r="X340" i="1"/>
  <c r="AB339" i="1"/>
  <c r="AA339" i="1"/>
  <c r="X339" i="1"/>
  <c r="AB338" i="1"/>
  <c r="AA338" i="1"/>
  <c r="X338" i="1"/>
  <c r="AA337" i="1"/>
  <c r="AB337" i="1" s="1"/>
  <c r="X337" i="1"/>
  <c r="AA336" i="1"/>
  <c r="AB336" i="1" s="1"/>
  <c r="X336" i="1"/>
  <c r="AB335" i="1"/>
  <c r="AA335" i="1"/>
  <c r="X335" i="1"/>
  <c r="AA334" i="1"/>
  <c r="AB334" i="1" s="1"/>
  <c r="X334" i="1"/>
  <c r="AA333" i="1"/>
  <c r="AB333" i="1" s="1"/>
  <c r="X333" i="1"/>
  <c r="AA332" i="1"/>
  <c r="AB332" i="1" s="1"/>
  <c r="X332" i="1"/>
  <c r="AA331" i="1"/>
  <c r="AB331" i="1" s="1"/>
  <c r="X331" i="1"/>
  <c r="AA330" i="1"/>
  <c r="AB330" i="1" s="1"/>
  <c r="X330" i="1"/>
  <c r="AA329" i="1"/>
  <c r="AB329" i="1" s="1"/>
  <c r="X329" i="1"/>
  <c r="AA328" i="1"/>
  <c r="AB328" i="1" s="1"/>
  <c r="X328" i="1"/>
  <c r="AB327" i="1"/>
  <c r="AA327" i="1"/>
  <c r="X327" i="1"/>
  <c r="AA326" i="1"/>
  <c r="AB326" i="1" s="1"/>
  <c r="X326" i="1"/>
  <c r="AA325" i="1"/>
  <c r="AB325" i="1" s="1"/>
  <c r="X325" i="1"/>
  <c r="AA324" i="1"/>
  <c r="AB324" i="1" s="1"/>
  <c r="X324" i="1"/>
  <c r="AA323" i="1"/>
  <c r="AB323" i="1" s="1"/>
  <c r="X323" i="1"/>
  <c r="AA322" i="1"/>
  <c r="AB322" i="1" s="1"/>
  <c r="X322" i="1"/>
  <c r="AA321" i="1"/>
  <c r="AB321" i="1" s="1"/>
  <c r="X321" i="1"/>
  <c r="AA320" i="1"/>
  <c r="AB320" i="1" s="1"/>
  <c r="X320" i="1"/>
  <c r="AA319" i="1"/>
  <c r="AB319" i="1" s="1"/>
  <c r="X319" i="1"/>
  <c r="AA318" i="1"/>
  <c r="AB318" i="1" s="1"/>
  <c r="X318" i="1"/>
  <c r="AA317" i="1"/>
  <c r="AB317" i="1" s="1"/>
  <c r="X317" i="1"/>
  <c r="AB316" i="1"/>
  <c r="AA316" i="1"/>
  <c r="X316" i="1"/>
  <c r="AA315" i="1"/>
  <c r="AB315" i="1" s="1"/>
  <c r="X315" i="1"/>
  <c r="AA314" i="1"/>
  <c r="AB314" i="1" s="1"/>
  <c r="X314" i="1"/>
  <c r="AA313" i="1"/>
  <c r="AB313" i="1" s="1"/>
  <c r="X313" i="1"/>
  <c r="AA312" i="1"/>
  <c r="AB312" i="1" s="1"/>
  <c r="X312" i="1"/>
  <c r="AA311" i="1"/>
  <c r="AB311" i="1" s="1"/>
  <c r="X311" i="1"/>
  <c r="AA310" i="1"/>
  <c r="AB310" i="1" s="1"/>
  <c r="X310" i="1"/>
  <c r="AA309" i="1"/>
  <c r="AB309" i="1" s="1"/>
  <c r="X309" i="1"/>
  <c r="AA308" i="1"/>
  <c r="AB308" i="1" s="1"/>
  <c r="X308" i="1"/>
  <c r="AA307" i="1"/>
  <c r="AB307" i="1" s="1"/>
  <c r="X307" i="1"/>
  <c r="AA306" i="1"/>
  <c r="AB306" i="1" s="1"/>
  <c r="X306" i="1"/>
  <c r="AB305" i="1"/>
  <c r="AA305" i="1"/>
  <c r="X305" i="1"/>
  <c r="AA304" i="1"/>
  <c r="AB304" i="1" s="1"/>
  <c r="X304" i="1"/>
  <c r="AA303" i="1"/>
  <c r="AB303" i="1" s="1"/>
  <c r="X303" i="1"/>
  <c r="AB302" i="1"/>
  <c r="AA302" i="1"/>
  <c r="X302" i="1"/>
  <c r="AA301" i="1"/>
  <c r="AB301" i="1" s="1"/>
  <c r="X301" i="1"/>
  <c r="AA300" i="1"/>
  <c r="AB300" i="1" s="1"/>
  <c r="X300" i="1"/>
  <c r="AA299" i="1"/>
  <c r="AB299" i="1" s="1"/>
  <c r="X299" i="1"/>
  <c r="AA298" i="1"/>
  <c r="AB298" i="1" s="1"/>
  <c r="X298" i="1"/>
  <c r="AA297" i="1"/>
  <c r="AB297" i="1" s="1"/>
  <c r="X297" i="1"/>
  <c r="AA296" i="1"/>
  <c r="AB296" i="1" s="1"/>
  <c r="X296" i="1"/>
  <c r="AA295" i="1"/>
  <c r="AB295" i="1" s="1"/>
  <c r="X295" i="1"/>
  <c r="AB294" i="1"/>
  <c r="AA294" i="1"/>
  <c r="X294" i="1"/>
  <c r="AA293" i="1"/>
  <c r="AB293" i="1" s="1"/>
  <c r="X293" i="1"/>
  <c r="AA292" i="1"/>
  <c r="AB292" i="1" s="1"/>
  <c r="X292" i="1"/>
  <c r="AA291" i="1"/>
  <c r="AB291" i="1" s="1"/>
  <c r="X291" i="1"/>
  <c r="AA290" i="1"/>
  <c r="AB290" i="1" s="1"/>
  <c r="X290" i="1"/>
  <c r="AA289" i="1"/>
  <c r="AB289" i="1" s="1"/>
  <c r="X289" i="1"/>
  <c r="AA288" i="1"/>
  <c r="AB288" i="1" s="1"/>
  <c r="X288" i="1"/>
  <c r="AA287" i="1"/>
  <c r="AB287" i="1" s="1"/>
  <c r="X287" i="1"/>
  <c r="AA286" i="1"/>
  <c r="AB286" i="1" s="1"/>
  <c r="X286" i="1"/>
  <c r="AA285" i="1"/>
  <c r="AB285" i="1" s="1"/>
  <c r="X285" i="1"/>
  <c r="AA284" i="1"/>
  <c r="AB284" i="1" s="1"/>
  <c r="X284" i="1"/>
  <c r="AB283" i="1"/>
  <c r="AA283" i="1"/>
  <c r="X283" i="1"/>
  <c r="AA282" i="1"/>
  <c r="AB282" i="1" s="1"/>
  <c r="X282" i="1"/>
  <c r="AA281" i="1"/>
  <c r="AB281" i="1" s="1"/>
  <c r="X281" i="1"/>
  <c r="AA280" i="1"/>
  <c r="AB280" i="1" s="1"/>
  <c r="X280" i="1"/>
  <c r="AA279" i="1"/>
  <c r="AB279" i="1" s="1"/>
  <c r="X279" i="1"/>
  <c r="AA278" i="1"/>
  <c r="AB278" i="1" s="1"/>
  <c r="X278" i="1"/>
  <c r="AA277" i="1"/>
  <c r="AB277" i="1" s="1"/>
  <c r="X277" i="1"/>
  <c r="AB276" i="1"/>
  <c r="AA276" i="1"/>
  <c r="X276" i="1"/>
  <c r="AA275" i="1"/>
  <c r="AB275" i="1" s="1"/>
  <c r="X275" i="1"/>
  <c r="AA274" i="1"/>
  <c r="AB274" i="1" s="1"/>
  <c r="X274" i="1"/>
  <c r="AA273" i="1"/>
  <c r="AB273" i="1" s="1"/>
  <c r="X273" i="1"/>
  <c r="AB272" i="1"/>
  <c r="AA272" i="1"/>
  <c r="X272" i="1"/>
  <c r="AA271" i="1"/>
  <c r="AB271" i="1" s="1"/>
  <c r="X271" i="1"/>
  <c r="AA270" i="1"/>
  <c r="AB270" i="1" s="1"/>
  <c r="X270" i="1"/>
  <c r="AA269" i="1"/>
  <c r="AB269" i="1" s="1"/>
  <c r="X269" i="1"/>
  <c r="AA268" i="1"/>
  <c r="AB268" i="1" s="1"/>
  <c r="X268" i="1"/>
  <c r="Q267" i="1"/>
  <c r="AA266" i="1"/>
  <c r="AB266" i="1" s="1"/>
  <c r="X266" i="1"/>
  <c r="AA265" i="1"/>
  <c r="AB265" i="1" s="1"/>
  <c r="X265" i="1"/>
  <c r="AB264" i="1"/>
  <c r="AA264" i="1"/>
  <c r="X264" i="1"/>
  <c r="AA263" i="1"/>
  <c r="AB263" i="1" s="1"/>
  <c r="X263" i="1"/>
  <c r="AA262" i="1"/>
  <c r="AB262" i="1" s="1"/>
  <c r="X262" i="1"/>
  <c r="AA261" i="1"/>
  <c r="AB261" i="1" s="1"/>
  <c r="X261" i="1"/>
  <c r="AA260" i="1"/>
  <c r="AB260" i="1" s="1"/>
  <c r="X260" i="1"/>
  <c r="AA259" i="1"/>
  <c r="AB259" i="1" s="1"/>
  <c r="X259" i="1"/>
  <c r="AA258" i="1"/>
  <c r="AB258" i="1" s="1"/>
  <c r="X258" i="1"/>
  <c r="AA257" i="1"/>
  <c r="AB257" i="1" s="1"/>
  <c r="X257" i="1"/>
  <c r="AA256" i="1"/>
  <c r="AB256" i="1" s="1"/>
  <c r="X256" i="1"/>
  <c r="AA255" i="1"/>
  <c r="AB255" i="1" s="1"/>
  <c r="X255" i="1"/>
  <c r="AA254" i="1"/>
  <c r="AB254" i="1" s="1"/>
  <c r="X254" i="1"/>
  <c r="AB253" i="1"/>
  <c r="AA253" i="1"/>
  <c r="X253" i="1"/>
  <c r="AA252" i="1"/>
  <c r="AB252" i="1" s="1"/>
  <c r="X252" i="1"/>
  <c r="AA251" i="1"/>
  <c r="AB251" i="1" s="1"/>
  <c r="X251" i="1"/>
  <c r="AA250" i="1"/>
  <c r="AB250" i="1" s="1"/>
  <c r="X250" i="1"/>
  <c r="AA249" i="1"/>
  <c r="AB249" i="1" s="1"/>
  <c r="X249" i="1"/>
  <c r="AA248" i="1"/>
  <c r="AB248" i="1" s="1"/>
  <c r="X248" i="1"/>
  <c r="AA247" i="1"/>
  <c r="AB247" i="1" s="1"/>
  <c r="X247" i="1"/>
  <c r="AB246" i="1"/>
  <c r="AA246" i="1"/>
  <c r="X246" i="1"/>
  <c r="AA245" i="1"/>
  <c r="AB245" i="1" s="1"/>
  <c r="X245" i="1"/>
  <c r="AA244" i="1"/>
  <c r="AB244" i="1" s="1"/>
  <c r="X244" i="1"/>
  <c r="AB243" i="1"/>
  <c r="AA243" i="1"/>
  <c r="X243" i="1"/>
  <c r="AB242" i="1"/>
  <c r="AA242" i="1"/>
  <c r="X242" i="1"/>
  <c r="AA241" i="1"/>
  <c r="AB241" i="1" s="1"/>
  <c r="X241" i="1"/>
  <c r="AA240" i="1"/>
  <c r="AB240" i="1" s="1"/>
  <c r="X240" i="1"/>
  <c r="AA239" i="1"/>
  <c r="AB239" i="1" s="1"/>
  <c r="X239" i="1"/>
  <c r="AA238" i="1"/>
  <c r="AB238" i="1" s="1"/>
  <c r="X238" i="1"/>
  <c r="AA237" i="1"/>
  <c r="AB237" i="1" s="1"/>
  <c r="X237" i="1"/>
  <c r="AA236" i="1"/>
  <c r="AB236" i="1" s="1"/>
  <c r="X236" i="1"/>
  <c r="AA235" i="1"/>
  <c r="AB235" i="1" s="1"/>
  <c r="X235" i="1"/>
  <c r="AA234" i="1"/>
  <c r="AB234" i="1" s="1"/>
  <c r="X234" i="1"/>
  <c r="AA233" i="1"/>
  <c r="AB233" i="1" s="1"/>
  <c r="X233" i="1"/>
  <c r="AB232" i="1"/>
  <c r="AA232" i="1"/>
  <c r="X232" i="1"/>
  <c r="AB231" i="1"/>
  <c r="AA231" i="1"/>
  <c r="X231" i="1"/>
  <c r="AA230" i="1"/>
  <c r="AB230" i="1" s="1"/>
  <c r="X230" i="1"/>
  <c r="AA229" i="1"/>
  <c r="AB229" i="1" s="1"/>
  <c r="X229" i="1"/>
  <c r="AA228" i="1"/>
  <c r="AB228" i="1" s="1"/>
  <c r="X228" i="1"/>
  <c r="AA227" i="1"/>
  <c r="AB227" i="1" s="1"/>
  <c r="X227" i="1"/>
  <c r="AA226" i="1"/>
  <c r="AB226" i="1" s="1"/>
  <c r="X226" i="1"/>
  <c r="AA225" i="1"/>
  <c r="AB225" i="1" s="1"/>
  <c r="X225" i="1"/>
  <c r="AA224" i="1"/>
  <c r="AB224" i="1" s="1"/>
  <c r="X224" i="1"/>
  <c r="AA223" i="1"/>
  <c r="AB223" i="1" s="1"/>
  <c r="X223" i="1"/>
  <c r="AA222" i="1"/>
  <c r="AB222" i="1" s="1"/>
  <c r="X222" i="1"/>
  <c r="AA221" i="1"/>
  <c r="AB221" i="1" s="1"/>
  <c r="X221" i="1"/>
  <c r="AB220" i="1"/>
  <c r="AA220" i="1"/>
  <c r="X220" i="1"/>
  <c r="AA219" i="1"/>
  <c r="AB219" i="1" s="1"/>
  <c r="X219" i="1"/>
  <c r="AA218" i="1"/>
  <c r="AB218" i="1" s="1"/>
  <c r="X218" i="1"/>
  <c r="AA217" i="1"/>
  <c r="AB217" i="1" s="1"/>
  <c r="X217" i="1"/>
  <c r="AA216" i="1"/>
  <c r="AB216" i="1" s="1"/>
  <c r="X216" i="1"/>
  <c r="AA215" i="1"/>
  <c r="AB215" i="1" s="1"/>
  <c r="X215" i="1"/>
  <c r="AA214" i="1"/>
  <c r="AB214" i="1" s="1"/>
  <c r="X214" i="1"/>
  <c r="AB213" i="1"/>
  <c r="AA213" i="1"/>
  <c r="X213" i="1"/>
  <c r="AA212" i="1"/>
  <c r="AB212" i="1" s="1"/>
  <c r="X212" i="1"/>
  <c r="AA211" i="1"/>
  <c r="AB211" i="1" s="1"/>
  <c r="X211" i="1"/>
  <c r="AA210" i="1"/>
  <c r="AB210" i="1" s="1"/>
  <c r="X210" i="1"/>
  <c r="AB209" i="1"/>
  <c r="AA209" i="1"/>
  <c r="X209" i="1"/>
  <c r="AA208" i="1"/>
  <c r="AB208" i="1" s="1"/>
  <c r="X208" i="1"/>
  <c r="AA207" i="1"/>
  <c r="AB207" i="1" s="1"/>
  <c r="X207" i="1"/>
  <c r="AA206" i="1"/>
  <c r="AB206" i="1" s="1"/>
  <c r="X206" i="1"/>
  <c r="AA205" i="1"/>
  <c r="AB205" i="1" s="1"/>
  <c r="X205" i="1"/>
  <c r="AA204" i="1"/>
  <c r="AB204" i="1" s="1"/>
  <c r="X204" i="1"/>
  <c r="AA203" i="1"/>
  <c r="AB203" i="1" s="1"/>
  <c r="X203" i="1"/>
  <c r="AA202" i="1"/>
  <c r="AB202" i="1" s="1"/>
  <c r="X202" i="1"/>
  <c r="AA201" i="1"/>
  <c r="AB201" i="1" s="1"/>
  <c r="X201" i="1"/>
  <c r="AA200" i="1"/>
  <c r="AB200" i="1" s="1"/>
  <c r="X200" i="1"/>
  <c r="AB199" i="1"/>
  <c r="AA199" i="1"/>
  <c r="X199" i="1"/>
  <c r="AB198" i="1"/>
  <c r="AA198" i="1"/>
  <c r="X198" i="1"/>
  <c r="AA197" i="1"/>
  <c r="AB197" i="1" s="1"/>
  <c r="X197" i="1"/>
  <c r="AA196" i="1"/>
  <c r="AB196" i="1" s="1"/>
  <c r="X196" i="1"/>
  <c r="AB195" i="1"/>
  <c r="AA195" i="1"/>
  <c r="X195" i="1"/>
  <c r="AA194" i="1"/>
  <c r="AB194" i="1" s="1"/>
  <c r="X194" i="1"/>
  <c r="AA193" i="1"/>
  <c r="AB193" i="1" s="1"/>
  <c r="X193" i="1"/>
  <c r="AA192" i="1"/>
  <c r="AB192" i="1" s="1"/>
  <c r="X192" i="1"/>
  <c r="AA191" i="1"/>
  <c r="AB191" i="1" s="1"/>
  <c r="X191" i="1"/>
  <c r="AA190" i="1"/>
  <c r="AB190" i="1" s="1"/>
  <c r="X190" i="1"/>
  <c r="AA189" i="1"/>
  <c r="AB189" i="1" s="1"/>
  <c r="X189" i="1"/>
  <c r="AA188" i="1"/>
  <c r="AB188" i="1" s="1"/>
  <c r="X188" i="1"/>
  <c r="AB187" i="1"/>
  <c r="AA187" i="1"/>
  <c r="X187" i="1"/>
  <c r="AA186" i="1"/>
  <c r="AB186" i="1" s="1"/>
  <c r="X186" i="1"/>
  <c r="AA185" i="1"/>
  <c r="AB185" i="1" s="1"/>
  <c r="X185" i="1"/>
  <c r="AA184" i="1"/>
  <c r="AB184" i="1" s="1"/>
  <c r="X184" i="1"/>
  <c r="AA183" i="1"/>
  <c r="AB183" i="1" s="1"/>
  <c r="X183" i="1"/>
  <c r="AA182" i="1"/>
  <c r="AB182" i="1" s="1"/>
  <c r="X182" i="1"/>
  <c r="AB181" i="1"/>
  <c r="AA181" i="1"/>
  <c r="X181" i="1"/>
  <c r="AA180" i="1"/>
  <c r="AB180" i="1" s="1"/>
  <c r="X180" i="1"/>
  <c r="AA179" i="1"/>
  <c r="AB179" i="1" s="1"/>
  <c r="X179" i="1"/>
  <c r="AA178" i="1"/>
  <c r="AB178" i="1" s="1"/>
  <c r="X178" i="1"/>
  <c r="AA177" i="1"/>
  <c r="AB177" i="1" s="1"/>
  <c r="X177" i="1"/>
  <c r="AB176" i="1"/>
  <c r="AA176" i="1"/>
  <c r="X176" i="1"/>
  <c r="AA175" i="1"/>
  <c r="AB175" i="1" s="1"/>
  <c r="X175" i="1"/>
  <c r="AA174" i="1"/>
  <c r="AB174" i="1" s="1"/>
  <c r="X174" i="1"/>
  <c r="AA173" i="1"/>
  <c r="AB173" i="1" s="1"/>
  <c r="X173" i="1"/>
  <c r="AA172" i="1"/>
  <c r="AB172" i="1" s="1"/>
  <c r="X172" i="1"/>
  <c r="AA171" i="1"/>
  <c r="AB171" i="1" s="1"/>
  <c r="X171" i="1"/>
  <c r="AA170" i="1"/>
  <c r="AB170" i="1" s="1"/>
  <c r="X170" i="1"/>
  <c r="AA169" i="1"/>
  <c r="AB169" i="1" s="1"/>
  <c r="X169" i="1"/>
  <c r="AA168" i="1"/>
  <c r="AB168" i="1" s="1"/>
  <c r="X168" i="1"/>
  <c r="AA167" i="1"/>
  <c r="AB167" i="1" s="1"/>
  <c r="X167" i="1"/>
  <c r="AA166" i="1"/>
  <c r="AB166" i="1" s="1"/>
  <c r="X166" i="1"/>
  <c r="AB165" i="1"/>
  <c r="AA165" i="1"/>
  <c r="X165" i="1"/>
  <c r="AA164" i="1"/>
  <c r="AB164" i="1" s="1"/>
  <c r="X164" i="1"/>
  <c r="AA163" i="1"/>
  <c r="AB163" i="1" s="1"/>
  <c r="X163" i="1"/>
  <c r="AA162" i="1"/>
  <c r="AB162" i="1" s="1"/>
  <c r="X162" i="1"/>
  <c r="AA161" i="1"/>
  <c r="AB161" i="1" s="1"/>
  <c r="X161" i="1"/>
  <c r="AA160" i="1"/>
  <c r="AB160" i="1" s="1"/>
  <c r="X160" i="1"/>
  <c r="AA159" i="1"/>
  <c r="AB159" i="1" s="1"/>
  <c r="X159" i="1"/>
  <c r="AA158" i="1"/>
  <c r="AB158" i="1" s="1"/>
  <c r="X158" i="1"/>
  <c r="AA157" i="1"/>
  <c r="AB157" i="1" s="1"/>
  <c r="X157" i="1"/>
  <c r="AA156" i="1"/>
  <c r="AB156" i="1" s="1"/>
  <c r="X156" i="1"/>
  <c r="AA155" i="1"/>
  <c r="AB155" i="1" s="1"/>
  <c r="X155" i="1"/>
  <c r="AB154" i="1"/>
  <c r="AA154" i="1"/>
  <c r="X154" i="1"/>
  <c r="AA153" i="1"/>
  <c r="AB153" i="1" s="1"/>
  <c r="X153" i="1"/>
  <c r="AA152" i="1"/>
  <c r="AB152" i="1" s="1"/>
  <c r="X152" i="1"/>
  <c r="AA151" i="1"/>
  <c r="AB151" i="1" s="1"/>
  <c r="X151" i="1"/>
  <c r="AA150" i="1"/>
  <c r="AB150" i="1" s="1"/>
  <c r="X150" i="1"/>
  <c r="AA149" i="1"/>
  <c r="AB149" i="1" s="1"/>
  <c r="X149" i="1"/>
  <c r="AA148" i="1"/>
  <c r="AB148" i="1" s="1"/>
  <c r="X148" i="1"/>
  <c r="AA147" i="1"/>
  <c r="AB147" i="1" s="1"/>
  <c r="X147" i="1"/>
  <c r="AA146" i="1"/>
  <c r="AB146" i="1" s="1"/>
  <c r="X146" i="1"/>
  <c r="AA145" i="1"/>
  <c r="AB145" i="1" s="1"/>
  <c r="X145" i="1"/>
  <c r="AA144" i="1"/>
  <c r="AB144" i="1" s="1"/>
  <c r="X144" i="1"/>
  <c r="AB143" i="1"/>
  <c r="AA143" i="1"/>
  <c r="X143" i="1"/>
  <c r="AA142" i="1"/>
  <c r="AB142" i="1" s="1"/>
  <c r="X142" i="1"/>
  <c r="AA141" i="1"/>
  <c r="AB141" i="1" s="1"/>
  <c r="X141" i="1"/>
  <c r="AA140" i="1"/>
  <c r="AB140" i="1" s="1"/>
  <c r="X140" i="1"/>
  <c r="AA139" i="1"/>
  <c r="AB139" i="1" s="1"/>
  <c r="X139" i="1"/>
  <c r="AA138" i="1"/>
  <c r="AB138" i="1" s="1"/>
  <c r="X138" i="1"/>
  <c r="AA137" i="1"/>
  <c r="AB137" i="1" s="1"/>
  <c r="X137" i="1"/>
  <c r="AB136" i="1"/>
  <c r="AA136" i="1"/>
  <c r="X136" i="1"/>
  <c r="AA135" i="1"/>
  <c r="AB135" i="1" s="1"/>
  <c r="X135" i="1"/>
  <c r="AA134" i="1"/>
  <c r="AB134" i="1" s="1"/>
  <c r="X134" i="1"/>
  <c r="AA133" i="1"/>
  <c r="AB133" i="1" s="1"/>
  <c r="X133" i="1"/>
  <c r="AB132" i="1"/>
  <c r="AA132" i="1"/>
  <c r="X132" i="1"/>
  <c r="AA131" i="1"/>
  <c r="AB131" i="1" s="1"/>
  <c r="X131" i="1"/>
  <c r="AA130" i="1"/>
  <c r="AB130" i="1" s="1"/>
  <c r="X130" i="1"/>
  <c r="AA129" i="1"/>
  <c r="AB129" i="1" s="1"/>
  <c r="X129" i="1"/>
  <c r="AA128" i="1"/>
  <c r="AB128" i="1" s="1"/>
  <c r="X128" i="1"/>
  <c r="AA127" i="1"/>
  <c r="AB127" i="1" s="1"/>
  <c r="X127" i="1"/>
  <c r="AA126" i="1"/>
  <c r="AB126" i="1" s="1"/>
  <c r="X126" i="1"/>
  <c r="AA125" i="1"/>
  <c r="AB125" i="1" s="1"/>
  <c r="X125" i="1"/>
  <c r="AA124" i="1"/>
  <c r="AB124" i="1" s="1"/>
  <c r="X124" i="1"/>
  <c r="AA123" i="1"/>
  <c r="AB123" i="1" s="1"/>
  <c r="X123" i="1"/>
  <c r="AA122" i="1"/>
  <c r="AB122" i="1" s="1"/>
  <c r="X122" i="1"/>
  <c r="AB121" i="1"/>
  <c r="AA121" i="1"/>
  <c r="X121" i="1"/>
  <c r="AA120" i="1"/>
  <c r="AB120" i="1" s="1"/>
  <c r="X120" i="1"/>
  <c r="AA119" i="1"/>
  <c r="AB119" i="1" s="1"/>
  <c r="X119" i="1"/>
  <c r="AB118" i="1"/>
  <c r="AA118" i="1"/>
  <c r="X118" i="1"/>
  <c r="AA117" i="1"/>
  <c r="AB117" i="1" s="1"/>
  <c r="X117" i="1"/>
  <c r="AA116" i="1"/>
  <c r="AB116" i="1" s="1"/>
  <c r="X116" i="1"/>
  <c r="AA115" i="1"/>
  <c r="AB115" i="1" s="1"/>
  <c r="X115" i="1"/>
  <c r="AB114" i="1"/>
  <c r="AA114" i="1"/>
  <c r="X114" i="1"/>
  <c r="AA113" i="1"/>
  <c r="AB113" i="1" s="1"/>
  <c r="X113" i="1"/>
  <c r="AA112" i="1"/>
  <c r="AB112" i="1" s="1"/>
  <c r="X112" i="1"/>
  <c r="AA111" i="1"/>
  <c r="AB111" i="1" s="1"/>
  <c r="X111" i="1"/>
  <c r="AB110" i="1"/>
  <c r="AA110" i="1"/>
  <c r="X110" i="1"/>
  <c r="AA109" i="1"/>
  <c r="AB109" i="1" s="1"/>
  <c r="X109" i="1"/>
  <c r="AA108" i="1"/>
  <c r="AB108" i="1" s="1"/>
  <c r="X108" i="1"/>
  <c r="AA107" i="1"/>
  <c r="AB107" i="1" s="1"/>
  <c r="X107" i="1"/>
  <c r="AA106" i="1"/>
  <c r="AB106" i="1" s="1"/>
  <c r="X106" i="1"/>
  <c r="AA105" i="1"/>
  <c r="AB105" i="1" s="1"/>
  <c r="X105" i="1"/>
  <c r="AA104" i="1"/>
  <c r="AB104" i="1" s="1"/>
  <c r="X104" i="1"/>
  <c r="AA103" i="1"/>
  <c r="AB103" i="1" s="1"/>
  <c r="X103" i="1"/>
  <c r="AA102" i="1"/>
  <c r="AB102" i="1" s="1"/>
  <c r="X102" i="1"/>
  <c r="AA101" i="1"/>
  <c r="AB101" i="1" s="1"/>
  <c r="X101" i="1"/>
  <c r="AB100" i="1"/>
  <c r="AA100" i="1"/>
  <c r="X100" i="1"/>
  <c r="AB99" i="1"/>
  <c r="AA99" i="1"/>
  <c r="X99" i="1"/>
  <c r="AA98" i="1"/>
  <c r="AB98" i="1" s="1"/>
  <c r="X98" i="1"/>
  <c r="AA97" i="1"/>
  <c r="AB97" i="1" s="1"/>
  <c r="X97" i="1"/>
  <c r="AB96" i="1"/>
  <c r="AA96" i="1"/>
  <c r="X96" i="1"/>
  <c r="AA95" i="1"/>
  <c r="AB95" i="1" s="1"/>
  <c r="X95" i="1"/>
  <c r="AA94" i="1"/>
  <c r="AB94" i="1" s="1"/>
  <c r="X94" i="1"/>
  <c r="AA93" i="1"/>
  <c r="AB93" i="1" s="1"/>
  <c r="X93" i="1"/>
  <c r="AA92" i="1"/>
  <c r="AB92" i="1" s="1"/>
  <c r="X92" i="1"/>
  <c r="AA91" i="1"/>
  <c r="AB91" i="1" s="1"/>
  <c r="X91" i="1"/>
  <c r="AA90" i="1"/>
  <c r="AB90" i="1" s="1"/>
  <c r="X90" i="1"/>
  <c r="AA89" i="1"/>
  <c r="AB89" i="1" s="1"/>
  <c r="X89" i="1"/>
  <c r="AB88" i="1"/>
  <c r="AA88" i="1"/>
  <c r="X88" i="1"/>
  <c r="AA87" i="1"/>
  <c r="AB87" i="1" s="1"/>
  <c r="X87" i="1"/>
  <c r="AA86" i="1"/>
  <c r="AB86" i="1" s="1"/>
  <c r="X86" i="1"/>
  <c r="AA85" i="1"/>
  <c r="AB85" i="1" s="1"/>
  <c r="X85" i="1"/>
  <c r="AA84" i="1"/>
  <c r="AB84" i="1" s="1"/>
  <c r="X84" i="1"/>
  <c r="AA83" i="1"/>
  <c r="AB83" i="1" s="1"/>
  <c r="X83" i="1"/>
  <c r="AB82" i="1"/>
  <c r="AA82" i="1"/>
  <c r="X82" i="1"/>
  <c r="AA81" i="1"/>
  <c r="AB81" i="1" s="1"/>
  <c r="X81" i="1"/>
  <c r="AA80" i="1"/>
  <c r="AB80" i="1" s="1"/>
  <c r="X80" i="1"/>
  <c r="AA79" i="1"/>
  <c r="AB79" i="1" s="1"/>
  <c r="X79" i="1"/>
  <c r="AB78" i="1"/>
  <c r="AA78" i="1"/>
  <c r="X78" i="1"/>
  <c r="AB77" i="1"/>
  <c r="AA77" i="1"/>
  <c r="X77" i="1"/>
  <c r="AA76" i="1"/>
  <c r="AB76" i="1" s="1"/>
  <c r="X76" i="1"/>
  <c r="AA75" i="1"/>
  <c r="AB75" i="1" s="1"/>
  <c r="X75" i="1"/>
  <c r="AA74" i="1"/>
  <c r="AB74" i="1" s="1"/>
  <c r="X74" i="1"/>
  <c r="AA73" i="1"/>
  <c r="AB73" i="1" s="1"/>
  <c r="X73" i="1"/>
  <c r="AA72" i="1"/>
  <c r="AB72" i="1" s="1"/>
  <c r="X72" i="1"/>
  <c r="AA71" i="1"/>
  <c r="AB71" i="1" s="1"/>
  <c r="X71" i="1"/>
  <c r="AA70" i="1"/>
  <c r="AB70" i="1" s="1"/>
  <c r="X70" i="1"/>
  <c r="AA69" i="1"/>
  <c r="AB69" i="1" s="1"/>
  <c r="X69" i="1"/>
  <c r="AA68" i="1"/>
  <c r="AB68" i="1" s="1"/>
  <c r="X68" i="1"/>
  <c r="AA67" i="1"/>
  <c r="AB67" i="1" s="1"/>
  <c r="X67" i="1"/>
  <c r="AB66" i="1"/>
  <c r="AA66" i="1"/>
  <c r="X66" i="1"/>
  <c r="S65" i="1"/>
  <c r="R65" i="1"/>
  <c r="Q65" i="1"/>
  <c r="AA64" i="1"/>
  <c r="AB64" i="1" s="1"/>
  <c r="X64" i="1"/>
  <c r="AA63" i="1"/>
  <c r="AB63" i="1" s="1"/>
  <c r="X63" i="1"/>
  <c r="AA62" i="1"/>
  <c r="AB62" i="1" s="1"/>
  <c r="X62" i="1"/>
  <c r="AA61" i="1"/>
  <c r="AB61" i="1" s="1"/>
  <c r="X61" i="1"/>
  <c r="AB60" i="1"/>
  <c r="AA60" i="1"/>
  <c r="X60" i="1"/>
  <c r="AA59" i="1"/>
  <c r="AB59" i="1" s="1"/>
  <c r="X59" i="1"/>
  <c r="AA58" i="1"/>
  <c r="AB58" i="1" s="1"/>
  <c r="X58" i="1"/>
  <c r="AA57" i="1"/>
  <c r="AB57" i="1" s="1"/>
  <c r="X57" i="1"/>
  <c r="AB56" i="1"/>
  <c r="AA56" i="1"/>
  <c r="X56" i="1"/>
  <c r="AB55" i="1"/>
  <c r="AA55" i="1"/>
  <c r="X55" i="1"/>
  <c r="AA54" i="1"/>
  <c r="AB54" i="1" s="1"/>
  <c r="X54" i="1"/>
  <c r="AA53" i="1"/>
  <c r="AB53" i="1" s="1"/>
  <c r="X53" i="1"/>
  <c r="AA52" i="1"/>
  <c r="AB52" i="1" s="1"/>
  <c r="X52" i="1"/>
  <c r="AA51" i="1"/>
  <c r="AB51" i="1" s="1"/>
  <c r="X51" i="1"/>
  <c r="AA50" i="1"/>
  <c r="AB50" i="1" s="1"/>
  <c r="X50" i="1"/>
  <c r="AA49" i="1"/>
  <c r="AB49" i="1" s="1"/>
  <c r="X49" i="1"/>
  <c r="AA48" i="1"/>
  <c r="AB48" i="1" s="1"/>
  <c r="X48" i="1"/>
  <c r="AA47" i="1"/>
  <c r="AB47" i="1" s="1"/>
  <c r="X47" i="1"/>
  <c r="AA46" i="1"/>
  <c r="AB46" i="1" s="1"/>
  <c r="X46" i="1"/>
  <c r="AA45" i="1"/>
  <c r="AB45" i="1" s="1"/>
  <c r="X45" i="1"/>
  <c r="AB44" i="1"/>
  <c r="AA44" i="1"/>
  <c r="X44" i="1"/>
  <c r="AA43" i="1"/>
  <c r="AB43" i="1" s="1"/>
  <c r="X43" i="1"/>
  <c r="AA42" i="1"/>
  <c r="AB42" i="1" s="1"/>
  <c r="X42" i="1"/>
  <c r="AA41" i="1"/>
  <c r="AB41" i="1" s="1"/>
  <c r="X41" i="1"/>
  <c r="AA40" i="1"/>
  <c r="AB40" i="1" s="1"/>
  <c r="X40" i="1"/>
  <c r="AA39" i="1"/>
  <c r="AB39" i="1" s="1"/>
  <c r="X39" i="1"/>
  <c r="AB38" i="1"/>
  <c r="AA38" i="1"/>
  <c r="X38" i="1"/>
  <c r="AA37" i="1"/>
  <c r="AB37" i="1" s="1"/>
  <c r="X37" i="1"/>
  <c r="AA36" i="1"/>
  <c r="AB36" i="1" s="1"/>
  <c r="X36" i="1"/>
  <c r="AA35" i="1"/>
  <c r="AB35" i="1" s="1"/>
  <c r="X35" i="1"/>
  <c r="AA34" i="1"/>
  <c r="AB34" i="1" s="1"/>
  <c r="X34" i="1"/>
  <c r="AB33" i="1"/>
  <c r="AA33" i="1"/>
  <c r="X33" i="1"/>
  <c r="AA32" i="1"/>
  <c r="AB32" i="1" s="1"/>
  <c r="X32" i="1"/>
  <c r="AA31" i="1"/>
  <c r="AB31" i="1" s="1"/>
  <c r="X31" i="1"/>
  <c r="S30" i="1"/>
  <c r="R30" i="1"/>
  <c r="Q30" i="1"/>
  <c r="AA29" i="1"/>
  <c r="AB29" i="1" s="1"/>
  <c r="X29" i="1"/>
  <c r="AA28" i="1"/>
  <c r="AB28" i="1" s="1"/>
  <c r="X28" i="1"/>
  <c r="AA27" i="1"/>
  <c r="AB27" i="1" s="1"/>
  <c r="X27" i="1"/>
  <c r="AA26" i="1"/>
  <c r="AB26" i="1" s="1"/>
  <c r="X26" i="1"/>
  <c r="AA25" i="1"/>
  <c r="AB25" i="1" s="1"/>
  <c r="X25" i="1"/>
  <c r="AA24" i="1"/>
  <c r="AB24" i="1" s="1"/>
  <c r="X24" i="1"/>
  <c r="AA23" i="1"/>
  <c r="AB23" i="1" s="1"/>
  <c r="X23" i="1"/>
  <c r="AB22" i="1"/>
  <c r="AA22" i="1"/>
  <c r="X22" i="1"/>
  <c r="AA21" i="1"/>
  <c r="AB21" i="1" s="1"/>
  <c r="X21" i="1"/>
  <c r="AA20" i="1"/>
  <c r="AB20" i="1" s="1"/>
  <c r="X20" i="1"/>
  <c r="AA19" i="1"/>
  <c r="AB19" i="1" s="1"/>
  <c r="X19" i="1"/>
  <c r="AA18" i="1"/>
  <c r="AB18" i="1" s="1"/>
  <c r="X18" i="1"/>
  <c r="AA17" i="1"/>
  <c r="AB17" i="1" s="1"/>
  <c r="X17" i="1"/>
  <c r="AA16" i="1"/>
  <c r="AB16" i="1" s="1"/>
  <c r="X16" i="1"/>
  <c r="AA15" i="1"/>
  <c r="AB15" i="1" s="1"/>
  <c r="X15" i="1"/>
  <c r="AA14" i="1"/>
  <c r="AB14" i="1" s="1"/>
  <c r="X14" i="1"/>
  <c r="AA13" i="1"/>
  <c r="AB13" i="1" s="1"/>
  <c r="X13" i="1"/>
  <c r="AA12" i="1"/>
  <c r="AB12" i="1" s="1"/>
  <c r="X12" i="1"/>
  <c r="AB11" i="1"/>
  <c r="AA11" i="1"/>
  <c r="X11" i="1"/>
  <c r="AA10" i="1"/>
  <c r="AB10" i="1" s="1"/>
  <c r="X10" i="1"/>
  <c r="AA9" i="1"/>
  <c r="AB9" i="1" s="1"/>
  <c r="X9" i="1"/>
  <c r="AA8" i="1"/>
  <c r="AB8" i="1" s="1"/>
  <c r="X8" i="1"/>
  <c r="AA7" i="1"/>
  <c r="AB7" i="1" s="1"/>
  <c r="X7" i="1"/>
  <c r="AA6" i="1"/>
  <c r="AB6" i="1" s="1"/>
  <c r="X6" i="1"/>
  <c r="AA5" i="1"/>
  <c r="AB5" i="1" s="1"/>
  <c r="X5" i="1"/>
  <c r="AA4" i="1"/>
  <c r="AB4" i="1" s="1"/>
  <c r="X4" i="1"/>
  <c r="AA3" i="1"/>
  <c r="AB3" i="1" s="1"/>
  <c r="X3" i="1"/>
  <c r="AA2" i="1"/>
  <c r="AB2" i="1" s="1"/>
  <c r="X2" i="1"/>
</calcChain>
</file>

<file path=xl/sharedStrings.xml><?xml version="1.0" encoding="utf-8"?>
<sst xmlns="http://schemas.openxmlformats.org/spreadsheetml/2006/main" count="8486" uniqueCount="193">
  <si>
    <t>FLEX-ID</t>
  </si>
  <si>
    <t>LSP</t>
  </si>
  <si>
    <t>Port of Loading</t>
  </si>
  <si>
    <t>Port Of Discharge (Ocean Carrier)</t>
  </si>
  <si>
    <t>Final Destination</t>
  </si>
  <si>
    <t>Booked Mode</t>
  </si>
  <si>
    <t>CONTAINER SIZE</t>
  </si>
  <si>
    <t>Load Type</t>
  </si>
  <si>
    <t>Carrier Name for FCL
Coloader Name for LCL</t>
  </si>
  <si>
    <t>Service String (FCL)</t>
  </si>
  <si>
    <t>Supplier</t>
  </si>
  <si>
    <t>Factory Name</t>
  </si>
  <si>
    <t>HOT / PRIORITY</t>
  </si>
  <si>
    <t>SO#</t>
  </si>
  <si>
    <t>PO#</t>
  </si>
  <si>
    <t>Style # *</t>
  </si>
  <si>
    <t>Total Cartons</t>
  </si>
  <si>
    <t>Volume</t>
  </si>
  <si>
    <t>GW</t>
  </si>
  <si>
    <t>Book HOD</t>
  </si>
  <si>
    <t>DC Date</t>
  </si>
  <si>
    <t>CY Open Date</t>
  </si>
  <si>
    <t>Cut off</t>
  </si>
  <si>
    <t>LSP Requested HOD</t>
  </si>
  <si>
    <t>ETD Port Of Load Date</t>
  </si>
  <si>
    <t>ETA Port Of Discharge Date</t>
  </si>
  <si>
    <t>ETA IN DC Date</t>
  </si>
  <si>
    <t>Late DC Calculation</t>
  </si>
  <si>
    <t>Yes (with transit port) or 
 NO (direct vessel)</t>
  </si>
  <si>
    <t>HBL</t>
  </si>
  <si>
    <t>SO Released</t>
  </si>
  <si>
    <t>Category</t>
  </si>
  <si>
    <t>FAK or NAC?</t>
  </si>
  <si>
    <t>Remark (New booking/ Cancel/ LHOD)</t>
  </si>
  <si>
    <t>TP#</t>
  </si>
  <si>
    <t>Port of Final Destination (Coloader)</t>
  </si>
  <si>
    <t>RFS</t>
  </si>
  <si>
    <t>Flexport</t>
  </si>
  <si>
    <t>Colombo, LK</t>
  </si>
  <si>
    <t>Felixstowe, GB</t>
  </si>
  <si>
    <t>Birmingham, GB</t>
  </si>
  <si>
    <t>OCEAN</t>
  </si>
  <si>
    <t>A. 1 x 20ft</t>
  </si>
  <si>
    <t>CFS / CY</t>
  </si>
  <si>
    <t>MSC</t>
  </si>
  <si>
    <t>Britainnia</t>
  </si>
  <si>
    <t>Inqube Global (PVT) Ltd</t>
  </si>
  <si>
    <t>BRANDIX APPAREL SOLUTION LTD - GIRITALE</t>
  </si>
  <si>
    <t>N</t>
  </si>
  <si>
    <t>LM5BKOS</t>
  </si>
  <si>
    <t>No</t>
  </si>
  <si>
    <t>1 HBL</t>
  </si>
  <si>
    <t>LW</t>
  </si>
  <si>
    <t>NAC</t>
  </si>
  <si>
    <t>LM5BL3S</t>
  </si>
  <si>
    <t>Brandix Apparel Solutions Limited - Minuwangoda</t>
  </si>
  <si>
    <t>LW5GLNS</t>
  </si>
  <si>
    <t>Quantum Clothing Lanka (Pvt) Ltd</t>
  </si>
  <si>
    <t>LW2E01S</t>
  </si>
  <si>
    <t>LW9FMPS</t>
  </si>
  <si>
    <t>MAS AMITY PTE LTD</t>
  </si>
  <si>
    <t>MAS Active (Pvt) Ltd - Linea Intimo</t>
  </si>
  <si>
    <t>LW1CHSS</t>
  </si>
  <si>
    <t>MAS Active (Pvt) Ltd – Shadowline</t>
  </si>
  <si>
    <t>LM1366S</t>
  </si>
  <si>
    <t>MAS Active(Pvt) Ltd – CONTOURLINE</t>
  </si>
  <si>
    <t>LW5FARS</t>
  </si>
  <si>
    <t>LW6CLQS</t>
  </si>
  <si>
    <t>LW5EYKS</t>
  </si>
  <si>
    <t>LW2EB3S</t>
  </si>
  <si>
    <t>LW7CPPS</t>
  </si>
  <si>
    <t>LW5EPSS</t>
  </si>
  <si>
    <t>Rotterdam, NL</t>
  </si>
  <si>
    <t>LW1DUDS</t>
  </si>
  <si>
    <t>3254118 Total</t>
  </si>
  <si>
    <t>B. 1 x 20ft</t>
  </si>
  <si>
    <t>CFS/CY</t>
  </si>
  <si>
    <t>ONE</t>
  </si>
  <si>
    <t>IO3</t>
  </si>
  <si>
    <t>LW2EC1S</t>
  </si>
  <si>
    <t>LW7DPES</t>
  </si>
  <si>
    <t>LW1DRNS</t>
  </si>
  <si>
    <t>MAS Fabrics (Pvt) Ltd Intimo</t>
  </si>
  <si>
    <t>LM3FG2S</t>
  </si>
  <si>
    <t>3254120 Total</t>
  </si>
  <si>
    <t>New York, NY, US</t>
  </si>
  <si>
    <t>Mississauga, ON, CA</t>
  </si>
  <si>
    <t>C. 1 x 40HC</t>
  </si>
  <si>
    <t>EC3</t>
  </si>
  <si>
    <t>Bodyline Trading (Private) Limited</t>
  </si>
  <si>
    <t>Bodyline (Private) Limited</t>
  </si>
  <si>
    <t>LW9FLRS</t>
  </si>
  <si>
    <t>LW1FF7S</t>
  </si>
  <si>
    <t>LW1FM7S</t>
  </si>
  <si>
    <t>LW2CRHS</t>
  </si>
  <si>
    <t>LW2DW4S</t>
  </si>
  <si>
    <t>LW2ELMS</t>
  </si>
  <si>
    <t>LW2EB8S</t>
  </si>
  <si>
    <t>LW2ED2S</t>
  </si>
  <si>
    <t>LW2670S</t>
  </si>
  <si>
    <t>LW2DQ0S</t>
  </si>
  <si>
    <t>LW2731S</t>
  </si>
  <si>
    <t>LW9DC3S</t>
  </si>
  <si>
    <t>LW9DCIS</t>
  </si>
  <si>
    <t>LW9DCLS</t>
  </si>
  <si>
    <t>LW9DTYS</t>
  </si>
  <si>
    <t>LW9DTZS</t>
  </si>
  <si>
    <t>LW9DC4S</t>
  </si>
  <si>
    <t>LW9DE9S</t>
  </si>
  <si>
    <t>LW9DEAS</t>
  </si>
  <si>
    <t>LW9DEKS</t>
  </si>
  <si>
    <t>LW9DEOS</t>
  </si>
  <si>
    <t>LM5AO4S</t>
  </si>
  <si>
    <t>LM5AQGS</t>
  </si>
  <si>
    <t>LM5AQXS</t>
  </si>
  <si>
    <t>LM5AO1S</t>
  </si>
  <si>
    <t>LM5AQ9S</t>
  </si>
  <si>
    <t>LM5AQHS</t>
  </si>
  <si>
    <t>LM5AQMT</t>
  </si>
  <si>
    <t>LM7BSOS</t>
  </si>
  <si>
    <t>LM3DK7S</t>
  </si>
  <si>
    <t>LW2EDNS</t>
  </si>
  <si>
    <t>LW9FMOS</t>
  </si>
  <si>
    <t>LW9FUES</t>
  </si>
  <si>
    <t>MAS Active (Pvt) Ltd – Sleekline</t>
  </si>
  <si>
    <t>LM9AMTS</t>
  </si>
  <si>
    <t>LM9AQWS</t>
  </si>
  <si>
    <t>LM9AN5S</t>
  </si>
  <si>
    <t>LM9AUNS</t>
  </si>
  <si>
    <t>LM9AY5S</t>
  </si>
  <si>
    <t>LM9AYLS</t>
  </si>
  <si>
    <t>LM9AY9S</t>
  </si>
  <si>
    <t>LM9AYES</t>
  </si>
  <si>
    <t>LM9AMVS</t>
  </si>
  <si>
    <t>LM9AN8S</t>
  </si>
  <si>
    <t>LM9AZ0S</t>
  </si>
  <si>
    <t>LM9AN6S</t>
  </si>
  <si>
    <t>LW7CNIS</t>
  </si>
  <si>
    <t>LM3FBSS</t>
  </si>
  <si>
    <t>LW5ENMS</t>
  </si>
  <si>
    <t>Milton, ON, CA</t>
  </si>
  <si>
    <t>LW3JBFS</t>
  </si>
  <si>
    <t>LW5FLOS</t>
  </si>
  <si>
    <t>LM9B19S</t>
  </si>
  <si>
    <t>LW1DRKS</t>
  </si>
  <si>
    <t>LM7BI2S</t>
  </si>
  <si>
    <t>3254506 Total</t>
  </si>
  <si>
    <t>D. 1 x 40HC</t>
  </si>
  <si>
    <t>LW3JE9S</t>
  </si>
  <si>
    <t>LM3F64S</t>
  </si>
  <si>
    <t>LM3FHKS</t>
  </si>
  <si>
    <t>LW3DFLS</t>
  </si>
  <si>
    <t>LW3FQHS</t>
  </si>
  <si>
    <t>LM1364S</t>
  </si>
  <si>
    <t>LW3DFNS</t>
  </si>
  <si>
    <t>LM3FIKS</t>
  </si>
  <si>
    <t>LM3FPES</t>
  </si>
  <si>
    <t>LW3DFKS</t>
  </si>
  <si>
    <t>LW1CHRS</t>
  </si>
  <si>
    <t>LW1ERWS</t>
  </si>
  <si>
    <t>LW1DMJS</t>
  </si>
  <si>
    <t>LW1EKKS</t>
  </si>
  <si>
    <t>LW1FAPS</t>
  </si>
  <si>
    <t>LW1FH4S</t>
  </si>
  <si>
    <t>LM9B91S</t>
  </si>
  <si>
    <t>LM9B17S</t>
  </si>
  <si>
    <t>LM9B20S</t>
  </si>
  <si>
    <t>LW3JSMS</t>
  </si>
  <si>
    <t>LW3JE8S</t>
  </si>
  <si>
    <t>LW3GH4S</t>
  </si>
  <si>
    <t>LW3GZHS</t>
  </si>
  <si>
    <t>LW3FQFS</t>
  </si>
  <si>
    <t>LW3JSOS</t>
  </si>
  <si>
    <t>LW3DOBS</t>
  </si>
  <si>
    <t>LW3DFMS</t>
  </si>
  <si>
    <t>LW1FQ4S</t>
  </si>
  <si>
    <t>LW5HC0S</t>
  </si>
  <si>
    <t>3254508 Total</t>
  </si>
  <si>
    <t>D. 1 x 40HC Total</t>
  </si>
  <si>
    <t>C. 1 x 40HC Total</t>
  </si>
  <si>
    <t>B. 1 x 20ft Total</t>
  </si>
  <si>
    <t>A. 1 x 20ft Total</t>
  </si>
  <si>
    <t xml:space="preserve"> Total</t>
  </si>
  <si>
    <t>SUM of Cut off</t>
  </si>
  <si>
    <t>SUM of Total Cartons</t>
  </si>
  <si>
    <t>SUM of CY Open Date</t>
  </si>
  <si>
    <t>Exception Description</t>
  </si>
  <si>
    <t>Docs Received Date</t>
  </si>
  <si>
    <t>Actual cargo Receipt Date</t>
  </si>
  <si>
    <t>Received Volume</t>
  </si>
  <si>
    <t>Received Weight</t>
  </si>
  <si>
    <t>Received Cartons</t>
  </si>
  <si>
    <t>HBL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</si>
</sst>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m&quot;/&quot;d&quot;/&quot;yyyy"/>
  </numFmts>
  <fonts count="12">
    <font>
      <sz val="10"/>
      <color rgb="FF000000"/>
      <name val="Arial"/>
      <scheme val="minor"/>
    </font>
    <font>
      <b/>
      <sz val="10"/>
      <color rgb="FF000000"/>
      <name val="Calibri"/>
      <family val="2"/>
    </font>
    <font>
      <sz val="10"/>
      <color theme="1"/>
      <name val="Arial"/>
      <family val="2"/>
      <scheme val="minor"/>
    </font>
    <font>
      <sz val="10"/>
      <color theme="1"/>
      <name val="Arial"/>
      <family val="2"/>
    </font>
    <font>
      <sz val="10"/>
      <color rgb="FF000000"/>
      <name val="Arial"/>
      <family val="2"/>
    </font>
    <font>
      <sz val="9"/>
      <color rgb="FF000000"/>
      <name val="Google Sans Mono"/>
    </font>
    <font>
      <sz val="10"/>
      <color rgb="FFFF0000"/>
      <name val="Arial"/>
      <family val="2"/>
      <scheme val="minor"/>
    </font>
    <font>
      <sz val="10"/>
      <color rgb="FFFF0000"/>
      <name val="Arial"/>
      <family val="2"/>
    </font>
    <font>
      <sz val="9"/>
      <color rgb="FFFF0000"/>
      <name val="Google Sans Mono"/>
    </font>
    <font>
      <sz val="10"/>
      <color rgb="FF000000"/>
      <name val="Arial"/>
      <family val="2"/>
      <scheme val="minor"/>
    </font>
    <font>
      <b/>
      <sz val="10"/>
      <color rgb="FFFF0000"/>
      <name val="Arial"/>
      <family val="2"/>
      <scheme val="minor"/>
    </font>
    <font>
      <b/>
      <sz val="10"/>
      <color rgb="FFFF0000"/>
      <name val="Arial"/>
      <family val="2"/>
    </font>
  </fonts>
  <fills count="20">
    <fill>
      <patternFill patternType="none"/>
    </fill>
    <fill>
      <patternFill patternType="gray125"/>
    </fill>
    <fill>
      <patternFill patternType="solid">
        <fgColor rgb="FFFF9900"/>
        <bgColor rgb="FFFF9900"/>
      </patternFill>
    </fill>
    <fill>
      <patternFill patternType="solid">
        <fgColor rgb="FFFF0000"/>
        <bgColor rgb="FFFF0000"/>
      </patternFill>
    </fill>
    <fill>
      <patternFill patternType="solid">
        <fgColor rgb="FF00FFFF"/>
        <bgColor rgb="FF00FFFF"/>
      </patternFill>
    </fill>
    <fill>
      <patternFill patternType="solid">
        <fgColor rgb="FF00FF00"/>
        <bgColor rgb="FF00FF00"/>
      </patternFill>
    </fill>
    <fill>
      <patternFill patternType="solid">
        <fgColor rgb="FFFFFF00"/>
        <bgColor rgb="FFFFFF00"/>
      </patternFill>
    </fill>
    <fill>
      <patternFill patternType="solid">
        <fgColor rgb="FFD9D9D9"/>
        <bgColor rgb="FFD9D9D9"/>
      </patternFill>
    </fill>
    <fill>
      <patternFill patternType="solid">
        <fgColor theme="2" tint="-0.14999847407452621"/>
        <bgColor rgb="FFFF0000"/>
      </patternFill>
    </fill>
    <fill>
      <patternFill patternType="solid">
        <fgColor theme="2" tint="-0.14999847407452621"/>
        <bgColor indexed="64"/>
      </patternFill>
    </fill>
    <fill>
      <patternFill patternType="solid">
        <fgColor theme="2" tint="-0.14999847407452621"/>
        <bgColor rgb="FFFFFF00"/>
      </patternFill>
    </fill>
    <fill>
      <patternFill patternType="solid">
        <fgColor theme="4" tint="0.79998168889431442"/>
        <bgColor rgb="FFFF9900"/>
      </patternFill>
    </fill>
    <fill>
      <patternFill patternType="solid">
        <fgColor theme="4" tint="0.79998168889431442"/>
        <bgColor indexed="64"/>
      </patternFill>
    </fill>
    <fill>
      <patternFill patternType="solid">
        <fgColor theme="4" tint="0.79998168889431442"/>
        <bgColor rgb="FFFFFF00"/>
      </patternFill>
    </fill>
    <fill>
      <patternFill patternType="solid">
        <fgColor theme="7" tint="0.39997558519241921"/>
        <bgColor rgb="FFFF9900"/>
      </patternFill>
    </fill>
    <fill>
      <patternFill patternType="solid">
        <fgColor theme="7" tint="0.39997558519241921"/>
        <bgColor indexed="64"/>
      </patternFill>
    </fill>
    <fill>
      <patternFill patternType="solid">
        <fgColor theme="7" tint="0.39997558519241921"/>
        <bgColor rgb="FFFFFF00"/>
      </patternFill>
    </fill>
    <fill>
      <patternFill patternType="solid">
        <fgColor rgb="FFCC0099"/>
        <bgColor rgb="FFFF9900"/>
      </patternFill>
    </fill>
    <fill>
      <patternFill patternType="solid">
        <fgColor rgb="FFCC0099"/>
        <bgColor indexed="64"/>
      </patternFill>
    </fill>
    <fill>
      <patternFill patternType="solid">
        <fgColor rgb="FFCC0099"/>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9" fillId="0" borderId="0"/>
  </cellStyleXfs>
  <cellXfs count="74">
    <xf numFmtId="0" fontId="0" fillId="0" borderId="0" xfId="0"/>
    <xf numFmtId="0" fontId="1" fillId="0" borderId="0" xfId="0" applyFont="1"/>
    <xf numFmtId="0" fontId="1" fillId="2" borderId="0" xfId="0" applyFont="1" applyFill="1"/>
    <xf numFmtId="0" fontId="1" fillId="0" borderId="0" xfId="0" applyFont="1" applyAlignment="1">
      <alignment wrapText="1"/>
    </xf>
    <xf numFmtId="14" fontId="1" fillId="2" borderId="0" xfId="0" applyNumberFormat="1" applyFont="1" applyFill="1"/>
    <xf numFmtId="14" fontId="1" fillId="0" borderId="0" xfId="0" applyNumberFormat="1" applyFont="1"/>
    <xf numFmtId="1" fontId="1" fillId="0" borderId="0" xfId="0" applyNumberFormat="1" applyFont="1"/>
    <xf numFmtId="1" fontId="1" fillId="3" borderId="0" xfId="0" applyNumberFormat="1" applyFont="1" applyFill="1" applyAlignment="1">
      <alignment horizontal="right"/>
    </xf>
    <xf numFmtId="4" fontId="1" fillId="0" borderId="0" xfId="0" applyNumberFormat="1" applyFont="1"/>
    <xf numFmtId="14" fontId="1" fillId="0" borderId="0" xfId="0" applyNumberFormat="1" applyFont="1" applyAlignment="1">
      <alignment horizontal="right"/>
    </xf>
    <xf numFmtId="0" fontId="1" fillId="2" borderId="0" xfId="0" applyFont="1" applyFill="1" applyAlignment="1">
      <alignment wrapText="1"/>
    </xf>
    <xf numFmtId="4" fontId="1" fillId="2" borderId="0" xfId="0" applyNumberFormat="1" applyFont="1" applyFill="1" applyAlignment="1">
      <alignment horizontal="right"/>
    </xf>
    <xf numFmtId="4" fontId="1" fillId="3" borderId="0" xfId="0" applyNumberFormat="1" applyFont="1" applyFill="1"/>
    <xf numFmtId="0" fontId="1" fillId="4" borderId="0" xfId="0" applyFont="1" applyFill="1" applyAlignment="1">
      <alignment wrapText="1"/>
    </xf>
    <xf numFmtId="0" fontId="1" fillId="5" borderId="0" xfId="0" applyFont="1" applyFill="1" applyAlignment="1">
      <alignment wrapText="1"/>
    </xf>
    <xf numFmtId="0" fontId="2" fillId="0" borderId="0" xfId="0" applyFont="1"/>
    <xf numFmtId="14" fontId="2" fillId="0" borderId="0" xfId="0" applyNumberFormat="1" applyFont="1"/>
    <xf numFmtId="1" fontId="2" fillId="0" borderId="0" xfId="0" applyNumberFormat="1" applyFont="1"/>
    <xf numFmtId="0" fontId="2" fillId="0" borderId="0" xfId="0" applyFont="1" applyAlignment="1">
      <alignment horizontal="right"/>
    </xf>
    <xf numFmtId="14" fontId="3" fillId="0" borderId="0" xfId="0" applyNumberFormat="1" applyFont="1"/>
    <xf numFmtId="0" fontId="4" fillId="0" borderId="0" xfId="0" applyFont="1" applyAlignment="1">
      <alignment horizontal="center"/>
    </xf>
    <xf numFmtId="0" fontId="4" fillId="0" borderId="0" xfId="0" applyFont="1"/>
    <xf numFmtId="0" fontId="5" fillId="0" borderId="0" xfId="0" applyFont="1"/>
    <xf numFmtId="0" fontId="3" fillId="0" borderId="0" xfId="0" applyFont="1"/>
    <xf numFmtId="0" fontId="3" fillId="0" borderId="0" xfId="0" applyFont="1" applyAlignment="1">
      <alignment horizontal="center"/>
    </xf>
    <xf numFmtId="1" fontId="3" fillId="0" borderId="0" xfId="0" applyNumberFormat="1" applyFont="1" applyAlignment="1">
      <alignment horizontal="center"/>
    </xf>
    <xf numFmtId="14" fontId="3" fillId="0" borderId="0" xfId="0" applyNumberFormat="1" applyFont="1" applyAlignment="1">
      <alignment horizontal="center"/>
    </xf>
    <xf numFmtId="164" fontId="3" fillId="0" borderId="0" xfId="0" applyNumberFormat="1" applyFont="1" applyAlignment="1">
      <alignment horizontal="center"/>
    </xf>
    <xf numFmtId="164" fontId="2" fillId="0" borderId="0" xfId="0" applyNumberFormat="1" applyFont="1"/>
    <xf numFmtId="0" fontId="6" fillId="6" borderId="0" xfId="0" applyFont="1" applyFill="1"/>
    <xf numFmtId="165" fontId="6" fillId="6" borderId="0" xfId="0" applyNumberFormat="1" applyFont="1" applyFill="1"/>
    <xf numFmtId="14" fontId="6" fillId="6" borderId="0" xfId="0" applyNumberFormat="1" applyFont="1" applyFill="1"/>
    <xf numFmtId="1" fontId="6" fillId="6" borderId="0" xfId="0" applyNumberFormat="1" applyFont="1" applyFill="1"/>
    <xf numFmtId="0" fontId="6" fillId="6" borderId="0" xfId="0" applyFont="1" applyFill="1" applyAlignment="1">
      <alignment horizontal="right"/>
    </xf>
    <xf numFmtId="14" fontId="7" fillId="6" borderId="0" xfId="0" applyNumberFormat="1" applyFont="1" applyFill="1"/>
    <xf numFmtId="14" fontId="7" fillId="6" borderId="0" xfId="0" applyNumberFormat="1" applyFont="1" applyFill="1" applyAlignment="1">
      <alignment horizontal="right"/>
    </xf>
    <xf numFmtId="0" fontId="7" fillId="6" borderId="0" xfId="0" applyFont="1" applyFill="1" applyAlignment="1">
      <alignment horizontal="center"/>
    </xf>
    <xf numFmtId="0" fontId="7" fillId="6" borderId="0" xfId="0" applyFont="1" applyFill="1"/>
    <xf numFmtId="0" fontId="8" fillId="6" borderId="0" xfId="0" applyFont="1" applyFill="1"/>
    <xf numFmtId="0" fontId="9" fillId="0" borderId="0" xfId="0" applyFont="1"/>
    <xf numFmtId="0" fontId="7" fillId="0" borderId="0" xfId="0" applyFont="1" applyAlignment="1">
      <alignment horizontal="center"/>
    </xf>
    <xf numFmtId="0" fontId="6" fillId="0" borderId="0" xfId="0" applyFont="1"/>
    <xf numFmtId="0" fontId="9" fillId="0" borderId="0" xfId="1"/>
    <xf numFmtId="1" fontId="2" fillId="0" borderId="0" xfId="1" applyNumberFormat="1" applyFont="1"/>
    <xf numFmtId="14" fontId="2" fillId="0" borderId="0" xfId="1" applyNumberFormat="1" applyFont="1"/>
    <xf numFmtId="0" fontId="2" fillId="0" borderId="0" xfId="1" applyFont="1"/>
    <xf numFmtId="165" fontId="2" fillId="0" borderId="0" xfId="1" applyNumberFormat="1" applyFont="1"/>
    <xf numFmtId="4" fontId="2" fillId="0" borderId="0" xfId="1" applyNumberFormat="1" applyFont="1"/>
    <xf numFmtId="0" fontId="2" fillId="0" borderId="0" xfId="1" applyFont="1" applyAlignment="1">
      <alignment horizontal="right"/>
    </xf>
    <xf numFmtId="0" fontId="3" fillId="0" borderId="0" xfId="1" applyFont="1"/>
    <xf numFmtId="0" fontId="10" fillId="7" borderId="0" xfId="1" applyFont="1" applyFill="1"/>
    <xf numFmtId="0" fontId="11" fillId="6" borderId="1" xfId="1" applyFont="1" applyFill="1" applyBorder="1"/>
    <xf numFmtId="0" fontId="11" fillId="6" borderId="0" xfId="1" applyFont="1" applyFill="1"/>
    <xf numFmtId="0" fontId="11" fillId="7" borderId="0" xfId="1" applyFont="1" applyFill="1"/>
    <xf numFmtId="1" fontId="10" fillId="7" borderId="0" xfId="1" applyNumberFormat="1" applyFont="1" applyFill="1"/>
    <xf numFmtId="0" fontId="10" fillId="6" borderId="0" xfId="1" applyFont="1" applyFill="1"/>
    <xf numFmtId="14" fontId="1" fillId="8" borderId="0" xfId="0" applyNumberFormat="1" applyFont="1" applyFill="1"/>
    <xf numFmtId="14" fontId="3" fillId="9" borderId="0" xfId="0" applyNumberFormat="1" applyFont="1" applyFill="1" applyAlignment="1">
      <alignment horizontal="right"/>
    </xf>
    <xf numFmtId="14" fontId="7" fillId="10" borderId="0" xfId="0" applyNumberFormat="1" applyFont="1" applyFill="1" applyAlignment="1">
      <alignment horizontal="right"/>
    </xf>
    <xf numFmtId="14" fontId="3" fillId="9" borderId="0" xfId="0" applyNumberFormat="1" applyFont="1" applyFill="1"/>
    <xf numFmtId="14" fontId="6" fillId="10" borderId="0" xfId="0" applyNumberFormat="1" applyFont="1" applyFill="1"/>
    <xf numFmtId="0" fontId="0" fillId="9" borderId="0" xfId="0" applyFill="1"/>
    <xf numFmtId="14" fontId="1" fillId="11" borderId="0" xfId="0" applyNumberFormat="1" applyFont="1" applyFill="1" applyAlignment="1">
      <alignment horizontal="right"/>
    </xf>
    <xf numFmtId="14" fontId="3" fillId="12" borderId="0" xfId="0" applyNumberFormat="1" applyFont="1" applyFill="1" applyAlignment="1">
      <alignment horizontal="right"/>
    </xf>
    <xf numFmtId="14" fontId="7" fillId="13" borderId="0" xfId="0" applyNumberFormat="1" applyFont="1" applyFill="1" applyAlignment="1">
      <alignment horizontal="right"/>
    </xf>
    <xf numFmtId="0" fontId="0" fillId="12" borderId="0" xfId="0" applyFill="1"/>
    <xf numFmtId="14" fontId="1" fillId="14" borderId="0" xfId="0" applyNumberFormat="1" applyFont="1" applyFill="1" applyAlignment="1">
      <alignment horizontal="right"/>
    </xf>
    <xf numFmtId="14" fontId="3" fillId="15" borderId="0" xfId="0" applyNumberFormat="1" applyFont="1" applyFill="1" applyAlignment="1">
      <alignment horizontal="right"/>
    </xf>
    <xf numFmtId="14" fontId="7" fillId="16" borderId="0" xfId="0" applyNumberFormat="1" applyFont="1" applyFill="1" applyAlignment="1">
      <alignment horizontal="right"/>
    </xf>
    <xf numFmtId="0" fontId="0" fillId="15" borderId="0" xfId="0" applyFill="1"/>
    <xf numFmtId="14" fontId="1" fillId="17" borderId="0" xfId="0" applyNumberFormat="1" applyFont="1" applyFill="1" applyAlignment="1">
      <alignment horizontal="right"/>
    </xf>
    <xf numFmtId="14" fontId="3" fillId="18" borderId="0" xfId="0" applyNumberFormat="1" applyFont="1" applyFill="1" applyAlignment="1">
      <alignment horizontal="right"/>
    </xf>
    <xf numFmtId="14" fontId="7" fillId="19" borderId="0" xfId="0" applyNumberFormat="1" applyFont="1" applyFill="1" applyAlignment="1">
      <alignment horizontal="right"/>
    </xf>
    <xf numFmtId="0" fontId="0" fillId="18" borderId="0" xfId="0" applyFill="1"/>
  </cellXfs>
  <cellStyles count="2">
    <cellStyle name="Normal" xfId="0" builtinId="0"/>
    <cellStyle name="Normal 2" xfId="1" xr:uid="{A392CAE8-31BD-B34B-B719-C8C2E3FE0FC3}"/>
  </cellStyles>
  <dxfs count="4">
    <dxf>
      <fill>
        <patternFill patternType="solid">
          <fgColor rgb="FFFFFF00"/>
          <bgColor rgb="FFFFFF00"/>
        </patternFill>
      </fill>
    </dxf>
    <dxf>
      <fill>
        <patternFill patternType="solid">
          <fgColor rgb="FFB7E1CD"/>
          <bgColor rgb="FFB7E1CD"/>
        </patternFill>
      </fill>
    </dxf>
    <dxf>
      <font>
        <color rgb="FF000000"/>
      </font>
      <fill>
        <patternFill patternType="solid">
          <fgColor rgb="FFCFE2F3"/>
          <bgColor rgb="FFCFE2F3"/>
        </patternFill>
      </fill>
    </dxf>
    <dxf>
      <fill>
        <patternFill patternType="solid">
          <fgColor rgb="FFFFFF00"/>
          <bgColor rgb="FFFFFF00"/>
        </patternFill>
      </fill>
    </dxf>
  </dxfs>
  <tableStyles count="0" defaultTableStyle="TableStyleMedium2" defaultPivotStyle="PivotStyleLight16"/>
  <colors>
    <mruColors>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P422"/>
  <sheetViews>
    <sheetView tabSelected="1" topLeftCell="P1" workbookViewId="0">
      <pane ySplit="1" topLeftCell="A254" activePane="bottomLeft" state="frozen"/>
      <selection pane="bottomLeft" activeCell="AB289" sqref="AB289"/>
    </sheetView>
  </sheetViews>
  <sheetFormatPr defaultColWidth="12.7109375" defaultRowHeight="15.75" customHeight="1"/>
  <cols>
    <col min="4" max="4" width="14.28515625" customWidth="1"/>
    <col min="5" max="5" width="18.7109375" customWidth="1"/>
    <col min="6" max="6" width="10.7109375" customWidth="1"/>
    <col min="9" max="9" width="16.7109375" customWidth="1"/>
    <col min="10" max="10" width="14.140625" customWidth="1"/>
    <col min="11" max="11" width="19" customWidth="1"/>
    <col min="12" max="12" width="37.85546875" customWidth="1"/>
    <col min="17" max="17" width="19.28515625" customWidth="1"/>
    <col min="18" max="18" width="14.7109375" customWidth="1"/>
    <col min="21" max="21" width="13.42578125" customWidth="1"/>
    <col min="22" max="22" width="13" customWidth="1"/>
    <col min="23" max="23" width="15.42578125" customWidth="1"/>
    <col min="24" max="24" width="15.85546875" style="61" customWidth="1"/>
    <col min="25" max="25" width="18.5703125" style="65" bestFit="1" customWidth="1"/>
    <col min="26" max="26" width="22.42578125" style="69" bestFit="1" customWidth="1"/>
    <col min="27" max="27" width="12.7109375" style="73"/>
    <col min="29" max="29" width="16.42578125" customWidth="1"/>
    <col min="34" max="34" width="31.85546875" customWidth="1"/>
    <col min="36" max="36" width="13.28515625" customWidth="1"/>
  </cols>
  <sheetData>
    <row r="1" spans="1:42" ht="38.25">
      <c r="A1" s="1" t="s">
        <v>0</v>
      </c>
      <c r="B1" s="2" t="s">
        <v>1</v>
      </c>
      <c r="C1" s="1" t="s">
        <v>2</v>
      </c>
      <c r="D1" s="3" t="s">
        <v>3</v>
      </c>
      <c r="E1" s="3" t="s">
        <v>4</v>
      </c>
      <c r="F1" s="1" t="s">
        <v>5</v>
      </c>
      <c r="G1" s="2" t="s">
        <v>6</v>
      </c>
      <c r="H1" s="4" t="s">
        <v>7</v>
      </c>
      <c r="I1" s="2" t="s">
        <v>8</v>
      </c>
      <c r="J1" s="2" t="s">
        <v>9</v>
      </c>
      <c r="K1" s="1" t="s">
        <v>10</v>
      </c>
      <c r="L1" s="5" t="s">
        <v>11</v>
      </c>
      <c r="M1" s="3" t="s">
        <v>12</v>
      </c>
      <c r="N1" s="6" t="s">
        <v>13</v>
      </c>
      <c r="O1" s="1" t="s">
        <v>14</v>
      </c>
      <c r="P1" s="7" t="s">
        <v>15</v>
      </c>
      <c r="Q1" s="6" t="s">
        <v>16</v>
      </c>
      <c r="R1" s="8" t="s">
        <v>17</v>
      </c>
      <c r="S1" s="8" t="s">
        <v>18</v>
      </c>
      <c r="T1" s="5" t="s">
        <v>19</v>
      </c>
      <c r="U1" s="9" t="s">
        <v>20</v>
      </c>
      <c r="V1" s="10" t="s">
        <v>21</v>
      </c>
      <c r="W1" s="4" t="s">
        <v>22</v>
      </c>
      <c r="X1" s="56" t="s">
        <v>23</v>
      </c>
      <c r="Y1" s="62" t="s">
        <v>24</v>
      </c>
      <c r="Z1" s="66" t="s">
        <v>25</v>
      </c>
      <c r="AA1" s="70" t="s">
        <v>26</v>
      </c>
      <c r="AB1" s="11" t="s">
        <v>27</v>
      </c>
      <c r="AC1" s="2" t="s">
        <v>28</v>
      </c>
      <c r="AD1" s="2" t="s">
        <v>29</v>
      </c>
      <c r="AE1" s="2" t="s">
        <v>30</v>
      </c>
      <c r="AF1" s="12" t="s">
        <v>31</v>
      </c>
      <c r="AG1" s="12" t="s">
        <v>32</v>
      </c>
      <c r="AH1" s="3" t="s">
        <v>33</v>
      </c>
      <c r="AI1" s="13" t="s">
        <v>34</v>
      </c>
      <c r="AJ1" s="14" t="s">
        <v>35</v>
      </c>
      <c r="AK1" s="14" t="s">
        <v>36</v>
      </c>
      <c r="AL1" s="14"/>
      <c r="AM1" s="14"/>
      <c r="AN1" s="14"/>
      <c r="AO1" s="14"/>
      <c r="AP1" s="14"/>
    </row>
    <row r="2" spans="1:42" ht="15" customHeight="1">
      <c r="A2" s="15">
        <v>3254118</v>
      </c>
      <c r="B2" s="15" t="s">
        <v>37</v>
      </c>
      <c r="C2" s="15" t="s">
        <v>38</v>
      </c>
      <c r="D2" s="15" t="s">
        <v>39</v>
      </c>
      <c r="E2" s="15" t="s">
        <v>40</v>
      </c>
      <c r="F2" s="15" t="s">
        <v>41</v>
      </c>
      <c r="G2" s="15" t="s">
        <v>42</v>
      </c>
      <c r="H2" s="15" t="s">
        <v>43</v>
      </c>
      <c r="I2" s="15" t="s">
        <v>44</v>
      </c>
      <c r="J2" s="15" t="s">
        <v>45</v>
      </c>
      <c r="K2" s="15" t="s">
        <v>46</v>
      </c>
      <c r="L2" s="16" t="s">
        <v>47</v>
      </c>
      <c r="M2" s="15" t="s">
        <v>48</v>
      </c>
      <c r="N2" s="17">
        <v>452503025214</v>
      </c>
      <c r="O2" s="15">
        <v>19807145</v>
      </c>
      <c r="P2" s="18" t="s">
        <v>49</v>
      </c>
      <c r="Q2" s="18">
        <v>6</v>
      </c>
      <c r="R2" s="18">
        <v>0.495</v>
      </c>
      <c r="S2" s="15">
        <v>85.4</v>
      </c>
      <c r="T2" s="16">
        <v>45824</v>
      </c>
      <c r="U2" s="19">
        <v>45883</v>
      </c>
      <c r="V2" s="16">
        <v>45824</v>
      </c>
      <c r="W2" s="16">
        <v>45826</v>
      </c>
      <c r="X2" s="57">
        <f t="shared" ref="X2:X29" si="0">W2-1</f>
        <v>45825</v>
      </c>
      <c r="Y2" s="63">
        <v>45832</v>
      </c>
      <c r="Z2" s="67">
        <v>45863</v>
      </c>
      <c r="AA2" s="71">
        <f t="shared" ref="AA2:AA29" si="1">Z2+7</f>
        <v>45870</v>
      </c>
      <c r="AB2" s="20">
        <f t="shared" ref="AB2:AB29" si="2">AA2-U2</f>
        <v>-13</v>
      </c>
      <c r="AC2" s="20" t="s">
        <v>50</v>
      </c>
      <c r="AD2" s="21" t="s">
        <v>51</v>
      </c>
      <c r="AE2" s="21"/>
      <c r="AF2" s="22" t="s">
        <v>52</v>
      </c>
      <c r="AG2" s="23" t="s">
        <v>53</v>
      </c>
      <c r="AH2" s="24"/>
      <c r="AK2" s="25"/>
      <c r="AL2" s="24"/>
      <c r="AM2" s="24"/>
      <c r="AN2" s="24"/>
    </row>
    <row r="3" spans="1:42" ht="12.75">
      <c r="A3" s="15">
        <v>3254118</v>
      </c>
      <c r="B3" s="15" t="s">
        <v>37</v>
      </c>
      <c r="C3" s="15" t="s">
        <v>38</v>
      </c>
      <c r="D3" s="15" t="s">
        <v>39</v>
      </c>
      <c r="E3" s="15" t="s">
        <v>40</v>
      </c>
      <c r="F3" s="15" t="s">
        <v>41</v>
      </c>
      <c r="G3" s="15" t="s">
        <v>42</v>
      </c>
      <c r="H3" s="15" t="s">
        <v>43</v>
      </c>
      <c r="I3" s="15" t="s">
        <v>44</v>
      </c>
      <c r="J3" s="15" t="s">
        <v>45</v>
      </c>
      <c r="K3" s="15" t="s">
        <v>46</v>
      </c>
      <c r="L3" s="16" t="s">
        <v>47</v>
      </c>
      <c r="M3" s="15" t="s">
        <v>48</v>
      </c>
      <c r="N3" s="17">
        <v>452503031243</v>
      </c>
      <c r="O3" s="15">
        <v>19807150</v>
      </c>
      <c r="P3" s="18" t="s">
        <v>49</v>
      </c>
      <c r="Q3" s="18">
        <v>5</v>
      </c>
      <c r="R3" s="18">
        <v>0.373</v>
      </c>
      <c r="S3" s="15">
        <v>67.459999999999994</v>
      </c>
      <c r="T3" s="16">
        <v>45824</v>
      </c>
      <c r="U3" s="19">
        <v>45883</v>
      </c>
      <c r="V3" s="16">
        <v>45824</v>
      </c>
      <c r="W3" s="16">
        <v>45826</v>
      </c>
      <c r="X3" s="57">
        <f t="shared" si="0"/>
        <v>45825</v>
      </c>
      <c r="Y3" s="63">
        <v>45832</v>
      </c>
      <c r="Z3" s="67">
        <v>45863</v>
      </c>
      <c r="AA3" s="71">
        <f t="shared" si="1"/>
        <v>45870</v>
      </c>
      <c r="AB3" s="20">
        <f t="shared" si="2"/>
        <v>-13</v>
      </c>
      <c r="AC3" s="20" t="s">
        <v>50</v>
      </c>
      <c r="AD3" s="21" t="s">
        <v>51</v>
      </c>
      <c r="AE3" s="21"/>
      <c r="AF3" s="22" t="s">
        <v>52</v>
      </c>
      <c r="AG3" s="23" t="s">
        <v>53</v>
      </c>
      <c r="AH3" s="24"/>
      <c r="AI3" s="26"/>
      <c r="AJ3" s="26"/>
      <c r="AK3" s="26"/>
      <c r="AL3" s="24"/>
      <c r="AM3" s="27"/>
      <c r="AN3" s="24"/>
    </row>
    <row r="4" spans="1:42" ht="12.75">
      <c r="A4" s="15">
        <v>3254118</v>
      </c>
      <c r="B4" s="15" t="s">
        <v>37</v>
      </c>
      <c r="C4" s="15" t="s">
        <v>38</v>
      </c>
      <c r="D4" s="15" t="s">
        <v>39</v>
      </c>
      <c r="E4" s="15" t="s">
        <v>40</v>
      </c>
      <c r="F4" s="15" t="s">
        <v>41</v>
      </c>
      <c r="G4" s="15" t="s">
        <v>42</v>
      </c>
      <c r="H4" s="15" t="s">
        <v>43</v>
      </c>
      <c r="I4" s="15" t="s">
        <v>44</v>
      </c>
      <c r="J4" s="15" t="s">
        <v>45</v>
      </c>
      <c r="K4" s="15" t="s">
        <v>46</v>
      </c>
      <c r="L4" s="16" t="s">
        <v>47</v>
      </c>
      <c r="M4" s="15" t="s">
        <v>48</v>
      </c>
      <c r="N4" s="17">
        <v>452503041065</v>
      </c>
      <c r="O4" s="15">
        <v>19807140</v>
      </c>
      <c r="P4" s="18" t="s">
        <v>49</v>
      </c>
      <c r="Q4" s="18">
        <v>8</v>
      </c>
      <c r="R4" s="18">
        <v>0.57999999999999996</v>
      </c>
      <c r="S4" s="15">
        <v>109.2</v>
      </c>
      <c r="T4" s="16">
        <v>45824</v>
      </c>
      <c r="U4" s="19">
        <v>45883</v>
      </c>
      <c r="V4" s="16">
        <v>45824</v>
      </c>
      <c r="W4" s="16">
        <v>45826</v>
      </c>
      <c r="X4" s="57">
        <f t="shared" si="0"/>
        <v>45825</v>
      </c>
      <c r="Y4" s="63">
        <v>45832</v>
      </c>
      <c r="Z4" s="67">
        <v>45863</v>
      </c>
      <c r="AA4" s="71">
        <f t="shared" si="1"/>
        <v>45870</v>
      </c>
      <c r="AB4" s="20">
        <f t="shared" si="2"/>
        <v>-13</v>
      </c>
      <c r="AC4" s="20" t="s">
        <v>50</v>
      </c>
      <c r="AD4" s="21" t="s">
        <v>51</v>
      </c>
      <c r="AE4" s="21"/>
      <c r="AF4" s="22" t="s">
        <v>52</v>
      </c>
      <c r="AG4" s="23" t="s">
        <v>53</v>
      </c>
      <c r="AH4" s="24"/>
      <c r="AI4" s="16"/>
      <c r="AJ4" s="16"/>
      <c r="AM4" s="28"/>
      <c r="AN4" s="24"/>
    </row>
    <row r="5" spans="1:42" ht="12.75">
      <c r="A5" s="15">
        <v>3254118</v>
      </c>
      <c r="B5" s="15" t="s">
        <v>37</v>
      </c>
      <c r="C5" s="15" t="s">
        <v>38</v>
      </c>
      <c r="D5" s="15" t="s">
        <v>39</v>
      </c>
      <c r="E5" s="15" t="s">
        <v>40</v>
      </c>
      <c r="F5" s="15" t="s">
        <v>41</v>
      </c>
      <c r="G5" s="15" t="s">
        <v>42</v>
      </c>
      <c r="H5" s="15" t="s">
        <v>43</v>
      </c>
      <c r="I5" s="15" t="s">
        <v>44</v>
      </c>
      <c r="J5" s="15" t="s">
        <v>45</v>
      </c>
      <c r="K5" s="15" t="s">
        <v>46</v>
      </c>
      <c r="L5" s="16" t="s">
        <v>47</v>
      </c>
      <c r="M5" s="15" t="s">
        <v>48</v>
      </c>
      <c r="N5" s="17">
        <v>452503345762</v>
      </c>
      <c r="O5" s="15">
        <v>19807152</v>
      </c>
      <c r="P5" s="18" t="s">
        <v>54</v>
      </c>
      <c r="Q5" s="18">
        <v>1</v>
      </c>
      <c r="R5" s="18">
        <v>8.3000000000000004E-2</v>
      </c>
      <c r="S5" s="15">
        <v>9.33</v>
      </c>
      <c r="T5" s="16">
        <v>45824</v>
      </c>
      <c r="U5" s="19">
        <v>45883</v>
      </c>
      <c r="V5" s="16">
        <v>45824</v>
      </c>
      <c r="W5" s="16">
        <v>45826</v>
      </c>
      <c r="X5" s="57">
        <f t="shared" si="0"/>
        <v>45825</v>
      </c>
      <c r="Y5" s="63">
        <v>45832</v>
      </c>
      <c r="Z5" s="67">
        <v>45863</v>
      </c>
      <c r="AA5" s="71">
        <f t="shared" si="1"/>
        <v>45870</v>
      </c>
      <c r="AB5" s="20">
        <f t="shared" si="2"/>
        <v>-13</v>
      </c>
      <c r="AC5" s="20" t="s">
        <v>50</v>
      </c>
      <c r="AD5" s="21" t="s">
        <v>51</v>
      </c>
      <c r="AE5" s="21"/>
      <c r="AF5" s="22" t="s">
        <v>52</v>
      </c>
      <c r="AG5" s="23" t="s">
        <v>53</v>
      </c>
      <c r="AH5" s="24"/>
    </row>
    <row r="6" spans="1:42" ht="12.75">
      <c r="A6" s="15">
        <v>3254118</v>
      </c>
      <c r="B6" s="15" t="s">
        <v>37</v>
      </c>
      <c r="C6" s="15" t="s">
        <v>38</v>
      </c>
      <c r="D6" s="15" t="s">
        <v>39</v>
      </c>
      <c r="E6" s="15" t="s">
        <v>40</v>
      </c>
      <c r="F6" s="15" t="s">
        <v>41</v>
      </c>
      <c r="G6" s="15" t="s">
        <v>42</v>
      </c>
      <c r="H6" s="15" t="s">
        <v>43</v>
      </c>
      <c r="I6" s="15" t="s">
        <v>44</v>
      </c>
      <c r="J6" s="15" t="s">
        <v>45</v>
      </c>
      <c r="K6" s="15" t="s">
        <v>46</v>
      </c>
      <c r="L6" s="16" t="s">
        <v>47</v>
      </c>
      <c r="M6" s="15" t="s">
        <v>48</v>
      </c>
      <c r="N6" s="17">
        <v>452504206989</v>
      </c>
      <c r="O6" s="15">
        <v>19807156</v>
      </c>
      <c r="P6" s="18" t="s">
        <v>54</v>
      </c>
      <c r="Q6" s="18">
        <v>1</v>
      </c>
      <c r="R6" s="18">
        <v>8.3000000000000004E-2</v>
      </c>
      <c r="S6" s="15">
        <v>11.51</v>
      </c>
      <c r="T6" s="16">
        <v>45824</v>
      </c>
      <c r="U6" s="19">
        <v>45883</v>
      </c>
      <c r="V6" s="16">
        <v>45824</v>
      </c>
      <c r="W6" s="16">
        <v>45826</v>
      </c>
      <c r="X6" s="57">
        <f t="shared" si="0"/>
        <v>45825</v>
      </c>
      <c r="Y6" s="63">
        <v>45832</v>
      </c>
      <c r="Z6" s="67">
        <v>45863</v>
      </c>
      <c r="AA6" s="71">
        <f t="shared" si="1"/>
        <v>45870</v>
      </c>
      <c r="AB6" s="20">
        <f t="shared" si="2"/>
        <v>-13</v>
      </c>
      <c r="AC6" s="20" t="s">
        <v>50</v>
      </c>
      <c r="AD6" s="21" t="s">
        <v>51</v>
      </c>
      <c r="AE6" s="21"/>
      <c r="AF6" s="22" t="s">
        <v>52</v>
      </c>
      <c r="AG6" s="23" t="s">
        <v>53</v>
      </c>
      <c r="AH6" s="24"/>
    </row>
    <row r="7" spans="1:42" ht="12.75">
      <c r="A7" s="15">
        <v>3254118</v>
      </c>
      <c r="B7" s="15" t="s">
        <v>37</v>
      </c>
      <c r="C7" s="15" t="s">
        <v>38</v>
      </c>
      <c r="D7" s="15" t="s">
        <v>39</v>
      </c>
      <c r="E7" s="15" t="s">
        <v>40</v>
      </c>
      <c r="F7" s="15" t="s">
        <v>41</v>
      </c>
      <c r="G7" s="15" t="s">
        <v>42</v>
      </c>
      <c r="H7" s="15" t="s">
        <v>43</v>
      </c>
      <c r="I7" s="15" t="s">
        <v>44</v>
      </c>
      <c r="J7" s="15" t="s">
        <v>45</v>
      </c>
      <c r="K7" s="15" t="s">
        <v>46</v>
      </c>
      <c r="L7" s="16" t="s">
        <v>47</v>
      </c>
      <c r="M7" s="15" t="s">
        <v>48</v>
      </c>
      <c r="N7" s="17">
        <v>452517861652</v>
      </c>
      <c r="O7" s="15">
        <v>19849783</v>
      </c>
      <c r="P7" s="18" t="s">
        <v>54</v>
      </c>
      <c r="Q7" s="18">
        <v>3</v>
      </c>
      <c r="R7" s="18">
        <v>0.16800000000000001</v>
      </c>
      <c r="S7" s="15">
        <v>14.89</v>
      </c>
      <c r="T7" s="16">
        <v>45824</v>
      </c>
      <c r="U7" s="19">
        <v>45883</v>
      </c>
      <c r="V7" s="16">
        <v>45824</v>
      </c>
      <c r="W7" s="16">
        <v>45826</v>
      </c>
      <c r="X7" s="57">
        <f t="shared" si="0"/>
        <v>45825</v>
      </c>
      <c r="Y7" s="63">
        <v>45832</v>
      </c>
      <c r="Z7" s="67">
        <v>45863</v>
      </c>
      <c r="AA7" s="71">
        <f t="shared" si="1"/>
        <v>45870</v>
      </c>
      <c r="AB7" s="20">
        <f t="shared" si="2"/>
        <v>-13</v>
      </c>
      <c r="AC7" s="20" t="s">
        <v>50</v>
      </c>
      <c r="AD7" s="21" t="s">
        <v>51</v>
      </c>
      <c r="AE7" s="21"/>
      <c r="AF7" s="22" t="s">
        <v>52</v>
      </c>
      <c r="AG7" s="23" t="s">
        <v>53</v>
      </c>
      <c r="AH7" s="24"/>
    </row>
    <row r="8" spans="1:42" ht="12.75">
      <c r="A8" s="15">
        <v>3254118</v>
      </c>
      <c r="B8" s="15" t="s">
        <v>37</v>
      </c>
      <c r="C8" s="15" t="s">
        <v>38</v>
      </c>
      <c r="D8" s="15" t="s">
        <v>39</v>
      </c>
      <c r="E8" s="15" t="s">
        <v>40</v>
      </c>
      <c r="F8" s="15" t="s">
        <v>41</v>
      </c>
      <c r="G8" s="15" t="s">
        <v>42</v>
      </c>
      <c r="H8" s="15" t="s">
        <v>43</v>
      </c>
      <c r="I8" s="15" t="s">
        <v>44</v>
      </c>
      <c r="J8" s="15" t="s">
        <v>45</v>
      </c>
      <c r="K8" s="15" t="s">
        <v>46</v>
      </c>
      <c r="L8" s="16" t="s">
        <v>47</v>
      </c>
      <c r="M8" s="15" t="s">
        <v>48</v>
      </c>
      <c r="N8" s="17">
        <v>452518317022</v>
      </c>
      <c r="O8" s="15">
        <v>19849781</v>
      </c>
      <c r="P8" s="18" t="s">
        <v>54</v>
      </c>
      <c r="Q8" s="18">
        <v>2</v>
      </c>
      <c r="R8" s="18">
        <v>8.3000000000000004E-2</v>
      </c>
      <c r="S8" s="15">
        <v>15.16</v>
      </c>
      <c r="T8" s="16">
        <v>45824</v>
      </c>
      <c r="U8" s="19">
        <v>45883</v>
      </c>
      <c r="V8" s="16">
        <v>45824</v>
      </c>
      <c r="W8" s="16">
        <v>45826</v>
      </c>
      <c r="X8" s="57">
        <f t="shared" si="0"/>
        <v>45825</v>
      </c>
      <c r="Y8" s="63">
        <v>45832</v>
      </c>
      <c r="Z8" s="67">
        <v>45863</v>
      </c>
      <c r="AA8" s="71">
        <f t="shared" si="1"/>
        <v>45870</v>
      </c>
      <c r="AB8" s="20">
        <f t="shared" si="2"/>
        <v>-13</v>
      </c>
      <c r="AC8" s="20" t="s">
        <v>50</v>
      </c>
      <c r="AD8" s="21" t="s">
        <v>51</v>
      </c>
      <c r="AE8" s="21"/>
      <c r="AF8" s="22" t="s">
        <v>52</v>
      </c>
      <c r="AG8" s="23" t="s">
        <v>53</v>
      </c>
      <c r="AH8" s="24"/>
      <c r="AN8" s="24"/>
    </row>
    <row r="9" spans="1:42" ht="12.75">
      <c r="A9" s="15">
        <v>3254118</v>
      </c>
      <c r="B9" s="15" t="s">
        <v>37</v>
      </c>
      <c r="C9" s="15" t="s">
        <v>38</v>
      </c>
      <c r="D9" s="15" t="s">
        <v>39</v>
      </c>
      <c r="E9" s="15" t="s">
        <v>40</v>
      </c>
      <c r="F9" s="15" t="s">
        <v>41</v>
      </c>
      <c r="G9" s="15" t="s">
        <v>42</v>
      </c>
      <c r="H9" s="15" t="s">
        <v>43</v>
      </c>
      <c r="I9" s="15" t="s">
        <v>44</v>
      </c>
      <c r="J9" s="15" t="s">
        <v>45</v>
      </c>
      <c r="K9" s="15" t="s">
        <v>46</v>
      </c>
      <c r="L9" s="15" t="s">
        <v>55</v>
      </c>
      <c r="M9" s="15" t="s">
        <v>48</v>
      </c>
      <c r="N9" s="17">
        <v>452015221240</v>
      </c>
      <c r="O9" s="17">
        <v>19854988</v>
      </c>
      <c r="P9" s="18" t="s">
        <v>56</v>
      </c>
      <c r="Q9" s="18">
        <v>1</v>
      </c>
      <c r="R9" s="18">
        <v>7.9000000000000001E-2</v>
      </c>
      <c r="S9" s="15">
        <v>9.4700000000000006</v>
      </c>
      <c r="T9" s="16">
        <v>45824</v>
      </c>
      <c r="U9" s="19">
        <v>45883</v>
      </c>
      <c r="V9" s="16">
        <v>45824</v>
      </c>
      <c r="W9" s="16">
        <v>45826</v>
      </c>
      <c r="X9" s="57">
        <f t="shared" si="0"/>
        <v>45825</v>
      </c>
      <c r="Y9" s="63">
        <v>45832</v>
      </c>
      <c r="Z9" s="67">
        <v>45863</v>
      </c>
      <c r="AA9" s="71">
        <f t="shared" si="1"/>
        <v>45870</v>
      </c>
      <c r="AB9" s="20">
        <f t="shared" si="2"/>
        <v>-13</v>
      </c>
      <c r="AC9" s="20" t="s">
        <v>50</v>
      </c>
      <c r="AD9" s="21" t="s">
        <v>51</v>
      </c>
      <c r="AE9" s="21"/>
      <c r="AF9" s="22" t="s">
        <v>52</v>
      </c>
      <c r="AG9" s="23" t="s">
        <v>53</v>
      </c>
      <c r="AH9" s="24"/>
      <c r="AN9" s="24"/>
    </row>
    <row r="10" spans="1:42" ht="12.75">
      <c r="A10" s="15">
        <v>3254118</v>
      </c>
      <c r="B10" s="15" t="s">
        <v>37</v>
      </c>
      <c r="C10" s="15" t="s">
        <v>38</v>
      </c>
      <c r="D10" s="15" t="s">
        <v>39</v>
      </c>
      <c r="E10" s="15" t="s">
        <v>40</v>
      </c>
      <c r="F10" s="15" t="s">
        <v>41</v>
      </c>
      <c r="G10" s="15" t="s">
        <v>42</v>
      </c>
      <c r="H10" s="15" t="s">
        <v>43</v>
      </c>
      <c r="I10" s="15" t="s">
        <v>44</v>
      </c>
      <c r="J10" s="15" t="s">
        <v>45</v>
      </c>
      <c r="K10" s="15" t="s">
        <v>46</v>
      </c>
      <c r="L10" s="15" t="s">
        <v>57</v>
      </c>
      <c r="M10" s="15" t="s">
        <v>48</v>
      </c>
      <c r="N10" s="17">
        <v>452031503449</v>
      </c>
      <c r="O10" s="17">
        <v>19727217</v>
      </c>
      <c r="P10" s="18" t="s">
        <v>58</v>
      </c>
      <c r="Q10" s="18">
        <v>49</v>
      </c>
      <c r="R10" s="18">
        <v>4.1159999999999997</v>
      </c>
      <c r="S10" s="15">
        <v>171.102</v>
      </c>
      <c r="T10" s="16">
        <v>45824</v>
      </c>
      <c r="U10" s="19">
        <v>45883</v>
      </c>
      <c r="V10" s="16">
        <v>45824</v>
      </c>
      <c r="W10" s="16">
        <v>45826</v>
      </c>
      <c r="X10" s="57">
        <f t="shared" si="0"/>
        <v>45825</v>
      </c>
      <c r="Y10" s="63">
        <v>45832</v>
      </c>
      <c r="Z10" s="67">
        <v>45863</v>
      </c>
      <c r="AA10" s="71">
        <f t="shared" si="1"/>
        <v>45870</v>
      </c>
      <c r="AB10" s="20">
        <f t="shared" si="2"/>
        <v>-13</v>
      </c>
      <c r="AC10" s="20" t="s">
        <v>50</v>
      </c>
      <c r="AD10" s="21" t="s">
        <v>51</v>
      </c>
      <c r="AE10" s="21"/>
      <c r="AF10" s="22" t="s">
        <v>52</v>
      </c>
      <c r="AG10" s="23" t="s">
        <v>53</v>
      </c>
      <c r="AH10" s="24"/>
      <c r="AN10" s="24"/>
    </row>
    <row r="11" spans="1:42" ht="12.75">
      <c r="A11" s="15">
        <v>3254118</v>
      </c>
      <c r="B11" s="15" t="s">
        <v>37</v>
      </c>
      <c r="C11" s="15" t="s">
        <v>38</v>
      </c>
      <c r="D11" s="15" t="s">
        <v>39</v>
      </c>
      <c r="E11" s="15" t="s">
        <v>40</v>
      </c>
      <c r="F11" s="15" t="s">
        <v>41</v>
      </c>
      <c r="G11" s="15" t="s">
        <v>42</v>
      </c>
      <c r="H11" s="15" t="s">
        <v>43</v>
      </c>
      <c r="I11" s="15" t="s">
        <v>44</v>
      </c>
      <c r="J11" s="15" t="s">
        <v>45</v>
      </c>
      <c r="K11" s="15" t="s">
        <v>46</v>
      </c>
      <c r="L11" s="15" t="s">
        <v>57</v>
      </c>
      <c r="M11" s="15" t="s">
        <v>48</v>
      </c>
      <c r="N11" s="17">
        <v>452092648789</v>
      </c>
      <c r="O11" s="17">
        <v>19855238</v>
      </c>
      <c r="P11" s="18" t="s">
        <v>59</v>
      </c>
      <c r="Q11" s="18">
        <v>1</v>
      </c>
      <c r="R11" s="18">
        <v>0.04</v>
      </c>
      <c r="S11" s="15">
        <v>6.0839999999999996</v>
      </c>
      <c r="T11" s="16">
        <v>45824</v>
      </c>
      <c r="U11" s="19">
        <v>45883</v>
      </c>
      <c r="V11" s="16">
        <v>45824</v>
      </c>
      <c r="W11" s="16">
        <v>45826</v>
      </c>
      <c r="X11" s="57">
        <f t="shared" si="0"/>
        <v>45825</v>
      </c>
      <c r="Y11" s="63">
        <v>45832</v>
      </c>
      <c r="Z11" s="67">
        <v>45863</v>
      </c>
      <c r="AA11" s="71">
        <f t="shared" si="1"/>
        <v>45870</v>
      </c>
      <c r="AB11" s="20">
        <f t="shared" si="2"/>
        <v>-13</v>
      </c>
      <c r="AC11" s="20" t="s">
        <v>50</v>
      </c>
      <c r="AD11" s="21" t="s">
        <v>51</v>
      </c>
      <c r="AE11" s="21"/>
      <c r="AF11" s="22" t="s">
        <v>52</v>
      </c>
      <c r="AG11" s="23" t="s">
        <v>53</v>
      </c>
      <c r="AH11" s="24"/>
      <c r="AN11" s="24"/>
    </row>
    <row r="12" spans="1:42" ht="12.75">
      <c r="A12" s="15">
        <v>3254118</v>
      </c>
      <c r="B12" s="15" t="s">
        <v>37</v>
      </c>
      <c r="C12" s="15" t="s">
        <v>38</v>
      </c>
      <c r="D12" s="15" t="s">
        <v>39</v>
      </c>
      <c r="E12" s="15" t="s">
        <v>40</v>
      </c>
      <c r="F12" s="15" t="s">
        <v>41</v>
      </c>
      <c r="G12" s="15" t="s">
        <v>42</v>
      </c>
      <c r="H12" s="15" t="s">
        <v>43</v>
      </c>
      <c r="I12" s="15" t="s">
        <v>44</v>
      </c>
      <c r="J12" s="15" t="s">
        <v>45</v>
      </c>
      <c r="K12" s="15" t="s">
        <v>60</v>
      </c>
      <c r="L12" s="15" t="s">
        <v>61</v>
      </c>
      <c r="M12" s="15" t="s">
        <v>48</v>
      </c>
      <c r="N12" s="17">
        <v>454722903594</v>
      </c>
      <c r="O12" s="17">
        <v>91018423</v>
      </c>
      <c r="P12" s="18" t="s">
        <v>62</v>
      </c>
      <c r="Q12" s="18">
        <v>2</v>
      </c>
      <c r="R12" s="18">
        <v>0.11899999999999999</v>
      </c>
      <c r="S12" s="15">
        <v>10.33</v>
      </c>
      <c r="T12" s="16">
        <v>45824</v>
      </c>
      <c r="U12" s="19">
        <v>45883</v>
      </c>
      <c r="V12" s="16">
        <v>45824</v>
      </c>
      <c r="W12" s="16">
        <v>45826</v>
      </c>
      <c r="X12" s="57">
        <f t="shared" si="0"/>
        <v>45825</v>
      </c>
      <c r="Y12" s="63">
        <v>45832</v>
      </c>
      <c r="Z12" s="67">
        <v>45863</v>
      </c>
      <c r="AA12" s="71">
        <f t="shared" si="1"/>
        <v>45870</v>
      </c>
      <c r="AB12" s="20">
        <f t="shared" si="2"/>
        <v>-13</v>
      </c>
      <c r="AC12" s="20" t="s">
        <v>50</v>
      </c>
      <c r="AD12" s="21" t="s">
        <v>51</v>
      </c>
      <c r="AE12" s="21"/>
      <c r="AF12" s="22" t="s">
        <v>52</v>
      </c>
      <c r="AG12" s="23" t="s">
        <v>53</v>
      </c>
      <c r="AH12" s="24"/>
      <c r="AN12" s="24"/>
    </row>
    <row r="13" spans="1:42" ht="12.75">
      <c r="A13" s="15">
        <v>3254118</v>
      </c>
      <c r="B13" s="15" t="s">
        <v>37</v>
      </c>
      <c r="C13" s="15" t="s">
        <v>38</v>
      </c>
      <c r="D13" s="15" t="s">
        <v>39</v>
      </c>
      <c r="E13" s="15" t="s">
        <v>40</v>
      </c>
      <c r="F13" s="15" t="s">
        <v>41</v>
      </c>
      <c r="G13" s="15" t="s">
        <v>42</v>
      </c>
      <c r="H13" s="15" t="s">
        <v>43</v>
      </c>
      <c r="I13" s="15" t="s">
        <v>44</v>
      </c>
      <c r="J13" s="15" t="s">
        <v>45</v>
      </c>
      <c r="K13" s="15" t="s">
        <v>60</v>
      </c>
      <c r="L13" s="15" t="s">
        <v>63</v>
      </c>
      <c r="M13" s="15" t="s">
        <v>48</v>
      </c>
      <c r="N13" s="17">
        <v>454864010774</v>
      </c>
      <c r="O13" s="17">
        <v>19808326</v>
      </c>
      <c r="P13" s="18" t="s">
        <v>64</v>
      </c>
      <c r="Q13" s="18">
        <v>1</v>
      </c>
      <c r="R13" s="18">
        <v>7.9000000000000001E-2</v>
      </c>
      <c r="S13" s="15">
        <v>7.9960000000000004</v>
      </c>
      <c r="T13" s="16">
        <v>45824</v>
      </c>
      <c r="U13" s="19">
        <v>45883</v>
      </c>
      <c r="V13" s="16">
        <v>45824</v>
      </c>
      <c r="W13" s="16">
        <v>45826</v>
      </c>
      <c r="X13" s="57">
        <f t="shared" si="0"/>
        <v>45825</v>
      </c>
      <c r="Y13" s="63">
        <v>45832</v>
      </c>
      <c r="Z13" s="67">
        <v>45863</v>
      </c>
      <c r="AA13" s="71">
        <f t="shared" si="1"/>
        <v>45870</v>
      </c>
      <c r="AB13" s="20">
        <f t="shared" si="2"/>
        <v>-13</v>
      </c>
      <c r="AC13" s="20" t="s">
        <v>50</v>
      </c>
      <c r="AD13" s="21" t="s">
        <v>51</v>
      </c>
      <c r="AE13" s="21"/>
      <c r="AF13" s="22" t="s">
        <v>52</v>
      </c>
      <c r="AG13" s="23" t="s">
        <v>53</v>
      </c>
      <c r="AH13" s="24"/>
      <c r="AN13" s="24"/>
    </row>
    <row r="14" spans="1:42" ht="12.75">
      <c r="A14" s="15">
        <v>3254118</v>
      </c>
      <c r="B14" s="15" t="s">
        <v>37</v>
      </c>
      <c r="C14" s="15" t="s">
        <v>38</v>
      </c>
      <c r="D14" s="15" t="s">
        <v>39</v>
      </c>
      <c r="E14" s="15" t="s">
        <v>40</v>
      </c>
      <c r="F14" s="15" t="s">
        <v>41</v>
      </c>
      <c r="G14" s="15" t="s">
        <v>42</v>
      </c>
      <c r="H14" s="15" t="s">
        <v>43</v>
      </c>
      <c r="I14" s="15" t="s">
        <v>44</v>
      </c>
      <c r="J14" s="15" t="s">
        <v>45</v>
      </c>
      <c r="K14" s="15" t="s">
        <v>60</v>
      </c>
      <c r="L14" s="15" t="s">
        <v>65</v>
      </c>
      <c r="M14" s="15" t="s">
        <v>48</v>
      </c>
      <c r="N14" s="17">
        <v>454770290213</v>
      </c>
      <c r="O14" s="17">
        <v>19920979</v>
      </c>
      <c r="P14" s="18" t="s">
        <v>66</v>
      </c>
      <c r="Q14" s="18">
        <v>6</v>
      </c>
      <c r="R14" s="18">
        <v>0.39500000000000002</v>
      </c>
      <c r="S14" s="15">
        <v>60.822000000000003</v>
      </c>
      <c r="T14" s="16">
        <v>45824</v>
      </c>
      <c r="U14" s="19">
        <v>45883</v>
      </c>
      <c r="V14" s="16">
        <v>45824</v>
      </c>
      <c r="W14" s="16">
        <v>45826</v>
      </c>
      <c r="X14" s="57">
        <f t="shared" si="0"/>
        <v>45825</v>
      </c>
      <c r="Y14" s="63">
        <v>45832</v>
      </c>
      <c r="Z14" s="67">
        <v>45863</v>
      </c>
      <c r="AA14" s="71">
        <f t="shared" si="1"/>
        <v>45870</v>
      </c>
      <c r="AB14" s="20">
        <f t="shared" si="2"/>
        <v>-13</v>
      </c>
      <c r="AC14" s="20" t="s">
        <v>50</v>
      </c>
      <c r="AD14" s="21" t="s">
        <v>51</v>
      </c>
      <c r="AE14" s="21"/>
      <c r="AF14" s="22" t="s">
        <v>52</v>
      </c>
      <c r="AG14" s="23" t="s">
        <v>53</v>
      </c>
      <c r="AH14" s="24"/>
      <c r="AN14" s="24"/>
    </row>
    <row r="15" spans="1:42" ht="12.75">
      <c r="A15" s="15">
        <v>3254118</v>
      </c>
      <c r="B15" s="15" t="s">
        <v>37</v>
      </c>
      <c r="C15" s="15" t="s">
        <v>38</v>
      </c>
      <c r="D15" s="15" t="s">
        <v>39</v>
      </c>
      <c r="E15" s="15" t="s">
        <v>40</v>
      </c>
      <c r="F15" s="15" t="s">
        <v>41</v>
      </c>
      <c r="G15" s="15" t="s">
        <v>42</v>
      </c>
      <c r="H15" s="15" t="s">
        <v>43</v>
      </c>
      <c r="I15" s="15" t="s">
        <v>44</v>
      </c>
      <c r="J15" s="15" t="s">
        <v>45</v>
      </c>
      <c r="K15" s="15" t="s">
        <v>60</v>
      </c>
      <c r="L15" s="15" t="s">
        <v>65</v>
      </c>
      <c r="M15" s="15" t="s">
        <v>48</v>
      </c>
      <c r="N15" s="17">
        <v>454772994403</v>
      </c>
      <c r="O15" s="17">
        <v>19921003</v>
      </c>
      <c r="P15" s="18" t="s">
        <v>67</v>
      </c>
      <c r="Q15" s="18">
        <v>1</v>
      </c>
      <c r="R15" s="18">
        <v>3.9E-2</v>
      </c>
      <c r="S15" s="15">
        <v>5.9909999999999997</v>
      </c>
      <c r="T15" s="16">
        <v>45824</v>
      </c>
      <c r="U15" s="19">
        <v>45883</v>
      </c>
      <c r="V15" s="16">
        <v>45824</v>
      </c>
      <c r="W15" s="16">
        <v>45826</v>
      </c>
      <c r="X15" s="57">
        <f t="shared" si="0"/>
        <v>45825</v>
      </c>
      <c r="Y15" s="63">
        <v>45832</v>
      </c>
      <c r="Z15" s="67">
        <v>45863</v>
      </c>
      <c r="AA15" s="71">
        <f t="shared" si="1"/>
        <v>45870</v>
      </c>
      <c r="AB15" s="20">
        <f t="shared" si="2"/>
        <v>-13</v>
      </c>
      <c r="AC15" s="20" t="s">
        <v>50</v>
      </c>
      <c r="AD15" s="21" t="s">
        <v>51</v>
      </c>
      <c r="AE15" s="21"/>
      <c r="AF15" s="22" t="s">
        <v>52</v>
      </c>
      <c r="AG15" s="23" t="s">
        <v>53</v>
      </c>
      <c r="AH15" s="24"/>
      <c r="AN15" s="24"/>
    </row>
    <row r="16" spans="1:42" ht="12.75">
      <c r="A16" s="15">
        <v>3254118</v>
      </c>
      <c r="B16" s="15" t="s">
        <v>37</v>
      </c>
      <c r="C16" s="15" t="s">
        <v>38</v>
      </c>
      <c r="D16" s="15" t="s">
        <v>39</v>
      </c>
      <c r="E16" s="15" t="s">
        <v>40</v>
      </c>
      <c r="F16" s="15" t="s">
        <v>41</v>
      </c>
      <c r="G16" s="15" t="s">
        <v>42</v>
      </c>
      <c r="H16" s="15" t="s">
        <v>43</v>
      </c>
      <c r="I16" s="15" t="s">
        <v>44</v>
      </c>
      <c r="J16" s="15" t="s">
        <v>45</v>
      </c>
      <c r="K16" s="15" t="s">
        <v>60</v>
      </c>
      <c r="L16" s="15" t="s">
        <v>65</v>
      </c>
      <c r="M16" s="15" t="s">
        <v>48</v>
      </c>
      <c r="N16" s="17">
        <v>454772994540</v>
      </c>
      <c r="O16" s="17">
        <v>19925973</v>
      </c>
      <c r="P16" s="18" t="s">
        <v>66</v>
      </c>
      <c r="Q16" s="18">
        <v>3</v>
      </c>
      <c r="R16" s="18">
        <v>0.19700000000000001</v>
      </c>
      <c r="S16" s="15">
        <v>27.966999999999999</v>
      </c>
      <c r="T16" s="16">
        <v>45824</v>
      </c>
      <c r="U16" s="19">
        <v>45883</v>
      </c>
      <c r="V16" s="16">
        <v>45824</v>
      </c>
      <c r="W16" s="16">
        <v>45826</v>
      </c>
      <c r="X16" s="57">
        <f t="shared" si="0"/>
        <v>45825</v>
      </c>
      <c r="Y16" s="63">
        <v>45832</v>
      </c>
      <c r="Z16" s="67">
        <v>45863</v>
      </c>
      <c r="AA16" s="71">
        <f t="shared" si="1"/>
        <v>45870</v>
      </c>
      <c r="AB16" s="20">
        <f t="shared" si="2"/>
        <v>-13</v>
      </c>
      <c r="AC16" s="20" t="s">
        <v>50</v>
      </c>
      <c r="AD16" s="21" t="s">
        <v>51</v>
      </c>
      <c r="AE16" s="21"/>
      <c r="AF16" s="22" t="s">
        <v>52</v>
      </c>
      <c r="AG16" s="23" t="s">
        <v>53</v>
      </c>
      <c r="AH16" s="24"/>
      <c r="AN16" s="24"/>
    </row>
    <row r="17" spans="1:42" ht="12.75">
      <c r="A17" s="15">
        <v>3254118</v>
      </c>
      <c r="B17" s="15" t="s">
        <v>37</v>
      </c>
      <c r="C17" s="15" t="s">
        <v>38</v>
      </c>
      <c r="D17" s="15" t="s">
        <v>39</v>
      </c>
      <c r="E17" s="15" t="s">
        <v>40</v>
      </c>
      <c r="F17" s="15" t="s">
        <v>41</v>
      </c>
      <c r="G17" s="15" t="s">
        <v>42</v>
      </c>
      <c r="H17" s="15" t="s">
        <v>43</v>
      </c>
      <c r="I17" s="15" t="s">
        <v>44</v>
      </c>
      <c r="J17" s="15" t="s">
        <v>45</v>
      </c>
      <c r="K17" s="15" t="s">
        <v>60</v>
      </c>
      <c r="L17" s="16" t="s">
        <v>65</v>
      </c>
      <c r="M17" s="15" t="s">
        <v>48</v>
      </c>
      <c r="N17" s="17">
        <v>454773467353</v>
      </c>
      <c r="O17" s="17">
        <v>19921005</v>
      </c>
      <c r="P17" s="18" t="s">
        <v>67</v>
      </c>
      <c r="Q17" s="18">
        <v>1</v>
      </c>
      <c r="R17" s="18">
        <v>3.9E-2</v>
      </c>
      <c r="S17" s="15">
        <v>7.8460000000000001</v>
      </c>
      <c r="T17" s="16">
        <v>45824</v>
      </c>
      <c r="U17" s="19">
        <v>45883</v>
      </c>
      <c r="V17" s="16">
        <v>45824</v>
      </c>
      <c r="W17" s="16">
        <v>45826</v>
      </c>
      <c r="X17" s="57">
        <f t="shared" si="0"/>
        <v>45825</v>
      </c>
      <c r="Y17" s="63">
        <v>45832</v>
      </c>
      <c r="Z17" s="67">
        <v>45863</v>
      </c>
      <c r="AA17" s="71">
        <f t="shared" si="1"/>
        <v>45870</v>
      </c>
      <c r="AB17" s="20">
        <f t="shared" si="2"/>
        <v>-13</v>
      </c>
      <c r="AC17" s="20" t="s">
        <v>50</v>
      </c>
      <c r="AD17" s="21" t="s">
        <v>51</v>
      </c>
      <c r="AE17" s="21"/>
      <c r="AF17" s="22" t="s">
        <v>52</v>
      </c>
      <c r="AG17" s="23" t="s">
        <v>53</v>
      </c>
      <c r="AH17" s="24"/>
      <c r="AN17" s="24"/>
    </row>
    <row r="18" spans="1:42" ht="12.75">
      <c r="A18" s="15">
        <v>3254118</v>
      </c>
      <c r="B18" s="15" t="s">
        <v>37</v>
      </c>
      <c r="C18" s="15" t="s">
        <v>38</v>
      </c>
      <c r="D18" s="15" t="s">
        <v>39</v>
      </c>
      <c r="E18" s="15" t="s">
        <v>40</v>
      </c>
      <c r="F18" s="15" t="s">
        <v>41</v>
      </c>
      <c r="G18" s="15" t="s">
        <v>42</v>
      </c>
      <c r="H18" s="15" t="s">
        <v>43</v>
      </c>
      <c r="I18" s="15" t="s">
        <v>44</v>
      </c>
      <c r="J18" s="15" t="s">
        <v>45</v>
      </c>
      <c r="K18" s="15" t="s">
        <v>60</v>
      </c>
      <c r="L18" s="16" t="s">
        <v>65</v>
      </c>
      <c r="M18" s="15" t="s">
        <v>48</v>
      </c>
      <c r="N18" s="17">
        <v>454774312210</v>
      </c>
      <c r="O18" s="17">
        <v>19920957</v>
      </c>
      <c r="P18" s="18" t="s">
        <v>68</v>
      </c>
      <c r="Q18" s="18">
        <v>6</v>
      </c>
      <c r="R18" s="18">
        <v>0.39500000000000002</v>
      </c>
      <c r="S18" s="15">
        <v>59.485999999999997</v>
      </c>
      <c r="T18" s="16">
        <v>45824</v>
      </c>
      <c r="U18" s="19">
        <v>45883</v>
      </c>
      <c r="V18" s="16">
        <v>45824</v>
      </c>
      <c r="W18" s="16">
        <v>45826</v>
      </c>
      <c r="X18" s="57">
        <f t="shared" si="0"/>
        <v>45825</v>
      </c>
      <c r="Y18" s="63">
        <v>45832</v>
      </c>
      <c r="Z18" s="67">
        <v>45863</v>
      </c>
      <c r="AA18" s="71">
        <f t="shared" si="1"/>
        <v>45870</v>
      </c>
      <c r="AB18" s="20">
        <f t="shared" si="2"/>
        <v>-13</v>
      </c>
      <c r="AC18" s="20" t="s">
        <v>50</v>
      </c>
      <c r="AD18" s="21" t="s">
        <v>51</v>
      </c>
      <c r="AE18" s="21"/>
      <c r="AF18" s="22" t="s">
        <v>52</v>
      </c>
      <c r="AG18" s="23" t="s">
        <v>53</v>
      </c>
      <c r="AH18" s="24"/>
      <c r="AN18" s="24"/>
    </row>
    <row r="19" spans="1:42" ht="12.75">
      <c r="A19" s="15">
        <v>3254118</v>
      </c>
      <c r="B19" s="15" t="s">
        <v>37</v>
      </c>
      <c r="C19" s="15" t="s">
        <v>38</v>
      </c>
      <c r="D19" s="15" t="s">
        <v>39</v>
      </c>
      <c r="E19" s="15" t="s">
        <v>40</v>
      </c>
      <c r="F19" s="15" t="s">
        <v>41</v>
      </c>
      <c r="G19" s="15" t="s">
        <v>42</v>
      </c>
      <c r="H19" s="15" t="s">
        <v>43</v>
      </c>
      <c r="I19" s="15" t="s">
        <v>44</v>
      </c>
      <c r="J19" s="15" t="s">
        <v>45</v>
      </c>
      <c r="K19" s="15" t="s">
        <v>60</v>
      </c>
      <c r="L19" s="16" t="s">
        <v>65</v>
      </c>
      <c r="M19" s="15" t="s">
        <v>48</v>
      </c>
      <c r="N19" s="17">
        <v>454774400970</v>
      </c>
      <c r="O19" s="17">
        <v>19920968</v>
      </c>
      <c r="P19" s="18" t="s">
        <v>66</v>
      </c>
      <c r="Q19" s="18">
        <v>3</v>
      </c>
      <c r="R19" s="18">
        <v>0.19700000000000001</v>
      </c>
      <c r="S19" s="15">
        <v>32.146999999999998</v>
      </c>
      <c r="T19" s="16">
        <v>45824</v>
      </c>
      <c r="U19" s="19">
        <v>45883</v>
      </c>
      <c r="V19" s="16">
        <v>45824</v>
      </c>
      <c r="W19" s="16">
        <v>45826</v>
      </c>
      <c r="X19" s="57">
        <f t="shared" si="0"/>
        <v>45825</v>
      </c>
      <c r="Y19" s="63">
        <v>45832</v>
      </c>
      <c r="Z19" s="67">
        <v>45863</v>
      </c>
      <c r="AA19" s="71">
        <f t="shared" si="1"/>
        <v>45870</v>
      </c>
      <c r="AB19" s="20">
        <f t="shared" si="2"/>
        <v>-13</v>
      </c>
      <c r="AC19" s="20" t="s">
        <v>50</v>
      </c>
      <c r="AD19" s="21" t="s">
        <v>51</v>
      </c>
      <c r="AE19" s="21"/>
      <c r="AF19" s="22" t="s">
        <v>52</v>
      </c>
      <c r="AG19" s="23" t="s">
        <v>53</v>
      </c>
      <c r="AH19" s="24"/>
      <c r="AN19" s="24"/>
    </row>
    <row r="20" spans="1:42" ht="12.75">
      <c r="A20" s="15">
        <v>3254118</v>
      </c>
      <c r="B20" s="15" t="s">
        <v>37</v>
      </c>
      <c r="C20" s="15" t="s">
        <v>38</v>
      </c>
      <c r="D20" s="15" t="s">
        <v>39</v>
      </c>
      <c r="E20" s="15" t="s">
        <v>40</v>
      </c>
      <c r="F20" s="15" t="s">
        <v>41</v>
      </c>
      <c r="G20" s="15" t="s">
        <v>42</v>
      </c>
      <c r="H20" s="15" t="s">
        <v>43</v>
      </c>
      <c r="I20" s="15" t="s">
        <v>44</v>
      </c>
      <c r="J20" s="15" t="s">
        <v>45</v>
      </c>
      <c r="K20" s="15" t="s">
        <v>60</v>
      </c>
      <c r="L20" s="16" t="s">
        <v>65</v>
      </c>
      <c r="M20" s="15" t="s">
        <v>48</v>
      </c>
      <c r="N20" s="17">
        <v>454774401369</v>
      </c>
      <c r="O20" s="17">
        <v>19926263</v>
      </c>
      <c r="P20" s="18" t="s">
        <v>69</v>
      </c>
      <c r="Q20" s="18">
        <v>1</v>
      </c>
      <c r="R20" s="18">
        <v>3.9E-2</v>
      </c>
      <c r="S20" s="15">
        <v>4.9260000000000002</v>
      </c>
      <c r="T20" s="16">
        <v>45824</v>
      </c>
      <c r="U20" s="19">
        <v>45883</v>
      </c>
      <c r="V20" s="16">
        <v>45824</v>
      </c>
      <c r="W20" s="16">
        <v>45826</v>
      </c>
      <c r="X20" s="57">
        <f t="shared" si="0"/>
        <v>45825</v>
      </c>
      <c r="Y20" s="63">
        <v>45832</v>
      </c>
      <c r="Z20" s="67">
        <v>45863</v>
      </c>
      <c r="AA20" s="71">
        <f t="shared" si="1"/>
        <v>45870</v>
      </c>
      <c r="AB20" s="20">
        <f t="shared" si="2"/>
        <v>-13</v>
      </c>
      <c r="AC20" s="20" t="s">
        <v>50</v>
      </c>
      <c r="AD20" s="21" t="s">
        <v>51</v>
      </c>
      <c r="AE20" s="21"/>
      <c r="AF20" s="22" t="s">
        <v>52</v>
      </c>
      <c r="AG20" s="23" t="s">
        <v>53</v>
      </c>
      <c r="AH20" s="24"/>
      <c r="AN20" s="24"/>
    </row>
    <row r="21" spans="1:42" ht="12.75">
      <c r="A21" s="15">
        <v>3254118</v>
      </c>
      <c r="B21" s="15" t="s">
        <v>37</v>
      </c>
      <c r="C21" s="15" t="s">
        <v>38</v>
      </c>
      <c r="D21" s="15" t="s">
        <v>39</v>
      </c>
      <c r="E21" s="15" t="s">
        <v>40</v>
      </c>
      <c r="F21" s="15" t="s">
        <v>41</v>
      </c>
      <c r="G21" s="15" t="s">
        <v>42</v>
      </c>
      <c r="H21" s="15" t="s">
        <v>43</v>
      </c>
      <c r="I21" s="15" t="s">
        <v>44</v>
      </c>
      <c r="J21" s="15" t="s">
        <v>45</v>
      </c>
      <c r="K21" s="15" t="s">
        <v>60</v>
      </c>
      <c r="L21" s="16" t="s">
        <v>65</v>
      </c>
      <c r="M21" s="15" t="s">
        <v>48</v>
      </c>
      <c r="N21" s="17">
        <v>454774676885</v>
      </c>
      <c r="O21" s="17">
        <v>19920975</v>
      </c>
      <c r="P21" s="18" t="s">
        <v>66</v>
      </c>
      <c r="Q21" s="18">
        <v>2</v>
      </c>
      <c r="R21" s="18">
        <v>0.11799999999999999</v>
      </c>
      <c r="S21" s="15">
        <v>18.042000000000002</v>
      </c>
      <c r="T21" s="16">
        <v>45824</v>
      </c>
      <c r="U21" s="19">
        <v>45883</v>
      </c>
      <c r="V21" s="16">
        <v>45824</v>
      </c>
      <c r="W21" s="16">
        <v>45826</v>
      </c>
      <c r="X21" s="57">
        <f t="shared" si="0"/>
        <v>45825</v>
      </c>
      <c r="Y21" s="63">
        <v>45832</v>
      </c>
      <c r="Z21" s="67">
        <v>45863</v>
      </c>
      <c r="AA21" s="71">
        <f t="shared" si="1"/>
        <v>45870</v>
      </c>
      <c r="AB21" s="20">
        <f t="shared" si="2"/>
        <v>-13</v>
      </c>
      <c r="AC21" s="20" t="s">
        <v>50</v>
      </c>
      <c r="AD21" s="21" t="s">
        <v>51</v>
      </c>
      <c r="AE21" s="21"/>
      <c r="AF21" s="22" t="s">
        <v>52</v>
      </c>
      <c r="AG21" s="23" t="s">
        <v>53</v>
      </c>
      <c r="AH21" s="24"/>
      <c r="AN21" s="24"/>
    </row>
    <row r="22" spans="1:42" ht="12.75">
      <c r="A22" s="15">
        <v>3254118</v>
      </c>
      <c r="B22" s="15" t="s">
        <v>37</v>
      </c>
      <c r="C22" s="15" t="s">
        <v>38</v>
      </c>
      <c r="D22" s="15" t="s">
        <v>39</v>
      </c>
      <c r="E22" s="15" t="s">
        <v>40</v>
      </c>
      <c r="F22" s="15" t="s">
        <v>41</v>
      </c>
      <c r="G22" s="15" t="s">
        <v>42</v>
      </c>
      <c r="H22" s="15" t="s">
        <v>43</v>
      </c>
      <c r="I22" s="15" t="s">
        <v>44</v>
      </c>
      <c r="J22" s="15" t="s">
        <v>45</v>
      </c>
      <c r="K22" s="15" t="s">
        <v>60</v>
      </c>
      <c r="L22" s="16" t="s">
        <v>65</v>
      </c>
      <c r="M22" s="15" t="s">
        <v>48</v>
      </c>
      <c r="N22" s="17">
        <v>454774766099</v>
      </c>
      <c r="O22" s="15">
        <v>19920959</v>
      </c>
      <c r="P22" s="18" t="s">
        <v>68</v>
      </c>
      <c r="Q22" s="18">
        <v>1</v>
      </c>
      <c r="R22" s="18">
        <v>3.9E-2</v>
      </c>
      <c r="S22" s="15">
        <v>6.5830000000000002</v>
      </c>
      <c r="T22" s="16">
        <v>45824</v>
      </c>
      <c r="U22" s="19">
        <v>45883</v>
      </c>
      <c r="V22" s="16">
        <v>45824</v>
      </c>
      <c r="W22" s="16">
        <v>45826</v>
      </c>
      <c r="X22" s="57">
        <f t="shared" si="0"/>
        <v>45825</v>
      </c>
      <c r="Y22" s="63">
        <v>45832</v>
      </c>
      <c r="Z22" s="67">
        <v>45863</v>
      </c>
      <c r="AA22" s="71">
        <f t="shared" si="1"/>
        <v>45870</v>
      </c>
      <c r="AB22" s="20">
        <f t="shared" si="2"/>
        <v>-13</v>
      </c>
      <c r="AC22" s="20" t="s">
        <v>50</v>
      </c>
      <c r="AD22" s="21" t="s">
        <v>51</v>
      </c>
      <c r="AE22" s="21"/>
      <c r="AF22" s="22" t="s">
        <v>52</v>
      </c>
      <c r="AG22" s="23" t="s">
        <v>53</v>
      </c>
      <c r="AN22" s="24"/>
    </row>
    <row r="23" spans="1:42" ht="12.75">
      <c r="A23" s="15">
        <v>3254118</v>
      </c>
      <c r="B23" s="15" t="s">
        <v>37</v>
      </c>
      <c r="C23" s="15" t="s">
        <v>38</v>
      </c>
      <c r="D23" s="15" t="s">
        <v>39</v>
      </c>
      <c r="E23" s="15" t="s">
        <v>40</v>
      </c>
      <c r="F23" s="15" t="s">
        <v>41</v>
      </c>
      <c r="G23" s="15" t="s">
        <v>42</v>
      </c>
      <c r="H23" s="15" t="s">
        <v>43</v>
      </c>
      <c r="I23" s="15" t="s">
        <v>44</v>
      </c>
      <c r="J23" s="15" t="s">
        <v>45</v>
      </c>
      <c r="K23" s="15" t="s">
        <v>60</v>
      </c>
      <c r="L23" s="16" t="s">
        <v>65</v>
      </c>
      <c r="M23" s="15" t="s">
        <v>48</v>
      </c>
      <c r="N23" s="17">
        <v>454775187235</v>
      </c>
      <c r="O23" s="15">
        <v>19921009</v>
      </c>
      <c r="P23" s="18" t="s">
        <v>70</v>
      </c>
      <c r="Q23" s="18">
        <v>4</v>
      </c>
      <c r="R23" s="18">
        <v>0.23699999999999999</v>
      </c>
      <c r="S23" s="15">
        <v>31.343</v>
      </c>
      <c r="T23" s="16">
        <v>45824</v>
      </c>
      <c r="U23" s="19">
        <v>45883</v>
      </c>
      <c r="V23" s="16">
        <v>45824</v>
      </c>
      <c r="W23" s="16">
        <v>45826</v>
      </c>
      <c r="X23" s="57">
        <f t="shared" si="0"/>
        <v>45825</v>
      </c>
      <c r="Y23" s="63">
        <v>45832</v>
      </c>
      <c r="Z23" s="67">
        <v>45863</v>
      </c>
      <c r="AA23" s="71">
        <f t="shared" si="1"/>
        <v>45870</v>
      </c>
      <c r="AB23" s="20">
        <f t="shared" si="2"/>
        <v>-13</v>
      </c>
      <c r="AC23" s="20" t="s">
        <v>50</v>
      </c>
      <c r="AD23" s="21" t="s">
        <v>51</v>
      </c>
      <c r="AE23" s="21"/>
      <c r="AF23" s="22" t="s">
        <v>52</v>
      </c>
      <c r="AG23" s="23" t="s">
        <v>53</v>
      </c>
      <c r="AH23" s="24"/>
      <c r="AN23" s="24"/>
    </row>
    <row r="24" spans="1:42" ht="12.75">
      <c r="A24" s="15">
        <v>3254118</v>
      </c>
      <c r="B24" s="15" t="s">
        <v>37</v>
      </c>
      <c r="C24" s="15" t="s">
        <v>38</v>
      </c>
      <c r="D24" s="15" t="s">
        <v>39</v>
      </c>
      <c r="E24" s="15" t="s">
        <v>40</v>
      </c>
      <c r="F24" s="15" t="s">
        <v>41</v>
      </c>
      <c r="G24" s="15" t="s">
        <v>42</v>
      </c>
      <c r="H24" s="15" t="s">
        <v>43</v>
      </c>
      <c r="I24" s="15" t="s">
        <v>44</v>
      </c>
      <c r="J24" s="15" t="s">
        <v>45</v>
      </c>
      <c r="K24" s="15" t="s">
        <v>60</v>
      </c>
      <c r="L24" s="16" t="s">
        <v>65</v>
      </c>
      <c r="M24" s="15" t="s">
        <v>48</v>
      </c>
      <c r="N24" s="17">
        <v>454775192886</v>
      </c>
      <c r="O24" s="15">
        <v>19926260</v>
      </c>
      <c r="P24" s="18" t="s">
        <v>69</v>
      </c>
      <c r="Q24" s="18">
        <v>4</v>
      </c>
      <c r="R24" s="18">
        <v>0.316</v>
      </c>
      <c r="S24" s="15">
        <v>36.460999999999999</v>
      </c>
      <c r="T24" s="16">
        <v>45824</v>
      </c>
      <c r="U24" s="19">
        <v>45883</v>
      </c>
      <c r="V24" s="16">
        <v>45824</v>
      </c>
      <c r="W24" s="16">
        <v>45826</v>
      </c>
      <c r="X24" s="57">
        <f t="shared" si="0"/>
        <v>45825</v>
      </c>
      <c r="Y24" s="63">
        <v>45832</v>
      </c>
      <c r="Z24" s="67">
        <v>45863</v>
      </c>
      <c r="AA24" s="71">
        <f t="shared" si="1"/>
        <v>45870</v>
      </c>
      <c r="AB24" s="20">
        <f t="shared" si="2"/>
        <v>-13</v>
      </c>
      <c r="AC24" s="20" t="s">
        <v>50</v>
      </c>
      <c r="AD24" s="21" t="s">
        <v>51</v>
      </c>
      <c r="AE24" s="21"/>
      <c r="AF24" s="22" t="s">
        <v>52</v>
      </c>
      <c r="AG24" s="23" t="s">
        <v>53</v>
      </c>
      <c r="AH24" s="24"/>
      <c r="AN24" s="24"/>
    </row>
    <row r="25" spans="1:42" ht="12.75">
      <c r="A25" s="15">
        <v>3254118</v>
      </c>
      <c r="B25" s="15" t="s">
        <v>37</v>
      </c>
      <c r="C25" s="15" t="s">
        <v>38</v>
      </c>
      <c r="D25" s="15" t="s">
        <v>39</v>
      </c>
      <c r="E25" s="15" t="s">
        <v>40</v>
      </c>
      <c r="F25" s="15" t="s">
        <v>41</v>
      </c>
      <c r="G25" s="15" t="s">
        <v>42</v>
      </c>
      <c r="H25" s="15" t="s">
        <v>43</v>
      </c>
      <c r="I25" s="15" t="s">
        <v>44</v>
      </c>
      <c r="J25" s="15" t="s">
        <v>45</v>
      </c>
      <c r="K25" s="15" t="s">
        <v>60</v>
      </c>
      <c r="L25" s="16" t="s">
        <v>65</v>
      </c>
      <c r="M25" s="15" t="s">
        <v>48</v>
      </c>
      <c r="N25" s="17">
        <v>454775252856</v>
      </c>
      <c r="O25" s="15">
        <v>19925895</v>
      </c>
      <c r="P25" s="18" t="s">
        <v>71</v>
      </c>
      <c r="Q25" s="18">
        <v>2</v>
      </c>
      <c r="R25" s="18">
        <v>0.11799999999999999</v>
      </c>
      <c r="S25" s="15">
        <v>20.416</v>
      </c>
      <c r="T25" s="16">
        <v>45824</v>
      </c>
      <c r="U25" s="19">
        <v>45883</v>
      </c>
      <c r="V25" s="16">
        <v>45824</v>
      </c>
      <c r="W25" s="16">
        <v>45826</v>
      </c>
      <c r="X25" s="57">
        <f t="shared" si="0"/>
        <v>45825</v>
      </c>
      <c r="Y25" s="63">
        <v>45832</v>
      </c>
      <c r="Z25" s="67">
        <v>45863</v>
      </c>
      <c r="AA25" s="71">
        <f t="shared" si="1"/>
        <v>45870</v>
      </c>
      <c r="AB25" s="20">
        <f t="shared" si="2"/>
        <v>-13</v>
      </c>
      <c r="AC25" s="20" t="s">
        <v>50</v>
      </c>
      <c r="AD25" s="21" t="s">
        <v>51</v>
      </c>
      <c r="AE25" s="21"/>
      <c r="AF25" s="22" t="s">
        <v>52</v>
      </c>
      <c r="AG25" s="23" t="s">
        <v>53</v>
      </c>
      <c r="AH25" s="24"/>
      <c r="AN25" s="24"/>
    </row>
    <row r="26" spans="1:42" ht="12.75">
      <c r="A26" s="15">
        <v>3254118</v>
      </c>
      <c r="B26" s="15" t="s">
        <v>37</v>
      </c>
      <c r="C26" s="15" t="s">
        <v>38</v>
      </c>
      <c r="D26" s="15" t="s">
        <v>39</v>
      </c>
      <c r="E26" s="15" t="s">
        <v>40</v>
      </c>
      <c r="F26" s="15" t="s">
        <v>41</v>
      </c>
      <c r="G26" s="15" t="s">
        <v>42</v>
      </c>
      <c r="H26" s="15" t="s">
        <v>43</v>
      </c>
      <c r="I26" s="15" t="s">
        <v>44</v>
      </c>
      <c r="J26" s="15" t="s">
        <v>45</v>
      </c>
      <c r="K26" s="15" t="s">
        <v>60</v>
      </c>
      <c r="L26" s="16" t="s">
        <v>65</v>
      </c>
      <c r="M26" s="15" t="s">
        <v>48</v>
      </c>
      <c r="N26" s="17">
        <v>454775599438</v>
      </c>
      <c r="O26" s="15">
        <v>19925872</v>
      </c>
      <c r="P26" s="18" t="s">
        <v>71</v>
      </c>
      <c r="Q26" s="18">
        <v>7</v>
      </c>
      <c r="R26" s="18">
        <v>0.434</v>
      </c>
      <c r="S26" s="15">
        <v>61.082000000000001</v>
      </c>
      <c r="T26" s="16">
        <v>45824</v>
      </c>
      <c r="U26" s="19">
        <v>45883</v>
      </c>
      <c r="V26" s="16">
        <v>45824</v>
      </c>
      <c r="W26" s="16">
        <v>45826</v>
      </c>
      <c r="X26" s="57">
        <f t="shared" si="0"/>
        <v>45825</v>
      </c>
      <c r="Y26" s="63">
        <v>45832</v>
      </c>
      <c r="Z26" s="67">
        <v>45863</v>
      </c>
      <c r="AA26" s="71">
        <f t="shared" si="1"/>
        <v>45870</v>
      </c>
      <c r="AB26" s="20">
        <f t="shared" si="2"/>
        <v>-13</v>
      </c>
      <c r="AC26" s="20" t="s">
        <v>50</v>
      </c>
      <c r="AD26" s="21" t="s">
        <v>51</v>
      </c>
      <c r="AE26" s="21"/>
      <c r="AF26" s="22" t="s">
        <v>52</v>
      </c>
      <c r="AG26" s="23" t="s">
        <v>53</v>
      </c>
      <c r="AH26" s="24"/>
      <c r="AN26" s="24"/>
    </row>
    <row r="27" spans="1:42" ht="12.75">
      <c r="A27" s="15">
        <v>3254118</v>
      </c>
      <c r="B27" s="15" t="s">
        <v>37</v>
      </c>
      <c r="C27" s="15" t="s">
        <v>38</v>
      </c>
      <c r="D27" s="15" t="s">
        <v>39</v>
      </c>
      <c r="E27" s="15" t="s">
        <v>40</v>
      </c>
      <c r="F27" s="15" t="s">
        <v>41</v>
      </c>
      <c r="G27" s="15" t="s">
        <v>42</v>
      </c>
      <c r="H27" s="15" t="s">
        <v>43</v>
      </c>
      <c r="I27" s="15" t="s">
        <v>44</v>
      </c>
      <c r="J27" s="15" t="s">
        <v>45</v>
      </c>
      <c r="K27" s="15" t="s">
        <v>60</v>
      </c>
      <c r="L27" s="16" t="s">
        <v>65</v>
      </c>
      <c r="M27" s="15" t="s">
        <v>48</v>
      </c>
      <c r="N27" s="17">
        <v>454858069214</v>
      </c>
      <c r="O27" s="15">
        <v>19920976</v>
      </c>
      <c r="P27" s="18" t="s">
        <v>66</v>
      </c>
      <c r="Q27" s="18">
        <v>4</v>
      </c>
      <c r="R27" s="18">
        <v>0.316</v>
      </c>
      <c r="S27" s="15">
        <v>44.051000000000002</v>
      </c>
      <c r="T27" s="16">
        <v>45824</v>
      </c>
      <c r="U27" s="19">
        <v>45883</v>
      </c>
      <c r="V27" s="16">
        <v>45824</v>
      </c>
      <c r="W27" s="16">
        <v>45826</v>
      </c>
      <c r="X27" s="57">
        <f t="shared" si="0"/>
        <v>45825</v>
      </c>
      <c r="Y27" s="63">
        <v>45832</v>
      </c>
      <c r="Z27" s="67">
        <v>45863</v>
      </c>
      <c r="AA27" s="71">
        <f t="shared" si="1"/>
        <v>45870</v>
      </c>
      <c r="AB27" s="20">
        <f t="shared" si="2"/>
        <v>-13</v>
      </c>
      <c r="AC27" s="20" t="s">
        <v>50</v>
      </c>
      <c r="AD27" s="21" t="s">
        <v>51</v>
      </c>
      <c r="AE27" s="21"/>
      <c r="AF27" s="22" t="s">
        <v>52</v>
      </c>
      <c r="AG27" s="23" t="s">
        <v>53</v>
      </c>
      <c r="AH27" s="24"/>
      <c r="AN27" s="24"/>
    </row>
    <row r="28" spans="1:42" ht="12.75">
      <c r="A28" s="15">
        <v>3254118</v>
      </c>
      <c r="B28" s="15" t="s">
        <v>37</v>
      </c>
      <c r="C28" s="15" t="s">
        <v>38</v>
      </c>
      <c r="D28" s="15" t="s">
        <v>72</v>
      </c>
      <c r="E28" s="15" t="s">
        <v>40</v>
      </c>
      <c r="F28" s="15" t="s">
        <v>41</v>
      </c>
      <c r="G28" s="15" t="s">
        <v>42</v>
      </c>
      <c r="H28" s="15" t="s">
        <v>43</v>
      </c>
      <c r="I28" s="15" t="s">
        <v>44</v>
      </c>
      <c r="J28" s="15" t="s">
        <v>45</v>
      </c>
      <c r="K28" s="15" t="s">
        <v>60</v>
      </c>
      <c r="L28" s="16" t="s">
        <v>63</v>
      </c>
      <c r="M28" s="15" t="s">
        <v>48</v>
      </c>
      <c r="N28" s="17">
        <v>454893040591</v>
      </c>
      <c r="O28" s="15">
        <v>19814191</v>
      </c>
      <c r="P28" s="18" t="s">
        <v>73</v>
      </c>
      <c r="Q28" s="18">
        <v>19</v>
      </c>
      <c r="R28" s="18">
        <v>1.3819999999999999</v>
      </c>
      <c r="S28" s="15">
        <v>174.11500000000001</v>
      </c>
      <c r="T28" s="16">
        <v>45824</v>
      </c>
      <c r="U28" s="19">
        <v>45883</v>
      </c>
      <c r="V28" s="16">
        <v>45824</v>
      </c>
      <c r="W28" s="16">
        <v>45826</v>
      </c>
      <c r="X28" s="57">
        <f t="shared" si="0"/>
        <v>45825</v>
      </c>
      <c r="Y28" s="63">
        <v>45832</v>
      </c>
      <c r="Z28" s="67">
        <v>45863</v>
      </c>
      <c r="AA28" s="71">
        <f t="shared" si="1"/>
        <v>45870</v>
      </c>
      <c r="AB28" s="20">
        <f t="shared" si="2"/>
        <v>-13</v>
      </c>
      <c r="AC28" s="20" t="s">
        <v>50</v>
      </c>
      <c r="AD28" s="21" t="s">
        <v>51</v>
      </c>
      <c r="AE28" s="21"/>
      <c r="AF28" s="22" t="s">
        <v>52</v>
      </c>
      <c r="AG28" s="23" t="s">
        <v>53</v>
      </c>
      <c r="AH28" s="24"/>
      <c r="AN28" s="24"/>
    </row>
    <row r="29" spans="1:42" ht="12.75">
      <c r="A29" s="15">
        <v>3254118</v>
      </c>
      <c r="B29" s="15" t="s">
        <v>37</v>
      </c>
      <c r="C29" s="15" t="s">
        <v>38</v>
      </c>
      <c r="D29" s="15" t="s">
        <v>72</v>
      </c>
      <c r="E29" s="15" t="s">
        <v>40</v>
      </c>
      <c r="F29" s="15" t="s">
        <v>41</v>
      </c>
      <c r="G29" s="15" t="s">
        <v>42</v>
      </c>
      <c r="H29" s="15" t="s">
        <v>43</v>
      </c>
      <c r="I29" s="15" t="s">
        <v>44</v>
      </c>
      <c r="J29" s="15" t="s">
        <v>45</v>
      </c>
      <c r="K29" s="15" t="s">
        <v>60</v>
      </c>
      <c r="L29" s="16" t="s">
        <v>63</v>
      </c>
      <c r="M29" s="15" t="s">
        <v>48</v>
      </c>
      <c r="N29" s="17">
        <v>454893442911</v>
      </c>
      <c r="O29" s="15">
        <v>19814204</v>
      </c>
      <c r="P29" s="18" t="s">
        <v>73</v>
      </c>
      <c r="Q29" s="18">
        <v>2</v>
      </c>
      <c r="R29" s="18">
        <v>0.11799999999999999</v>
      </c>
      <c r="S29" s="15">
        <v>9.8949999999999996</v>
      </c>
      <c r="T29" s="16">
        <v>45824</v>
      </c>
      <c r="U29" s="19">
        <v>45883</v>
      </c>
      <c r="V29" s="16">
        <v>45824</v>
      </c>
      <c r="W29" s="16">
        <v>45826</v>
      </c>
      <c r="X29" s="57">
        <f t="shared" si="0"/>
        <v>45825</v>
      </c>
      <c r="Y29" s="63">
        <v>45832</v>
      </c>
      <c r="Z29" s="67">
        <v>45863</v>
      </c>
      <c r="AA29" s="71">
        <f t="shared" si="1"/>
        <v>45870</v>
      </c>
      <c r="AB29" s="20">
        <f t="shared" si="2"/>
        <v>-13</v>
      </c>
      <c r="AC29" s="20" t="s">
        <v>50</v>
      </c>
      <c r="AD29" s="21" t="s">
        <v>51</v>
      </c>
      <c r="AE29" s="21"/>
      <c r="AF29" s="22" t="s">
        <v>52</v>
      </c>
      <c r="AG29" s="23" t="s">
        <v>53</v>
      </c>
      <c r="AH29" s="24"/>
      <c r="AN29" s="24"/>
    </row>
    <row r="30" spans="1:42" ht="12.75">
      <c r="A30" s="29" t="s">
        <v>74</v>
      </c>
      <c r="B30" s="29" t="s">
        <v>74</v>
      </c>
      <c r="C30" s="29"/>
      <c r="D30" s="29"/>
      <c r="E30" s="29"/>
      <c r="F30" s="29"/>
      <c r="G30" s="30"/>
      <c r="H30" s="31"/>
      <c r="I30" s="29"/>
      <c r="J30" s="29"/>
      <c r="K30" s="29"/>
      <c r="L30" s="31"/>
      <c r="M30" s="29"/>
      <c r="N30" s="32"/>
      <c r="O30" s="29"/>
      <c r="P30" s="33"/>
      <c r="Q30" s="33">
        <f t="shared" ref="Q30:S30" si="3">SUM(Q2:Q29)</f>
        <v>146</v>
      </c>
      <c r="R30" s="33">
        <f t="shared" si="3"/>
        <v>10.677</v>
      </c>
      <c r="S30" s="33">
        <f t="shared" si="3"/>
        <v>1119.105</v>
      </c>
      <c r="T30" s="31"/>
      <c r="U30" s="34"/>
      <c r="V30" s="31"/>
      <c r="W30" s="35"/>
      <c r="X30" s="58"/>
      <c r="Y30" s="64"/>
      <c r="Z30" s="68"/>
      <c r="AA30" s="72"/>
      <c r="AB30" s="36"/>
      <c r="AC30" s="36"/>
      <c r="AD30" s="37"/>
      <c r="AE30" s="37"/>
      <c r="AF30" s="38"/>
      <c r="AG30" s="37"/>
      <c r="AH30" s="36"/>
      <c r="AI30" s="29"/>
      <c r="AJ30" s="29"/>
      <c r="AK30" s="29"/>
      <c r="AL30" s="29"/>
      <c r="AM30" s="29"/>
      <c r="AN30" s="36"/>
      <c r="AO30" s="29"/>
      <c r="AP30" s="29"/>
    </row>
    <row r="31" spans="1:42" ht="12.75">
      <c r="A31" s="15">
        <v>3254120</v>
      </c>
      <c r="B31" s="15" t="s">
        <v>37</v>
      </c>
      <c r="C31" s="15" t="s">
        <v>38</v>
      </c>
      <c r="D31" s="15" t="s">
        <v>72</v>
      </c>
      <c r="E31" s="15" t="s">
        <v>72</v>
      </c>
      <c r="F31" s="15" t="s">
        <v>41</v>
      </c>
      <c r="G31" s="39" t="s">
        <v>75</v>
      </c>
      <c r="H31" s="39" t="s">
        <v>76</v>
      </c>
      <c r="I31" s="39" t="s">
        <v>77</v>
      </c>
      <c r="J31" s="39" t="s">
        <v>78</v>
      </c>
      <c r="K31" s="15" t="s">
        <v>46</v>
      </c>
      <c r="L31" s="16" t="s">
        <v>47</v>
      </c>
      <c r="M31" s="15" t="s">
        <v>48</v>
      </c>
      <c r="N31" s="17">
        <v>452517869906</v>
      </c>
      <c r="O31" s="15">
        <v>19849782</v>
      </c>
      <c r="P31" s="18" t="s">
        <v>54</v>
      </c>
      <c r="Q31" s="18">
        <v>1</v>
      </c>
      <c r="R31" s="18">
        <v>4.2999999999999997E-2</v>
      </c>
      <c r="S31" s="15">
        <v>10.52</v>
      </c>
      <c r="T31" s="16">
        <v>45824</v>
      </c>
      <c r="U31" s="19">
        <v>45878</v>
      </c>
      <c r="V31" s="19">
        <v>45824</v>
      </c>
      <c r="W31" s="19">
        <v>45826</v>
      </c>
      <c r="X31" s="59">
        <f t="shared" ref="X31:X64" si="4">W31-1</f>
        <v>45825</v>
      </c>
      <c r="Y31" s="63">
        <v>45831</v>
      </c>
      <c r="Z31" s="67">
        <v>45859</v>
      </c>
      <c r="AA31" s="71">
        <f t="shared" ref="AA31:AA64" si="5">Z31+7</f>
        <v>45866</v>
      </c>
      <c r="AB31" s="20">
        <f t="shared" ref="AB31:AB64" si="6">AA31-U31</f>
        <v>-12</v>
      </c>
      <c r="AC31" s="20" t="s">
        <v>50</v>
      </c>
      <c r="AD31" s="21" t="s">
        <v>51</v>
      </c>
      <c r="AE31" s="21"/>
      <c r="AF31" s="22" t="s">
        <v>52</v>
      </c>
      <c r="AG31" s="23" t="s">
        <v>53</v>
      </c>
      <c r="AH31" s="24"/>
      <c r="AN31" s="24"/>
    </row>
    <row r="32" spans="1:42" ht="12.75">
      <c r="A32" s="15">
        <v>3254120</v>
      </c>
      <c r="B32" s="15" t="s">
        <v>37</v>
      </c>
      <c r="C32" s="15" t="s">
        <v>38</v>
      </c>
      <c r="D32" s="15" t="s">
        <v>72</v>
      </c>
      <c r="E32" s="15" t="s">
        <v>72</v>
      </c>
      <c r="F32" s="15" t="s">
        <v>41</v>
      </c>
      <c r="G32" s="39" t="s">
        <v>75</v>
      </c>
      <c r="H32" s="39" t="s">
        <v>76</v>
      </c>
      <c r="I32" s="39" t="s">
        <v>77</v>
      </c>
      <c r="J32" s="39" t="s">
        <v>78</v>
      </c>
      <c r="K32" s="15" t="s">
        <v>46</v>
      </c>
      <c r="L32" s="16" t="s">
        <v>47</v>
      </c>
      <c r="M32" s="15" t="s">
        <v>48</v>
      </c>
      <c r="N32" s="17">
        <v>452502648506</v>
      </c>
      <c r="O32" s="15">
        <v>19807139</v>
      </c>
      <c r="P32" s="18" t="s">
        <v>49</v>
      </c>
      <c r="Q32" s="18">
        <v>8</v>
      </c>
      <c r="R32" s="18">
        <v>0.66</v>
      </c>
      <c r="S32" s="15">
        <v>135.78</v>
      </c>
      <c r="T32" s="16">
        <v>45824</v>
      </c>
      <c r="U32" s="19">
        <v>45878</v>
      </c>
      <c r="V32" s="16">
        <v>45824</v>
      </c>
      <c r="W32" s="16">
        <v>45826</v>
      </c>
      <c r="X32" s="57">
        <f t="shared" si="4"/>
        <v>45825</v>
      </c>
      <c r="Y32" s="63">
        <v>45831</v>
      </c>
      <c r="Z32" s="67">
        <v>45859</v>
      </c>
      <c r="AA32" s="71">
        <f t="shared" si="5"/>
        <v>45866</v>
      </c>
      <c r="AB32" s="20">
        <f t="shared" si="6"/>
        <v>-12</v>
      </c>
      <c r="AC32" s="20" t="s">
        <v>50</v>
      </c>
      <c r="AD32" s="21" t="s">
        <v>51</v>
      </c>
      <c r="AE32" s="21"/>
      <c r="AF32" s="22" t="s">
        <v>52</v>
      </c>
      <c r="AG32" s="23" t="s">
        <v>53</v>
      </c>
      <c r="AH32" s="24"/>
      <c r="AN32" s="24"/>
    </row>
    <row r="33" spans="1:42" ht="12.75">
      <c r="A33" s="15">
        <v>3254120</v>
      </c>
      <c r="B33" s="15" t="s">
        <v>37</v>
      </c>
      <c r="C33" s="15" t="s">
        <v>38</v>
      </c>
      <c r="D33" s="15" t="s">
        <v>72</v>
      </c>
      <c r="E33" s="15" t="s">
        <v>72</v>
      </c>
      <c r="F33" s="15" t="s">
        <v>41</v>
      </c>
      <c r="G33" s="39" t="s">
        <v>75</v>
      </c>
      <c r="H33" s="39" t="s">
        <v>76</v>
      </c>
      <c r="I33" s="39" t="s">
        <v>77</v>
      </c>
      <c r="J33" s="39" t="s">
        <v>78</v>
      </c>
      <c r="K33" s="15" t="s">
        <v>46</v>
      </c>
      <c r="L33" s="16" t="s">
        <v>47</v>
      </c>
      <c r="M33" s="15" t="s">
        <v>48</v>
      </c>
      <c r="N33" s="17">
        <v>452503031553</v>
      </c>
      <c r="O33" s="15">
        <v>19807149</v>
      </c>
      <c r="P33" s="18" t="s">
        <v>49</v>
      </c>
      <c r="Q33" s="18">
        <v>4</v>
      </c>
      <c r="R33" s="18">
        <v>0.28999999999999998</v>
      </c>
      <c r="S33" s="15">
        <v>60.89</v>
      </c>
      <c r="T33" s="16">
        <v>45824</v>
      </c>
      <c r="U33" s="19">
        <v>45878</v>
      </c>
      <c r="V33" s="16">
        <v>45824</v>
      </c>
      <c r="W33" s="16">
        <v>45826</v>
      </c>
      <c r="X33" s="57">
        <f t="shared" si="4"/>
        <v>45825</v>
      </c>
      <c r="Y33" s="63">
        <v>45831</v>
      </c>
      <c r="Z33" s="67">
        <v>45859</v>
      </c>
      <c r="AA33" s="71">
        <f t="shared" si="5"/>
        <v>45866</v>
      </c>
      <c r="AB33" s="20">
        <f t="shared" si="6"/>
        <v>-12</v>
      </c>
      <c r="AC33" s="20" t="s">
        <v>50</v>
      </c>
      <c r="AD33" s="21" t="s">
        <v>51</v>
      </c>
      <c r="AE33" s="21"/>
      <c r="AF33" s="22" t="s">
        <v>52</v>
      </c>
      <c r="AG33" s="23" t="s">
        <v>53</v>
      </c>
      <c r="AH33" s="24"/>
      <c r="AN33" s="24"/>
    </row>
    <row r="34" spans="1:42" ht="12.75">
      <c r="A34" s="15">
        <v>3254120</v>
      </c>
      <c r="B34" s="15" t="s">
        <v>37</v>
      </c>
      <c r="C34" s="15" t="s">
        <v>38</v>
      </c>
      <c r="D34" s="15" t="s">
        <v>72</v>
      </c>
      <c r="E34" s="15" t="s">
        <v>72</v>
      </c>
      <c r="F34" s="15" t="s">
        <v>41</v>
      </c>
      <c r="G34" s="39" t="s">
        <v>75</v>
      </c>
      <c r="H34" s="39" t="s">
        <v>76</v>
      </c>
      <c r="I34" s="39" t="s">
        <v>77</v>
      </c>
      <c r="J34" s="39" t="s">
        <v>78</v>
      </c>
      <c r="K34" s="15" t="s">
        <v>46</v>
      </c>
      <c r="L34" s="16" t="s">
        <v>47</v>
      </c>
      <c r="M34" s="15" t="s">
        <v>48</v>
      </c>
      <c r="N34" s="17">
        <v>452503337572</v>
      </c>
      <c r="O34" s="15">
        <v>19807143</v>
      </c>
      <c r="P34" s="18" t="s">
        <v>49</v>
      </c>
      <c r="Q34" s="18">
        <v>8</v>
      </c>
      <c r="R34" s="18">
        <v>0.57999999999999996</v>
      </c>
      <c r="S34" s="15">
        <v>109.8</v>
      </c>
      <c r="T34" s="16">
        <v>45824</v>
      </c>
      <c r="U34" s="19">
        <v>45878</v>
      </c>
      <c r="V34" s="16">
        <v>45824</v>
      </c>
      <c r="W34" s="16">
        <v>45826</v>
      </c>
      <c r="X34" s="57">
        <f t="shared" si="4"/>
        <v>45825</v>
      </c>
      <c r="Y34" s="63">
        <v>45831</v>
      </c>
      <c r="Z34" s="67">
        <v>45859</v>
      </c>
      <c r="AA34" s="71">
        <f t="shared" si="5"/>
        <v>45866</v>
      </c>
      <c r="AB34" s="20">
        <f t="shared" si="6"/>
        <v>-12</v>
      </c>
      <c r="AC34" s="20" t="s">
        <v>50</v>
      </c>
      <c r="AD34" s="21" t="s">
        <v>51</v>
      </c>
      <c r="AE34" s="21"/>
      <c r="AF34" s="22" t="s">
        <v>52</v>
      </c>
      <c r="AG34" s="23" t="s">
        <v>53</v>
      </c>
      <c r="AH34" s="24"/>
      <c r="AN34" s="24"/>
    </row>
    <row r="35" spans="1:42" ht="12.75">
      <c r="A35" s="15">
        <v>3254120</v>
      </c>
      <c r="B35" s="15" t="s">
        <v>37</v>
      </c>
      <c r="C35" s="15" t="s">
        <v>38</v>
      </c>
      <c r="D35" s="15" t="s">
        <v>72</v>
      </c>
      <c r="E35" s="15" t="s">
        <v>72</v>
      </c>
      <c r="F35" s="15" t="s">
        <v>41</v>
      </c>
      <c r="G35" s="39" t="s">
        <v>75</v>
      </c>
      <c r="H35" s="39" t="s">
        <v>76</v>
      </c>
      <c r="I35" s="39" t="s">
        <v>77</v>
      </c>
      <c r="J35" s="39" t="s">
        <v>78</v>
      </c>
      <c r="K35" s="15" t="s">
        <v>46</v>
      </c>
      <c r="L35" s="16" t="s">
        <v>47</v>
      </c>
      <c r="M35" s="15" t="s">
        <v>48</v>
      </c>
      <c r="N35" s="17">
        <v>452503346259</v>
      </c>
      <c r="O35" s="15">
        <v>19807151</v>
      </c>
      <c r="P35" s="18" t="s">
        <v>54</v>
      </c>
      <c r="Q35" s="18">
        <v>1</v>
      </c>
      <c r="R35" s="18">
        <v>4.2999999999999997E-2</v>
      </c>
      <c r="S35" s="15">
        <v>6.96</v>
      </c>
      <c r="T35" s="16">
        <v>45824</v>
      </c>
      <c r="U35" s="19">
        <v>45878</v>
      </c>
      <c r="V35" s="16">
        <v>45824</v>
      </c>
      <c r="W35" s="16">
        <v>45826</v>
      </c>
      <c r="X35" s="57">
        <f t="shared" si="4"/>
        <v>45825</v>
      </c>
      <c r="Y35" s="63">
        <v>45831</v>
      </c>
      <c r="Z35" s="67">
        <v>45859</v>
      </c>
      <c r="AA35" s="71">
        <f t="shared" si="5"/>
        <v>45866</v>
      </c>
      <c r="AB35" s="20">
        <f t="shared" si="6"/>
        <v>-12</v>
      </c>
      <c r="AC35" s="20" t="s">
        <v>50</v>
      </c>
      <c r="AD35" s="21" t="s">
        <v>51</v>
      </c>
      <c r="AE35" s="21"/>
      <c r="AF35" s="22" t="s">
        <v>52</v>
      </c>
      <c r="AG35" s="23" t="s">
        <v>53</v>
      </c>
      <c r="AH35" s="24"/>
      <c r="AN35" s="24"/>
    </row>
    <row r="36" spans="1:42" ht="12.75">
      <c r="A36" s="15">
        <v>3254120</v>
      </c>
      <c r="B36" s="15" t="s">
        <v>37</v>
      </c>
      <c r="C36" s="15" t="s">
        <v>38</v>
      </c>
      <c r="D36" s="15" t="s">
        <v>72</v>
      </c>
      <c r="E36" s="15" t="s">
        <v>72</v>
      </c>
      <c r="F36" s="15" t="s">
        <v>41</v>
      </c>
      <c r="G36" s="39" t="s">
        <v>75</v>
      </c>
      <c r="H36" s="39" t="s">
        <v>76</v>
      </c>
      <c r="I36" s="39" t="s">
        <v>77</v>
      </c>
      <c r="J36" s="39" t="s">
        <v>78</v>
      </c>
      <c r="K36" s="15" t="s">
        <v>46</v>
      </c>
      <c r="L36" s="16" t="s">
        <v>47</v>
      </c>
      <c r="M36" s="15" t="s">
        <v>48</v>
      </c>
      <c r="N36" s="17">
        <v>452517307998</v>
      </c>
      <c r="O36" s="15">
        <v>19856636</v>
      </c>
      <c r="P36" s="18" t="s">
        <v>49</v>
      </c>
      <c r="Q36" s="18">
        <v>7</v>
      </c>
      <c r="R36" s="18">
        <v>0.498</v>
      </c>
      <c r="S36" s="15">
        <v>101.39</v>
      </c>
      <c r="T36" s="16">
        <v>45824</v>
      </c>
      <c r="U36" s="19">
        <v>45878</v>
      </c>
      <c r="V36" s="16">
        <v>45824</v>
      </c>
      <c r="W36" s="16">
        <v>45826</v>
      </c>
      <c r="X36" s="57">
        <f t="shared" si="4"/>
        <v>45825</v>
      </c>
      <c r="Y36" s="63">
        <v>45831</v>
      </c>
      <c r="Z36" s="67">
        <v>45859</v>
      </c>
      <c r="AA36" s="71">
        <f t="shared" si="5"/>
        <v>45866</v>
      </c>
      <c r="AB36" s="20">
        <f t="shared" si="6"/>
        <v>-12</v>
      </c>
      <c r="AC36" s="20" t="s">
        <v>50</v>
      </c>
      <c r="AD36" s="21" t="s">
        <v>51</v>
      </c>
      <c r="AE36" s="21"/>
      <c r="AF36" s="22" t="s">
        <v>52</v>
      </c>
      <c r="AG36" s="23" t="s">
        <v>53</v>
      </c>
      <c r="AH36" s="24"/>
      <c r="AN36" s="24"/>
    </row>
    <row r="37" spans="1:42" ht="12.75">
      <c r="A37" s="15">
        <v>3254120</v>
      </c>
      <c r="B37" s="15" t="s">
        <v>37</v>
      </c>
      <c r="C37" s="15" t="s">
        <v>38</v>
      </c>
      <c r="D37" s="15" t="s">
        <v>72</v>
      </c>
      <c r="E37" s="15" t="s">
        <v>72</v>
      </c>
      <c r="F37" s="15" t="s">
        <v>41</v>
      </c>
      <c r="G37" s="39" t="s">
        <v>75</v>
      </c>
      <c r="H37" s="39" t="s">
        <v>76</v>
      </c>
      <c r="I37" s="39" t="s">
        <v>77</v>
      </c>
      <c r="J37" s="39" t="s">
        <v>78</v>
      </c>
      <c r="K37" s="15" t="s">
        <v>46</v>
      </c>
      <c r="L37" s="16" t="s">
        <v>47</v>
      </c>
      <c r="M37" s="15" t="s">
        <v>48</v>
      </c>
      <c r="N37" s="17">
        <v>452517688487</v>
      </c>
      <c r="O37" s="15">
        <v>19856637</v>
      </c>
      <c r="P37" s="18" t="s">
        <v>49</v>
      </c>
      <c r="Q37" s="18">
        <v>3</v>
      </c>
      <c r="R37" s="18">
        <v>0.248</v>
      </c>
      <c r="S37" s="15">
        <v>45.67</v>
      </c>
      <c r="T37" s="16">
        <v>45824</v>
      </c>
      <c r="U37" s="19">
        <v>45878</v>
      </c>
      <c r="V37" s="16">
        <v>45824</v>
      </c>
      <c r="W37" s="16">
        <v>45826</v>
      </c>
      <c r="X37" s="57">
        <f t="shared" si="4"/>
        <v>45825</v>
      </c>
      <c r="Y37" s="63">
        <v>45831</v>
      </c>
      <c r="Z37" s="67">
        <v>45859</v>
      </c>
      <c r="AA37" s="71">
        <f t="shared" si="5"/>
        <v>45866</v>
      </c>
      <c r="AB37" s="20">
        <f t="shared" si="6"/>
        <v>-12</v>
      </c>
      <c r="AC37" s="20" t="s">
        <v>50</v>
      </c>
      <c r="AD37" s="21" t="s">
        <v>51</v>
      </c>
      <c r="AE37" s="21"/>
      <c r="AF37" s="22" t="s">
        <v>52</v>
      </c>
      <c r="AG37" s="23" t="s">
        <v>53</v>
      </c>
      <c r="AH37" s="24"/>
      <c r="AN37" s="24"/>
    </row>
    <row r="38" spans="1:42" ht="12.75">
      <c r="A38" s="15">
        <v>3254120</v>
      </c>
      <c r="B38" s="15" t="s">
        <v>37</v>
      </c>
      <c r="C38" s="15" t="s">
        <v>38</v>
      </c>
      <c r="D38" s="15" t="s">
        <v>72</v>
      </c>
      <c r="E38" s="15" t="s">
        <v>72</v>
      </c>
      <c r="F38" s="15" t="s">
        <v>41</v>
      </c>
      <c r="G38" s="39" t="s">
        <v>75</v>
      </c>
      <c r="H38" s="39" t="s">
        <v>76</v>
      </c>
      <c r="I38" s="39" t="s">
        <v>77</v>
      </c>
      <c r="J38" s="39" t="s">
        <v>78</v>
      </c>
      <c r="K38" s="15" t="s">
        <v>46</v>
      </c>
      <c r="L38" s="16" t="s">
        <v>47</v>
      </c>
      <c r="M38" s="15" t="s">
        <v>48</v>
      </c>
      <c r="N38" s="17">
        <v>452518357641</v>
      </c>
      <c r="O38" s="15">
        <v>19849780</v>
      </c>
      <c r="P38" s="18" t="s">
        <v>54</v>
      </c>
      <c r="Q38" s="18">
        <v>1</v>
      </c>
      <c r="R38" s="18">
        <v>8.3000000000000004E-2</v>
      </c>
      <c r="S38" s="15">
        <v>12.59</v>
      </c>
      <c r="T38" s="16">
        <v>45824</v>
      </c>
      <c r="U38" s="19">
        <v>45878</v>
      </c>
      <c r="V38" s="16">
        <v>45824</v>
      </c>
      <c r="W38" s="16">
        <v>45826</v>
      </c>
      <c r="X38" s="57">
        <f t="shared" si="4"/>
        <v>45825</v>
      </c>
      <c r="Y38" s="63">
        <v>45831</v>
      </c>
      <c r="Z38" s="67">
        <v>45859</v>
      </c>
      <c r="AA38" s="71">
        <f t="shared" si="5"/>
        <v>45866</v>
      </c>
      <c r="AB38" s="20">
        <f t="shared" si="6"/>
        <v>-12</v>
      </c>
      <c r="AC38" s="20" t="s">
        <v>50</v>
      </c>
      <c r="AD38" s="21" t="s">
        <v>51</v>
      </c>
      <c r="AE38" s="21"/>
      <c r="AF38" s="22" t="s">
        <v>52</v>
      </c>
      <c r="AG38" s="23" t="s">
        <v>53</v>
      </c>
      <c r="AH38" s="24"/>
      <c r="AN38" s="24"/>
    </row>
    <row r="39" spans="1:42" ht="16.5" customHeight="1">
      <c r="A39" s="15">
        <v>3254120</v>
      </c>
      <c r="B39" s="15" t="s">
        <v>37</v>
      </c>
      <c r="C39" s="15" t="s">
        <v>38</v>
      </c>
      <c r="D39" s="15" t="s">
        <v>72</v>
      </c>
      <c r="E39" s="15" t="s">
        <v>72</v>
      </c>
      <c r="F39" s="15" t="s">
        <v>41</v>
      </c>
      <c r="G39" s="39" t="s">
        <v>75</v>
      </c>
      <c r="H39" s="39" t="s">
        <v>76</v>
      </c>
      <c r="I39" s="39" t="s">
        <v>77</v>
      </c>
      <c r="J39" s="39" t="s">
        <v>78</v>
      </c>
      <c r="K39" s="15" t="s">
        <v>46</v>
      </c>
      <c r="L39" s="16" t="s">
        <v>55</v>
      </c>
      <c r="M39" s="15" t="s">
        <v>48</v>
      </c>
      <c r="N39" s="17">
        <v>452015706494</v>
      </c>
      <c r="O39" s="15">
        <v>19854987</v>
      </c>
      <c r="P39" s="18" t="s">
        <v>56</v>
      </c>
      <c r="Q39" s="18">
        <v>3</v>
      </c>
      <c r="R39" s="18">
        <v>0.23599999999999999</v>
      </c>
      <c r="S39" s="15">
        <v>17.899999999999999</v>
      </c>
      <c r="T39" s="16">
        <v>45824</v>
      </c>
      <c r="U39" s="19">
        <v>45878</v>
      </c>
      <c r="V39" s="16">
        <v>45824</v>
      </c>
      <c r="W39" s="16">
        <v>45826</v>
      </c>
      <c r="X39" s="57">
        <f t="shared" si="4"/>
        <v>45825</v>
      </c>
      <c r="Y39" s="63">
        <v>45831</v>
      </c>
      <c r="Z39" s="67">
        <v>45859</v>
      </c>
      <c r="AA39" s="71">
        <f t="shared" si="5"/>
        <v>45866</v>
      </c>
      <c r="AB39" s="20">
        <f t="shared" si="6"/>
        <v>-12</v>
      </c>
      <c r="AC39" s="20" t="s">
        <v>50</v>
      </c>
      <c r="AD39" s="21" t="s">
        <v>51</v>
      </c>
      <c r="AE39" s="21"/>
      <c r="AF39" s="22" t="s">
        <v>52</v>
      </c>
      <c r="AG39" s="23" t="s">
        <v>53</v>
      </c>
      <c r="AN39" s="24"/>
    </row>
    <row r="40" spans="1:42" ht="12.75">
      <c r="A40" s="15">
        <v>3254120</v>
      </c>
      <c r="B40" s="15" t="s">
        <v>37</v>
      </c>
      <c r="C40" s="15" t="s">
        <v>38</v>
      </c>
      <c r="D40" s="15" t="s">
        <v>72</v>
      </c>
      <c r="E40" s="15" t="s">
        <v>72</v>
      </c>
      <c r="F40" s="15" t="s">
        <v>41</v>
      </c>
      <c r="G40" s="39" t="s">
        <v>75</v>
      </c>
      <c r="H40" s="39" t="s">
        <v>76</v>
      </c>
      <c r="I40" s="39" t="s">
        <v>77</v>
      </c>
      <c r="J40" s="39" t="s">
        <v>78</v>
      </c>
      <c r="K40" s="15" t="s">
        <v>46</v>
      </c>
      <c r="L40" s="16" t="s">
        <v>57</v>
      </c>
      <c r="M40" s="15" t="s">
        <v>48</v>
      </c>
      <c r="N40" s="17">
        <v>452032527956</v>
      </c>
      <c r="O40" s="15">
        <v>19727214</v>
      </c>
      <c r="P40" s="18" t="s">
        <v>58</v>
      </c>
      <c r="Q40" s="18">
        <v>65</v>
      </c>
      <c r="R40" s="18">
        <v>5.4180000000000001</v>
      </c>
      <c r="S40" s="15">
        <v>226.036</v>
      </c>
      <c r="T40" s="16">
        <v>45824</v>
      </c>
      <c r="U40" s="19">
        <v>45878</v>
      </c>
      <c r="V40" s="16">
        <v>45824</v>
      </c>
      <c r="W40" s="16">
        <v>45826</v>
      </c>
      <c r="X40" s="57">
        <f t="shared" si="4"/>
        <v>45825</v>
      </c>
      <c r="Y40" s="63">
        <v>45831</v>
      </c>
      <c r="Z40" s="67">
        <v>45859</v>
      </c>
      <c r="AA40" s="71">
        <f t="shared" si="5"/>
        <v>45866</v>
      </c>
      <c r="AB40" s="20">
        <f t="shared" si="6"/>
        <v>-12</v>
      </c>
      <c r="AC40" s="20" t="s">
        <v>50</v>
      </c>
      <c r="AD40" s="21" t="s">
        <v>51</v>
      </c>
      <c r="AE40" s="21"/>
      <c r="AF40" s="22" t="s">
        <v>52</v>
      </c>
      <c r="AG40" s="23" t="s">
        <v>53</v>
      </c>
      <c r="AN40" s="24"/>
    </row>
    <row r="41" spans="1:42" ht="12.75">
      <c r="A41" s="15">
        <v>3254120</v>
      </c>
      <c r="B41" s="15" t="s">
        <v>37</v>
      </c>
      <c r="C41" s="15" t="s">
        <v>38</v>
      </c>
      <c r="D41" s="15" t="s">
        <v>72</v>
      </c>
      <c r="E41" s="15" t="s">
        <v>72</v>
      </c>
      <c r="F41" s="15" t="s">
        <v>41</v>
      </c>
      <c r="G41" s="39" t="s">
        <v>75</v>
      </c>
      <c r="H41" s="39" t="s">
        <v>76</v>
      </c>
      <c r="I41" s="39" t="s">
        <v>77</v>
      </c>
      <c r="J41" s="39" t="s">
        <v>78</v>
      </c>
      <c r="K41" s="15" t="s">
        <v>46</v>
      </c>
      <c r="L41" s="16" t="s">
        <v>57</v>
      </c>
      <c r="M41" s="15" t="s">
        <v>48</v>
      </c>
      <c r="N41" s="17">
        <v>452036246851</v>
      </c>
      <c r="O41" s="15">
        <v>19802402</v>
      </c>
      <c r="P41" s="18" t="s">
        <v>79</v>
      </c>
      <c r="Q41" s="18">
        <v>5</v>
      </c>
      <c r="R41" s="18">
        <v>0.42</v>
      </c>
      <c r="S41" s="15">
        <v>14.518000000000001</v>
      </c>
      <c r="T41" s="16">
        <v>45824</v>
      </c>
      <c r="U41" s="19">
        <v>45878</v>
      </c>
      <c r="V41" s="16">
        <v>45824</v>
      </c>
      <c r="W41" s="16">
        <v>45826</v>
      </c>
      <c r="X41" s="57">
        <f t="shared" si="4"/>
        <v>45825</v>
      </c>
      <c r="Y41" s="63">
        <v>45831</v>
      </c>
      <c r="Z41" s="67">
        <v>45859</v>
      </c>
      <c r="AA41" s="71">
        <f t="shared" si="5"/>
        <v>45866</v>
      </c>
      <c r="AB41" s="20">
        <f t="shared" si="6"/>
        <v>-12</v>
      </c>
      <c r="AC41" s="20" t="s">
        <v>50</v>
      </c>
      <c r="AD41" s="21" t="s">
        <v>51</v>
      </c>
      <c r="AE41" s="21"/>
      <c r="AF41" s="22" t="s">
        <v>52</v>
      </c>
      <c r="AG41" s="23" t="s">
        <v>53</v>
      </c>
      <c r="AN41" s="24"/>
    </row>
    <row r="42" spans="1:42" ht="12.75">
      <c r="A42" s="15">
        <v>3254120</v>
      </c>
      <c r="B42" s="15" t="s">
        <v>37</v>
      </c>
      <c r="C42" s="15" t="s">
        <v>38</v>
      </c>
      <c r="D42" s="15" t="s">
        <v>72</v>
      </c>
      <c r="E42" s="15" t="s">
        <v>72</v>
      </c>
      <c r="F42" s="15" t="s">
        <v>41</v>
      </c>
      <c r="G42" s="39" t="s">
        <v>75</v>
      </c>
      <c r="H42" s="39" t="s">
        <v>76</v>
      </c>
      <c r="I42" s="39" t="s">
        <v>77</v>
      </c>
      <c r="J42" s="39" t="s">
        <v>78</v>
      </c>
      <c r="K42" s="15" t="s">
        <v>46</v>
      </c>
      <c r="L42" s="16" t="s">
        <v>57</v>
      </c>
      <c r="M42" s="15" t="s">
        <v>48</v>
      </c>
      <c r="N42" s="17">
        <v>452093818718</v>
      </c>
      <c r="O42" s="15">
        <v>19855237</v>
      </c>
      <c r="P42" s="18" t="s">
        <v>59</v>
      </c>
      <c r="Q42" s="18">
        <v>1</v>
      </c>
      <c r="R42" s="18">
        <v>7.9000000000000001E-2</v>
      </c>
      <c r="S42" s="15">
        <v>7.9640000000000004</v>
      </c>
      <c r="T42" s="16">
        <v>45824</v>
      </c>
      <c r="U42" s="19">
        <v>45878</v>
      </c>
      <c r="V42" s="16">
        <v>45824</v>
      </c>
      <c r="W42" s="16">
        <v>45826</v>
      </c>
      <c r="X42" s="57">
        <f t="shared" si="4"/>
        <v>45825</v>
      </c>
      <c r="Y42" s="63">
        <v>45831</v>
      </c>
      <c r="Z42" s="67">
        <v>45859</v>
      </c>
      <c r="AA42" s="71">
        <f t="shared" si="5"/>
        <v>45866</v>
      </c>
      <c r="AB42" s="20">
        <f t="shared" si="6"/>
        <v>-12</v>
      </c>
      <c r="AC42" s="20" t="s">
        <v>50</v>
      </c>
      <c r="AD42" s="21" t="s">
        <v>51</v>
      </c>
      <c r="AE42" s="21"/>
      <c r="AF42" s="22" t="s">
        <v>52</v>
      </c>
      <c r="AG42" s="23" t="s">
        <v>53</v>
      </c>
      <c r="AH42" s="23"/>
      <c r="AI42" s="23"/>
      <c r="AJ42" s="23"/>
      <c r="AK42" s="23"/>
      <c r="AL42" s="23"/>
      <c r="AM42" s="23"/>
      <c r="AN42" s="23"/>
      <c r="AO42" s="23"/>
      <c r="AP42" s="23"/>
    </row>
    <row r="43" spans="1:42" ht="12.75">
      <c r="A43" s="15">
        <v>3254120</v>
      </c>
      <c r="B43" s="15" t="s">
        <v>37</v>
      </c>
      <c r="C43" s="15" t="s">
        <v>38</v>
      </c>
      <c r="D43" s="15" t="s">
        <v>72</v>
      </c>
      <c r="E43" s="15" t="s">
        <v>72</v>
      </c>
      <c r="F43" s="15" t="s">
        <v>41</v>
      </c>
      <c r="G43" s="39" t="s">
        <v>75</v>
      </c>
      <c r="H43" s="39" t="s">
        <v>76</v>
      </c>
      <c r="I43" s="39" t="s">
        <v>77</v>
      </c>
      <c r="J43" s="39" t="s">
        <v>78</v>
      </c>
      <c r="K43" s="15" t="s">
        <v>60</v>
      </c>
      <c r="L43" s="16" t="s">
        <v>63</v>
      </c>
      <c r="M43" s="15" t="s">
        <v>48</v>
      </c>
      <c r="N43" s="17">
        <v>454863244190</v>
      </c>
      <c r="O43" s="15">
        <v>19808325</v>
      </c>
      <c r="P43" s="18" t="s">
        <v>64</v>
      </c>
      <c r="Q43" s="18">
        <v>1</v>
      </c>
      <c r="R43" s="18">
        <v>7.9000000000000001E-2</v>
      </c>
      <c r="S43" s="15">
        <v>6.7279999999999998</v>
      </c>
      <c r="T43" s="16">
        <v>45824</v>
      </c>
      <c r="U43" s="19">
        <v>45878</v>
      </c>
      <c r="V43" s="16">
        <v>45824</v>
      </c>
      <c r="W43" s="16">
        <v>45826</v>
      </c>
      <c r="X43" s="57">
        <f t="shared" si="4"/>
        <v>45825</v>
      </c>
      <c r="Y43" s="63">
        <v>45831</v>
      </c>
      <c r="Z43" s="67">
        <v>45859</v>
      </c>
      <c r="AA43" s="71">
        <f t="shared" si="5"/>
        <v>45866</v>
      </c>
      <c r="AB43" s="20">
        <f t="shared" si="6"/>
        <v>-12</v>
      </c>
      <c r="AC43" s="20" t="s">
        <v>50</v>
      </c>
      <c r="AD43" s="21" t="s">
        <v>51</v>
      </c>
      <c r="AE43" s="21"/>
      <c r="AF43" s="22" t="s">
        <v>52</v>
      </c>
      <c r="AG43" s="23" t="s">
        <v>53</v>
      </c>
      <c r="AH43" s="23"/>
      <c r="AI43" s="23"/>
      <c r="AJ43" s="23"/>
      <c r="AK43" s="23"/>
      <c r="AL43" s="23"/>
      <c r="AM43" s="23"/>
      <c r="AN43" s="23"/>
      <c r="AO43" s="23"/>
      <c r="AP43" s="23"/>
    </row>
    <row r="44" spans="1:42" ht="12.75">
      <c r="A44" s="15">
        <v>3254120</v>
      </c>
      <c r="B44" s="15" t="s">
        <v>37</v>
      </c>
      <c r="C44" s="15" t="s">
        <v>38</v>
      </c>
      <c r="D44" s="15" t="s">
        <v>72</v>
      </c>
      <c r="E44" s="15" t="s">
        <v>72</v>
      </c>
      <c r="F44" s="15" t="s">
        <v>41</v>
      </c>
      <c r="G44" s="39" t="s">
        <v>75</v>
      </c>
      <c r="H44" s="39" t="s">
        <v>76</v>
      </c>
      <c r="I44" s="39" t="s">
        <v>77</v>
      </c>
      <c r="J44" s="39" t="s">
        <v>78</v>
      </c>
      <c r="K44" s="15" t="s">
        <v>60</v>
      </c>
      <c r="L44" s="16" t="s">
        <v>63</v>
      </c>
      <c r="M44" s="15" t="s">
        <v>48</v>
      </c>
      <c r="N44" s="17">
        <v>454865164288</v>
      </c>
      <c r="O44" s="15">
        <v>19814189</v>
      </c>
      <c r="P44" s="18" t="s">
        <v>73</v>
      </c>
      <c r="Q44" s="18">
        <v>21</v>
      </c>
      <c r="R44" s="18">
        <v>1.659</v>
      </c>
      <c r="S44" s="15">
        <v>211.67400000000001</v>
      </c>
      <c r="T44" s="16">
        <v>45824</v>
      </c>
      <c r="U44" s="19">
        <v>45878</v>
      </c>
      <c r="V44" s="16">
        <v>45824</v>
      </c>
      <c r="W44" s="16">
        <v>45826</v>
      </c>
      <c r="X44" s="57">
        <f t="shared" si="4"/>
        <v>45825</v>
      </c>
      <c r="Y44" s="63">
        <v>45831</v>
      </c>
      <c r="Z44" s="67">
        <v>45859</v>
      </c>
      <c r="AA44" s="71">
        <f t="shared" si="5"/>
        <v>45866</v>
      </c>
      <c r="AB44" s="20">
        <f t="shared" si="6"/>
        <v>-12</v>
      </c>
      <c r="AC44" s="20" t="s">
        <v>50</v>
      </c>
      <c r="AD44" s="21" t="s">
        <v>51</v>
      </c>
      <c r="AE44" s="21"/>
      <c r="AF44" s="22" t="s">
        <v>52</v>
      </c>
      <c r="AG44" s="23" t="s">
        <v>53</v>
      </c>
      <c r="AH44" s="23"/>
      <c r="AI44" s="23"/>
      <c r="AJ44" s="23"/>
      <c r="AK44" s="23"/>
      <c r="AL44" s="23"/>
      <c r="AM44" s="23"/>
      <c r="AN44" s="23"/>
      <c r="AO44" s="23"/>
      <c r="AP44" s="23"/>
    </row>
    <row r="45" spans="1:42" ht="12.75">
      <c r="A45" s="15">
        <v>3254120</v>
      </c>
      <c r="B45" s="15" t="s">
        <v>37</v>
      </c>
      <c r="C45" s="15" t="s">
        <v>38</v>
      </c>
      <c r="D45" s="15" t="s">
        <v>72</v>
      </c>
      <c r="E45" s="15" t="s">
        <v>72</v>
      </c>
      <c r="F45" s="15" t="s">
        <v>41</v>
      </c>
      <c r="G45" s="39" t="s">
        <v>75</v>
      </c>
      <c r="H45" s="39" t="s">
        <v>76</v>
      </c>
      <c r="I45" s="39" t="s">
        <v>77</v>
      </c>
      <c r="J45" s="39" t="s">
        <v>78</v>
      </c>
      <c r="K45" s="15" t="s">
        <v>60</v>
      </c>
      <c r="L45" s="16" t="s">
        <v>63</v>
      </c>
      <c r="M45" s="15" t="s">
        <v>48</v>
      </c>
      <c r="N45" s="17">
        <v>454893038716</v>
      </c>
      <c r="O45" s="15">
        <v>19814203</v>
      </c>
      <c r="P45" s="18" t="s">
        <v>73</v>
      </c>
      <c r="Q45" s="18">
        <v>4</v>
      </c>
      <c r="R45" s="18">
        <v>0.158</v>
      </c>
      <c r="S45" s="15">
        <v>14.648</v>
      </c>
      <c r="T45" s="16">
        <v>45824</v>
      </c>
      <c r="U45" s="19">
        <v>45878</v>
      </c>
      <c r="V45" s="16">
        <v>45824</v>
      </c>
      <c r="W45" s="16">
        <v>45826</v>
      </c>
      <c r="X45" s="57">
        <f t="shared" si="4"/>
        <v>45825</v>
      </c>
      <c r="Y45" s="63">
        <v>45831</v>
      </c>
      <c r="Z45" s="67">
        <v>45859</v>
      </c>
      <c r="AA45" s="71">
        <f t="shared" si="5"/>
        <v>45866</v>
      </c>
      <c r="AB45" s="20">
        <f t="shared" si="6"/>
        <v>-12</v>
      </c>
      <c r="AC45" s="20" t="s">
        <v>50</v>
      </c>
      <c r="AD45" s="21" t="s">
        <v>51</v>
      </c>
      <c r="AE45" s="21"/>
      <c r="AF45" s="22" t="s">
        <v>52</v>
      </c>
      <c r="AG45" s="23" t="s">
        <v>53</v>
      </c>
      <c r="AH45" s="23"/>
      <c r="AI45" s="23"/>
      <c r="AJ45" s="23"/>
      <c r="AK45" s="23"/>
      <c r="AL45" s="23"/>
      <c r="AM45" s="23"/>
      <c r="AN45" s="23"/>
      <c r="AO45" s="23"/>
      <c r="AP45" s="23"/>
    </row>
    <row r="46" spans="1:42" ht="12.75">
      <c r="A46" s="15">
        <v>3254120</v>
      </c>
      <c r="B46" s="15" t="s">
        <v>37</v>
      </c>
      <c r="C46" s="15" t="s">
        <v>38</v>
      </c>
      <c r="D46" s="15" t="s">
        <v>72</v>
      </c>
      <c r="E46" s="15" t="s">
        <v>72</v>
      </c>
      <c r="F46" s="15" t="s">
        <v>41</v>
      </c>
      <c r="G46" s="39" t="s">
        <v>75</v>
      </c>
      <c r="H46" s="39" t="s">
        <v>76</v>
      </c>
      <c r="I46" s="39" t="s">
        <v>77</v>
      </c>
      <c r="J46" s="39" t="s">
        <v>78</v>
      </c>
      <c r="K46" s="15" t="s">
        <v>60</v>
      </c>
      <c r="L46" s="16" t="s">
        <v>65</v>
      </c>
      <c r="M46" s="15" t="s">
        <v>48</v>
      </c>
      <c r="N46" s="17">
        <v>454770290651</v>
      </c>
      <c r="O46" s="15">
        <v>19925894</v>
      </c>
      <c r="P46" s="18" t="s">
        <v>71</v>
      </c>
      <c r="Q46" s="18">
        <v>4</v>
      </c>
      <c r="R46" s="18">
        <v>0.23699999999999999</v>
      </c>
      <c r="S46" s="15">
        <v>33.539000000000001</v>
      </c>
      <c r="T46" s="16">
        <v>45824</v>
      </c>
      <c r="U46" s="19">
        <v>45878</v>
      </c>
      <c r="V46" s="16">
        <v>45824</v>
      </c>
      <c r="W46" s="16">
        <v>45826</v>
      </c>
      <c r="X46" s="57">
        <f t="shared" si="4"/>
        <v>45825</v>
      </c>
      <c r="Y46" s="63">
        <v>45831</v>
      </c>
      <c r="Z46" s="67">
        <v>45859</v>
      </c>
      <c r="AA46" s="71">
        <f t="shared" si="5"/>
        <v>45866</v>
      </c>
      <c r="AB46" s="20">
        <f t="shared" si="6"/>
        <v>-12</v>
      </c>
      <c r="AC46" s="20" t="s">
        <v>50</v>
      </c>
      <c r="AD46" s="21" t="s">
        <v>51</v>
      </c>
      <c r="AE46" s="21"/>
      <c r="AF46" s="22" t="s">
        <v>52</v>
      </c>
      <c r="AG46" s="23" t="s">
        <v>53</v>
      </c>
      <c r="AH46" s="23"/>
      <c r="AI46" s="23"/>
      <c r="AJ46" s="23"/>
      <c r="AK46" s="23"/>
      <c r="AL46" s="23"/>
      <c r="AM46" s="23"/>
      <c r="AN46" s="23"/>
      <c r="AO46" s="23"/>
      <c r="AP46" s="23"/>
    </row>
    <row r="47" spans="1:42" ht="12.75">
      <c r="A47" s="15">
        <v>3254120</v>
      </c>
      <c r="B47" s="15" t="s">
        <v>37</v>
      </c>
      <c r="C47" s="15" t="s">
        <v>38</v>
      </c>
      <c r="D47" s="15" t="s">
        <v>72</v>
      </c>
      <c r="E47" s="15" t="s">
        <v>72</v>
      </c>
      <c r="F47" s="15" t="s">
        <v>41</v>
      </c>
      <c r="G47" s="39" t="s">
        <v>75</v>
      </c>
      <c r="H47" s="39" t="s">
        <v>76</v>
      </c>
      <c r="I47" s="39" t="s">
        <v>77</v>
      </c>
      <c r="J47" s="39" t="s">
        <v>78</v>
      </c>
      <c r="K47" s="15" t="s">
        <v>60</v>
      </c>
      <c r="L47" s="16" t="s">
        <v>65</v>
      </c>
      <c r="M47" s="15" t="s">
        <v>48</v>
      </c>
      <c r="N47" s="17">
        <v>454770290857</v>
      </c>
      <c r="O47" s="15">
        <v>19939870</v>
      </c>
      <c r="P47" s="18" t="s">
        <v>80</v>
      </c>
      <c r="Q47" s="18">
        <v>1</v>
      </c>
      <c r="R47" s="18">
        <v>3.9E-2</v>
      </c>
      <c r="S47" s="15">
        <v>5.4610000000000003</v>
      </c>
      <c r="T47" s="16">
        <v>45824</v>
      </c>
      <c r="U47" s="19">
        <v>45878</v>
      </c>
      <c r="V47" s="16">
        <v>45824</v>
      </c>
      <c r="W47" s="16">
        <v>45826</v>
      </c>
      <c r="X47" s="57">
        <f t="shared" si="4"/>
        <v>45825</v>
      </c>
      <c r="Y47" s="63">
        <v>45831</v>
      </c>
      <c r="Z47" s="67">
        <v>45859</v>
      </c>
      <c r="AA47" s="71">
        <f t="shared" si="5"/>
        <v>45866</v>
      </c>
      <c r="AB47" s="20">
        <f t="shared" si="6"/>
        <v>-12</v>
      </c>
      <c r="AC47" s="20" t="s">
        <v>50</v>
      </c>
      <c r="AD47" s="21" t="s">
        <v>51</v>
      </c>
      <c r="AE47" s="21"/>
      <c r="AF47" s="22" t="s">
        <v>52</v>
      </c>
      <c r="AG47" s="23" t="s">
        <v>53</v>
      </c>
      <c r="AH47" s="23"/>
      <c r="AI47" s="23"/>
      <c r="AJ47" s="23"/>
      <c r="AK47" s="23"/>
      <c r="AL47" s="23"/>
      <c r="AM47" s="23"/>
      <c r="AN47" s="23"/>
      <c r="AO47" s="23"/>
      <c r="AP47" s="23"/>
    </row>
    <row r="48" spans="1:42" ht="12.75">
      <c r="A48" s="15">
        <v>3254120</v>
      </c>
      <c r="B48" s="15" t="s">
        <v>37</v>
      </c>
      <c r="C48" s="15" t="s">
        <v>38</v>
      </c>
      <c r="D48" s="15" t="s">
        <v>72</v>
      </c>
      <c r="E48" s="15" t="s">
        <v>72</v>
      </c>
      <c r="F48" s="15" t="s">
        <v>41</v>
      </c>
      <c r="G48" s="39" t="s">
        <v>75</v>
      </c>
      <c r="H48" s="39" t="s">
        <v>76</v>
      </c>
      <c r="I48" s="39" t="s">
        <v>77</v>
      </c>
      <c r="J48" s="39" t="s">
        <v>78</v>
      </c>
      <c r="K48" s="15" t="s">
        <v>60</v>
      </c>
      <c r="L48" s="16" t="s">
        <v>65</v>
      </c>
      <c r="M48" s="15" t="s">
        <v>48</v>
      </c>
      <c r="N48" s="17">
        <v>454770290915</v>
      </c>
      <c r="O48" s="15">
        <v>19939871</v>
      </c>
      <c r="P48" s="18" t="s">
        <v>69</v>
      </c>
      <c r="Q48" s="18">
        <v>1</v>
      </c>
      <c r="R48" s="18">
        <v>7.9000000000000001E-2</v>
      </c>
      <c r="S48" s="15">
        <v>6.9530000000000003</v>
      </c>
      <c r="T48" s="16">
        <v>45824</v>
      </c>
      <c r="U48" s="19">
        <v>45878</v>
      </c>
      <c r="V48" s="16">
        <v>45824</v>
      </c>
      <c r="W48" s="16">
        <v>45826</v>
      </c>
      <c r="X48" s="57">
        <f t="shared" si="4"/>
        <v>45825</v>
      </c>
      <c r="Y48" s="63">
        <v>45831</v>
      </c>
      <c r="Z48" s="67">
        <v>45859</v>
      </c>
      <c r="AA48" s="71">
        <f t="shared" si="5"/>
        <v>45866</v>
      </c>
      <c r="AB48" s="20">
        <f t="shared" si="6"/>
        <v>-12</v>
      </c>
      <c r="AC48" s="20" t="s">
        <v>50</v>
      </c>
      <c r="AD48" s="21" t="s">
        <v>51</v>
      </c>
      <c r="AE48" s="21"/>
      <c r="AF48" s="22" t="s">
        <v>52</v>
      </c>
      <c r="AG48" s="23" t="s">
        <v>53</v>
      </c>
      <c r="AH48" s="23"/>
      <c r="AI48" s="23"/>
      <c r="AJ48" s="23"/>
      <c r="AK48" s="23"/>
      <c r="AL48" s="23"/>
      <c r="AM48" s="23"/>
      <c r="AN48" s="23"/>
      <c r="AO48" s="23"/>
      <c r="AP48" s="23"/>
    </row>
    <row r="49" spans="1:42" ht="12.75">
      <c r="A49" s="15">
        <v>3254120</v>
      </c>
      <c r="B49" s="15" t="s">
        <v>37</v>
      </c>
      <c r="C49" s="15" t="s">
        <v>38</v>
      </c>
      <c r="D49" s="15" t="s">
        <v>72</v>
      </c>
      <c r="E49" s="15" t="s">
        <v>72</v>
      </c>
      <c r="F49" s="15" t="s">
        <v>41</v>
      </c>
      <c r="G49" s="39" t="s">
        <v>75</v>
      </c>
      <c r="H49" s="39" t="s">
        <v>76</v>
      </c>
      <c r="I49" s="39" t="s">
        <v>77</v>
      </c>
      <c r="J49" s="39" t="s">
        <v>78</v>
      </c>
      <c r="K49" s="15" t="s">
        <v>60</v>
      </c>
      <c r="L49" s="16" t="s">
        <v>65</v>
      </c>
      <c r="M49" s="15" t="s">
        <v>48</v>
      </c>
      <c r="N49" s="17">
        <v>454772994775</v>
      </c>
      <c r="O49" s="15">
        <v>19926259</v>
      </c>
      <c r="P49" s="18" t="s">
        <v>69</v>
      </c>
      <c r="Q49" s="18">
        <v>5</v>
      </c>
      <c r="R49" s="18">
        <v>0.39500000000000002</v>
      </c>
      <c r="S49" s="15">
        <v>49.518999999999998</v>
      </c>
      <c r="T49" s="16">
        <v>45824</v>
      </c>
      <c r="U49" s="19">
        <v>45878</v>
      </c>
      <c r="V49" s="16">
        <v>45824</v>
      </c>
      <c r="W49" s="16">
        <v>45826</v>
      </c>
      <c r="X49" s="57">
        <f t="shared" si="4"/>
        <v>45825</v>
      </c>
      <c r="Y49" s="63">
        <v>45831</v>
      </c>
      <c r="Z49" s="67">
        <v>45859</v>
      </c>
      <c r="AA49" s="71">
        <f t="shared" si="5"/>
        <v>45866</v>
      </c>
      <c r="AB49" s="20">
        <f t="shared" si="6"/>
        <v>-12</v>
      </c>
      <c r="AC49" s="20" t="s">
        <v>50</v>
      </c>
      <c r="AD49" s="21" t="s">
        <v>51</v>
      </c>
      <c r="AE49" s="21"/>
      <c r="AF49" s="22" t="s">
        <v>52</v>
      </c>
      <c r="AG49" s="23" t="s">
        <v>53</v>
      </c>
      <c r="AH49" s="23"/>
      <c r="AI49" s="23"/>
      <c r="AJ49" s="23"/>
      <c r="AK49" s="23"/>
      <c r="AL49" s="23"/>
      <c r="AM49" s="23"/>
      <c r="AN49" s="23"/>
      <c r="AO49" s="23"/>
      <c r="AP49" s="23"/>
    </row>
    <row r="50" spans="1:42" ht="12.75">
      <c r="A50" s="15">
        <v>3254120</v>
      </c>
      <c r="B50" s="15" t="s">
        <v>37</v>
      </c>
      <c r="C50" s="15" t="s">
        <v>38</v>
      </c>
      <c r="D50" s="15" t="s">
        <v>72</v>
      </c>
      <c r="E50" s="15" t="s">
        <v>72</v>
      </c>
      <c r="F50" s="15" t="s">
        <v>41</v>
      </c>
      <c r="G50" s="39" t="s">
        <v>75</v>
      </c>
      <c r="H50" s="39" t="s">
        <v>76</v>
      </c>
      <c r="I50" s="39" t="s">
        <v>77</v>
      </c>
      <c r="J50" s="39" t="s">
        <v>78</v>
      </c>
      <c r="K50" s="15" t="s">
        <v>60</v>
      </c>
      <c r="L50" s="16" t="s">
        <v>65</v>
      </c>
      <c r="M50" s="15" t="s">
        <v>48</v>
      </c>
      <c r="N50" s="17">
        <v>454773466988</v>
      </c>
      <c r="O50" s="15">
        <v>19920958</v>
      </c>
      <c r="P50" s="18" t="s">
        <v>68</v>
      </c>
      <c r="Q50" s="18">
        <v>1</v>
      </c>
      <c r="R50" s="18">
        <v>7.9000000000000001E-2</v>
      </c>
      <c r="S50" s="15">
        <v>10.491</v>
      </c>
      <c r="T50" s="16">
        <v>45824</v>
      </c>
      <c r="U50" s="19">
        <v>45878</v>
      </c>
      <c r="V50" s="16">
        <v>45824</v>
      </c>
      <c r="W50" s="16">
        <v>45826</v>
      </c>
      <c r="X50" s="57">
        <f t="shared" si="4"/>
        <v>45825</v>
      </c>
      <c r="Y50" s="63">
        <v>45831</v>
      </c>
      <c r="Z50" s="67">
        <v>45859</v>
      </c>
      <c r="AA50" s="71">
        <f t="shared" si="5"/>
        <v>45866</v>
      </c>
      <c r="AB50" s="20">
        <f t="shared" si="6"/>
        <v>-12</v>
      </c>
      <c r="AC50" s="20" t="s">
        <v>50</v>
      </c>
      <c r="AD50" s="21" t="s">
        <v>51</v>
      </c>
      <c r="AE50" s="21"/>
      <c r="AF50" s="22" t="s">
        <v>52</v>
      </c>
      <c r="AG50" s="23" t="s">
        <v>53</v>
      </c>
      <c r="AH50" s="23"/>
      <c r="AI50" s="23"/>
      <c r="AJ50" s="23"/>
      <c r="AK50" s="23"/>
      <c r="AL50" s="23"/>
      <c r="AM50" s="23"/>
      <c r="AN50" s="23"/>
      <c r="AO50" s="23"/>
      <c r="AP50" s="23"/>
    </row>
    <row r="51" spans="1:42" ht="12.75">
      <c r="A51" s="15">
        <v>3254120</v>
      </c>
      <c r="B51" s="15" t="s">
        <v>37</v>
      </c>
      <c r="C51" s="15" t="s">
        <v>38</v>
      </c>
      <c r="D51" s="15" t="s">
        <v>72</v>
      </c>
      <c r="E51" s="15" t="s">
        <v>72</v>
      </c>
      <c r="F51" s="15" t="s">
        <v>41</v>
      </c>
      <c r="G51" s="39" t="s">
        <v>75</v>
      </c>
      <c r="H51" s="39" t="s">
        <v>76</v>
      </c>
      <c r="I51" s="39" t="s">
        <v>77</v>
      </c>
      <c r="J51" s="39" t="s">
        <v>78</v>
      </c>
      <c r="K51" s="15" t="s">
        <v>60</v>
      </c>
      <c r="L51" s="16" t="s">
        <v>65</v>
      </c>
      <c r="M51" s="15" t="s">
        <v>48</v>
      </c>
      <c r="N51" s="17">
        <v>454773467131</v>
      </c>
      <c r="O51" s="15">
        <v>19920972</v>
      </c>
      <c r="P51" s="18" t="s">
        <v>66</v>
      </c>
      <c r="Q51" s="18">
        <v>3</v>
      </c>
      <c r="R51" s="18">
        <v>0.19700000000000001</v>
      </c>
      <c r="S51" s="15">
        <v>28.79</v>
      </c>
      <c r="T51" s="16">
        <v>45824</v>
      </c>
      <c r="U51" s="19">
        <v>45878</v>
      </c>
      <c r="V51" s="16">
        <v>45824</v>
      </c>
      <c r="W51" s="16">
        <v>45826</v>
      </c>
      <c r="X51" s="57">
        <f t="shared" si="4"/>
        <v>45825</v>
      </c>
      <c r="Y51" s="63">
        <v>45831</v>
      </c>
      <c r="Z51" s="67">
        <v>45859</v>
      </c>
      <c r="AA51" s="71">
        <f t="shared" si="5"/>
        <v>45866</v>
      </c>
      <c r="AB51" s="20">
        <f t="shared" si="6"/>
        <v>-12</v>
      </c>
      <c r="AC51" s="20" t="s">
        <v>50</v>
      </c>
      <c r="AD51" s="21" t="s">
        <v>51</v>
      </c>
      <c r="AE51" s="21"/>
      <c r="AF51" s="22" t="s">
        <v>52</v>
      </c>
      <c r="AG51" s="23" t="s">
        <v>53</v>
      </c>
      <c r="AH51" s="23"/>
      <c r="AI51" s="23"/>
      <c r="AJ51" s="23"/>
      <c r="AK51" s="23"/>
      <c r="AL51" s="23"/>
      <c r="AM51" s="23"/>
      <c r="AN51" s="23"/>
      <c r="AO51" s="23"/>
      <c r="AP51" s="23"/>
    </row>
    <row r="52" spans="1:42" ht="12.75">
      <c r="A52" s="15">
        <v>3254120</v>
      </c>
      <c r="B52" s="15" t="s">
        <v>37</v>
      </c>
      <c r="C52" s="15" t="s">
        <v>38</v>
      </c>
      <c r="D52" s="15" t="s">
        <v>72</v>
      </c>
      <c r="E52" s="15" t="s">
        <v>72</v>
      </c>
      <c r="F52" s="15" t="s">
        <v>41</v>
      </c>
      <c r="G52" s="39" t="s">
        <v>75</v>
      </c>
      <c r="H52" s="39" t="s">
        <v>76</v>
      </c>
      <c r="I52" s="39" t="s">
        <v>77</v>
      </c>
      <c r="J52" s="39" t="s">
        <v>78</v>
      </c>
      <c r="K52" s="15" t="s">
        <v>60</v>
      </c>
      <c r="L52" s="16" t="s">
        <v>65</v>
      </c>
      <c r="M52" s="15" t="s">
        <v>48</v>
      </c>
      <c r="N52" s="17">
        <v>454773467698</v>
      </c>
      <c r="O52" s="15">
        <v>19939856</v>
      </c>
      <c r="P52" s="18" t="s">
        <v>81</v>
      </c>
      <c r="Q52" s="18">
        <v>1</v>
      </c>
      <c r="R52" s="18">
        <v>3.9E-2</v>
      </c>
      <c r="S52" s="15">
        <v>4.5549999999999997</v>
      </c>
      <c r="T52" s="16">
        <v>45824</v>
      </c>
      <c r="U52" s="19">
        <v>45878</v>
      </c>
      <c r="V52" s="16">
        <v>45824</v>
      </c>
      <c r="W52" s="16">
        <v>45826</v>
      </c>
      <c r="X52" s="57">
        <f t="shared" si="4"/>
        <v>45825</v>
      </c>
      <c r="Y52" s="63">
        <v>45831</v>
      </c>
      <c r="Z52" s="67">
        <v>45859</v>
      </c>
      <c r="AA52" s="71">
        <f t="shared" si="5"/>
        <v>45866</v>
      </c>
      <c r="AB52" s="20">
        <f t="shared" si="6"/>
        <v>-12</v>
      </c>
      <c r="AC52" s="20" t="s">
        <v>50</v>
      </c>
      <c r="AD52" s="21" t="s">
        <v>51</v>
      </c>
      <c r="AE52" s="21"/>
      <c r="AF52" s="22" t="s">
        <v>52</v>
      </c>
      <c r="AG52" s="23" t="s">
        <v>53</v>
      </c>
      <c r="AH52" s="23"/>
      <c r="AI52" s="23"/>
      <c r="AJ52" s="23"/>
      <c r="AK52" s="23"/>
      <c r="AL52" s="23"/>
      <c r="AM52" s="23"/>
      <c r="AN52" s="23"/>
      <c r="AO52" s="23"/>
      <c r="AP52" s="23"/>
    </row>
    <row r="53" spans="1:42" ht="12.75">
      <c r="A53" s="15">
        <v>3254120</v>
      </c>
      <c r="B53" s="15" t="s">
        <v>37</v>
      </c>
      <c r="C53" s="15" t="s">
        <v>38</v>
      </c>
      <c r="D53" s="15" t="s">
        <v>72</v>
      </c>
      <c r="E53" s="15" t="s">
        <v>72</v>
      </c>
      <c r="F53" s="15" t="s">
        <v>41</v>
      </c>
      <c r="G53" s="39" t="s">
        <v>75</v>
      </c>
      <c r="H53" s="39" t="s">
        <v>76</v>
      </c>
      <c r="I53" s="39" t="s">
        <v>77</v>
      </c>
      <c r="J53" s="39" t="s">
        <v>78</v>
      </c>
      <c r="K53" s="15" t="s">
        <v>60</v>
      </c>
      <c r="L53" s="16" t="s">
        <v>65</v>
      </c>
      <c r="M53" s="15" t="s">
        <v>48</v>
      </c>
      <c r="N53" s="17">
        <v>454774400782</v>
      </c>
      <c r="O53" s="15">
        <v>19920956</v>
      </c>
      <c r="P53" s="18" t="s">
        <v>68</v>
      </c>
      <c r="Q53" s="18">
        <v>7</v>
      </c>
      <c r="R53" s="18">
        <v>0.434</v>
      </c>
      <c r="S53" s="15">
        <v>73.433000000000007</v>
      </c>
      <c r="T53" s="16">
        <v>45824</v>
      </c>
      <c r="U53" s="19">
        <v>45878</v>
      </c>
      <c r="V53" s="16">
        <v>45824</v>
      </c>
      <c r="W53" s="16">
        <v>45826</v>
      </c>
      <c r="X53" s="57">
        <f t="shared" si="4"/>
        <v>45825</v>
      </c>
      <c r="Y53" s="63">
        <v>45831</v>
      </c>
      <c r="Z53" s="67">
        <v>45859</v>
      </c>
      <c r="AA53" s="71">
        <f t="shared" si="5"/>
        <v>45866</v>
      </c>
      <c r="AB53" s="20">
        <f t="shared" si="6"/>
        <v>-12</v>
      </c>
      <c r="AC53" s="20" t="s">
        <v>50</v>
      </c>
      <c r="AD53" s="21" t="s">
        <v>51</v>
      </c>
      <c r="AE53" s="21"/>
      <c r="AF53" s="22" t="s">
        <v>52</v>
      </c>
      <c r="AG53" s="23" t="s">
        <v>53</v>
      </c>
      <c r="AH53" s="23"/>
      <c r="AI53" s="23"/>
      <c r="AJ53" s="23"/>
      <c r="AK53" s="23"/>
      <c r="AL53" s="23"/>
      <c r="AM53" s="23"/>
      <c r="AN53" s="23"/>
      <c r="AO53" s="23"/>
      <c r="AP53" s="23"/>
    </row>
    <row r="54" spans="1:42" ht="12.75">
      <c r="A54" s="15">
        <v>3254120</v>
      </c>
      <c r="B54" s="15" t="s">
        <v>37</v>
      </c>
      <c r="C54" s="15" t="s">
        <v>38</v>
      </c>
      <c r="D54" s="15" t="s">
        <v>72</v>
      </c>
      <c r="E54" s="15" t="s">
        <v>72</v>
      </c>
      <c r="F54" s="15" t="s">
        <v>41</v>
      </c>
      <c r="G54" s="39" t="s">
        <v>75</v>
      </c>
      <c r="H54" s="39" t="s">
        <v>76</v>
      </c>
      <c r="I54" s="39" t="s">
        <v>77</v>
      </c>
      <c r="J54" s="39" t="s">
        <v>78</v>
      </c>
      <c r="K54" s="15" t="s">
        <v>60</v>
      </c>
      <c r="L54" s="16" t="s">
        <v>65</v>
      </c>
      <c r="M54" s="15" t="s">
        <v>48</v>
      </c>
      <c r="N54" s="17">
        <v>454774401107</v>
      </c>
      <c r="O54" s="15">
        <v>19921004</v>
      </c>
      <c r="P54" s="18" t="s">
        <v>67</v>
      </c>
      <c r="Q54" s="18">
        <v>1</v>
      </c>
      <c r="R54" s="18">
        <v>7.9000000000000001E-2</v>
      </c>
      <c r="S54" s="15">
        <v>12.78</v>
      </c>
      <c r="T54" s="16">
        <v>45824</v>
      </c>
      <c r="U54" s="19">
        <v>45878</v>
      </c>
      <c r="V54" s="16">
        <v>45824</v>
      </c>
      <c r="W54" s="16">
        <v>45826</v>
      </c>
      <c r="X54" s="57">
        <f t="shared" si="4"/>
        <v>45825</v>
      </c>
      <c r="Y54" s="63">
        <v>45831</v>
      </c>
      <c r="Z54" s="67">
        <v>45859</v>
      </c>
      <c r="AA54" s="71">
        <f t="shared" si="5"/>
        <v>45866</v>
      </c>
      <c r="AB54" s="20">
        <f t="shared" si="6"/>
        <v>-12</v>
      </c>
      <c r="AC54" s="20" t="s">
        <v>50</v>
      </c>
      <c r="AD54" s="21" t="s">
        <v>51</v>
      </c>
      <c r="AE54" s="21"/>
      <c r="AF54" s="22" t="s">
        <v>52</v>
      </c>
      <c r="AG54" s="23" t="s">
        <v>53</v>
      </c>
      <c r="AH54" s="23"/>
      <c r="AI54" s="23"/>
      <c r="AJ54" s="23"/>
      <c r="AK54" s="23"/>
      <c r="AL54" s="23"/>
      <c r="AM54" s="23"/>
      <c r="AN54" s="23"/>
      <c r="AO54" s="23"/>
      <c r="AP54" s="23"/>
    </row>
    <row r="55" spans="1:42" ht="12.75">
      <c r="A55" s="15">
        <v>3254120</v>
      </c>
      <c r="B55" s="15" t="s">
        <v>37</v>
      </c>
      <c r="C55" s="15" t="s">
        <v>38</v>
      </c>
      <c r="D55" s="15" t="s">
        <v>72</v>
      </c>
      <c r="E55" s="15" t="s">
        <v>72</v>
      </c>
      <c r="F55" s="15" t="s">
        <v>41</v>
      </c>
      <c r="G55" s="39" t="s">
        <v>75</v>
      </c>
      <c r="H55" s="39" t="s">
        <v>76</v>
      </c>
      <c r="I55" s="39" t="s">
        <v>77</v>
      </c>
      <c r="J55" s="39" t="s">
        <v>78</v>
      </c>
      <c r="K55" s="15" t="s">
        <v>60</v>
      </c>
      <c r="L55" s="16" t="s">
        <v>65</v>
      </c>
      <c r="M55" s="15" t="s">
        <v>48</v>
      </c>
      <c r="N55" s="17">
        <v>454774669478</v>
      </c>
      <c r="O55" s="15">
        <v>19920973</v>
      </c>
      <c r="P55" s="18" t="s">
        <v>66</v>
      </c>
      <c r="Q55" s="18">
        <v>6</v>
      </c>
      <c r="R55" s="18">
        <v>0.434</v>
      </c>
      <c r="S55" s="15">
        <v>71.144999999999996</v>
      </c>
      <c r="T55" s="16">
        <v>45824</v>
      </c>
      <c r="U55" s="19">
        <v>45878</v>
      </c>
      <c r="V55" s="16">
        <v>45824</v>
      </c>
      <c r="W55" s="16">
        <v>45826</v>
      </c>
      <c r="X55" s="57">
        <f t="shared" si="4"/>
        <v>45825</v>
      </c>
      <c r="Y55" s="63">
        <v>45831</v>
      </c>
      <c r="Z55" s="67">
        <v>45859</v>
      </c>
      <c r="AA55" s="71">
        <f t="shared" si="5"/>
        <v>45866</v>
      </c>
      <c r="AB55" s="20">
        <f t="shared" si="6"/>
        <v>-12</v>
      </c>
      <c r="AC55" s="20" t="s">
        <v>50</v>
      </c>
      <c r="AD55" s="21" t="s">
        <v>51</v>
      </c>
      <c r="AE55" s="21"/>
      <c r="AF55" s="22" t="s">
        <v>52</v>
      </c>
      <c r="AG55" s="23" t="s">
        <v>53</v>
      </c>
      <c r="AH55" s="23"/>
      <c r="AI55" s="23"/>
      <c r="AJ55" s="23"/>
      <c r="AK55" s="23"/>
      <c r="AL55" s="23"/>
      <c r="AM55" s="23"/>
      <c r="AN55" s="23"/>
      <c r="AO55" s="23"/>
      <c r="AP55" s="23"/>
    </row>
    <row r="56" spans="1:42" ht="12.75">
      <c r="A56" s="15">
        <v>3254120</v>
      </c>
      <c r="B56" s="15" t="s">
        <v>37</v>
      </c>
      <c r="C56" s="15" t="s">
        <v>38</v>
      </c>
      <c r="D56" s="15" t="s">
        <v>72</v>
      </c>
      <c r="E56" s="15" t="s">
        <v>72</v>
      </c>
      <c r="F56" s="15" t="s">
        <v>41</v>
      </c>
      <c r="G56" s="39" t="s">
        <v>75</v>
      </c>
      <c r="H56" s="39" t="s">
        <v>76</v>
      </c>
      <c r="I56" s="39" t="s">
        <v>77</v>
      </c>
      <c r="J56" s="39" t="s">
        <v>78</v>
      </c>
      <c r="K56" s="15" t="s">
        <v>60</v>
      </c>
      <c r="L56" s="16" t="s">
        <v>65</v>
      </c>
      <c r="M56" s="15" t="s">
        <v>48</v>
      </c>
      <c r="N56" s="17">
        <v>454774676791</v>
      </c>
      <c r="O56" s="15">
        <v>19920966</v>
      </c>
      <c r="P56" s="18" t="s">
        <v>66</v>
      </c>
      <c r="Q56" s="18">
        <v>4</v>
      </c>
      <c r="R56" s="18">
        <v>0.316</v>
      </c>
      <c r="S56" s="15">
        <v>51.546999999999997</v>
      </c>
      <c r="T56" s="16">
        <v>45824</v>
      </c>
      <c r="U56" s="19">
        <v>45878</v>
      </c>
      <c r="V56" s="16">
        <v>45824</v>
      </c>
      <c r="W56" s="16">
        <v>45826</v>
      </c>
      <c r="X56" s="57">
        <f t="shared" si="4"/>
        <v>45825</v>
      </c>
      <c r="Y56" s="63">
        <v>45831</v>
      </c>
      <c r="Z56" s="67">
        <v>45859</v>
      </c>
      <c r="AA56" s="71">
        <f t="shared" si="5"/>
        <v>45866</v>
      </c>
      <c r="AB56" s="20">
        <f t="shared" si="6"/>
        <v>-12</v>
      </c>
      <c r="AC56" s="20" t="s">
        <v>50</v>
      </c>
      <c r="AD56" s="21" t="s">
        <v>51</v>
      </c>
      <c r="AE56" s="21"/>
      <c r="AF56" s="22" t="s">
        <v>52</v>
      </c>
      <c r="AG56" s="23" t="s">
        <v>53</v>
      </c>
      <c r="AH56" s="23"/>
      <c r="AI56" s="23"/>
      <c r="AJ56" s="23"/>
      <c r="AK56" s="23"/>
      <c r="AL56" s="23"/>
      <c r="AM56" s="23"/>
      <c r="AN56" s="23"/>
      <c r="AO56" s="23"/>
      <c r="AP56" s="23"/>
    </row>
    <row r="57" spans="1:42" ht="12.75">
      <c r="A57" s="15">
        <v>3254120</v>
      </c>
      <c r="B57" s="15" t="s">
        <v>37</v>
      </c>
      <c r="C57" s="15" t="s">
        <v>38</v>
      </c>
      <c r="D57" s="15" t="s">
        <v>72</v>
      </c>
      <c r="E57" s="15" t="s">
        <v>72</v>
      </c>
      <c r="F57" s="15" t="s">
        <v>41</v>
      </c>
      <c r="G57" s="39" t="s">
        <v>75</v>
      </c>
      <c r="H57" s="39" t="s">
        <v>76</v>
      </c>
      <c r="I57" s="39" t="s">
        <v>77</v>
      </c>
      <c r="J57" s="39" t="s">
        <v>78</v>
      </c>
      <c r="K57" s="15" t="s">
        <v>60</v>
      </c>
      <c r="L57" s="16" t="s">
        <v>65</v>
      </c>
      <c r="M57" s="15" t="s">
        <v>48</v>
      </c>
      <c r="N57" s="17">
        <v>454775006730</v>
      </c>
      <c r="O57" s="15">
        <v>19920978</v>
      </c>
      <c r="P57" s="18" t="s">
        <v>66</v>
      </c>
      <c r="Q57" s="18">
        <v>8</v>
      </c>
      <c r="R57" s="18">
        <v>0.47399999999999998</v>
      </c>
      <c r="S57" s="15">
        <v>78.704999999999998</v>
      </c>
      <c r="T57" s="16">
        <v>45824</v>
      </c>
      <c r="U57" s="19">
        <v>45878</v>
      </c>
      <c r="V57" s="16">
        <v>45824</v>
      </c>
      <c r="W57" s="16">
        <v>45826</v>
      </c>
      <c r="X57" s="57">
        <f t="shared" si="4"/>
        <v>45825</v>
      </c>
      <c r="Y57" s="63">
        <v>45831</v>
      </c>
      <c r="Z57" s="67">
        <v>45859</v>
      </c>
      <c r="AA57" s="71">
        <f t="shared" si="5"/>
        <v>45866</v>
      </c>
      <c r="AB57" s="20">
        <f t="shared" si="6"/>
        <v>-12</v>
      </c>
      <c r="AC57" s="20" t="s">
        <v>50</v>
      </c>
      <c r="AD57" s="21" t="s">
        <v>51</v>
      </c>
      <c r="AE57" s="21"/>
      <c r="AF57" s="22" t="s">
        <v>52</v>
      </c>
      <c r="AG57" s="23" t="s">
        <v>53</v>
      </c>
      <c r="AH57" s="23"/>
      <c r="AI57" s="23"/>
      <c r="AJ57" s="23"/>
      <c r="AK57" s="23"/>
      <c r="AL57" s="23"/>
      <c r="AM57" s="23"/>
      <c r="AN57" s="23"/>
      <c r="AO57" s="23"/>
      <c r="AP57" s="23"/>
    </row>
    <row r="58" spans="1:42" ht="12.75">
      <c r="A58" s="15">
        <v>3254120</v>
      </c>
      <c r="B58" s="15" t="s">
        <v>37</v>
      </c>
      <c r="C58" s="15" t="s">
        <v>38</v>
      </c>
      <c r="D58" s="15" t="s">
        <v>72</v>
      </c>
      <c r="E58" s="15" t="s">
        <v>72</v>
      </c>
      <c r="F58" s="15" t="s">
        <v>41</v>
      </c>
      <c r="G58" s="39" t="s">
        <v>75</v>
      </c>
      <c r="H58" s="39" t="s">
        <v>76</v>
      </c>
      <c r="I58" s="39" t="s">
        <v>77</v>
      </c>
      <c r="J58" s="39" t="s">
        <v>78</v>
      </c>
      <c r="K58" s="15" t="s">
        <v>60</v>
      </c>
      <c r="L58" s="16" t="s">
        <v>65</v>
      </c>
      <c r="M58" s="15" t="s">
        <v>48</v>
      </c>
      <c r="N58" s="17">
        <v>454775035759</v>
      </c>
      <c r="O58" s="15">
        <v>19925871</v>
      </c>
      <c r="P58" s="18" t="s">
        <v>71</v>
      </c>
      <c r="Q58" s="18">
        <v>8</v>
      </c>
      <c r="R58" s="18">
        <v>0.63200000000000001</v>
      </c>
      <c r="S58" s="15">
        <v>81.100999999999999</v>
      </c>
      <c r="T58" s="16">
        <v>45824</v>
      </c>
      <c r="U58" s="19">
        <v>45878</v>
      </c>
      <c r="V58" s="16">
        <v>45824</v>
      </c>
      <c r="W58" s="16">
        <v>45826</v>
      </c>
      <c r="X58" s="57">
        <f t="shared" si="4"/>
        <v>45825</v>
      </c>
      <c r="Y58" s="63">
        <v>45831</v>
      </c>
      <c r="Z58" s="67">
        <v>45859</v>
      </c>
      <c r="AA58" s="71">
        <f t="shared" si="5"/>
        <v>45866</v>
      </c>
      <c r="AB58" s="20">
        <f t="shared" si="6"/>
        <v>-12</v>
      </c>
      <c r="AC58" s="20" t="s">
        <v>50</v>
      </c>
      <c r="AD58" s="21" t="s">
        <v>51</v>
      </c>
      <c r="AE58" s="21"/>
      <c r="AF58" s="22" t="s">
        <v>52</v>
      </c>
      <c r="AG58" s="23" t="s">
        <v>53</v>
      </c>
      <c r="AH58" s="23"/>
      <c r="AI58" s="23"/>
      <c r="AJ58" s="23"/>
      <c r="AK58" s="23"/>
      <c r="AL58" s="23"/>
      <c r="AM58" s="23"/>
      <c r="AN58" s="23"/>
      <c r="AO58" s="23"/>
      <c r="AP58" s="23"/>
    </row>
    <row r="59" spans="1:42" ht="12.75">
      <c r="A59" s="15">
        <v>3254120</v>
      </c>
      <c r="B59" s="15" t="s">
        <v>37</v>
      </c>
      <c r="C59" s="15" t="s">
        <v>38</v>
      </c>
      <c r="D59" s="15" t="s">
        <v>72</v>
      </c>
      <c r="E59" s="15" t="s">
        <v>72</v>
      </c>
      <c r="F59" s="15" t="s">
        <v>41</v>
      </c>
      <c r="G59" s="39" t="s">
        <v>75</v>
      </c>
      <c r="H59" s="39" t="s">
        <v>76</v>
      </c>
      <c r="I59" s="39" t="s">
        <v>77</v>
      </c>
      <c r="J59" s="39" t="s">
        <v>78</v>
      </c>
      <c r="K59" s="15" t="s">
        <v>60</v>
      </c>
      <c r="L59" s="16" t="s">
        <v>65</v>
      </c>
      <c r="M59" s="15" t="s">
        <v>48</v>
      </c>
      <c r="N59" s="17">
        <v>454775192654</v>
      </c>
      <c r="O59" s="15">
        <v>19921008</v>
      </c>
      <c r="P59" s="18" t="s">
        <v>70</v>
      </c>
      <c r="Q59" s="18">
        <v>4</v>
      </c>
      <c r="R59" s="18">
        <v>0.23699999999999999</v>
      </c>
      <c r="S59" s="15">
        <v>35.133000000000003</v>
      </c>
      <c r="T59" s="16">
        <v>45824</v>
      </c>
      <c r="U59" s="19">
        <v>45878</v>
      </c>
      <c r="V59" s="16">
        <v>45824</v>
      </c>
      <c r="W59" s="16">
        <v>45826</v>
      </c>
      <c r="X59" s="57">
        <f t="shared" si="4"/>
        <v>45825</v>
      </c>
      <c r="Y59" s="63">
        <v>45831</v>
      </c>
      <c r="Z59" s="67">
        <v>45859</v>
      </c>
      <c r="AA59" s="71">
        <f t="shared" si="5"/>
        <v>45866</v>
      </c>
      <c r="AB59" s="20">
        <f t="shared" si="6"/>
        <v>-12</v>
      </c>
      <c r="AC59" s="20" t="s">
        <v>50</v>
      </c>
      <c r="AD59" s="21" t="s">
        <v>51</v>
      </c>
      <c r="AE59" s="21"/>
      <c r="AF59" s="22" t="s">
        <v>52</v>
      </c>
      <c r="AG59" s="23" t="s">
        <v>53</v>
      </c>
      <c r="AH59" s="23"/>
      <c r="AI59" s="23"/>
      <c r="AJ59" s="23"/>
      <c r="AK59" s="23"/>
      <c r="AL59" s="23"/>
      <c r="AM59" s="23"/>
      <c r="AN59" s="23"/>
      <c r="AO59" s="23"/>
      <c r="AP59" s="23"/>
    </row>
    <row r="60" spans="1:42" ht="12.75">
      <c r="A60" s="15">
        <v>3254120</v>
      </c>
      <c r="B60" s="15" t="s">
        <v>37</v>
      </c>
      <c r="C60" s="15" t="s">
        <v>38</v>
      </c>
      <c r="D60" s="15" t="s">
        <v>72</v>
      </c>
      <c r="E60" s="15" t="s">
        <v>72</v>
      </c>
      <c r="F60" s="15" t="s">
        <v>41</v>
      </c>
      <c r="G60" s="39" t="s">
        <v>75</v>
      </c>
      <c r="H60" s="39" t="s">
        <v>76</v>
      </c>
      <c r="I60" s="39" t="s">
        <v>77</v>
      </c>
      <c r="J60" s="39" t="s">
        <v>78</v>
      </c>
      <c r="K60" s="15" t="s">
        <v>60</v>
      </c>
      <c r="L60" s="16" t="s">
        <v>65</v>
      </c>
      <c r="M60" s="15" t="s">
        <v>48</v>
      </c>
      <c r="N60" s="17">
        <v>454775252695</v>
      </c>
      <c r="O60" s="15">
        <v>19921010</v>
      </c>
      <c r="P60" s="18" t="s">
        <v>70</v>
      </c>
      <c r="Q60" s="18">
        <v>1</v>
      </c>
      <c r="R60" s="18">
        <v>7.9000000000000001E-2</v>
      </c>
      <c r="S60" s="15">
        <v>6.9589999999999996</v>
      </c>
      <c r="T60" s="16">
        <v>45824</v>
      </c>
      <c r="U60" s="19">
        <v>45878</v>
      </c>
      <c r="V60" s="16">
        <v>45824</v>
      </c>
      <c r="W60" s="16">
        <v>45826</v>
      </c>
      <c r="X60" s="57">
        <f t="shared" si="4"/>
        <v>45825</v>
      </c>
      <c r="Y60" s="63">
        <v>45831</v>
      </c>
      <c r="Z60" s="67">
        <v>45859</v>
      </c>
      <c r="AA60" s="71">
        <f t="shared" si="5"/>
        <v>45866</v>
      </c>
      <c r="AB60" s="20">
        <f t="shared" si="6"/>
        <v>-12</v>
      </c>
      <c r="AC60" s="20" t="s">
        <v>50</v>
      </c>
      <c r="AD60" s="21" t="s">
        <v>51</v>
      </c>
      <c r="AE60" s="21"/>
      <c r="AF60" s="22" t="s">
        <v>52</v>
      </c>
      <c r="AG60" s="23" t="s">
        <v>53</v>
      </c>
      <c r="AN60" s="24"/>
    </row>
    <row r="61" spans="1:42" ht="12.75">
      <c r="A61" s="15">
        <v>3254120</v>
      </c>
      <c r="B61" s="15" t="s">
        <v>37</v>
      </c>
      <c r="C61" s="15" t="s">
        <v>38</v>
      </c>
      <c r="D61" s="15" t="s">
        <v>72</v>
      </c>
      <c r="E61" s="15" t="s">
        <v>72</v>
      </c>
      <c r="F61" s="15" t="s">
        <v>41</v>
      </c>
      <c r="G61" s="39" t="s">
        <v>75</v>
      </c>
      <c r="H61" s="39" t="s">
        <v>76</v>
      </c>
      <c r="I61" s="39" t="s">
        <v>77</v>
      </c>
      <c r="J61" s="39" t="s">
        <v>78</v>
      </c>
      <c r="K61" s="15" t="s">
        <v>60</v>
      </c>
      <c r="L61" s="16" t="s">
        <v>65</v>
      </c>
      <c r="M61" s="15" t="s">
        <v>48</v>
      </c>
      <c r="N61" s="17">
        <v>454775252915</v>
      </c>
      <c r="O61" s="15">
        <v>19925972</v>
      </c>
      <c r="P61" s="18" t="s">
        <v>66</v>
      </c>
      <c r="Q61" s="18">
        <v>4</v>
      </c>
      <c r="R61" s="18">
        <v>0.316</v>
      </c>
      <c r="S61" s="15">
        <v>45.137999999999998</v>
      </c>
      <c r="T61" s="16">
        <v>45824</v>
      </c>
      <c r="U61" s="19">
        <v>45878</v>
      </c>
      <c r="V61" s="16">
        <v>45824</v>
      </c>
      <c r="W61" s="16">
        <v>45826</v>
      </c>
      <c r="X61" s="57">
        <f t="shared" si="4"/>
        <v>45825</v>
      </c>
      <c r="Y61" s="63">
        <v>45831</v>
      </c>
      <c r="Z61" s="67">
        <v>45859</v>
      </c>
      <c r="AA61" s="71">
        <f t="shared" si="5"/>
        <v>45866</v>
      </c>
      <c r="AB61" s="20">
        <f t="shared" si="6"/>
        <v>-12</v>
      </c>
      <c r="AC61" s="20" t="s">
        <v>50</v>
      </c>
      <c r="AD61" s="21" t="s">
        <v>51</v>
      </c>
      <c r="AE61" s="21"/>
      <c r="AF61" s="22" t="s">
        <v>52</v>
      </c>
      <c r="AG61" s="23" t="s">
        <v>53</v>
      </c>
      <c r="AN61" s="24"/>
    </row>
    <row r="62" spans="1:42" ht="12.75">
      <c r="A62" s="15">
        <v>3254120</v>
      </c>
      <c r="B62" s="15" t="s">
        <v>37</v>
      </c>
      <c r="C62" s="15" t="s">
        <v>38</v>
      </c>
      <c r="D62" s="15" t="s">
        <v>72</v>
      </c>
      <c r="E62" s="15" t="s">
        <v>72</v>
      </c>
      <c r="F62" s="15" t="s">
        <v>41</v>
      </c>
      <c r="G62" s="39" t="s">
        <v>75</v>
      </c>
      <c r="H62" s="39" t="s">
        <v>76</v>
      </c>
      <c r="I62" s="39" t="s">
        <v>77</v>
      </c>
      <c r="J62" s="39" t="s">
        <v>78</v>
      </c>
      <c r="K62" s="15" t="s">
        <v>60</v>
      </c>
      <c r="L62" s="16" t="s">
        <v>65</v>
      </c>
      <c r="M62" s="15" t="s">
        <v>48</v>
      </c>
      <c r="N62" s="17">
        <v>454776032834</v>
      </c>
      <c r="O62" s="15">
        <v>19926262</v>
      </c>
      <c r="P62" s="18" t="s">
        <v>69</v>
      </c>
      <c r="Q62" s="18">
        <v>1</v>
      </c>
      <c r="R62" s="18">
        <v>7.9000000000000001E-2</v>
      </c>
      <c r="S62" s="15">
        <v>7.7709999999999999</v>
      </c>
      <c r="T62" s="16">
        <v>45824</v>
      </c>
      <c r="U62" s="19">
        <v>45878</v>
      </c>
      <c r="V62" s="16">
        <v>45824</v>
      </c>
      <c r="W62" s="16">
        <v>45826</v>
      </c>
      <c r="X62" s="57">
        <f t="shared" si="4"/>
        <v>45825</v>
      </c>
      <c r="Y62" s="63">
        <v>45831</v>
      </c>
      <c r="Z62" s="67">
        <v>45859</v>
      </c>
      <c r="AA62" s="71">
        <f t="shared" si="5"/>
        <v>45866</v>
      </c>
      <c r="AB62" s="20">
        <f t="shared" si="6"/>
        <v>-12</v>
      </c>
      <c r="AC62" s="20" t="s">
        <v>50</v>
      </c>
      <c r="AD62" s="21" t="s">
        <v>51</v>
      </c>
      <c r="AE62" s="21"/>
      <c r="AF62" s="22" t="s">
        <v>52</v>
      </c>
      <c r="AG62" s="23" t="s">
        <v>53</v>
      </c>
      <c r="AN62" s="24"/>
    </row>
    <row r="63" spans="1:42" ht="12.75">
      <c r="A63" s="15">
        <v>3254120</v>
      </c>
      <c r="B63" s="15" t="s">
        <v>37</v>
      </c>
      <c r="C63" s="15" t="s">
        <v>38</v>
      </c>
      <c r="D63" s="15" t="s">
        <v>72</v>
      </c>
      <c r="E63" s="15" t="s">
        <v>72</v>
      </c>
      <c r="F63" s="15" t="s">
        <v>41</v>
      </c>
      <c r="G63" s="39" t="s">
        <v>75</v>
      </c>
      <c r="H63" s="39" t="s">
        <v>76</v>
      </c>
      <c r="I63" s="39" t="s">
        <v>77</v>
      </c>
      <c r="J63" s="39" t="s">
        <v>78</v>
      </c>
      <c r="K63" s="15" t="s">
        <v>60</v>
      </c>
      <c r="L63" s="16" t="s">
        <v>82</v>
      </c>
      <c r="M63" s="15" t="s">
        <v>48</v>
      </c>
      <c r="N63" s="17">
        <v>454698451345</v>
      </c>
      <c r="O63" s="15">
        <v>19892444</v>
      </c>
      <c r="P63" s="18" t="s">
        <v>83</v>
      </c>
      <c r="Q63" s="18">
        <v>1</v>
      </c>
      <c r="R63" s="18">
        <v>3.9E-2</v>
      </c>
      <c r="S63" s="15">
        <v>3.5409999999999999</v>
      </c>
      <c r="T63" s="16">
        <v>45824</v>
      </c>
      <c r="U63" s="19">
        <v>45878</v>
      </c>
      <c r="V63" s="16">
        <v>45824</v>
      </c>
      <c r="W63" s="16">
        <v>45826</v>
      </c>
      <c r="X63" s="57">
        <f t="shared" si="4"/>
        <v>45825</v>
      </c>
      <c r="Y63" s="63">
        <v>45831</v>
      </c>
      <c r="Z63" s="67">
        <v>45859</v>
      </c>
      <c r="AA63" s="71">
        <f t="shared" si="5"/>
        <v>45866</v>
      </c>
      <c r="AB63" s="20">
        <f t="shared" si="6"/>
        <v>-12</v>
      </c>
      <c r="AC63" s="20" t="s">
        <v>50</v>
      </c>
      <c r="AD63" s="21" t="s">
        <v>51</v>
      </c>
      <c r="AE63" s="21"/>
      <c r="AF63" s="22" t="s">
        <v>52</v>
      </c>
      <c r="AG63" s="23" t="s">
        <v>53</v>
      </c>
      <c r="AN63" s="24"/>
    </row>
    <row r="64" spans="1:42" ht="12.75">
      <c r="A64" s="15">
        <v>3254120</v>
      </c>
      <c r="B64" s="15" t="s">
        <v>37</v>
      </c>
      <c r="C64" s="15" t="s">
        <v>38</v>
      </c>
      <c r="D64" s="15" t="s">
        <v>72</v>
      </c>
      <c r="E64" s="15" t="s">
        <v>72</v>
      </c>
      <c r="F64" s="15" t="s">
        <v>41</v>
      </c>
      <c r="G64" s="39" t="s">
        <v>75</v>
      </c>
      <c r="H64" s="39" t="s">
        <v>76</v>
      </c>
      <c r="I64" s="39" t="s">
        <v>77</v>
      </c>
      <c r="J64" s="39" t="s">
        <v>78</v>
      </c>
      <c r="K64" s="15" t="s">
        <v>60</v>
      </c>
      <c r="L64" s="16" t="s">
        <v>82</v>
      </c>
      <c r="M64" s="15" t="s">
        <v>48</v>
      </c>
      <c r="N64" s="17">
        <v>454698628078</v>
      </c>
      <c r="O64" s="15">
        <v>19892445</v>
      </c>
      <c r="P64" s="18" t="s">
        <v>83</v>
      </c>
      <c r="Q64" s="18">
        <v>1</v>
      </c>
      <c r="R64" s="18">
        <v>3.9E-2</v>
      </c>
      <c r="S64" s="15">
        <v>3.5409999999999999</v>
      </c>
      <c r="T64" s="16">
        <v>45824</v>
      </c>
      <c r="U64" s="19">
        <v>45878</v>
      </c>
      <c r="V64" s="16">
        <v>45824</v>
      </c>
      <c r="W64" s="16">
        <v>45826</v>
      </c>
      <c r="X64" s="57">
        <f t="shared" si="4"/>
        <v>45825</v>
      </c>
      <c r="Y64" s="63">
        <v>45831</v>
      </c>
      <c r="Z64" s="67">
        <v>45859</v>
      </c>
      <c r="AA64" s="71">
        <f t="shared" si="5"/>
        <v>45866</v>
      </c>
      <c r="AB64" s="20">
        <f t="shared" si="6"/>
        <v>-12</v>
      </c>
      <c r="AC64" s="20" t="s">
        <v>50</v>
      </c>
      <c r="AD64" s="21" t="s">
        <v>51</v>
      </c>
      <c r="AE64" s="21"/>
      <c r="AF64" s="22" t="s">
        <v>52</v>
      </c>
      <c r="AG64" s="23" t="s">
        <v>53</v>
      </c>
      <c r="AN64" s="24"/>
    </row>
    <row r="65" spans="1:42" ht="12.75">
      <c r="A65" s="29" t="s">
        <v>84</v>
      </c>
      <c r="B65" s="29" t="s">
        <v>84</v>
      </c>
      <c r="C65" s="29"/>
      <c r="D65" s="29"/>
      <c r="E65" s="29"/>
      <c r="F65" s="29"/>
      <c r="G65" s="30"/>
      <c r="H65" s="31"/>
      <c r="I65" s="29"/>
      <c r="J65" s="29"/>
      <c r="K65" s="29"/>
      <c r="L65" s="31"/>
      <c r="M65" s="29"/>
      <c r="N65" s="32"/>
      <c r="O65" s="29"/>
      <c r="P65" s="33"/>
      <c r="Q65" s="33">
        <f t="shared" ref="Q65:S65" si="7">SUM(Q31:Q64)</f>
        <v>195</v>
      </c>
      <c r="R65" s="33">
        <f t="shared" si="7"/>
        <v>14.717000000000002</v>
      </c>
      <c r="S65" s="33">
        <f t="shared" si="7"/>
        <v>1593.1699999999998</v>
      </c>
      <c r="T65" s="31"/>
      <c r="U65" s="31"/>
      <c r="V65" s="31"/>
      <c r="W65" s="35"/>
      <c r="X65" s="60"/>
      <c r="Y65" s="64"/>
      <c r="Z65" s="68"/>
      <c r="AA65" s="72"/>
      <c r="AB65" s="36"/>
      <c r="AC65" s="36"/>
      <c r="AD65" s="37"/>
      <c r="AE65" s="37"/>
      <c r="AF65" s="38"/>
      <c r="AG65" s="37"/>
      <c r="AH65" s="29"/>
      <c r="AI65" s="29"/>
      <c r="AJ65" s="29"/>
      <c r="AK65" s="29"/>
      <c r="AL65" s="29"/>
      <c r="AM65" s="29"/>
      <c r="AN65" s="36"/>
      <c r="AO65" s="29"/>
      <c r="AP65" s="29"/>
    </row>
    <row r="66" spans="1:42" ht="12.75">
      <c r="A66" s="15">
        <v>3254506</v>
      </c>
      <c r="B66" s="15" t="s">
        <v>37</v>
      </c>
      <c r="C66" s="15" t="s">
        <v>38</v>
      </c>
      <c r="D66" s="15" t="s">
        <v>85</v>
      </c>
      <c r="E66" s="15" t="s">
        <v>86</v>
      </c>
      <c r="F66" s="15" t="s">
        <v>41</v>
      </c>
      <c r="G66" s="15" t="s">
        <v>87</v>
      </c>
      <c r="H66" s="15" t="s">
        <v>76</v>
      </c>
      <c r="I66" s="15" t="s">
        <v>77</v>
      </c>
      <c r="J66" s="15" t="s">
        <v>88</v>
      </c>
      <c r="K66" s="15" t="s">
        <v>89</v>
      </c>
      <c r="L66" s="16" t="s">
        <v>90</v>
      </c>
      <c r="M66" s="15" t="s">
        <v>48</v>
      </c>
      <c r="N66" s="17">
        <v>452711781089</v>
      </c>
      <c r="O66" s="15">
        <v>19878118</v>
      </c>
      <c r="P66" s="18" t="s">
        <v>91</v>
      </c>
      <c r="Q66" s="18">
        <v>3</v>
      </c>
      <c r="R66" s="18">
        <v>0.13200000000000001</v>
      </c>
      <c r="S66" s="15">
        <v>10.71</v>
      </c>
      <c r="T66" s="16">
        <v>45824</v>
      </c>
      <c r="U66" s="19">
        <v>45883</v>
      </c>
      <c r="V66" s="16">
        <v>45824</v>
      </c>
      <c r="W66" s="16">
        <v>45826</v>
      </c>
      <c r="X66" s="57">
        <f t="shared" ref="X66:X266" si="8">W66-1</f>
        <v>45825</v>
      </c>
      <c r="Y66" s="63">
        <v>45832</v>
      </c>
      <c r="Z66" s="67">
        <v>45861</v>
      </c>
      <c r="AA66" s="71">
        <f t="shared" ref="AA66:AA266" si="9">Z66+13</f>
        <v>45874</v>
      </c>
      <c r="AB66" s="20">
        <f t="shared" ref="AB66:AB266" si="10">AA66-U66</f>
        <v>-9</v>
      </c>
      <c r="AC66" s="20" t="s">
        <v>50</v>
      </c>
      <c r="AD66" s="21" t="s">
        <v>51</v>
      </c>
      <c r="AE66" s="21"/>
      <c r="AF66" s="22" t="s">
        <v>52</v>
      </c>
      <c r="AG66" s="23" t="s">
        <v>53</v>
      </c>
      <c r="AN66" s="24"/>
    </row>
    <row r="67" spans="1:42" ht="12.75">
      <c r="A67" s="15">
        <v>3254506</v>
      </c>
      <c r="B67" s="15" t="s">
        <v>37</v>
      </c>
      <c r="C67" s="15" t="s">
        <v>38</v>
      </c>
      <c r="D67" s="15" t="s">
        <v>85</v>
      </c>
      <c r="E67" s="15" t="s">
        <v>86</v>
      </c>
      <c r="F67" s="15" t="s">
        <v>41</v>
      </c>
      <c r="G67" s="15" t="s">
        <v>87</v>
      </c>
      <c r="H67" s="15" t="s">
        <v>76</v>
      </c>
      <c r="I67" s="15" t="s">
        <v>77</v>
      </c>
      <c r="J67" s="15" t="s">
        <v>88</v>
      </c>
      <c r="K67" s="15" t="s">
        <v>89</v>
      </c>
      <c r="L67" s="16" t="s">
        <v>90</v>
      </c>
      <c r="M67" s="15" t="s">
        <v>48</v>
      </c>
      <c r="N67" s="17">
        <v>452713380372</v>
      </c>
      <c r="O67" s="15">
        <v>19878511</v>
      </c>
      <c r="P67" s="18" t="s">
        <v>91</v>
      </c>
      <c r="Q67" s="18">
        <v>4</v>
      </c>
      <c r="R67" s="18">
        <v>0.17599999999999999</v>
      </c>
      <c r="S67" s="15">
        <v>17.283999999999999</v>
      </c>
      <c r="T67" s="16">
        <v>45824</v>
      </c>
      <c r="U67" s="19">
        <v>45883</v>
      </c>
      <c r="V67" s="16">
        <v>45824</v>
      </c>
      <c r="W67" s="16">
        <v>45826</v>
      </c>
      <c r="X67" s="57">
        <f t="shared" si="8"/>
        <v>45825</v>
      </c>
      <c r="Y67" s="63">
        <v>45832</v>
      </c>
      <c r="Z67" s="67">
        <v>45861</v>
      </c>
      <c r="AA67" s="71">
        <f t="shared" si="9"/>
        <v>45874</v>
      </c>
      <c r="AB67" s="20">
        <f t="shared" si="10"/>
        <v>-9</v>
      </c>
      <c r="AC67" s="20" t="s">
        <v>50</v>
      </c>
      <c r="AD67" s="21" t="s">
        <v>51</v>
      </c>
      <c r="AE67" s="21"/>
      <c r="AF67" s="22" t="s">
        <v>52</v>
      </c>
      <c r="AG67" s="23" t="s">
        <v>53</v>
      </c>
      <c r="AN67" s="24"/>
    </row>
    <row r="68" spans="1:42" ht="12.75">
      <c r="A68" s="15">
        <v>3254506</v>
      </c>
      <c r="B68" s="15" t="s">
        <v>37</v>
      </c>
      <c r="C68" s="15" t="s">
        <v>38</v>
      </c>
      <c r="D68" s="15" t="s">
        <v>85</v>
      </c>
      <c r="E68" s="15" t="s">
        <v>86</v>
      </c>
      <c r="F68" s="15" t="s">
        <v>41</v>
      </c>
      <c r="G68" s="15" t="s">
        <v>87</v>
      </c>
      <c r="H68" s="15" t="s">
        <v>76</v>
      </c>
      <c r="I68" s="15" t="s">
        <v>77</v>
      </c>
      <c r="J68" s="15" t="s">
        <v>88</v>
      </c>
      <c r="K68" s="15" t="s">
        <v>89</v>
      </c>
      <c r="L68" s="16" t="s">
        <v>90</v>
      </c>
      <c r="M68" s="15" t="s">
        <v>48</v>
      </c>
      <c r="N68" s="17">
        <v>452714007820</v>
      </c>
      <c r="O68" s="15">
        <v>19843725</v>
      </c>
      <c r="P68" s="18" t="s">
        <v>92</v>
      </c>
      <c r="Q68" s="18">
        <v>5</v>
      </c>
      <c r="R68" s="18">
        <v>0.22</v>
      </c>
      <c r="S68" s="15">
        <v>21.39</v>
      </c>
      <c r="T68" s="16">
        <v>45824</v>
      </c>
      <c r="U68" s="19">
        <v>45883</v>
      </c>
      <c r="V68" s="16">
        <v>45824</v>
      </c>
      <c r="W68" s="16">
        <v>45826</v>
      </c>
      <c r="X68" s="57">
        <f t="shared" si="8"/>
        <v>45825</v>
      </c>
      <c r="Y68" s="63">
        <v>45832</v>
      </c>
      <c r="Z68" s="67">
        <v>45861</v>
      </c>
      <c r="AA68" s="71">
        <f t="shared" si="9"/>
        <v>45874</v>
      </c>
      <c r="AB68" s="20">
        <f t="shared" si="10"/>
        <v>-9</v>
      </c>
      <c r="AC68" s="20" t="s">
        <v>50</v>
      </c>
      <c r="AD68" s="21" t="s">
        <v>51</v>
      </c>
      <c r="AE68" s="21"/>
      <c r="AF68" s="22" t="s">
        <v>52</v>
      </c>
      <c r="AG68" s="23" t="s">
        <v>53</v>
      </c>
      <c r="AN68" s="24"/>
    </row>
    <row r="69" spans="1:42" ht="12.75">
      <c r="A69" s="15">
        <v>3254506</v>
      </c>
      <c r="B69" s="15" t="s">
        <v>37</v>
      </c>
      <c r="C69" s="15" t="s">
        <v>38</v>
      </c>
      <c r="D69" s="15" t="s">
        <v>85</v>
      </c>
      <c r="E69" s="15" t="s">
        <v>86</v>
      </c>
      <c r="F69" s="15" t="s">
        <v>41</v>
      </c>
      <c r="G69" s="15" t="s">
        <v>87</v>
      </c>
      <c r="H69" s="15" t="s">
        <v>76</v>
      </c>
      <c r="I69" s="15" t="s">
        <v>77</v>
      </c>
      <c r="J69" s="15" t="s">
        <v>88</v>
      </c>
      <c r="K69" s="15" t="s">
        <v>89</v>
      </c>
      <c r="L69" s="16" t="s">
        <v>90</v>
      </c>
      <c r="M69" s="15" t="s">
        <v>48</v>
      </c>
      <c r="N69" s="17">
        <v>452714470923</v>
      </c>
      <c r="O69" s="15">
        <v>19843810</v>
      </c>
      <c r="P69" s="18" t="s">
        <v>92</v>
      </c>
      <c r="Q69" s="18">
        <v>11</v>
      </c>
      <c r="R69" s="18">
        <v>0.48299999999999998</v>
      </c>
      <c r="S69" s="15">
        <v>56.274999999999999</v>
      </c>
      <c r="T69" s="16">
        <v>45824</v>
      </c>
      <c r="U69" s="19">
        <v>45883</v>
      </c>
      <c r="V69" s="16">
        <v>45824</v>
      </c>
      <c r="W69" s="16">
        <v>45826</v>
      </c>
      <c r="X69" s="57">
        <f t="shared" si="8"/>
        <v>45825</v>
      </c>
      <c r="Y69" s="63">
        <v>45832</v>
      </c>
      <c r="Z69" s="67">
        <v>45861</v>
      </c>
      <c r="AA69" s="71">
        <f t="shared" si="9"/>
        <v>45874</v>
      </c>
      <c r="AB69" s="20">
        <f t="shared" si="10"/>
        <v>-9</v>
      </c>
      <c r="AC69" s="20" t="s">
        <v>50</v>
      </c>
      <c r="AD69" s="21" t="s">
        <v>51</v>
      </c>
      <c r="AE69" s="21"/>
      <c r="AF69" s="22" t="s">
        <v>52</v>
      </c>
      <c r="AG69" s="23" t="s">
        <v>53</v>
      </c>
      <c r="AN69" s="24"/>
    </row>
    <row r="70" spans="1:42" ht="12.75">
      <c r="A70" s="15">
        <v>3254506</v>
      </c>
      <c r="B70" s="15" t="s">
        <v>37</v>
      </c>
      <c r="C70" s="15" t="s">
        <v>38</v>
      </c>
      <c r="D70" s="15" t="s">
        <v>85</v>
      </c>
      <c r="E70" s="15" t="s">
        <v>86</v>
      </c>
      <c r="F70" s="15" t="s">
        <v>41</v>
      </c>
      <c r="G70" s="15" t="s">
        <v>87</v>
      </c>
      <c r="H70" s="15" t="s">
        <v>76</v>
      </c>
      <c r="I70" s="15" t="s">
        <v>77</v>
      </c>
      <c r="J70" s="15" t="s">
        <v>88</v>
      </c>
      <c r="K70" s="15" t="s">
        <v>89</v>
      </c>
      <c r="L70" s="16" t="s">
        <v>90</v>
      </c>
      <c r="M70" s="15" t="s">
        <v>48</v>
      </c>
      <c r="N70" s="17">
        <v>452715829365</v>
      </c>
      <c r="O70" s="15">
        <v>19843733</v>
      </c>
      <c r="P70" s="18" t="s">
        <v>92</v>
      </c>
      <c r="Q70" s="18">
        <v>3</v>
      </c>
      <c r="R70" s="18">
        <v>0.13200000000000001</v>
      </c>
      <c r="S70" s="15">
        <v>12.43</v>
      </c>
      <c r="T70" s="16">
        <v>45824</v>
      </c>
      <c r="U70" s="19">
        <v>45883</v>
      </c>
      <c r="V70" s="16">
        <v>45824</v>
      </c>
      <c r="W70" s="16">
        <v>45826</v>
      </c>
      <c r="X70" s="57">
        <f t="shared" si="8"/>
        <v>45825</v>
      </c>
      <c r="Y70" s="63">
        <v>45832</v>
      </c>
      <c r="Z70" s="67">
        <v>45861</v>
      </c>
      <c r="AA70" s="71">
        <f t="shared" si="9"/>
        <v>45874</v>
      </c>
      <c r="AB70" s="20">
        <f t="shared" si="10"/>
        <v>-9</v>
      </c>
      <c r="AC70" s="20" t="s">
        <v>50</v>
      </c>
      <c r="AD70" s="21" t="s">
        <v>51</v>
      </c>
      <c r="AE70" s="21"/>
      <c r="AF70" s="22" t="s">
        <v>52</v>
      </c>
      <c r="AG70" s="23" t="s">
        <v>53</v>
      </c>
      <c r="AN70" s="24"/>
    </row>
    <row r="71" spans="1:42" ht="12.75">
      <c r="A71" s="15">
        <v>3254506</v>
      </c>
      <c r="B71" s="15" t="s">
        <v>37</v>
      </c>
      <c r="C71" s="15" t="s">
        <v>38</v>
      </c>
      <c r="D71" s="15" t="s">
        <v>85</v>
      </c>
      <c r="E71" s="15" t="s">
        <v>86</v>
      </c>
      <c r="F71" s="15" t="s">
        <v>41</v>
      </c>
      <c r="G71" s="15" t="s">
        <v>87</v>
      </c>
      <c r="H71" s="15" t="s">
        <v>76</v>
      </c>
      <c r="I71" s="15" t="s">
        <v>77</v>
      </c>
      <c r="J71" s="15" t="s">
        <v>88</v>
      </c>
      <c r="K71" s="15" t="s">
        <v>89</v>
      </c>
      <c r="L71" s="16" t="s">
        <v>90</v>
      </c>
      <c r="M71" s="15" t="s">
        <v>48</v>
      </c>
      <c r="N71" s="17">
        <v>452716558693</v>
      </c>
      <c r="O71" s="15">
        <v>19843826</v>
      </c>
      <c r="P71" s="18" t="s">
        <v>92</v>
      </c>
      <c r="Q71" s="18">
        <v>9</v>
      </c>
      <c r="R71" s="18">
        <v>0.39500000000000002</v>
      </c>
      <c r="S71" s="15">
        <v>44.268999999999998</v>
      </c>
      <c r="T71" s="16">
        <v>45824</v>
      </c>
      <c r="U71" s="19">
        <v>45883</v>
      </c>
      <c r="V71" s="16">
        <v>45824</v>
      </c>
      <c r="W71" s="16">
        <v>45826</v>
      </c>
      <c r="X71" s="57">
        <f t="shared" si="8"/>
        <v>45825</v>
      </c>
      <c r="Y71" s="63">
        <v>45832</v>
      </c>
      <c r="Z71" s="67">
        <v>45861</v>
      </c>
      <c r="AA71" s="71">
        <f t="shared" si="9"/>
        <v>45874</v>
      </c>
      <c r="AB71" s="20">
        <f t="shared" si="10"/>
        <v>-9</v>
      </c>
      <c r="AC71" s="20" t="s">
        <v>50</v>
      </c>
      <c r="AD71" s="21" t="s">
        <v>51</v>
      </c>
      <c r="AE71" s="21"/>
      <c r="AF71" s="22" t="s">
        <v>52</v>
      </c>
      <c r="AG71" s="23" t="s">
        <v>53</v>
      </c>
      <c r="AN71" s="24"/>
    </row>
    <row r="72" spans="1:42" ht="12.75">
      <c r="A72" s="15">
        <v>3254506</v>
      </c>
      <c r="B72" s="15" t="s">
        <v>37</v>
      </c>
      <c r="C72" s="15" t="s">
        <v>38</v>
      </c>
      <c r="D72" s="15" t="s">
        <v>85</v>
      </c>
      <c r="E72" s="15" t="s">
        <v>86</v>
      </c>
      <c r="F72" s="15" t="s">
        <v>41</v>
      </c>
      <c r="G72" s="15" t="s">
        <v>87</v>
      </c>
      <c r="H72" s="15" t="s">
        <v>76</v>
      </c>
      <c r="I72" s="15" t="s">
        <v>77</v>
      </c>
      <c r="J72" s="15" t="s">
        <v>88</v>
      </c>
      <c r="K72" s="15" t="s">
        <v>89</v>
      </c>
      <c r="L72" s="16" t="s">
        <v>90</v>
      </c>
      <c r="M72" s="15" t="s">
        <v>48</v>
      </c>
      <c r="N72" s="17">
        <v>452716917986</v>
      </c>
      <c r="O72" s="15">
        <v>19843754</v>
      </c>
      <c r="P72" s="18" t="s">
        <v>93</v>
      </c>
      <c r="Q72" s="18">
        <v>4</v>
      </c>
      <c r="R72" s="18">
        <v>0.17599999999999999</v>
      </c>
      <c r="S72" s="15">
        <v>17.167999999999999</v>
      </c>
      <c r="T72" s="16">
        <v>45824</v>
      </c>
      <c r="U72" s="19">
        <v>45883</v>
      </c>
      <c r="V72" s="16">
        <v>45824</v>
      </c>
      <c r="W72" s="16">
        <v>45826</v>
      </c>
      <c r="X72" s="57">
        <f t="shared" si="8"/>
        <v>45825</v>
      </c>
      <c r="Y72" s="63">
        <v>45832</v>
      </c>
      <c r="Z72" s="67">
        <v>45861</v>
      </c>
      <c r="AA72" s="71">
        <f t="shared" si="9"/>
        <v>45874</v>
      </c>
      <c r="AB72" s="20">
        <f t="shared" si="10"/>
        <v>-9</v>
      </c>
      <c r="AC72" s="20" t="s">
        <v>50</v>
      </c>
      <c r="AD72" s="21" t="s">
        <v>51</v>
      </c>
      <c r="AE72" s="21"/>
      <c r="AF72" s="22" t="s">
        <v>52</v>
      </c>
      <c r="AG72" s="23" t="s">
        <v>53</v>
      </c>
      <c r="AN72" s="24"/>
    </row>
    <row r="73" spans="1:42" ht="12.75">
      <c r="A73" s="15">
        <v>3254506</v>
      </c>
      <c r="B73" s="15" t="s">
        <v>37</v>
      </c>
      <c r="C73" s="15" t="s">
        <v>38</v>
      </c>
      <c r="D73" s="15" t="s">
        <v>85</v>
      </c>
      <c r="E73" s="15" t="s">
        <v>86</v>
      </c>
      <c r="F73" s="15" t="s">
        <v>41</v>
      </c>
      <c r="G73" s="15" t="s">
        <v>87</v>
      </c>
      <c r="H73" s="15" t="s">
        <v>76</v>
      </c>
      <c r="I73" s="15" t="s">
        <v>77</v>
      </c>
      <c r="J73" s="15" t="s">
        <v>88</v>
      </c>
      <c r="K73" s="15" t="s">
        <v>89</v>
      </c>
      <c r="L73" s="16" t="s">
        <v>90</v>
      </c>
      <c r="M73" s="15" t="s">
        <v>48</v>
      </c>
      <c r="N73" s="17">
        <v>452717677611</v>
      </c>
      <c r="O73" s="15">
        <v>19843863</v>
      </c>
      <c r="P73" s="18" t="s">
        <v>93</v>
      </c>
      <c r="Q73" s="18">
        <v>13</v>
      </c>
      <c r="R73" s="18">
        <v>0.57099999999999995</v>
      </c>
      <c r="S73" s="15">
        <v>73.587000000000003</v>
      </c>
      <c r="T73" s="16">
        <v>45824</v>
      </c>
      <c r="U73" s="19">
        <v>45883</v>
      </c>
      <c r="V73" s="16">
        <v>45824</v>
      </c>
      <c r="W73" s="16">
        <v>45826</v>
      </c>
      <c r="X73" s="57">
        <f t="shared" si="8"/>
        <v>45825</v>
      </c>
      <c r="Y73" s="63">
        <v>45832</v>
      </c>
      <c r="Z73" s="67">
        <v>45861</v>
      </c>
      <c r="AA73" s="71">
        <f t="shared" si="9"/>
        <v>45874</v>
      </c>
      <c r="AB73" s="20">
        <f t="shared" si="10"/>
        <v>-9</v>
      </c>
      <c r="AC73" s="20" t="s">
        <v>50</v>
      </c>
      <c r="AD73" s="21" t="s">
        <v>51</v>
      </c>
      <c r="AE73" s="21"/>
      <c r="AF73" s="22" t="s">
        <v>52</v>
      </c>
      <c r="AG73" s="23" t="s">
        <v>53</v>
      </c>
      <c r="AN73" s="24"/>
    </row>
    <row r="74" spans="1:42" ht="12.75">
      <c r="A74" s="15">
        <v>3254506</v>
      </c>
      <c r="B74" s="15" t="s">
        <v>37</v>
      </c>
      <c r="C74" s="15" t="s">
        <v>38</v>
      </c>
      <c r="D74" s="15" t="s">
        <v>85</v>
      </c>
      <c r="E74" s="15" t="s">
        <v>86</v>
      </c>
      <c r="F74" s="15" t="s">
        <v>41</v>
      </c>
      <c r="G74" s="15" t="s">
        <v>87</v>
      </c>
      <c r="H74" s="15" t="s">
        <v>76</v>
      </c>
      <c r="I74" s="15" t="s">
        <v>77</v>
      </c>
      <c r="J74" s="15" t="s">
        <v>88</v>
      </c>
      <c r="K74" s="15" t="s">
        <v>89</v>
      </c>
      <c r="L74" s="16" t="s">
        <v>90</v>
      </c>
      <c r="M74" s="15" t="s">
        <v>48</v>
      </c>
      <c r="N74" s="17">
        <v>452718209567</v>
      </c>
      <c r="O74" s="15">
        <v>19843867</v>
      </c>
      <c r="P74" s="18" t="s">
        <v>93</v>
      </c>
      <c r="Q74" s="18">
        <v>12</v>
      </c>
      <c r="R74" s="18">
        <v>0.52700000000000002</v>
      </c>
      <c r="S74" s="15">
        <v>70.328000000000003</v>
      </c>
      <c r="T74" s="16">
        <v>45824</v>
      </c>
      <c r="U74" s="19">
        <v>45883</v>
      </c>
      <c r="V74" s="16">
        <v>45824</v>
      </c>
      <c r="W74" s="16">
        <v>45826</v>
      </c>
      <c r="X74" s="57">
        <f t="shared" si="8"/>
        <v>45825</v>
      </c>
      <c r="Y74" s="63">
        <v>45832</v>
      </c>
      <c r="Z74" s="67">
        <v>45861</v>
      </c>
      <c r="AA74" s="71">
        <f t="shared" si="9"/>
        <v>45874</v>
      </c>
      <c r="AB74" s="20">
        <f t="shared" si="10"/>
        <v>-9</v>
      </c>
      <c r="AC74" s="20" t="s">
        <v>50</v>
      </c>
      <c r="AD74" s="21" t="s">
        <v>51</v>
      </c>
      <c r="AE74" s="21"/>
      <c r="AF74" s="22" t="s">
        <v>52</v>
      </c>
      <c r="AG74" s="23" t="s">
        <v>53</v>
      </c>
      <c r="AN74" s="24"/>
    </row>
    <row r="75" spans="1:42" ht="12.75">
      <c r="A75" s="15">
        <v>3254506</v>
      </c>
      <c r="B75" s="15" t="s">
        <v>37</v>
      </c>
      <c r="C75" s="15" t="s">
        <v>38</v>
      </c>
      <c r="D75" s="15" t="s">
        <v>85</v>
      </c>
      <c r="E75" s="15" t="s">
        <v>86</v>
      </c>
      <c r="F75" s="15" t="s">
        <v>41</v>
      </c>
      <c r="G75" s="15" t="s">
        <v>87</v>
      </c>
      <c r="H75" s="15" t="s">
        <v>76</v>
      </c>
      <c r="I75" s="15" t="s">
        <v>77</v>
      </c>
      <c r="J75" s="15" t="s">
        <v>88</v>
      </c>
      <c r="K75" s="15" t="s">
        <v>89</v>
      </c>
      <c r="L75" s="16" t="s">
        <v>90</v>
      </c>
      <c r="M75" s="15" t="s">
        <v>48</v>
      </c>
      <c r="N75" s="17">
        <v>452719229489</v>
      </c>
      <c r="O75" s="15">
        <v>19878633</v>
      </c>
      <c r="P75" s="18" t="s">
        <v>94</v>
      </c>
      <c r="Q75" s="18">
        <v>12</v>
      </c>
      <c r="R75" s="18">
        <v>0.93</v>
      </c>
      <c r="S75" s="15">
        <v>80.736000000000004</v>
      </c>
      <c r="T75" s="16">
        <v>45824</v>
      </c>
      <c r="U75" s="19">
        <v>45883</v>
      </c>
      <c r="V75" s="16">
        <v>45824</v>
      </c>
      <c r="W75" s="16">
        <v>45826</v>
      </c>
      <c r="X75" s="57">
        <f t="shared" si="8"/>
        <v>45825</v>
      </c>
      <c r="Y75" s="63">
        <v>45832</v>
      </c>
      <c r="Z75" s="67">
        <v>45861</v>
      </c>
      <c r="AA75" s="71">
        <f t="shared" si="9"/>
        <v>45874</v>
      </c>
      <c r="AB75" s="20">
        <f t="shared" si="10"/>
        <v>-9</v>
      </c>
      <c r="AC75" s="20" t="s">
        <v>50</v>
      </c>
      <c r="AD75" s="21" t="s">
        <v>51</v>
      </c>
      <c r="AE75" s="21"/>
      <c r="AF75" s="22" t="s">
        <v>52</v>
      </c>
      <c r="AG75" s="23" t="s">
        <v>53</v>
      </c>
      <c r="AN75" s="24"/>
    </row>
    <row r="76" spans="1:42" ht="12.75">
      <c r="A76" s="15">
        <v>3254506</v>
      </c>
      <c r="B76" s="15" t="s">
        <v>37</v>
      </c>
      <c r="C76" s="15" t="s">
        <v>38</v>
      </c>
      <c r="D76" s="15" t="s">
        <v>85</v>
      </c>
      <c r="E76" s="15" t="s">
        <v>86</v>
      </c>
      <c r="F76" s="15" t="s">
        <v>41</v>
      </c>
      <c r="G76" s="15" t="s">
        <v>87</v>
      </c>
      <c r="H76" s="15" t="s">
        <v>76</v>
      </c>
      <c r="I76" s="15" t="s">
        <v>77</v>
      </c>
      <c r="J76" s="15" t="s">
        <v>88</v>
      </c>
      <c r="K76" s="15" t="s">
        <v>89</v>
      </c>
      <c r="L76" s="16" t="s">
        <v>90</v>
      </c>
      <c r="M76" s="15" t="s">
        <v>48</v>
      </c>
      <c r="N76" s="17">
        <v>452720877605</v>
      </c>
      <c r="O76" s="15">
        <v>19878628</v>
      </c>
      <c r="P76" s="18" t="s">
        <v>95</v>
      </c>
      <c r="Q76" s="18">
        <v>1</v>
      </c>
      <c r="R76" s="18">
        <v>4.3999999999999997E-2</v>
      </c>
      <c r="S76" s="15">
        <v>3.7570000000000001</v>
      </c>
      <c r="T76" s="16">
        <v>45824</v>
      </c>
      <c r="U76" s="19">
        <v>45883</v>
      </c>
      <c r="V76" s="16">
        <v>45824</v>
      </c>
      <c r="W76" s="16">
        <v>45826</v>
      </c>
      <c r="X76" s="57">
        <f t="shared" si="8"/>
        <v>45825</v>
      </c>
      <c r="Y76" s="63">
        <v>45832</v>
      </c>
      <c r="Z76" s="67">
        <v>45861</v>
      </c>
      <c r="AA76" s="71">
        <f t="shared" si="9"/>
        <v>45874</v>
      </c>
      <c r="AB76" s="20">
        <f t="shared" si="10"/>
        <v>-9</v>
      </c>
      <c r="AC76" s="20" t="s">
        <v>50</v>
      </c>
      <c r="AD76" s="21" t="s">
        <v>51</v>
      </c>
      <c r="AE76" s="21"/>
      <c r="AF76" s="22" t="s">
        <v>52</v>
      </c>
      <c r="AG76" s="23" t="s">
        <v>53</v>
      </c>
      <c r="AN76" s="24"/>
    </row>
    <row r="77" spans="1:42" ht="12.75">
      <c r="A77" s="15">
        <v>3254506</v>
      </c>
      <c r="B77" s="15" t="s">
        <v>37</v>
      </c>
      <c r="C77" s="15" t="s">
        <v>38</v>
      </c>
      <c r="D77" s="15" t="s">
        <v>85</v>
      </c>
      <c r="E77" s="15" t="s">
        <v>86</v>
      </c>
      <c r="F77" s="15" t="s">
        <v>41</v>
      </c>
      <c r="G77" s="15" t="s">
        <v>87</v>
      </c>
      <c r="H77" s="15" t="s">
        <v>76</v>
      </c>
      <c r="I77" s="15" t="s">
        <v>77</v>
      </c>
      <c r="J77" s="15" t="s">
        <v>88</v>
      </c>
      <c r="K77" s="15" t="s">
        <v>89</v>
      </c>
      <c r="L77" s="16" t="s">
        <v>90</v>
      </c>
      <c r="M77" s="15" t="s">
        <v>48</v>
      </c>
      <c r="N77" s="17">
        <v>452721772655</v>
      </c>
      <c r="O77" s="15">
        <v>19911482</v>
      </c>
      <c r="P77" s="18" t="s">
        <v>96</v>
      </c>
      <c r="Q77" s="18">
        <v>3</v>
      </c>
      <c r="R77" s="18">
        <v>0.24199999999999999</v>
      </c>
      <c r="S77" s="15">
        <v>21.852</v>
      </c>
      <c r="T77" s="16">
        <v>45824</v>
      </c>
      <c r="U77" s="19">
        <v>45883</v>
      </c>
      <c r="V77" s="16">
        <v>45824</v>
      </c>
      <c r="W77" s="16">
        <v>45826</v>
      </c>
      <c r="X77" s="57">
        <f t="shared" si="8"/>
        <v>45825</v>
      </c>
      <c r="Y77" s="63">
        <v>45832</v>
      </c>
      <c r="Z77" s="67">
        <v>45861</v>
      </c>
      <c r="AA77" s="71">
        <f t="shared" si="9"/>
        <v>45874</v>
      </c>
      <c r="AB77" s="20">
        <f t="shared" si="10"/>
        <v>-9</v>
      </c>
      <c r="AC77" s="20" t="s">
        <v>50</v>
      </c>
      <c r="AD77" s="21" t="s">
        <v>51</v>
      </c>
      <c r="AE77" s="21"/>
      <c r="AF77" s="22" t="s">
        <v>52</v>
      </c>
      <c r="AG77" s="23" t="s">
        <v>53</v>
      </c>
      <c r="AN77" s="24"/>
    </row>
    <row r="78" spans="1:42" ht="12.75">
      <c r="A78" s="15">
        <v>3254506</v>
      </c>
      <c r="B78" s="15" t="s">
        <v>37</v>
      </c>
      <c r="C78" s="15" t="s">
        <v>38</v>
      </c>
      <c r="D78" s="15" t="s">
        <v>85</v>
      </c>
      <c r="E78" s="15" t="s">
        <v>86</v>
      </c>
      <c r="F78" s="15" t="s">
        <v>41</v>
      </c>
      <c r="G78" s="15" t="s">
        <v>87</v>
      </c>
      <c r="H78" s="15" t="s">
        <v>76</v>
      </c>
      <c r="I78" s="15" t="s">
        <v>77</v>
      </c>
      <c r="J78" s="15" t="s">
        <v>88</v>
      </c>
      <c r="K78" s="15" t="s">
        <v>89</v>
      </c>
      <c r="L78" s="16" t="s">
        <v>90</v>
      </c>
      <c r="M78" s="15" t="s">
        <v>48</v>
      </c>
      <c r="N78" s="17">
        <v>452721779178</v>
      </c>
      <c r="O78" s="15">
        <v>19931837</v>
      </c>
      <c r="P78" s="18" t="s">
        <v>96</v>
      </c>
      <c r="Q78" s="18">
        <v>6</v>
      </c>
      <c r="R78" s="18">
        <v>0.44700000000000001</v>
      </c>
      <c r="S78" s="15">
        <v>52.707999999999998</v>
      </c>
      <c r="T78" s="16">
        <v>45824</v>
      </c>
      <c r="U78" s="19">
        <v>45883</v>
      </c>
      <c r="V78" s="16">
        <v>45824</v>
      </c>
      <c r="W78" s="16">
        <v>45826</v>
      </c>
      <c r="X78" s="57">
        <f t="shared" si="8"/>
        <v>45825</v>
      </c>
      <c r="Y78" s="63">
        <v>45832</v>
      </c>
      <c r="Z78" s="67">
        <v>45861</v>
      </c>
      <c r="AA78" s="71">
        <f t="shared" si="9"/>
        <v>45874</v>
      </c>
      <c r="AB78" s="20">
        <f t="shared" si="10"/>
        <v>-9</v>
      </c>
      <c r="AC78" s="20" t="s">
        <v>50</v>
      </c>
      <c r="AD78" s="21" t="s">
        <v>51</v>
      </c>
      <c r="AE78" s="21"/>
      <c r="AF78" s="22" t="s">
        <v>52</v>
      </c>
      <c r="AG78" s="23" t="s">
        <v>53</v>
      </c>
      <c r="AN78" s="24"/>
    </row>
    <row r="79" spans="1:42" ht="12.75">
      <c r="A79" s="15">
        <v>3254506</v>
      </c>
      <c r="B79" s="15" t="s">
        <v>37</v>
      </c>
      <c r="C79" s="15" t="s">
        <v>38</v>
      </c>
      <c r="D79" s="15" t="s">
        <v>85</v>
      </c>
      <c r="E79" s="15" t="s">
        <v>86</v>
      </c>
      <c r="F79" s="15" t="s">
        <v>41</v>
      </c>
      <c r="G79" s="15" t="s">
        <v>87</v>
      </c>
      <c r="H79" s="15" t="s">
        <v>76</v>
      </c>
      <c r="I79" s="15" t="s">
        <v>77</v>
      </c>
      <c r="J79" s="15" t="s">
        <v>88</v>
      </c>
      <c r="K79" s="15" t="s">
        <v>89</v>
      </c>
      <c r="L79" s="16" t="s">
        <v>90</v>
      </c>
      <c r="M79" s="15" t="s">
        <v>48</v>
      </c>
      <c r="N79" s="17">
        <v>452723321938</v>
      </c>
      <c r="O79" s="15">
        <v>19878927</v>
      </c>
      <c r="P79" s="18" t="s">
        <v>97</v>
      </c>
      <c r="Q79" s="18">
        <v>8</v>
      </c>
      <c r="R79" s="18">
        <v>0.64400000000000002</v>
      </c>
      <c r="S79" s="15">
        <v>65.287000000000006</v>
      </c>
      <c r="T79" s="16">
        <v>45824</v>
      </c>
      <c r="U79" s="19">
        <v>45883</v>
      </c>
      <c r="V79" s="16">
        <v>45824</v>
      </c>
      <c r="W79" s="16">
        <v>45826</v>
      </c>
      <c r="X79" s="57">
        <f t="shared" si="8"/>
        <v>45825</v>
      </c>
      <c r="Y79" s="63">
        <v>45832</v>
      </c>
      <c r="Z79" s="67">
        <v>45861</v>
      </c>
      <c r="AA79" s="71">
        <f t="shared" si="9"/>
        <v>45874</v>
      </c>
      <c r="AB79" s="20">
        <f t="shared" si="10"/>
        <v>-9</v>
      </c>
      <c r="AC79" s="20" t="s">
        <v>50</v>
      </c>
      <c r="AD79" s="21" t="s">
        <v>51</v>
      </c>
      <c r="AE79" s="21"/>
      <c r="AF79" s="22" t="s">
        <v>52</v>
      </c>
      <c r="AG79" s="23" t="s">
        <v>53</v>
      </c>
      <c r="AN79" s="24"/>
    </row>
    <row r="80" spans="1:42" ht="12.75">
      <c r="A80" s="15">
        <v>3254506</v>
      </c>
      <c r="B80" s="15" t="s">
        <v>37</v>
      </c>
      <c r="C80" s="15" t="s">
        <v>38</v>
      </c>
      <c r="D80" s="15" t="s">
        <v>85</v>
      </c>
      <c r="E80" s="15" t="s">
        <v>86</v>
      </c>
      <c r="F80" s="15" t="s">
        <v>41</v>
      </c>
      <c r="G80" s="15" t="s">
        <v>87</v>
      </c>
      <c r="H80" s="15" t="s">
        <v>76</v>
      </c>
      <c r="I80" s="15" t="s">
        <v>77</v>
      </c>
      <c r="J80" s="15" t="s">
        <v>88</v>
      </c>
      <c r="K80" s="15" t="s">
        <v>89</v>
      </c>
      <c r="L80" s="16" t="s">
        <v>90</v>
      </c>
      <c r="M80" s="15" t="s">
        <v>48</v>
      </c>
      <c r="N80" s="17">
        <v>452725636619</v>
      </c>
      <c r="O80" s="15">
        <v>19877410</v>
      </c>
      <c r="P80" s="18" t="s">
        <v>98</v>
      </c>
      <c r="Q80" s="18">
        <v>1</v>
      </c>
      <c r="R80" s="18">
        <v>8.1000000000000003E-2</v>
      </c>
      <c r="S80" s="15">
        <v>7.1740000000000004</v>
      </c>
      <c r="T80" s="16">
        <v>45824</v>
      </c>
      <c r="U80" s="19">
        <v>45883</v>
      </c>
      <c r="V80" s="16">
        <v>45824</v>
      </c>
      <c r="W80" s="16">
        <v>45826</v>
      </c>
      <c r="X80" s="57">
        <f t="shared" si="8"/>
        <v>45825</v>
      </c>
      <c r="Y80" s="63">
        <v>45832</v>
      </c>
      <c r="Z80" s="67">
        <v>45861</v>
      </c>
      <c r="AA80" s="71">
        <f t="shared" si="9"/>
        <v>45874</v>
      </c>
      <c r="AB80" s="20">
        <f t="shared" si="10"/>
        <v>-9</v>
      </c>
      <c r="AC80" s="20" t="s">
        <v>50</v>
      </c>
      <c r="AD80" s="21" t="s">
        <v>51</v>
      </c>
      <c r="AE80" s="21"/>
      <c r="AF80" s="22" t="s">
        <v>52</v>
      </c>
      <c r="AG80" s="23" t="s">
        <v>53</v>
      </c>
      <c r="AH80" s="24"/>
      <c r="AN80" s="24"/>
    </row>
    <row r="81" spans="1:40" ht="12.75">
      <c r="A81" s="15">
        <v>3254506</v>
      </c>
      <c r="B81" s="15" t="s">
        <v>37</v>
      </c>
      <c r="C81" s="15" t="s">
        <v>38</v>
      </c>
      <c r="D81" s="15" t="s">
        <v>85</v>
      </c>
      <c r="E81" s="15" t="s">
        <v>86</v>
      </c>
      <c r="F81" s="15" t="s">
        <v>41</v>
      </c>
      <c r="G81" s="15" t="s">
        <v>87</v>
      </c>
      <c r="H81" s="15" t="s">
        <v>76</v>
      </c>
      <c r="I81" s="15" t="s">
        <v>77</v>
      </c>
      <c r="J81" s="15" t="s">
        <v>88</v>
      </c>
      <c r="K81" s="15" t="s">
        <v>89</v>
      </c>
      <c r="L81" s="16" t="s">
        <v>90</v>
      </c>
      <c r="M81" s="15" t="s">
        <v>48</v>
      </c>
      <c r="N81" s="17">
        <v>452726113321</v>
      </c>
      <c r="O81" s="15">
        <v>19878967</v>
      </c>
      <c r="P81" s="18" t="s">
        <v>98</v>
      </c>
      <c r="Q81" s="18">
        <v>3</v>
      </c>
      <c r="R81" s="18">
        <v>0.24199999999999999</v>
      </c>
      <c r="S81" s="15">
        <v>21.286000000000001</v>
      </c>
      <c r="T81" s="16">
        <v>45824</v>
      </c>
      <c r="U81" s="19">
        <v>45883</v>
      </c>
      <c r="V81" s="16">
        <v>45824</v>
      </c>
      <c r="W81" s="16">
        <v>45826</v>
      </c>
      <c r="X81" s="57">
        <f t="shared" si="8"/>
        <v>45825</v>
      </c>
      <c r="Y81" s="63">
        <v>45832</v>
      </c>
      <c r="Z81" s="67">
        <v>45861</v>
      </c>
      <c r="AA81" s="71">
        <f t="shared" si="9"/>
        <v>45874</v>
      </c>
      <c r="AB81" s="20">
        <f t="shared" si="10"/>
        <v>-9</v>
      </c>
      <c r="AC81" s="20" t="s">
        <v>50</v>
      </c>
      <c r="AD81" s="21" t="s">
        <v>51</v>
      </c>
      <c r="AE81" s="21"/>
      <c r="AF81" s="22" t="s">
        <v>52</v>
      </c>
      <c r="AG81" s="23" t="s">
        <v>53</v>
      </c>
      <c r="AH81" s="24"/>
      <c r="AN81" s="24"/>
    </row>
    <row r="82" spans="1:40" ht="12.75">
      <c r="A82" s="15">
        <v>3254506</v>
      </c>
      <c r="B82" s="15" t="s">
        <v>37</v>
      </c>
      <c r="C82" s="15" t="s">
        <v>38</v>
      </c>
      <c r="D82" s="15" t="s">
        <v>85</v>
      </c>
      <c r="E82" s="15" t="s">
        <v>86</v>
      </c>
      <c r="F82" s="15" t="s">
        <v>41</v>
      </c>
      <c r="G82" s="15" t="s">
        <v>87</v>
      </c>
      <c r="H82" s="15" t="s">
        <v>76</v>
      </c>
      <c r="I82" s="15" t="s">
        <v>77</v>
      </c>
      <c r="J82" s="15" t="s">
        <v>88</v>
      </c>
      <c r="K82" s="15" t="s">
        <v>89</v>
      </c>
      <c r="L82" s="16" t="s">
        <v>90</v>
      </c>
      <c r="M82" s="15" t="s">
        <v>48</v>
      </c>
      <c r="N82" s="17">
        <v>452727167451</v>
      </c>
      <c r="O82" s="15">
        <v>19843746</v>
      </c>
      <c r="P82" s="18" t="s">
        <v>93</v>
      </c>
      <c r="Q82" s="18">
        <v>6</v>
      </c>
      <c r="R82" s="18">
        <v>0.26400000000000001</v>
      </c>
      <c r="S82" s="15">
        <v>28.995999999999999</v>
      </c>
      <c r="T82" s="16">
        <v>45824</v>
      </c>
      <c r="U82" s="19">
        <v>45883</v>
      </c>
      <c r="V82" s="16">
        <v>45824</v>
      </c>
      <c r="W82" s="16">
        <v>45826</v>
      </c>
      <c r="X82" s="57">
        <f t="shared" si="8"/>
        <v>45825</v>
      </c>
      <c r="Y82" s="63">
        <v>45832</v>
      </c>
      <c r="Z82" s="67">
        <v>45861</v>
      </c>
      <c r="AA82" s="71">
        <f t="shared" si="9"/>
        <v>45874</v>
      </c>
      <c r="AB82" s="20">
        <f t="shared" si="10"/>
        <v>-9</v>
      </c>
      <c r="AC82" s="20" t="s">
        <v>50</v>
      </c>
      <c r="AD82" s="21" t="s">
        <v>51</v>
      </c>
      <c r="AE82" s="21"/>
      <c r="AF82" s="22" t="s">
        <v>52</v>
      </c>
      <c r="AG82" s="23" t="s">
        <v>53</v>
      </c>
      <c r="AH82" s="24"/>
      <c r="AN82" s="24"/>
    </row>
    <row r="83" spans="1:40" ht="12.75">
      <c r="A83" s="15">
        <v>3254506</v>
      </c>
      <c r="B83" s="15" t="s">
        <v>37</v>
      </c>
      <c r="C83" s="15" t="s">
        <v>38</v>
      </c>
      <c r="D83" s="15" t="s">
        <v>85</v>
      </c>
      <c r="E83" s="15" t="s">
        <v>86</v>
      </c>
      <c r="F83" s="15" t="s">
        <v>41</v>
      </c>
      <c r="G83" s="15" t="s">
        <v>87</v>
      </c>
      <c r="H83" s="15" t="s">
        <v>76</v>
      </c>
      <c r="I83" s="15" t="s">
        <v>77</v>
      </c>
      <c r="J83" s="15" t="s">
        <v>88</v>
      </c>
      <c r="K83" s="15" t="s">
        <v>89</v>
      </c>
      <c r="L83" s="16" t="s">
        <v>90</v>
      </c>
      <c r="M83" s="15" t="s">
        <v>48</v>
      </c>
      <c r="N83" s="17">
        <v>452727371750</v>
      </c>
      <c r="O83" s="15">
        <v>19843848</v>
      </c>
      <c r="P83" s="18" t="s">
        <v>93</v>
      </c>
      <c r="Q83" s="18">
        <v>18</v>
      </c>
      <c r="R83" s="18">
        <v>0.79100000000000004</v>
      </c>
      <c r="S83" s="15">
        <v>105.247</v>
      </c>
      <c r="T83" s="16">
        <v>45824</v>
      </c>
      <c r="U83" s="19">
        <v>45883</v>
      </c>
      <c r="V83" s="16">
        <v>45824</v>
      </c>
      <c r="W83" s="16">
        <v>45826</v>
      </c>
      <c r="X83" s="57">
        <f t="shared" si="8"/>
        <v>45825</v>
      </c>
      <c r="Y83" s="63">
        <v>45832</v>
      </c>
      <c r="Z83" s="67">
        <v>45861</v>
      </c>
      <c r="AA83" s="71">
        <f t="shared" si="9"/>
        <v>45874</v>
      </c>
      <c r="AB83" s="20">
        <f t="shared" si="10"/>
        <v>-9</v>
      </c>
      <c r="AC83" s="20" t="s">
        <v>50</v>
      </c>
      <c r="AD83" s="21" t="s">
        <v>51</v>
      </c>
      <c r="AE83" s="21"/>
      <c r="AF83" s="22" t="s">
        <v>52</v>
      </c>
      <c r="AG83" s="23" t="s">
        <v>53</v>
      </c>
      <c r="AN83" s="24"/>
    </row>
    <row r="84" spans="1:40" ht="12.75">
      <c r="A84" s="15">
        <v>3254506</v>
      </c>
      <c r="B84" s="15" t="s">
        <v>37</v>
      </c>
      <c r="C84" s="15" t="s">
        <v>38</v>
      </c>
      <c r="D84" s="15" t="s">
        <v>85</v>
      </c>
      <c r="E84" s="15" t="s">
        <v>86</v>
      </c>
      <c r="F84" s="15" t="s">
        <v>41</v>
      </c>
      <c r="G84" s="15" t="s">
        <v>87</v>
      </c>
      <c r="H84" s="15" t="s">
        <v>76</v>
      </c>
      <c r="I84" s="15" t="s">
        <v>77</v>
      </c>
      <c r="J84" s="15" t="s">
        <v>88</v>
      </c>
      <c r="K84" s="15" t="s">
        <v>89</v>
      </c>
      <c r="L84" s="16" t="s">
        <v>90</v>
      </c>
      <c r="M84" s="15" t="s">
        <v>48</v>
      </c>
      <c r="N84" s="17">
        <v>452727619708</v>
      </c>
      <c r="O84" s="15">
        <v>19843747</v>
      </c>
      <c r="P84" s="18" t="s">
        <v>93</v>
      </c>
      <c r="Q84" s="18">
        <v>7</v>
      </c>
      <c r="R84" s="18">
        <v>0.307</v>
      </c>
      <c r="S84" s="15">
        <v>35.225999999999999</v>
      </c>
      <c r="T84" s="16">
        <v>45824</v>
      </c>
      <c r="U84" s="19">
        <v>45883</v>
      </c>
      <c r="V84" s="16">
        <v>45824</v>
      </c>
      <c r="W84" s="16">
        <v>45826</v>
      </c>
      <c r="X84" s="57">
        <f t="shared" si="8"/>
        <v>45825</v>
      </c>
      <c r="Y84" s="63">
        <v>45832</v>
      </c>
      <c r="Z84" s="67">
        <v>45861</v>
      </c>
      <c r="AA84" s="71">
        <f t="shared" si="9"/>
        <v>45874</v>
      </c>
      <c r="AB84" s="20">
        <f t="shared" si="10"/>
        <v>-9</v>
      </c>
      <c r="AC84" s="20" t="s">
        <v>50</v>
      </c>
      <c r="AD84" s="21" t="s">
        <v>51</v>
      </c>
      <c r="AE84" s="21"/>
      <c r="AF84" s="22" t="s">
        <v>52</v>
      </c>
      <c r="AG84" s="23" t="s">
        <v>53</v>
      </c>
      <c r="AN84" s="24"/>
    </row>
    <row r="85" spans="1:40" ht="12.75">
      <c r="A85" s="15">
        <v>3254506</v>
      </c>
      <c r="B85" s="15" t="s">
        <v>37</v>
      </c>
      <c r="C85" s="15" t="s">
        <v>38</v>
      </c>
      <c r="D85" s="15" t="s">
        <v>85</v>
      </c>
      <c r="E85" s="15" t="s">
        <v>86</v>
      </c>
      <c r="F85" s="15" t="s">
        <v>41</v>
      </c>
      <c r="G85" s="15" t="s">
        <v>87</v>
      </c>
      <c r="H85" s="15" t="s">
        <v>76</v>
      </c>
      <c r="I85" s="15" t="s">
        <v>77</v>
      </c>
      <c r="J85" s="15" t="s">
        <v>88</v>
      </c>
      <c r="K85" s="15" t="s">
        <v>89</v>
      </c>
      <c r="L85" s="16" t="s">
        <v>90</v>
      </c>
      <c r="M85" s="15" t="s">
        <v>48</v>
      </c>
      <c r="N85" s="17">
        <v>452729349357</v>
      </c>
      <c r="O85" s="15">
        <v>19878340</v>
      </c>
      <c r="P85" s="18" t="s">
        <v>99</v>
      </c>
      <c r="Q85" s="18">
        <v>4</v>
      </c>
      <c r="R85" s="18">
        <v>0.32200000000000001</v>
      </c>
      <c r="S85" s="15">
        <v>15.688000000000001</v>
      </c>
      <c r="T85" s="16">
        <v>45824</v>
      </c>
      <c r="U85" s="19">
        <v>45883</v>
      </c>
      <c r="V85" s="16">
        <v>45824</v>
      </c>
      <c r="W85" s="16">
        <v>45826</v>
      </c>
      <c r="X85" s="57">
        <f t="shared" si="8"/>
        <v>45825</v>
      </c>
      <c r="Y85" s="63">
        <v>45832</v>
      </c>
      <c r="Z85" s="67">
        <v>45861</v>
      </c>
      <c r="AA85" s="71">
        <f t="shared" si="9"/>
        <v>45874</v>
      </c>
      <c r="AB85" s="20">
        <f t="shared" si="10"/>
        <v>-9</v>
      </c>
      <c r="AC85" s="20" t="s">
        <v>50</v>
      </c>
      <c r="AD85" s="21" t="s">
        <v>51</v>
      </c>
      <c r="AE85" s="21"/>
      <c r="AF85" s="22" t="s">
        <v>52</v>
      </c>
      <c r="AG85" s="23" t="s">
        <v>53</v>
      </c>
      <c r="AN85" s="24"/>
    </row>
    <row r="86" spans="1:40" ht="12.75">
      <c r="A86" s="15">
        <v>3254506</v>
      </c>
      <c r="B86" s="15" t="s">
        <v>37</v>
      </c>
      <c r="C86" s="15" t="s">
        <v>38</v>
      </c>
      <c r="D86" s="15" t="s">
        <v>85</v>
      </c>
      <c r="E86" s="15" t="s">
        <v>86</v>
      </c>
      <c r="F86" s="15" t="s">
        <v>41</v>
      </c>
      <c r="G86" s="15" t="s">
        <v>87</v>
      </c>
      <c r="H86" s="15" t="s">
        <v>76</v>
      </c>
      <c r="I86" s="15" t="s">
        <v>77</v>
      </c>
      <c r="J86" s="15" t="s">
        <v>88</v>
      </c>
      <c r="K86" s="15" t="s">
        <v>89</v>
      </c>
      <c r="L86" s="16" t="s">
        <v>90</v>
      </c>
      <c r="M86" s="15" t="s">
        <v>48</v>
      </c>
      <c r="N86" s="17">
        <v>452733135781</v>
      </c>
      <c r="O86" s="15">
        <v>19878355</v>
      </c>
      <c r="P86" s="18" t="s">
        <v>99</v>
      </c>
      <c r="Q86" s="18">
        <v>10</v>
      </c>
      <c r="R86" s="18">
        <v>0.80500000000000005</v>
      </c>
      <c r="S86" s="15">
        <v>60.040999999999997</v>
      </c>
      <c r="T86" s="16">
        <v>45824</v>
      </c>
      <c r="U86" s="19">
        <v>45883</v>
      </c>
      <c r="V86" s="16">
        <v>45824</v>
      </c>
      <c r="W86" s="16">
        <v>45826</v>
      </c>
      <c r="X86" s="57">
        <f t="shared" si="8"/>
        <v>45825</v>
      </c>
      <c r="Y86" s="63">
        <v>45832</v>
      </c>
      <c r="Z86" s="67">
        <v>45861</v>
      </c>
      <c r="AA86" s="71">
        <f t="shared" si="9"/>
        <v>45874</v>
      </c>
      <c r="AB86" s="20">
        <f t="shared" si="10"/>
        <v>-9</v>
      </c>
      <c r="AC86" s="20" t="s">
        <v>50</v>
      </c>
      <c r="AD86" s="21" t="s">
        <v>51</v>
      </c>
      <c r="AE86" s="21"/>
      <c r="AF86" s="22" t="s">
        <v>52</v>
      </c>
      <c r="AG86" s="23" t="s">
        <v>53</v>
      </c>
      <c r="AN86" s="24"/>
    </row>
    <row r="87" spans="1:40" ht="12.75">
      <c r="A87" s="15">
        <v>3254506</v>
      </c>
      <c r="B87" s="15" t="s">
        <v>37</v>
      </c>
      <c r="C87" s="15" t="s">
        <v>38</v>
      </c>
      <c r="D87" s="15" t="s">
        <v>85</v>
      </c>
      <c r="E87" s="15" t="s">
        <v>86</v>
      </c>
      <c r="F87" s="15" t="s">
        <v>41</v>
      </c>
      <c r="G87" s="15" t="s">
        <v>87</v>
      </c>
      <c r="H87" s="15" t="s">
        <v>76</v>
      </c>
      <c r="I87" s="15" t="s">
        <v>77</v>
      </c>
      <c r="J87" s="15" t="s">
        <v>88</v>
      </c>
      <c r="K87" s="15" t="s">
        <v>89</v>
      </c>
      <c r="L87" s="16" t="s">
        <v>90</v>
      </c>
      <c r="M87" s="15" t="s">
        <v>48</v>
      </c>
      <c r="N87" s="17">
        <v>452734215822</v>
      </c>
      <c r="O87" s="15">
        <v>19878571</v>
      </c>
      <c r="P87" s="18" t="s">
        <v>99</v>
      </c>
      <c r="Q87" s="18">
        <v>21</v>
      </c>
      <c r="R87" s="18">
        <v>1.6910000000000001</v>
      </c>
      <c r="S87" s="15">
        <v>127.59699999999999</v>
      </c>
      <c r="T87" s="16">
        <v>45824</v>
      </c>
      <c r="U87" s="19">
        <v>45883</v>
      </c>
      <c r="V87" s="16">
        <v>45824</v>
      </c>
      <c r="W87" s="16">
        <v>45826</v>
      </c>
      <c r="X87" s="57">
        <f t="shared" si="8"/>
        <v>45825</v>
      </c>
      <c r="Y87" s="63">
        <v>45832</v>
      </c>
      <c r="Z87" s="67">
        <v>45861</v>
      </c>
      <c r="AA87" s="71">
        <f t="shared" si="9"/>
        <v>45874</v>
      </c>
      <c r="AB87" s="20">
        <f t="shared" si="10"/>
        <v>-9</v>
      </c>
      <c r="AC87" s="20" t="s">
        <v>50</v>
      </c>
      <c r="AD87" s="21" t="s">
        <v>51</v>
      </c>
      <c r="AE87" s="21"/>
      <c r="AF87" s="22" t="s">
        <v>52</v>
      </c>
      <c r="AG87" s="23" t="s">
        <v>53</v>
      </c>
      <c r="AN87" s="24"/>
    </row>
    <row r="88" spans="1:40" ht="12.75">
      <c r="A88" s="15">
        <v>3254506</v>
      </c>
      <c r="B88" s="15" t="s">
        <v>37</v>
      </c>
      <c r="C88" s="15" t="s">
        <v>38</v>
      </c>
      <c r="D88" s="15" t="s">
        <v>85</v>
      </c>
      <c r="E88" s="15" t="s">
        <v>86</v>
      </c>
      <c r="F88" s="15" t="s">
        <v>41</v>
      </c>
      <c r="G88" s="15" t="s">
        <v>87</v>
      </c>
      <c r="H88" s="15" t="s">
        <v>76</v>
      </c>
      <c r="I88" s="15" t="s">
        <v>77</v>
      </c>
      <c r="J88" s="15" t="s">
        <v>88</v>
      </c>
      <c r="K88" s="15" t="s">
        <v>89</v>
      </c>
      <c r="L88" s="16" t="s">
        <v>90</v>
      </c>
      <c r="M88" s="15" t="s">
        <v>48</v>
      </c>
      <c r="N88" s="17">
        <v>452734741401</v>
      </c>
      <c r="O88" s="15">
        <v>19878560</v>
      </c>
      <c r="P88" s="18" t="s">
        <v>100</v>
      </c>
      <c r="Q88" s="18">
        <v>4</v>
      </c>
      <c r="R88" s="18">
        <v>0.28499999999999998</v>
      </c>
      <c r="S88" s="15">
        <v>19.593</v>
      </c>
      <c r="T88" s="16">
        <v>45824</v>
      </c>
      <c r="U88" s="19">
        <v>45883</v>
      </c>
      <c r="V88" s="16">
        <v>45824</v>
      </c>
      <c r="W88" s="16">
        <v>45826</v>
      </c>
      <c r="X88" s="57">
        <f t="shared" si="8"/>
        <v>45825</v>
      </c>
      <c r="Y88" s="63">
        <v>45832</v>
      </c>
      <c r="Z88" s="67">
        <v>45861</v>
      </c>
      <c r="AA88" s="71">
        <f t="shared" si="9"/>
        <v>45874</v>
      </c>
      <c r="AB88" s="20">
        <f t="shared" si="10"/>
        <v>-9</v>
      </c>
      <c r="AC88" s="20" t="s">
        <v>50</v>
      </c>
      <c r="AD88" s="21" t="s">
        <v>51</v>
      </c>
      <c r="AE88" s="21"/>
      <c r="AF88" s="22" t="s">
        <v>52</v>
      </c>
      <c r="AG88" s="23" t="s">
        <v>53</v>
      </c>
    </row>
    <row r="89" spans="1:40" ht="12.75">
      <c r="A89" s="15">
        <v>3254506</v>
      </c>
      <c r="B89" s="15" t="s">
        <v>37</v>
      </c>
      <c r="C89" s="15" t="s">
        <v>38</v>
      </c>
      <c r="D89" s="15" t="s">
        <v>85</v>
      </c>
      <c r="E89" s="15" t="s">
        <v>86</v>
      </c>
      <c r="F89" s="15" t="s">
        <v>41</v>
      </c>
      <c r="G89" s="15" t="s">
        <v>87</v>
      </c>
      <c r="H89" s="15" t="s">
        <v>76</v>
      </c>
      <c r="I89" s="15" t="s">
        <v>77</v>
      </c>
      <c r="J89" s="15" t="s">
        <v>88</v>
      </c>
      <c r="K89" s="15" t="s">
        <v>89</v>
      </c>
      <c r="L89" s="16" t="s">
        <v>90</v>
      </c>
      <c r="M89" s="15" t="s">
        <v>48</v>
      </c>
      <c r="N89" s="17">
        <v>452735845068</v>
      </c>
      <c r="O89" s="15">
        <v>19878580</v>
      </c>
      <c r="P89" s="18" t="s">
        <v>100</v>
      </c>
      <c r="Q89" s="18">
        <v>3</v>
      </c>
      <c r="R89" s="18">
        <v>0.20499999999999999</v>
      </c>
      <c r="S89" s="15">
        <v>13.416</v>
      </c>
      <c r="T89" s="16">
        <v>45824</v>
      </c>
      <c r="U89" s="19">
        <v>45883</v>
      </c>
      <c r="V89" s="16">
        <v>45824</v>
      </c>
      <c r="W89" s="16">
        <v>45826</v>
      </c>
      <c r="X89" s="57">
        <f t="shared" si="8"/>
        <v>45825</v>
      </c>
      <c r="Y89" s="63">
        <v>45832</v>
      </c>
      <c r="Z89" s="67">
        <v>45861</v>
      </c>
      <c r="AA89" s="71">
        <f t="shared" si="9"/>
        <v>45874</v>
      </c>
      <c r="AB89" s="20">
        <f t="shared" si="10"/>
        <v>-9</v>
      </c>
      <c r="AC89" s="20" t="s">
        <v>50</v>
      </c>
      <c r="AD89" s="21" t="s">
        <v>51</v>
      </c>
      <c r="AE89" s="21"/>
      <c r="AF89" s="22" t="s">
        <v>52</v>
      </c>
      <c r="AG89" s="23" t="s">
        <v>53</v>
      </c>
    </row>
    <row r="90" spans="1:40" ht="12.75">
      <c r="A90" s="15">
        <v>3254506</v>
      </c>
      <c r="B90" s="15" t="s">
        <v>37</v>
      </c>
      <c r="C90" s="15" t="s">
        <v>38</v>
      </c>
      <c r="D90" s="15" t="s">
        <v>85</v>
      </c>
      <c r="E90" s="15" t="s">
        <v>86</v>
      </c>
      <c r="F90" s="15" t="s">
        <v>41</v>
      </c>
      <c r="G90" s="15" t="s">
        <v>87</v>
      </c>
      <c r="H90" s="15" t="s">
        <v>76</v>
      </c>
      <c r="I90" s="15" t="s">
        <v>77</v>
      </c>
      <c r="J90" s="15" t="s">
        <v>88</v>
      </c>
      <c r="K90" s="15" t="s">
        <v>89</v>
      </c>
      <c r="L90" s="16" t="s">
        <v>90</v>
      </c>
      <c r="M90" s="15" t="s">
        <v>48</v>
      </c>
      <c r="N90" s="17">
        <v>452736795357</v>
      </c>
      <c r="O90" s="15">
        <v>19878808</v>
      </c>
      <c r="P90" s="18" t="s">
        <v>100</v>
      </c>
      <c r="Q90" s="18">
        <v>6</v>
      </c>
      <c r="R90" s="18">
        <v>0.44700000000000001</v>
      </c>
      <c r="S90" s="15">
        <v>33.176000000000002</v>
      </c>
      <c r="T90" s="16">
        <v>45824</v>
      </c>
      <c r="U90" s="19">
        <v>45883</v>
      </c>
      <c r="V90" s="16">
        <v>45824</v>
      </c>
      <c r="W90" s="16">
        <v>45826</v>
      </c>
      <c r="X90" s="57">
        <f t="shared" si="8"/>
        <v>45825</v>
      </c>
      <c r="Y90" s="63">
        <v>45832</v>
      </c>
      <c r="Z90" s="67">
        <v>45861</v>
      </c>
      <c r="AA90" s="71">
        <f t="shared" si="9"/>
        <v>45874</v>
      </c>
      <c r="AB90" s="20">
        <f t="shared" si="10"/>
        <v>-9</v>
      </c>
      <c r="AC90" s="20" t="s">
        <v>50</v>
      </c>
      <c r="AD90" s="21" t="s">
        <v>51</v>
      </c>
      <c r="AE90" s="21"/>
      <c r="AF90" s="22" t="s">
        <v>52</v>
      </c>
      <c r="AG90" s="23" t="s">
        <v>53</v>
      </c>
    </row>
    <row r="91" spans="1:40" ht="12.75">
      <c r="A91" s="15">
        <v>3254506</v>
      </c>
      <c r="B91" s="15" t="s">
        <v>37</v>
      </c>
      <c r="C91" s="15" t="s">
        <v>38</v>
      </c>
      <c r="D91" s="15" t="s">
        <v>85</v>
      </c>
      <c r="E91" s="15" t="s">
        <v>86</v>
      </c>
      <c r="F91" s="15" t="s">
        <v>41</v>
      </c>
      <c r="G91" s="15" t="s">
        <v>87</v>
      </c>
      <c r="H91" s="15" t="s">
        <v>76</v>
      </c>
      <c r="I91" s="15" t="s">
        <v>77</v>
      </c>
      <c r="J91" s="15" t="s">
        <v>88</v>
      </c>
      <c r="K91" s="15" t="s">
        <v>89</v>
      </c>
      <c r="L91" s="16" t="s">
        <v>90</v>
      </c>
      <c r="M91" s="15" t="s">
        <v>48</v>
      </c>
      <c r="N91" s="17">
        <v>452737645478</v>
      </c>
      <c r="O91" s="15">
        <v>19878588</v>
      </c>
      <c r="P91" s="18" t="s">
        <v>100</v>
      </c>
      <c r="Q91" s="18">
        <v>3</v>
      </c>
      <c r="R91" s="18">
        <v>0.20499999999999999</v>
      </c>
      <c r="S91" s="15">
        <v>14.82</v>
      </c>
      <c r="T91" s="16">
        <v>45824</v>
      </c>
      <c r="U91" s="19">
        <v>45883</v>
      </c>
      <c r="V91" s="16">
        <v>45824</v>
      </c>
      <c r="W91" s="16">
        <v>45826</v>
      </c>
      <c r="X91" s="57">
        <f t="shared" si="8"/>
        <v>45825</v>
      </c>
      <c r="Y91" s="63">
        <v>45832</v>
      </c>
      <c r="Z91" s="67">
        <v>45861</v>
      </c>
      <c r="AA91" s="71">
        <f t="shared" si="9"/>
        <v>45874</v>
      </c>
      <c r="AB91" s="20">
        <f t="shared" si="10"/>
        <v>-9</v>
      </c>
      <c r="AC91" s="20" t="s">
        <v>50</v>
      </c>
      <c r="AD91" s="21" t="s">
        <v>51</v>
      </c>
      <c r="AE91" s="21"/>
      <c r="AF91" s="22" t="s">
        <v>52</v>
      </c>
      <c r="AG91" s="23" t="s">
        <v>53</v>
      </c>
      <c r="AN91" s="24"/>
    </row>
    <row r="92" spans="1:40" ht="12.75">
      <c r="A92" s="15">
        <v>3254506</v>
      </c>
      <c r="B92" s="15" t="s">
        <v>37</v>
      </c>
      <c r="C92" s="15" t="s">
        <v>38</v>
      </c>
      <c r="D92" s="15" t="s">
        <v>85</v>
      </c>
      <c r="E92" s="15" t="s">
        <v>86</v>
      </c>
      <c r="F92" s="15" t="s">
        <v>41</v>
      </c>
      <c r="G92" s="15" t="s">
        <v>87</v>
      </c>
      <c r="H92" s="15" t="s">
        <v>76</v>
      </c>
      <c r="I92" s="15" t="s">
        <v>77</v>
      </c>
      <c r="J92" s="15" t="s">
        <v>88</v>
      </c>
      <c r="K92" s="15" t="s">
        <v>89</v>
      </c>
      <c r="L92" s="16" t="s">
        <v>90</v>
      </c>
      <c r="M92" s="15" t="s">
        <v>48</v>
      </c>
      <c r="N92" s="17">
        <v>452738863860</v>
      </c>
      <c r="O92" s="15">
        <v>19878816</v>
      </c>
      <c r="P92" s="18" t="s">
        <v>100</v>
      </c>
      <c r="Q92" s="18">
        <v>6</v>
      </c>
      <c r="R92" s="18">
        <v>0.41</v>
      </c>
      <c r="S92" s="15">
        <v>30.481999999999999</v>
      </c>
      <c r="T92" s="16">
        <v>45824</v>
      </c>
      <c r="U92" s="19">
        <v>45883</v>
      </c>
      <c r="V92" s="16">
        <v>45824</v>
      </c>
      <c r="W92" s="16">
        <v>45826</v>
      </c>
      <c r="X92" s="57">
        <f t="shared" si="8"/>
        <v>45825</v>
      </c>
      <c r="Y92" s="63">
        <v>45832</v>
      </c>
      <c r="Z92" s="67">
        <v>45861</v>
      </c>
      <c r="AA92" s="71">
        <f t="shared" si="9"/>
        <v>45874</v>
      </c>
      <c r="AB92" s="20">
        <f t="shared" si="10"/>
        <v>-9</v>
      </c>
      <c r="AC92" s="20" t="s">
        <v>50</v>
      </c>
      <c r="AD92" s="21" t="s">
        <v>51</v>
      </c>
      <c r="AE92" s="21"/>
      <c r="AF92" s="22" t="s">
        <v>52</v>
      </c>
      <c r="AG92" s="23" t="s">
        <v>53</v>
      </c>
      <c r="AN92" s="24"/>
    </row>
    <row r="93" spans="1:40" ht="12.75">
      <c r="A93" s="15">
        <v>3254506</v>
      </c>
      <c r="B93" s="15" t="s">
        <v>37</v>
      </c>
      <c r="C93" s="15" t="s">
        <v>38</v>
      </c>
      <c r="D93" s="15" t="s">
        <v>85</v>
      </c>
      <c r="E93" s="15" t="s">
        <v>86</v>
      </c>
      <c r="F93" s="15" t="s">
        <v>41</v>
      </c>
      <c r="G93" s="15" t="s">
        <v>87</v>
      </c>
      <c r="H93" s="15" t="s">
        <v>76</v>
      </c>
      <c r="I93" s="15" t="s">
        <v>77</v>
      </c>
      <c r="J93" s="15" t="s">
        <v>88</v>
      </c>
      <c r="K93" s="15" t="s">
        <v>89</v>
      </c>
      <c r="L93" s="16" t="s">
        <v>90</v>
      </c>
      <c r="M93" s="15" t="s">
        <v>48</v>
      </c>
      <c r="N93" s="17">
        <v>452740193164</v>
      </c>
      <c r="O93" s="15">
        <v>19878609</v>
      </c>
      <c r="P93" s="18" t="s">
        <v>100</v>
      </c>
      <c r="Q93" s="18">
        <v>4</v>
      </c>
      <c r="R93" s="18">
        <v>0.28499999999999998</v>
      </c>
      <c r="S93" s="15">
        <v>18.640999999999998</v>
      </c>
      <c r="T93" s="16">
        <v>45824</v>
      </c>
      <c r="U93" s="19">
        <v>45883</v>
      </c>
      <c r="V93" s="16">
        <v>45824</v>
      </c>
      <c r="W93" s="16">
        <v>45826</v>
      </c>
      <c r="X93" s="57">
        <f t="shared" si="8"/>
        <v>45825</v>
      </c>
      <c r="Y93" s="63">
        <v>45832</v>
      </c>
      <c r="Z93" s="67">
        <v>45861</v>
      </c>
      <c r="AA93" s="71">
        <f t="shared" si="9"/>
        <v>45874</v>
      </c>
      <c r="AB93" s="20">
        <f t="shared" si="10"/>
        <v>-9</v>
      </c>
      <c r="AC93" s="20" t="s">
        <v>50</v>
      </c>
      <c r="AD93" s="21" t="s">
        <v>51</v>
      </c>
      <c r="AE93" s="21"/>
      <c r="AF93" s="22" t="s">
        <v>52</v>
      </c>
      <c r="AG93" s="23" t="s">
        <v>53</v>
      </c>
      <c r="AN93" s="24"/>
    </row>
    <row r="94" spans="1:40" ht="12.75">
      <c r="A94" s="15">
        <v>3254506</v>
      </c>
      <c r="B94" s="15" t="s">
        <v>37</v>
      </c>
      <c r="C94" s="15" t="s">
        <v>38</v>
      </c>
      <c r="D94" s="15" t="s">
        <v>85</v>
      </c>
      <c r="E94" s="15" t="s">
        <v>86</v>
      </c>
      <c r="F94" s="15" t="s">
        <v>41</v>
      </c>
      <c r="G94" s="15" t="s">
        <v>87</v>
      </c>
      <c r="H94" s="15" t="s">
        <v>76</v>
      </c>
      <c r="I94" s="15" t="s">
        <v>77</v>
      </c>
      <c r="J94" s="15" t="s">
        <v>88</v>
      </c>
      <c r="K94" s="15" t="s">
        <v>89</v>
      </c>
      <c r="L94" s="16" t="s">
        <v>90</v>
      </c>
      <c r="M94" s="15" t="s">
        <v>48</v>
      </c>
      <c r="N94" s="17">
        <v>452741267767</v>
      </c>
      <c r="O94" s="15">
        <v>19878827</v>
      </c>
      <c r="P94" s="18" t="s">
        <v>100</v>
      </c>
      <c r="Q94" s="18">
        <v>6</v>
      </c>
      <c r="R94" s="18">
        <v>0.44700000000000001</v>
      </c>
      <c r="S94" s="15">
        <v>33.188000000000002</v>
      </c>
      <c r="T94" s="16">
        <v>45824</v>
      </c>
      <c r="U94" s="19">
        <v>45883</v>
      </c>
      <c r="V94" s="16">
        <v>45824</v>
      </c>
      <c r="W94" s="16">
        <v>45826</v>
      </c>
      <c r="X94" s="57">
        <f t="shared" si="8"/>
        <v>45825</v>
      </c>
      <c r="Y94" s="63">
        <v>45832</v>
      </c>
      <c r="Z94" s="67">
        <v>45861</v>
      </c>
      <c r="AA94" s="71">
        <f t="shared" si="9"/>
        <v>45874</v>
      </c>
      <c r="AB94" s="20">
        <f t="shared" si="10"/>
        <v>-9</v>
      </c>
      <c r="AC94" s="20" t="s">
        <v>50</v>
      </c>
      <c r="AD94" s="21" t="s">
        <v>51</v>
      </c>
      <c r="AE94" s="21"/>
      <c r="AF94" s="22" t="s">
        <v>52</v>
      </c>
      <c r="AG94" s="23" t="s">
        <v>53</v>
      </c>
      <c r="AN94" s="24"/>
    </row>
    <row r="95" spans="1:40" ht="12.75">
      <c r="A95" s="15">
        <v>3254506</v>
      </c>
      <c r="B95" s="15" t="s">
        <v>37</v>
      </c>
      <c r="C95" s="15" t="s">
        <v>38</v>
      </c>
      <c r="D95" s="15" t="s">
        <v>85</v>
      </c>
      <c r="E95" s="15" t="s">
        <v>86</v>
      </c>
      <c r="F95" s="15" t="s">
        <v>41</v>
      </c>
      <c r="G95" s="15" t="s">
        <v>87</v>
      </c>
      <c r="H95" s="15" t="s">
        <v>76</v>
      </c>
      <c r="I95" s="15" t="s">
        <v>77</v>
      </c>
      <c r="J95" s="15" t="s">
        <v>88</v>
      </c>
      <c r="K95" s="15" t="s">
        <v>89</v>
      </c>
      <c r="L95" s="16" t="s">
        <v>90</v>
      </c>
      <c r="M95" s="15" t="s">
        <v>48</v>
      </c>
      <c r="N95" s="17">
        <v>452742081047</v>
      </c>
      <c r="O95" s="15">
        <v>19878360</v>
      </c>
      <c r="P95" s="18" t="s">
        <v>101</v>
      </c>
      <c r="Q95" s="18">
        <v>4</v>
      </c>
      <c r="R95" s="18">
        <v>0.32200000000000001</v>
      </c>
      <c r="S95" s="15">
        <v>18.219000000000001</v>
      </c>
      <c r="T95" s="16">
        <v>45824</v>
      </c>
      <c r="U95" s="19">
        <v>45883</v>
      </c>
      <c r="V95" s="16">
        <v>45824</v>
      </c>
      <c r="W95" s="16">
        <v>45826</v>
      </c>
      <c r="X95" s="57">
        <f t="shared" si="8"/>
        <v>45825</v>
      </c>
      <c r="Y95" s="63">
        <v>45832</v>
      </c>
      <c r="Z95" s="67">
        <v>45861</v>
      </c>
      <c r="AA95" s="71">
        <f t="shared" si="9"/>
        <v>45874</v>
      </c>
      <c r="AB95" s="20">
        <f t="shared" si="10"/>
        <v>-9</v>
      </c>
      <c r="AC95" s="20" t="s">
        <v>50</v>
      </c>
      <c r="AD95" s="21" t="s">
        <v>51</v>
      </c>
      <c r="AE95" s="21"/>
      <c r="AF95" s="22" t="s">
        <v>52</v>
      </c>
      <c r="AG95" s="23" t="s">
        <v>53</v>
      </c>
      <c r="AN95" s="24"/>
    </row>
    <row r="96" spans="1:40" ht="12.75">
      <c r="A96" s="15">
        <v>3254506</v>
      </c>
      <c r="B96" s="15" t="s">
        <v>37</v>
      </c>
      <c r="C96" s="15" t="s">
        <v>38</v>
      </c>
      <c r="D96" s="15" t="s">
        <v>85</v>
      </c>
      <c r="E96" s="15" t="s">
        <v>86</v>
      </c>
      <c r="F96" s="15" t="s">
        <v>41</v>
      </c>
      <c r="G96" s="15" t="s">
        <v>87</v>
      </c>
      <c r="H96" s="15" t="s">
        <v>76</v>
      </c>
      <c r="I96" s="15" t="s">
        <v>77</v>
      </c>
      <c r="J96" s="15" t="s">
        <v>88</v>
      </c>
      <c r="K96" s="15" t="s">
        <v>89</v>
      </c>
      <c r="L96" s="16" t="s">
        <v>90</v>
      </c>
      <c r="M96" s="15" t="s">
        <v>48</v>
      </c>
      <c r="N96" s="17">
        <v>452743736213</v>
      </c>
      <c r="O96" s="15">
        <v>19877462</v>
      </c>
      <c r="P96" s="18" t="s">
        <v>102</v>
      </c>
      <c r="Q96" s="18">
        <v>3</v>
      </c>
      <c r="R96" s="18">
        <v>0.13200000000000001</v>
      </c>
      <c r="S96" s="15">
        <v>7.1230000000000002</v>
      </c>
      <c r="T96" s="16">
        <v>45824</v>
      </c>
      <c r="U96" s="19">
        <v>45883</v>
      </c>
      <c r="V96" s="16">
        <v>45824</v>
      </c>
      <c r="W96" s="16">
        <v>45826</v>
      </c>
      <c r="X96" s="57">
        <f t="shared" si="8"/>
        <v>45825</v>
      </c>
      <c r="Y96" s="63">
        <v>45832</v>
      </c>
      <c r="Z96" s="67">
        <v>45861</v>
      </c>
      <c r="AA96" s="71">
        <f t="shared" si="9"/>
        <v>45874</v>
      </c>
      <c r="AB96" s="20">
        <f t="shared" si="10"/>
        <v>-9</v>
      </c>
      <c r="AC96" s="20" t="s">
        <v>50</v>
      </c>
      <c r="AD96" s="21" t="s">
        <v>51</v>
      </c>
      <c r="AE96" s="21"/>
      <c r="AF96" s="22" t="s">
        <v>52</v>
      </c>
      <c r="AG96" s="23" t="s">
        <v>53</v>
      </c>
      <c r="AH96" s="24"/>
      <c r="AN96" s="24"/>
    </row>
    <row r="97" spans="1:40" ht="12.75">
      <c r="A97" s="15">
        <v>3254506</v>
      </c>
      <c r="B97" s="15" t="s">
        <v>37</v>
      </c>
      <c r="C97" s="15" t="s">
        <v>38</v>
      </c>
      <c r="D97" s="15" t="s">
        <v>85</v>
      </c>
      <c r="E97" s="15" t="s">
        <v>86</v>
      </c>
      <c r="F97" s="15" t="s">
        <v>41</v>
      </c>
      <c r="G97" s="15" t="s">
        <v>87</v>
      </c>
      <c r="H97" s="15" t="s">
        <v>76</v>
      </c>
      <c r="I97" s="15" t="s">
        <v>77</v>
      </c>
      <c r="J97" s="15" t="s">
        <v>88</v>
      </c>
      <c r="K97" s="15" t="s">
        <v>89</v>
      </c>
      <c r="L97" s="16" t="s">
        <v>90</v>
      </c>
      <c r="M97" s="15" t="s">
        <v>48</v>
      </c>
      <c r="N97" s="17">
        <v>452744235914</v>
      </c>
      <c r="O97" s="15">
        <v>19877730</v>
      </c>
      <c r="P97" s="18" t="s">
        <v>102</v>
      </c>
      <c r="Q97" s="18">
        <v>4</v>
      </c>
      <c r="R97" s="18">
        <v>0.17599999999999999</v>
      </c>
      <c r="S97" s="15">
        <v>14.622</v>
      </c>
      <c r="T97" s="16">
        <v>45824</v>
      </c>
      <c r="U97" s="19">
        <v>45883</v>
      </c>
      <c r="V97" s="16">
        <v>45824</v>
      </c>
      <c r="W97" s="16">
        <v>45826</v>
      </c>
      <c r="X97" s="57">
        <f t="shared" si="8"/>
        <v>45825</v>
      </c>
      <c r="Y97" s="63">
        <v>45832</v>
      </c>
      <c r="Z97" s="67">
        <v>45861</v>
      </c>
      <c r="AA97" s="71">
        <f t="shared" si="9"/>
        <v>45874</v>
      </c>
      <c r="AB97" s="20">
        <f t="shared" si="10"/>
        <v>-9</v>
      </c>
      <c r="AC97" s="20" t="s">
        <v>50</v>
      </c>
      <c r="AD97" s="21" t="s">
        <v>51</v>
      </c>
      <c r="AE97" s="21"/>
      <c r="AF97" s="22" t="s">
        <v>52</v>
      </c>
      <c r="AG97" s="23" t="s">
        <v>53</v>
      </c>
      <c r="AH97" s="24"/>
      <c r="AN97" s="24"/>
    </row>
    <row r="98" spans="1:40" ht="12.75">
      <c r="A98" s="15">
        <v>3254506</v>
      </c>
      <c r="B98" s="15" t="s">
        <v>37</v>
      </c>
      <c r="C98" s="15" t="s">
        <v>38</v>
      </c>
      <c r="D98" s="15" t="s">
        <v>85</v>
      </c>
      <c r="E98" s="15" t="s">
        <v>86</v>
      </c>
      <c r="F98" s="15" t="s">
        <v>41</v>
      </c>
      <c r="G98" s="15" t="s">
        <v>87</v>
      </c>
      <c r="H98" s="15" t="s">
        <v>76</v>
      </c>
      <c r="I98" s="15" t="s">
        <v>77</v>
      </c>
      <c r="J98" s="15" t="s">
        <v>88</v>
      </c>
      <c r="K98" s="15" t="s">
        <v>89</v>
      </c>
      <c r="L98" s="16" t="s">
        <v>90</v>
      </c>
      <c r="M98" s="15" t="s">
        <v>48</v>
      </c>
      <c r="N98" s="17">
        <v>452746746441</v>
      </c>
      <c r="O98" s="15">
        <v>19877700</v>
      </c>
      <c r="P98" s="18" t="s">
        <v>102</v>
      </c>
      <c r="Q98" s="18">
        <v>3</v>
      </c>
      <c r="R98" s="18">
        <v>0.13200000000000001</v>
      </c>
      <c r="S98" s="15">
        <v>9.3019999999999996</v>
      </c>
      <c r="T98" s="16">
        <v>45824</v>
      </c>
      <c r="U98" s="19">
        <v>45883</v>
      </c>
      <c r="V98" s="16">
        <v>45824</v>
      </c>
      <c r="W98" s="16">
        <v>45826</v>
      </c>
      <c r="X98" s="57">
        <f t="shared" si="8"/>
        <v>45825</v>
      </c>
      <c r="Y98" s="63">
        <v>45832</v>
      </c>
      <c r="Z98" s="67">
        <v>45861</v>
      </c>
      <c r="AA98" s="71">
        <f t="shared" si="9"/>
        <v>45874</v>
      </c>
      <c r="AB98" s="20">
        <f t="shared" si="10"/>
        <v>-9</v>
      </c>
      <c r="AC98" s="20" t="s">
        <v>50</v>
      </c>
      <c r="AD98" s="21" t="s">
        <v>51</v>
      </c>
      <c r="AE98" s="21"/>
      <c r="AF98" s="22" t="s">
        <v>52</v>
      </c>
      <c r="AG98" s="23" t="s">
        <v>53</v>
      </c>
      <c r="AN98" s="24"/>
    </row>
    <row r="99" spans="1:40" ht="12.75">
      <c r="A99" s="15">
        <v>3254506</v>
      </c>
      <c r="B99" s="15" t="s">
        <v>37</v>
      </c>
      <c r="C99" s="15" t="s">
        <v>38</v>
      </c>
      <c r="D99" s="15" t="s">
        <v>85</v>
      </c>
      <c r="E99" s="15" t="s">
        <v>86</v>
      </c>
      <c r="F99" s="15" t="s">
        <v>41</v>
      </c>
      <c r="G99" s="15" t="s">
        <v>87</v>
      </c>
      <c r="H99" s="15" t="s">
        <v>76</v>
      </c>
      <c r="I99" s="15" t="s">
        <v>77</v>
      </c>
      <c r="J99" s="15" t="s">
        <v>88</v>
      </c>
      <c r="K99" s="15" t="s">
        <v>89</v>
      </c>
      <c r="L99" s="16" t="s">
        <v>90</v>
      </c>
      <c r="M99" s="15" t="s">
        <v>48</v>
      </c>
      <c r="N99" s="17">
        <v>452747570082</v>
      </c>
      <c r="O99" s="15">
        <v>19877518</v>
      </c>
      <c r="P99" s="18" t="s">
        <v>103</v>
      </c>
      <c r="Q99" s="18">
        <v>2</v>
      </c>
      <c r="R99" s="18">
        <v>8.7999999999999995E-2</v>
      </c>
      <c r="S99" s="15">
        <v>7.4359999999999999</v>
      </c>
      <c r="T99" s="16">
        <v>45824</v>
      </c>
      <c r="U99" s="19">
        <v>45883</v>
      </c>
      <c r="V99" s="16">
        <v>45824</v>
      </c>
      <c r="W99" s="16">
        <v>45826</v>
      </c>
      <c r="X99" s="57">
        <f t="shared" si="8"/>
        <v>45825</v>
      </c>
      <c r="Y99" s="63">
        <v>45832</v>
      </c>
      <c r="Z99" s="67">
        <v>45861</v>
      </c>
      <c r="AA99" s="71">
        <f t="shared" si="9"/>
        <v>45874</v>
      </c>
      <c r="AB99" s="20">
        <f t="shared" si="10"/>
        <v>-9</v>
      </c>
      <c r="AC99" s="20" t="s">
        <v>50</v>
      </c>
      <c r="AD99" s="21" t="s">
        <v>51</v>
      </c>
      <c r="AE99" s="21"/>
      <c r="AF99" s="22" t="s">
        <v>52</v>
      </c>
      <c r="AG99" s="23" t="s">
        <v>53</v>
      </c>
      <c r="AH99" s="24"/>
      <c r="AN99" s="24"/>
    </row>
    <row r="100" spans="1:40" ht="12.75">
      <c r="A100" s="15">
        <v>3254506</v>
      </c>
      <c r="B100" s="15" t="s">
        <v>37</v>
      </c>
      <c r="C100" s="15" t="s">
        <v>38</v>
      </c>
      <c r="D100" s="15" t="s">
        <v>85</v>
      </c>
      <c r="E100" s="15" t="s">
        <v>86</v>
      </c>
      <c r="F100" s="15" t="s">
        <v>41</v>
      </c>
      <c r="G100" s="15" t="s">
        <v>87</v>
      </c>
      <c r="H100" s="15" t="s">
        <v>76</v>
      </c>
      <c r="I100" s="15" t="s">
        <v>77</v>
      </c>
      <c r="J100" s="15" t="s">
        <v>88</v>
      </c>
      <c r="K100" s="15" t="s">
        <v>89</v>
      </c>
      <c r="L100" s="16" t="s">
        <v>90</v>
      </c>
      <c r="M100" s="15" t="s">
        <v>48</v>
      </c>
      <c r="N100" s="17">
        <v>452748628444</v>
      </c>
      <c r="O100" s="15">
        <v>19877802</v>
      </c>
      <c r="P100" s="18" t="s">
        <v>103</v>
      </c>
      <c r="Q100" s="18">
        <v>4</v>
      </c>
      <c r="R100" s="18">
        <v>0.17599999999999999</v>
      </c>
      <c r="S100" s="15">
        <v>13.728999999999999</v>
      </c>
      <c r="T100" s="16">
        <v>45824</v>
      </c>
      <c r="U100" s="19">
        <v>45883</v>
      </c>
      <c r="V100" s="16">
        <v>45824</v>
      </c>
      <c r="W100" s="16">
        <v>45826</v>
      </c>
      <c r="X100" s="57">
        <f t="shared" si="8"/>
        <v>45825</v>
      </c>
      <c r="Y100" s="63">
        <v>45832</v>
      </c>
      <c r="Z100" s="67">
        <v>45861</v>
      </c>
      <c r="AA100" s="71">
        <f t="shared" si="9"/>
        <v>45874</v>
      </c>
      <c r="AB100" s="20">
        <f t="shared" si="10"/>
        <v>-9</v>
      </c>
      <c r="AC100" s="20" t="s">
        <v>50</v>
      </c>
      <c r="AD100" s="21" t="s">
        <v>51</v>
      </c>
      <c r="AE100" s="21"/>
      <c r="AF100" s="22" t="s">
        <v>52</v>
      </c>
      <c r="AG100" s="23" t="s">
        <v>53</v>
      </c>
      <c r="AH100" s="24"/>
      <c r="AN100" s="24"/>
    </row>
    <row r="101" spans="1:40" ht="12.75">
      <c r="A101" s="15">
        <v>3254506</v>
      </c>
      <c r="B101" s="15" t="s">
        <v>37</v>
      </c>
      <c r="C101" s="15" t="s">
        <v>38</v>
      </c>
      <c r="D101" s="15" t="s">
        <v>85</v>
      </c>
      <c r="E101" s="15" t="s">
        <v>86</v>
      </c>
      <c r="F101" s="15" t="s">
        <v>41</v>
      </c>
      <c r="G101" s="15" t="s">
        <v>87</v>
      </c>
      <c r="H101" s="15" t="s">
        <v>76</v>
      </c>
      <c r="I101" s="15" t="s">
        <v>77</v>
      </c>
      <c r="J101" s="15" t="s">
        <v>88</v>
      </c>
      <c r="K101" s="15" t="s">
        <v>89</v>
      </c>
      <c r="L101" s="16" t="s">
        <v>90</v>
      </c>
      <c r="M101" s="15" t="s">
        <v>48</v>
      </c>
      <c r="N101" s="17">
        <v>452749289399</v>
      </c>
      <c r="O101" s="15">
        <v>19877586</v>
      </c>
      <c r="P101" s="18" t="s">
        <v>103</v>
      </c>
      <c r="Q101" s="18">
        <v>2</v>
      </c>
      <c r="R101" s="18">
        <v>8.7999999999999995E-2</v>
      </c>
      <c r="S101" s="15">
        <v>5.7140000000000004</v>
      </c>
      <c r="T101" s="16">
        <v>45824</v>
      </c>
      <c r="U101" s="19">
        <v>45883</v>
      </c>
      <c r="V101" s="16">
        <v>45824</v>
      </c>
      <c r="W101" s="16">
        <v>45826</v>
      </c>
      <c r="X101" s="57">
        <f t="shared" si="8"/>
        <v>45825</v>
      </c>
      <c r="Y101" s="63">
        <v>45832</v>
      </c>
      <c r="Z101" s="67">
        <v>45861</v>
      </c>
      <c r="AA101" s="71">
        <f t="shared" si="9"/>
        <v>45874</v>
      </c>
      <c r="AB101" s="20">
        <f t="shared" si="10"/>
        <v>-9</v>
      </c>
      <c r="AC101" s="20" t="s">
        <v>50</v>
      </c>
      <c r="AD101" s="21" t="s">
        <v>51</v>
      </c>
      <c r="AE101" s="21"/>
      <c r="AF101" s="22" t="s">
        <v>52</v>
      </c>
      <c r="AG101" s="23" t="s">
        <v>53</v>
      </c>
      <c r="AH101" s="24"/>
      <c r="AN101" s="24"/>
    </row>
    <row r="102" spans="1:40" ht="12.75">
      <c r="A102" s="15">
        <v>3254506</v>
      </c>
      <c r="B102" s="15" t="s">
        <v>37</v>
      </c>
      <c r="C102" s="15" t="s">
        <v>38</v>
      </c>
      <c r="D102" s="15" t="s">
        <v>85</v>
      </c>
      <c r="E102" s="15" t="s">
        <v>86</v>
      </c>
      <c r="F102" s="15" t="s">
        <v>41</v>
      </c>
      <c r="G102" s="15" t="s">
        <v>87</v>
      </c>
      <c r="H102" s="15" t="s">
        <v>76</v>
      </c>
      <c r="I102" s="15" t="s">
        <v>77</v>
      </c>
      <c r="J102" s="15" t="s">
        <v>88</v>
      </c>
      <c r="K102" s="15" t="s">
        <v>89</v>
      </c>
      <c r="L102" s="16" t="s">
        <v>90</v>
      </c>
      <c r="M102" s="15" t="s">
        <v>48</v>
      </c>
      <c r="N102" s="17">
        <v>452751542760</v>
      </c>
      <c r="O102" s="15">
        <v>19878305</v>
      </c>
      <c r="P102" s="18" t="s">
        <v>103</v>
      </c>
      <c r="Q102" s="18">
        <v>3</v>
      </c>
      <c r="R102" s="18">
        <v>0.13200000000000001</v>
      </c>
      <c r="S102" s="15">
        <v>11.942</v>
      </c>
      <c r="T102" s="16">
        <v>45824</v>
      </c>
      <c r="U102" s="19">
        <v>45883</v>
      </c>
      <c r="V102" s="16">
        <v>45824</v>
      </c>
      <c r="W102" s="16">
        <v>45826</v>
      </c>
      <c r="X102" s="57">
        <f t="shared" si="8"/>
        <v>45825</v>
      </c>
      <c r="Y102" s="63">
        <v>45832</v>
      </c>
      <c r="Z102" s="67">
        <v>45861</v>
      </c>
      <c r="AA102" s="71">
        <f t="shared" si="9"/>
        <v>45874</v>
      </c>
      <c r="AB102" s="20">
        <f t="shared" si="10"/>
        <v>-9</v>
      </c>
      <c r="AC102" s="20" t="s">
        <v>50</v>
      </c>
      <c r="AD102" s="21" t="s">
        <v>51</v>
      </c>
      <c r="AE102" s="21"/>
      <c r="AF102" s="22" t="s">
        <v>52</v>
      </c>
      <c r="AG102" s="23" t="s">
        <v>53</v>
      </c>
      <c r="AH102" s="24"/>
      <c r="AN102" s="24"/>
    </row>
    <row r="103" spans="1:40" ht="12.75">
      <c r="A103" s="15">
        <v>3254506</v>
      </c>
      <c r="B103" s="15" t="s">
        <v>37</v>
      </c>
      <c r="C103" s="15" t="s">
        <v>38</v>
      </c>
      <c r="D103" s="15" t="s">
        <v>85</v>
      </c>
      <c r="E103" s="15" t="s">
        <v>86</v>
      </c>
      <c r="F103" s="15" t="s">
        <v>41</v>
      </c>
      <c r="G103" s="15" t="s">
        <v>87</v>
      </c>
      <c r="H103" s="15" t="s">
        <v>76</v>
      </c>
      <c r="I103" s="15" t="s">
        <v>77</v>
      </c>
      <c r="J103" s="15" t="s">
        <v>88</v>
      </c>
      <c r="K103" s="15" t="s">
        <v>89</v>
      </c>
      <c r="L103" s="16" t="s">
        <v>90</v>
      </c>
      <c r="M103" s="15" t="s">
        <v>48</v>
      </c>
      <c r="N103" s="17">
        <v>452752403153</v>
      </c>
      <c r="O103" s="15">
        <v>19877633</v>
      </c>
      <c r="P103" s="18" t="s">
        <v>104</v>
      </c>
      <c r="Q103" s="18">
        <v>2</v>
      </c>
      <c r="R103" s="18">
        <v>8.7999999999999995E-2</v>
      </c>
      <c r="S103" s="15">
        <v>9.157</v>
      </c>
      <c r="T103" s="16">
        <v>45824</v>
      </c>
      <c r="U103" s="19">
        <v>45883</v>
      </c>
      <c r="V103" s="16">
        <v>45824</v>
      </c>
      <c r="W103" s="16">
        <v>45826</v>
      </c>
      <c r="X103" s="57">
        <f t="shared" si="8"/>
        <v>45825</v>
      </c>
      <c r="Y103" s="63">
        <v>45832</v>
      </c>
      <c r="Z103" s="67">
        <v>45861</v>
      </c>
      <c r="AA103" s="71">
        <f t="shared" si="9"/>
        <v>45874</v>
      </c>
      <c r="AB103" s="20">
        <f t="shared" si="10"/>
        <v>-9</v>
      </c>
      <c r="AC103" s="20" t="s">
        <v>50</v>
      </c>
      <c r="AD103" s="21" t="s">
        <v>51</v>
      </c>
      <c r="AE103" s="21"/>
      <c r="AF103" s="22" t="s">
        <v>52</v>
      </c>
      <c r="AG103" s="23" t="s">
        <v>53</v>
      </c>
      <c r="AH103" s="24"/>
      <c r="AN103" s="24"/>
    </row>
    <row r="104" spans="1:40" ht="12.75">
      <c r="A104" s="15">
        <v>3254506</v>
      </c>
      <c r="B104" s="15" t="s">
        <v>37</v>
      </c>
      <c r="C104" s="15" t="s">
        <v>38</v>
      </c>
      <c r="D104" s="15" t="s">
        <v>85</v>
      </c>
      <c r="E104" s="15" t="s">
        <v>86</v>
      </c>
      <c r="F104" s="15" t="s">
        <v>41</v>
      </c>
      <c r="G104" s="15" t="s">
        <v>87</v>
      </c>
      <c r="H104" s="15" t="s">
        <v>76</v>
      </c>
      <c r="I104" s="15" t="s">
        <v>77</v>
      </c>
      <c r="J104" s="15" t="s">
        <v>88</v>
      </c>
      <c r="K104" s="15" t="s">
        <v>89</v>
      </c>
      <c r="L104" s="16" t="s">
        <v>90</v>
      </c>
      <c r="M104" s="15" t="s">
        <v>48</v>
      </c>
      <c r="N104" s="17">
        <v>452757140834</v>
      </c>
      <c r="O104" s="15">
        <v>19877610</v>
      </c>
      <c r="P104" s="18" t="s">
        <v>104</v>
      </c>
      <c r="Q104" s="18">
        <v>2</v>
      </c>
      <c r="R104" s="18">
        <v>8.7999999999999995E-2</v>
      </c>
      <c r="S104" s="15">
        <v>9.907</v>
      </c>
      <c r="T104" s="16">
        <v>45824</v>
      </c>
      <c r="U104" s="19">
        <v>45883</v>
      </c>
      <c r="V104" s="16">
        <v>45824</v>
      </c>
      <c r="W104" s="16">
        <v>45826</v>
      </c>
      <c r="X104" s="57">
        <f t="shared" si="8"/>
        <v>45825</v>
      </c>
      <c r="Y104" s="63">
        <v>45832</v>
      </c>
      <c r="Z104" s="67">
        <v>45861</v>
      </c>
      <c r="AA104" s="71">
        <f t="shared" si="9"/>
        <v>45874</v>
      </c>
      <c r="AB104" s="20">
        <f t="shared" si="10"/>
        <v>-9</v>
      </c>
      <c r="AC104" s="20" t="s">
        <v>50</v>
      </c>
      <c r="AD104" s="21" t="s">
        <v>51</v>
      </c>
      <c r="AE104" s="21"/>
      <c r="AF104" s="22" t="s">
        <v>52</v>
      </c>
      <c r="AG104" s="23" t="s">
        <v>53</v>
      </c>
      <c r="AH104" s="24"/>
      <c r="AN104" s="24"/>
    </row>
    <row r="105" spans="1:40" ht="12.75">
      <c r="A105" s="15">
        <v>3254506</v>
      </c>
      <c r="B105" s="15" t="s">
        <v>37</v>
      </c>
      <c r="C105" s="15" t="s">
        <v>38</v>
      </c>
      <c r="D105" s="15" t="s">
        <v>85</v>
      </c>
      <c r="E105" s="15" t="s">
        <v>86</v>
      </c>
      <c r="F105" s="15" t="s">
        <v>41</v>
      </c>
      <c r="G105" s="15" t="s">
        <v>87</v>
      </c>
      <c r="H105" s="15" t="s">
        <v>76</v>
      </c>
      <c r="I105" s="15" t="s">
        <v>77</v>
      </c>
      <c r="J105" s="15" t="s">
        <v>88</v>
      </c>
      <c r="K105" s="15" t="s">
        <v>89</v>
      </c>
      <c r="L105" s="16" t="s">
        <v>90</v>
      </c>
      <c r="M105" s="15" t="s">
        <v>48</v>
      </c>
      <c r="N105" s="17">
        <v>452757659944</v>
      </c>
      <c r="O105" s="15">
        <v>19878331</v>
      </c>
      <c r="P105" s="18" t="s">
        <v>104</v>
      </c>
      <c r="Q105" s="18">
        <v>3</v>
      </c>
      <c r="R105" s="18">
        <v>0.13200000000000001</v>
      </c>
      <c r="S105" s="15">
        <v>12.848000000000001</v>
      </c>
      <c r="T105" s="16">
        <v>45824</v>
      </c>
      <c r="U105" s="19">
        <v>45883</v>
      </c>
      <c r="V105" s="16">
        <v>45824</v>
      </c>
      <c r="W105" s="16">
        <v>45826</v>
      </c>
      <c r="X105" s="57">
        <f t="shared" si="8"/>
        <v>45825</v>
      </c>
      <c r="Y105" s="63">
        <v>45832</v>
      </c>
      <c r="Z105" s="67">
        <v>45861</v>
      </c>
      <c r="AA105" s="71">
        <f t="shared" si="9"/>
        <v>45874</v>
      </c>
      <c r="AB105" s="20">
        <f t="shared" si="10"/>
        <v>-9</v>
      </c>
      <c r="AC105" s="20" t="s">
        <v>50</v>
      </c>
      <c r="AD105" s="21" t="s">
        <v>51</v>
      </c>
      <c r="AE105" s="21"/>
      <c r="AF105" s="22" t="s">
        <v>52</v>
      </c>
      <c r="AG105" s="23" t="s">
        <v>53</v>
      </c>
      <c r="AH105" s="24"/>
      <c r="AN105" s="24"/>
    </row>
    <row r="106" spans="1:40" ht="12.75">
      <c r="A106" s="15">
        <v>3254506</v>
      </c>
      <c r="B106" s="15" t="s">
        <v>37</v>
      </c>
      <c r="C106" s="15" t="s">
        <v>38</v>
      </c>
      <c r="D106" s="15" t="s">
        <v>85</v>
      </c>
      <c r="E106" s="15" t="s">
        <v>86</v>
      </c>
      <c r="F106" s="15" t="s">
        <v>41</v>
      </c>
      <c r="G106" s="15" t="s">
        <v>87</v>
      </c>
      <c r="H106" s="15" t="s">
        <v>76</v>
      </c>
      <c r="I106" s="15" t="s">
        <v>77</v>
      </c>
      <c r="J106" s="15" t="s">
        <v>88</v>
      </c>
      <c r="K106" s="15" t="s">
        <v>89</v>
      </c>
      <c r="L106" s="16" t="s">
        <v>90</v>
      </c>
      <c r="M106" s="15" t="s">
        <v>48</v>
      </c>
      <c r="N106" s="17">
        <v>452757662388</v>
      </c>
      <c r="O106" s="15">
        <v>19877767</v>
      </c>
      <c r="P106" s="18" t="s">
        <v>105</v>
      </c>
      <c r="Q106" s="18">
        <v>1</v>
      </c>
      <c r="R106" s="18">
        <v>4.3999999999999997E-2</v>
      </c>
      <c r="S106" s="15">
        <v>4.1689999999999996</v>
      </c>
      <c r="T106" s="16">
        <v>45824</v>
      </c>
      <c r="U106" s="19">
        <v>45883</v>
      </c>
      <c r="V106" s="16">
        <v>45824</v>
      </c>
      <c r="W106" s="16">
        <v>45826</v>
      </c>
      <c r="X106" s="57">
        <f t="shared" si="8"/>
        <v>45825</v>
      </c>
      <c r="Y106" s="63">
        <v>45832</v>
      </c>
      <c r="Z106" s="67">
        <v>45861</v>
      </c>
      <c r="AA106" s="71">
        <f t="shared" si="9"/>
        <v>45874</v>
      </c>
      <c r="AB106" s="20">
        <f t="shared" si="10"/>
        <v>-9</v>
      </c>
      <c r="AC106" s="20" t="s">
        <v>50</v>
      </c>
      <c r="AD106" s="21" t="s">
        <v>51</v>
      </c>
      <c r="AE106" s="21"/>
      <c r="AF106" s="22" t="s">
        <v>52</v>
      </c>
      <c r="AG106" s="23" t="s">
        <v>53</v>
      </c>
      <c r="AH106" s="24"/>
      <c r="AN106" s="24"/>
    </row>
    <row r="107" spans="1:40" ht="12.75">
      <c r="A107" s="15">
        <v>3254506</v>
      </c>
      <c r="B107" s="15" t="s">
        <v>37</v>
      </c>
      <c r="C107" s="15" t="s">
        <v>38</v>
      </c>
      <c r="D107" s="15" t="s">
        <v>85</v>
      </c>
      <c r="E107" s="15" t="s">
        <v>86</v>
      </c>
      <c r="F107" s="15" t="s">
        <v>41</v>
      </c>
      <c r="G107" s="15" t="s">
        <v>87</v>
      </c>
      <c r="H107" s="15" t="s">
        <v>76</v>
      </c>
      <c r="I107" s="15" t="s">
        <v>77</v>
      </c>
      <c r="J107" s="15" t="s">
        <v>88</v>
      </c>
      <c r="K107" s="15" t="s">
        <v>89</v>
      </c>
      <c r="L107" s="16" t="s">
        <v>90</v>
      </c>
      <c r="M107" s="15" t="s">
        <v>48</v>
      </c>
      <c r="N107" s="17">
        <v>452760763325</v>
      </c>
      <c r="O107" s="15">
        <v>19878470</v>
      </c>
      <c r="P107" s="18" t="s">
        <v>105</v>
      </c>
      <c r="Q107" s="18">
        <v>2</v>
      </c>
      <c r="R107" s="18">
        <v>8.7999999999999995E-2</v>
      </c>
      <c r="S107" s="15">
        <v>7.22</v>
      </c>
      <c r="T107" s="16">
        <v>45824</v>
      </c>
      <c r="U107" s="19">
        <v>45883</v>
      </c>
      <c r="V107" s="16">
        <v>45824</v>
      </c>
      <c r="W107" s="16">
        <v>45826</v>
      </c>
      <c r="X107" s="57">
        <f t="shared" si="8"/>
        <v>45825</v>
      </c>
      <c r="Y107" s="63">
        <v>45832</v>
      </c>
      <c r="Z107" s="67">
        <v>45861</v>
      </c>
      <c r="AA107" s="71">
        <f t="shared" si="9"/>
        <v>45874</v>
      </c>
      <c r="AB107" s="20">
        <f t="shared" si="10"/>
        <v>-9</v>
      </c>
      <c r="AC107" s="20" t="s">
        <v>50</v>
      </c>
      <c r="AD107" s="21" t="s">
        <v>51</v>
      </c>
      <c r="AE107" s="21"/>
      <c r="AF107" s="22" t="s">
        <v>52</v>
      </c>
      <c r="AG107" s="23" t="s">
        <v>53</v>
      </c>
      <c r="AH107" s="24"/>
      <c r="AN107" s="24"/>
    </row>
    <row r="108" spans="1:40" ht="12.75">
      <c r="A108" s="15">
        <v>3254506</v>
      </c>
      <c r="B108" s="15" t="s">
        <v>37</v>
      </c>
      <c r="C108" s="15" t="s">
        <v>38</v>
      </c>
      <c r="D108" s="15" t="s">
        <v>85</v>
      </c>
      <c r="E108" s="15" t="s">
        <v>86</v>
      </c>
      <c r="F108" s="15" t="s">
        <v>41</v>
      </c>
      <c r="G108" s="15" t="s">
        <v>87</v>
      </c>
      <c r="H108" s="15" t="s">
        <v>76</v>
      </c>
      <c r="I108" s="15" t="s">
        <v>77</v>
      </c>
      <c r="J108" s="15" t="s">
        <v>88</v>
      </c>
      <c r="K108" s="15" t="s">
        <v>89</v>
      </c>
      <c r="L108" s="16" t="s">
        <v>90</v>
      </c>
      <c r="M108" s="15" t="s">
        <v>48</v>
      </c>
      <c r="N108" s="17">
        <v>452761326073</v>
      </c>
      <c r="O108" s="15">
        <v>19877811</v>
      </c>
      <c r="P108" s="18" t="s">
        <v>106</v>
      </c>
      <c r="Q108" s="18">
        <v>2</v>
      </c>
      <c r="R108" s="18">
        <v>8.7999999999999995E-2</v>
      </c>
      <c r="S108" s="15">
        <v>7.5549999999999997</v>
      </c>
      <c r="T108" s="16">
        <v>45824</v>
      </c>
      <c r="U108" s="19">
        <v>45883</v>
      </c>
      <c r="V108" s="16">
        <v>45824</v>
      </c>
      <c r="W108" s="16">
        <v>45826</v>
      </c>
      <c r="X108" s="57">
        <f t="shared" si="8"/>
        <v>45825</v>
      </c>
      <c r="Y108" s="63">
        <v>45832</v>
      </c>
      <c r="Z108" s="67">
        <v>45861</v>
      </c>
      <c r="AA108" s="71">
        <f t="shared" si="9"/>
        <v>45874</v>
      </c>
      <c r="AB108" s="20">
        <f t="shared" si="10"/>
        <v>-9</v>
      </c>
      <c r="AC108" s="20" t="s">
        <v>50</v>
      </c>
      <c r="AD108" s="21" t="s">
        <v>51</v>
      </c>
      <c r="AE108" s="21"/>
      <c r="AF108" s="22" t="s">
        <v>52</v>
      </c>
      <c r="AG108" s="23" t="s">
        <v>53</v>
      </c>
      <c r="AH108" s="24"/>
      <c r="AN108" s="24"/>
    </row>
    <row r="109" spans="1:40" ht="12.75">
      <c r="A109" s="15">
        <v>3254506</v>
      </c>
      <c r="B109" s="15" t="s">
        <v>37</v>
      </c>
      <c r="C109" s="15" t="s">
        <v>38</v>
      </c>
      <c r="D109" s="15" t="s">
        <v>85</v>
      </c>
      <c r="E109" s="15" t="s">
        <v>86</v>
      </c>
      <c r="F109" s="15" t="s">
        <v>41</v>
      </c>
      <c r="G109" s="15" t="s">
        <v>87</v>
      </c>
      <c r="H109" s="15" t="s">
        <v>76</v>
      </c>
      <c r="I109" s="15" t="s">
        <v>77</v>
      </c>
      <c r="J109" s="15" t="s">
        <v>88</v>
      </c>
      <c r="K109" s="15" t="s">
        <v>89</v>
      </c>
      <c r="L109" s="16" t="s">
        <v>90</v>
      </c>
      <c r="M109" s="15" t="s">
        <v>48</v>
      </c>
      <c r="N109" s="17">
        <v>452762125413</v>
      </c>
      <c r="O109" s="15">
        <v>19878445</v>
      </c>
      <c r="P109" s="18" t="s">
        <v>105</v>
      </c>
      <c r="Q109" s="18">
        <v>2</v>
      </c>
      <c r="R109" s="18">
        <v>8.7999999999999995E-2</v>
      </c>
      <c r="S109" s="15">
        <v>11.348000000000001</v>
      </c>
      <c r="T109" s="16">
        <v>45824</v>
      </c>
      <c r="U109" s="19">
        <v>45883</v>
      </c>
      <c r="V109" s="16">
        <v>45824</v>
      </c>
      <c r="W109" s="16">
        <v>45826</v>
      </c>
      <c r="X109" s="57">
        <f t="shared" si="8"/>
        <v>45825</v>
      </c>
      <c r="Y109" s="63">
        <v>45832</v>
      </c>
      <c r="Z109" s="67">
        <v>45861</v>
      </c>
      <c r="AA109" s="71">
        <f t="shared" si="9"/>
        <v>45874</v>
      </c>
      <c r="AB109" s="20">
        <f t="shared" si="10"/>
        <v>-9</v>
      </c>
      <c r="AC109" s="20" t="s">
        <v>50</v>
      </c>
      <c r="AD109" s="21" t="s">
        <v>51</v>
      </c>
      <c r="AE109" s="21"/>
      <c r="AF109" s="22" t="s">
        <v>52</v>
      </c>
      <c r="AG109" s="23" t="s">
        <v>53</v>
      </c>
      <c r="AH109" s="24"/>
      <c r="AN109" s="24"/>
    </row>
    <row r="110" spans="1:40" ht="12.75">
      <c r="A110" s="15">
        <v>3254506</v>
      </c>
      <c r="B110" s="15" t="s">
        <v>37</v>
      </c>
      <c r="C110" s="15" t="s">
        <v>38</v>
      </c>
      <c r="D110" s="15" t="s">
        <v>85</v>
      </c>
      <c r="E110" s="15" t="s">
        <v>86</v>
      </c>
      <c r="F110" s="15" t="s">
        <v>41</v>
      </c>
      <c r="G110" s="15" t="s">
        <v>87</v>
      </c>
      <c r="H110" s="15" t="s">
        <v>76</v>
      </c>
      <c r="I110" s="15" t="s">
        <v>77</v>
      </c>
      <c r="J110" s="15" t="s">
        <v>88</v>
      </c>
      <c r="K110" s="15" t="s">
        <v>89</v>
      </c>
      <c r="L110" s="16" t="s">
        <v>90</v>
      </c>
      <c r="M110" s="15" t="s">
        <v>48</v>
      </c>
      <c r="N110" s="17">
        <v>452765721497</v>
      </c>
      <c r="O110" s="15">
        <v>19878489</v>
      </c>
      <c r="P110" s="18" t="s">
        <v>106</v>
      </c>
      <c r="Q110" s="18">
        <v>3</v>
      </c>
      <c r="R110" s="18">
        <v>0.13200000000000001</v>
      </c>
      <c r="S110" s="15">
        <v>13.285</v>
      </c>
      <c r="T110" s="16">
        <v>45824</v>
      </c>
      <c r="U110" s="19">
        <v>45883</v>
      </c>
      <c r="V110" s="16">
        <v>45824</v>
      </c>
      <c r="W110" s="16">
        <v>45826</v>
      </c>
      <c r="X110" s="57">
        <f t="shared" si="8"/>
        <v>45825</v>
      </c>
      <c r="Y110" s="63">
        <v>45832</v>
      </c>
      <c r="Z110" s="67">
        <v>45861</v>
      </c>
      <c r="AA110" s="71">
        <f t="shared" si="9"/>
        <v>45874</v>
      </c>
      <c r="AB110" s="20">
        <f t="shared" si="10"/>
        <v>-9</v>
      </c>
      <c r="AC110" s="20" t="s">
        <v>50</v>
      </c>
      <c r="AD110" s="21" t="s">
        <v>51</v>
      </c>
      <c r="AE110" s="21"/>
      <c r="AF110" s="22" t="s">
        <v>52</v>
      </c>
      <c r="AG110" s="23" t="s">
        <v>53</v>
      </c>
      <c r="AH110" s="24"/>
      <c r="AN110" s="24"/>
    </row>
    <row r="111" spans="1:40" ht="12.75">
      <c r="A111" s="15">
        <v>3254506</v>
      </c>
      <c r="B111" s="15" t="s">
        <v>37</v>
      </c>
      <c r="C111" s="15" t="s">
        <v>38</v>
      </c>
      <c r="D111" s="15" t="s">
        <v>85</v>
      </c>
      <c r="E111" s="15" t="s">
        <v>86</v>
      </c>
      <c r="F111" s="15" t="s">
        <v>41</v>
      </c>
      <c r="G111" s="15" t="s">
        <v>87</v>
      </c>
      <c r="H111" s="15" t="s">
        <v>76</v>
      </c>
      <c r="I111" s="15" t="s">
        <v>77</v>
      </c>
      <c r="J111" s="15" t="s">
        <v>88</v>
      </c>
      <c r="K111" s="15" t="s">
        <v>89</v>
      </c>
      <c r="L111" s="16" t="s">
        <v>90</v>
      </c>
      <c r="M111" s="15" t="s">
        <v>48</v>
      </c>
      <c r="N111" s="17">
        <v>452765724226</v>
      </c>
      <c r="O111" s="15">
        <v>19877496</v>
      </c>
      <c r="P111" s="18" t="s">
        <v>107</v>
      </c>
      <c r="Q111" s="18">
        <v>2</v>
      </c>
      <c r="R111" s="18">
        <v>8.7999999999999995E-2</v>
      </c>
      <c r="S111" s="15">
        <v>8.4809999999999999</v>
      </c>
      <c r="T111" s="16">
        <v>45824</v>
      </c>
      <c r="U111" s="19">
        <v>45883</v>
      </c>
      <c r="V111" s="16">
        <v>45824</v>
      </c>
      <c r="W111" s="16">
        <v>45826</v>
      </c>
      <c r="X111" s="57">
        <f t="shared" si="8"/>
        <v>45825</v>
      </c>
      <c r="Y111" s="63">
        <v>45832</v>
      </c>
      <c r="Z111" s="67">
        <v>45861</v>
      </c>
      <c r="AA111" s="71">
        <f t="shared" si="9"/>
        <v>45874</v>
      </c>
      <c r="AB111" s="20">
        <f t="shared" si="10"/>
        <v>-9</v>
      </c>
      <c r="AC111" s="20" t="s">
        <v>50</v>
      </c>
      <c r="AD111" s="21" t="s">
        <v>51</v>
      </c>
      <c r="AE111" s="21"/>
      <c r="AF111" s="22" t="s">
        <v>52</v>
      </c>
      <c r="AG111" s="23" t="s">
        <v>53</v>
      </c>
      <c r="AH111" s="24"/>
      <c r="AN111" s="24"/>
    </row>
    <row r="112" spans="1:40" ht="12.75">
      <c r="A112" s="15">
        <v>3254506</v>
      </c>
      <c r="B112" s="15" t="s">
        <v>37</v>
      </c>
      <c r="C112" s="15" t="s">
        <v>38</v>
      </c>
      <c r="D112" s="15" t="s">
        <v>85</v>
      </c>
      <c r="E112" s="15" t="s">
        <v>86</v>
      </c>
      <c r="F112" s="15" t="s">
        <v>41</v>
      </c>
      <c r="G112" s="15" t="s">
        <v>87</v>
      </c>
      <c r="H112" s="15" t="s">
        <v>76</v>
      </c>
      <c r="I112" s="15" t="s">
        <v>77</v>
      </c>
      <c r="J112" s="15" t="s">
        <v>88</v>
      </c>
      <c r="K112" s="15" t="s">
        <v>89</v>
      </c>
      <c r="L112" s="16" t="s">
        <v>90</v>
      </c>
      <c r="M112" s="15" t="s">
        <v>48</v>
      </c>
      <c r="N112" s="17">
        <v>452773631837</v>
      </c>
      <c r="O112" s="15">
        <v>19878318</v>
      </c>
      <c r="P112" s="18" t="s">
        <v>104</v>
      </c>
      <c r="Q112" s="18">
        <v>2</v>
      </c>
      <c r="R112" s="18">
        <v>8.7999999999999995E-2</v>
      </c>
      <c r="S112" s="15">
        <v>14.053000000000001</v>
      </c>
      <c r="T112" s="16">
        <v>45824</v>
      </c>
      <c r="U112" s="19">
        <v>45883</v>
      </c>
      <c r="V112" s="16">
        <v>45824</v>
      </c>
      <c r="W112" s="16">
        <v>45826</v>
      </c>
      <c r="X112" s="57">
        <f t="shared" si="8"/>
        <v>45825</v>
      </c>
      <c r="Y112" s="63">
        <v>45832</v>
      </c>
      <c r="Z112" s="67">
        <v>45861</v>
      </c>
      <c r="AA112" s="71">
        <f t="shared" si="9"/>
        <v>45874</v>
      </c>
      <c r="AB112" s="20">
        <f t="shared" si="10"/>
        <v>-9</v>
      </c>
      <c r="AC112" s="20" t="s">
        <v>50</v>
      </c>
      <c r="AD112" s="21" t="s">
        <v>51</v>
      </c>
      <c r="AE112" s="21"/>
      <c r="AF112" s="22" t="s">
        <v>52</v>
      </c>
      <c r="AG112" s="23" t="s">
        <v>53</v>
      </c>
      <c r="AH112" s="24"/>
      <c r="AN112" s="24"/>
    </row>
    <row r="113" spans="1:40" ht="12.75">
      <c r="A113" s="15">
        <v>3254506</v>
      </c>
      <c r="B113" s="15" t="s">
        <v>37</v>
      </c>
      <c r="C113" s="15" t="s">
        <v>38</v>
      </c>
      <c r="D113" s="15" t="s">
        <v>85</v>
      </c>
      <c r="E113" s="15" t="s">
        <v>86</v>
      </c>
      <c r="F113" s="15" t="s">
        <v>41</v>
      </c>
      <c r="G113" s="15" t="s">
        <v>87</v>
      </c>
      <c r="H113" s="15" t="s">
        <v>76</v>
      </c>
      <c r="I113" s="15" t="s">
        <v>77</v>
      </c>
      <c r="J113" s="15" t="s">
        <v>88</v>
      </c>
      <c r="K113" s="15" t="s">
        <v>89</v>
      </c>
      <c r="L113" s="16" t="s">
        <v>90</v>
      </c>
      <c r="M113" s="15" t="s">
        <v>48</v>
      </c>
      <c r="N113" s="17">
        <v>452774647331</v>
      </c>
      <c r="O113" s="15">
        <v>19877661</v>
      </c>
      <c r="P113" s="18" t="s">
        <v>108</v>
      </c>
      <c r="Q113" s="18">
        <v>4</v>
      </c>
      <c r="R113" s="18">
        <v>0.17599999999999999</v>
      </c>
      <c r="S113" s="15">
        <v>12.536</v>
      </c>
      <c r="T113" s="16">
        <v>45824</v>
      </c>
      <c r="U113" s="19">
        <v>45883</v>
      </c>
      <c r="V113" s="16">
        <v>45824</v>
      </c>
      <c r="W113" s="16">
        <v>45826</v>
      </c>
      <c r="X113" s="57">
        <f t="shared" si="8"/>
        <v>45825</v>
      </c>
      <c r="Y113" s="63">
        <v>45832</v>
      </c>
      <c r="Z113" s="67">
        <v>45861</v>
      </c>
      <c r="AA113" s="71">
        <f t="shared" si="9"/>
        <v>45874</v>
      </c>
      <c r="AB113" s="20">
        <f t="shared" si="10"/>
        <v>-9</v>
      </c>
      <c r="AC113" s="20" t="s">
        <v>50</v>
      </c>
      <c r="AD113" s="21" t="s">
        <v>51</v>
      </c>
      <c r="AE113" s="21"/>
      <c r="AF113" s="22" t="s">
        <v>52</v>
      </c>
      <c r="AG113" s="23" t="s">
        <v>53</v>
      </c>
      <c r="AH113" s="24"/>
      <c r="AN113" s="24"/>
    </row>
    <row r="114" spans="1:40" ht="12.75">
      <c r="A114" s="15">
        <v>3254506</v>
      </c>
      <c r="B114" s="15" t="s">
        <v>37</v>
      </c>
      <c r="C114" s="15" t="s">
        <v>38</v>
      </c>
      <c r="D114" s="15" t="s">
        <v>85</v>
      </c>
      <c r="E114" s="15" t="s">
        <v>86</v>
      </c>
      <c r="F114" s="15" t="s">
        <v>41</v>
      </c>
      <c r="G114" s="15" t="s">
        <v>87</v>
      </c>
      <c r="H114" s="15" t="s">
        <v>76</v>
      </c>
      <c r="I114" s="15" t="s">
        <v>77</v>
      </c>
      <c r="J114" s="15" t="s">
        <v>88</v>
      </c>
      <c r="K114" s="15" t="s">
        <v>89</v>
      </c>
      <c r="L114" s="16" t="s">
        <v>90</v>
      </c>
      <c r="M114" s="15" t="s">
        <v>48</v>
      </c>
      <c r="N114" s="17">
        <v>452775881517</v>
      </c>
      <c r="O114" s="15">
        <v>19878367</v>
      </c>
      <c r="P114" s="18" t="s">
        <v>108</v>
      </c>
      <c r="Q114" s="18">
        <v>6</v>
      </c>
      <c r="R114" s="18">
        <v>0.26400000000000001</v>
      </c>
      <c r="S114" s="15">
        <v>21.001000000000001</v>
      </c>
      <c r="T114" s="16">
        <v>45824</v>
      </c>
      <c r="U114" s="19">
        <v>45883</v>
      </c>
      <c r="V114" s="16">
        <v>45824</v>
      </c>
      <c r="W114" s="16">
        <v>45826</v>
      </c>
      <c r="X114" s="57">
        <f t="shared" si="8"/>
        <v>45825</v>
      </c>
      <c r="Y114" s="63">
        <v>45832</v>
      </c>
      <c r="Z114" s="67">
        <v>45861</v>
      </c>
      <c r="AA114" s="71">
        <f t="shared" si="9"/>
        <v>45874</v>
      </c>
      <c r="AB114" s="20">
        <f t="shared" si="10"/>
        <v>-9</v>
      </c>
      <c r="AC114" s="20" t="s">
        <v>50</v>
      </c>
      <c r="AD114" s="21" t="s">
        <v>51</v>
      </c>
      <c r="AE114" s="21"/>
      <c r="AF114" s="22" t="s">
        <v>52</v>
      </c>
      <c r="AG114" s="23" t="s">
        <v>53</v>
      </c>
      <c r="AH114" s="24"/>
      <c r="AN114" s="24"/>
    </row>
    <row r="115" spans="1:40" ht="12.75">
      <c r="A115" s="15">
        <v>3254506</v>
      </c>
      <c r="B115" s="15" t="s">
        <v>37</v>
      </c>
      <c r="C115" s="15" t="s">
        <v>38</v>
      </c>
      <c r="D115" s="15" t="s">
        <v>85</v>
      </c>
      <c r="E115" s="15" t="s">
        <v>86</v>
      </c>
      <c r="F115" s="15" t="s">
        <v>41</v>
      </c>
      <c r="G115" s="15" t="s">
        <v>87</v>
      </c>
      <c r="H115" s="15" t="s">
        <v>76</v>
      </c>
      <c r="I115" s="15" t="s">
        <v>77</v>
      </c>
      <c r="J115" s="15" t="s">
        <v>88</v>
      </c>
      <c r="K115" s="15" t="s">
        <v>89</v>
      </c>
      <c r="L115" s="16" t="s">
        <v>90</v>
      </c>
      <c r="M115" s="15" t="s">
        <v>48</v>
      </c>
      <c r="N115" s="17">
        <v>452776356218</v>
      </c>
      <c r="O115" s="15">
        <v>19877671</v>
      </c>
      <c r="P115" s="18" t="s">
        <v>109</v>
      </c>
      <c r="Q115" s="18">
        <v>4</v>
      </c>
      <c r="R115" s="18">
        <v>0.17599999999999999</v>
      </c>
      <c r="S115" s="15">
        <v>12.263999999999999</v>
      </c>
      <c r="T115" s="16">
        <v>45824</v>
      </c>
      <c r="U115" s="19">
        <v>45883</v>
      </c>
      <c r="V115" s="16">
        <v>45824</v>
      </c>
      <c r="W115" s="16">
        <v>45826</v>
      </c>
      <c r="X115" s="57">
        <f t="shared" si="8"/>
        <v>45825</v>
      </c>
      <c r="Y115" s="63">
        <v>45832</v>
      </c>
      <c r="Z115" s="67">
        <v>45861</v>
      </c>
      <c r="AA115" s="71">
        <f t="shared" si="9"/>
        <v>45874</v>
      </c>
      <c r="AB115" s="20">
        <f t="shared" si="10"/>
        <v>-9</v>
      </c>
      <c r="AC115" s="20" t="s">
        <v>50</v>
      </c>
      <c r="AD115" s="21" t="s">
        <v>51</v>
      </c>
      <c r="AE115" s="21"/>
      <c r="AF115" s="22" t="s">
        <v>52</v>
      </c>
      <c r="AG115" s="23" t="s">
        <v>53</v>
      </c>
      <c r="AH115" s="24"/>
      <c r="AN115" s="24"/>
    </row>
    <row r="116" spans="1:40" ht="12.75">
      <c r="A116" s="15">
        <v>3254506</v>
      </c>
      <c r="B116" s="15" t="s">
        <v>37</v>
      </c>
      <c r="C116" s="15" t="s">
        <v>38</v>
      </c>
      <c r="D116" s="15" t="s">
        <v>85</v>
      </c>
      <c r="E116" s="15" t="s">
        <v>86</v>
      </c>
      <c r="F116" s="15" t="s">
        <v>41</v>
      </c>
      <c r="G116" s="15" t="s">
        <v>87</v>
      </c>
      <c r="H116" s="15" t="s">
        <v>76</v>
      </c>
      <c r="I116" s="15" t="s">
        <v>77</v>
      </c>
      <c r="J116" s="15" t="s">
        <v>88</v>
      </c>
      <c r="K116" s="15" t="s">
        <v>89</v>
      </c>
      <c r="L116" s="16" t="s">
        <v>90</v>
      </c>
      <c r="M116" s="15" t="s">
        <v>48</v>
      </c>
      <c r="N116" s="17">
        <v>452777186932</v>
      </c>
      <c r="O116" s="15">
        <v>19877689</v>
      </c>
      <c r="P116" s="18" t="s">
        <v>110</v>
      </c>
      <c r="Q116" s="18">
        <v>4</v>
      </c>
      <c r="R116" s="18">
        <v>0.17599999999999999</v>
      </c>
      <c r="S116" s="15">
        <v>17.350999999999999</v>
      </c>
      <c r="T116" s="16">
        <v>45824</v>
      </c>
      <c r="U116" s="19">
        <v>45883</v>
      </c>
      <c r="V116" s="16">
        <v>45824</v>
      </c>
      <c r="W116" s="16">
        <v>45826</v>
      </c>
      <c r="X116" s="57">
        <f t="shared" si="8"/>
        <v>45825</v>
      </c>
      <c r="Y116" s="63">
        <v>45832</v>
      </c>
      <c r="Z116" s="67">
        <v>45861</v>
      </c>
      <c r="AA116" s="71">
        <f t="shared" si="9"/>
        <v>45874</v>
      </c>
      <c r="AB116" s="20">
        <f t="shared" si="10"/>
        <v>-9</v>
      </c>
      <c r="AC116" s="20" t="s">
        <v>50</v>
      </c>
      <c r="AD116" s="21" t="s">
        <v>51</v>
      </c>
      <c r="AE116" s="21"/>
      <c r="AF116" s="22" t="s">
        <v>52</v>
      </c>
      <c r="AG116" s="23" t="s">
        <v>53</v>
      </c>
      <c r="AH116" s="24"/>
      <c r="AN116" s="24"/>
    </row>
    <row r="117" spans="1:40" ht="12.75">
      <c r="A117" s="15">
        <v>3254506</v>
      </c>
      <c r="B117" s="15" t="s">
        <v>37</v>
      </c>
      <c r="C117" s="15" t="s">
        <v>38</v>
      </c>
      <c r="D117" s="15" t="s">
        <v>85</v>
      </c>
      <c r="E117" s="15" t="s">
        <v>86</v>
      </c>
      <c r="F117" s="15" t="s">
        <v>41</v>
      </c>
      <c r="G117" s="15" t="s">
        <v>87</v>
      </c>
      <c r="H117" s="15" t="s">
        <v>76</v>
      </c>
      <c r="I117" s="15" t="s">
        <v>77</v>
      </c>
      <c r="J117" s="15" t="s">
        <v>88</v>
      </c>
      <c r="K117" s="15" t="s">
        <v>89</v>
      </c>
      <c r="L117" s="16" t="s">
        <v>90</v>
      </c>
      <c r="M117" s="15" t="s">
        <v>48</v>
      </c>
      <c r="N117" s="17">
        <v>452778136068</v>
      </c>
      <c r="O117" s="15">
        <v>19878403</v>
      </c>
      <c r="P117" s="18" t="s">
        <v>110</v>
      </c>
      <c r="Q117" s="18">
        <v>6</v>
      </c>
      <c r="R117" s="18">
        <v>0.26400000000000001</v>
      </c>
      <c r="S117" s="15">
        <v>29.094999999999999</v>
      </c>
      <c r="T117" s="16">
        <v>45824</v>
      </c>
      <c r="U117" s="19">
        <v>45883</v>
      </c>
      <c r="V117" s="16">
        <v>45824</v>
      </c>
      <c r="W117" s="16">
        <v>45826</v>
      </c>
      <c r="X117" s="57">
        <f t="shared" si="8"/>
        <v>45825</v>
      </c>
      <c r="Y117" s="63">
        <v>45832</v>
      </c>
      <c r="Z117" s="67">
        <v>45861</v>
      </c>
      <c r="AA117" s="71">
        <f t="shared" si="9"/>
        <v>45874</v>
      </c>
      <c r="AB117" s="20">
        <f t="shared" si="10"/>
        <v>-9</v>
      </c>
      <c r="AC117" s="20" t="s">
        <v>50</v>
      </c>
      <c r="AD117" s="21" t="s">
        <v>51</v>
      </c>
      <c r="AE117" s="21"/>
      <c r="AF117" s="22" t="s">
        <v>52</v>
      </c>
      <c r="AG117" s="23" t="s">
        <v>53</v>
      </c>
      <c r="AH117" s="24"/>
      <c r="AN117" s="24"/>
    </row>
    <row r="118" spans="1:40" ht="12.75">
      <c r="A118" s="15">
        <v>3254506</v>
      </c>
      <c r="B118" s="15" t="s">
        <v>37</v>
      </c>
      <c r="C118" s="15" t="s">
        <v>38</v>
      </c>
      <c r="D118" s="15" t="s">
        <v>85</v>
      </c>
      <c r="E118" s="15" t="s">
        <v>86</v>
      </c>
      <c r="F118" s="15" t="s">
        <v>41</v>
      </c>
      <c r="G118" s="15" t="s">
        <v>87</v>
      </c>
      <c r="H118" s="15" t="s">
        <v>76</v>
      </c>
      <c r="I118" s="15" t="s">
        <v>77</v>
      </c>
      <c r="J118" s="15" t="s">
        <v>88</v>
      </c>
      <c r="K118" s="15" t="s">
        <v>89</v>
      </c>
      <c r="L118" s="16" t="s">
        <v>90</v>
      </c>
      <c r="M118" s="15" t="s">
        <v>48</v>
      </c>
      <c r="N118" s="17">
        <v>452778356716</v>
      </c>
      <c r="O118" s="15">
        <v>19878421</v>
      </c>
      <c r="P118" s="18" t="s">
        <v>111</v>
      </c>
      <c r="Q118" s="18">
        <v>7</v>
      </c>
      <c r="R118" s="18">
        <v>0.307</v>
      </c>
      <c r="S118" s="15">
        <v>38.018999999999998</v>
      </c>
      <c r="T118" s="16">
        <v>45824</v>
      </c>
      <c r="U118" s="19">
        <v>45883</v>
      </c>
      <c r="V118" s="16">
        <v>45824</v>
      </c>
      <c r="W118" s="16">
        <v>45826</v>
      </c>
      <c r="X118" s="57">
        <f t="shared" si="8"/>
        <v>45825</v>
      </c>
      <c r="Y118" s="63">
        <v>45832</v>
      </c>
      <c r="Z118" s="67">
        <v>45861</v>
      </c>
      <c r="AA118" s="71">
        <f t="shared" si="9"/>
        <v>45874</v>
      </c>
      <c r="AB118" s="20">
        <f t="shared" si="10"/>
        <v>-9</v>
      </c>
      <c r="AC118" s="20" t="s">
        <v>50</v>
      </c>
      <c r="AD118" s="21" t="s">
        <v>51</v>
      </c>
      <c r="AE118" s="21"/>
      <c r="AF118" s="22" t="s">
        <v>52</v>
      </c>
      <c r="AG118" s="23" t="s">
        <v>53</v>
      </c>
      <c r="AH118" s="24"/>
      <c r="AN118" s="24"/>
    </row>
    <row r="119" spans="1:40" ht="12.75">
      <c r="A119" s="15">
        <v>3254506</v>
      </c>
      <c r="B119" s="15" t="s">
        <v>37</v>
      </c>
      <c r="C119" s="15" t="s">
        <v>38</v>
      </c>
      <c r="D119" s="15" t="s">
        <v>85</v>
      </c>
      <c r="E119" s="15" t="s">
        <v>86</v>
      </c>
      <c r="F119" s="15" t="s">
        <v>41</v>
      </c>
      <c r="G119" s="15" t="s">
        <v>87</v>
      </c>
      <c r="H119" s="15" t="s">
        <v>76</v>
      </c>
      <c r="I119" s="15" t="s">
        <v>77</v>
      </c>
      <c r="J119" s="15" t="s">
        <v>88</v>
      </c>
      <c r="K119" s="15" t="s">
        <v>89</v>
      </c>
      <c r="L119" s="16" t="s">
        <v>90</v>
      </c>
      <c r="M119" s="15" t="s">
        <v>48</v>
      </c>
      <c r="N119" s="17">
        <v>452778857948</v>
      </c>
      <c r="O119" s="15">
        <v>19877709</v>
      </c>
      <c r="P119" s="18" t="s">
        <v>111</v>
      </c>
      <c r="Q119" s="18">
        <v>4</v>
      </c>
      <c r="R119" s="18">
        <v>0.17599999999999999</v>
      </c>
      <c r="S119" s="15">
        <v>21.760999999999999</v>
      </c>
      <c r="T119" s="16">
        <v>45824</v>
      </c>
      <c r="U119" s="19">
        <v>45883</v>
      </c>
      <c r="V119" s="16">
        <v>45824</v>
      </c>
      <c r="W119" s="16">
        <v>45826</v>
      </c>
      <c r="X119" s="57">
        <f t="shared" si="8"/>
        <v>45825</v>
      </c>
      <c r="Y119" s="63">
        <v>45832</v>
      </c>
      <c r="Z119" s="67">
        <v>45861</v>
      </c>
      <c r="AA119" s="71">
        <f t="shared" si="9"/>
        <v>45874</v>
      </c>
      <c r="AB119" s="20">
        <f t="shared" si="10"/>
        <v>-9</v>
      </c>
      <c r="AC119" s="20" t="s">
        <v>50</v>
      </c>
      <c r="AD119" s="21" t="s">
        <v>51</v>
      </c>
      <c r="AE119" s="21"/>
      <c r="AF119" s="22" t="s">
        <v>52</v>
      </c>
      <c r="AG119" s="23" t="s">
        <v>53</v>
      </c>
      <c r="AH119" s="24"/>
      <c r="AN119" s="24"/>
    </row>
    <row r="120" spans="1:40" ht="12.75">
      <c r="A120" s="15">
        <v>3254506</v>
      </c>
      <c r="B120" s="15" t="s">
        <v>37</v>
      </c>
      <c r="C120" s="15" t="s">
        <v>38</v>
      </c>
      <c r="D120" s="15" t="s">
        <v>85</v>
      </c>
      <c r="E120" s="15" t="s">
        <v>86</v>
      </c>
      <c r="F120" s="15" t="s">
        <v>41</v>
      </c>
      <c r="G120" s="15" t="s">
        <v>87</v>
      </c>
      <c r="H120" s="15" t="s">
        <v>76</v>
      </c>
      <c r="I120" s="15" t="s">
        <v>77</v>
      </c>
      <c r="J120" s="15" t="s">
        <v>88</v>
      </c>
      <c r="K120" s="15" t="s">
        <v>89</v>
      </c>
      <c r="L120" s="16" t="s">
        <v>90</v>
      </c>
      <c r="M120" s="15" t="s">
        <v>48</v>
      </c>
      <c r="N120" s="17">
        <v>452782663921</v>
      </c>
      <c r="O120" s="15">
        <v>19843755</v>
      </c>
      <c r="P120" s="18" t="s">
        <v>93</v>
      </c>
      <c r="Q120" s="18">
        <v>4</v>
      </c>
      <c r="R120" s="18">
        <v>0.17599999999999999</v>
      </c>
      <c r="S120" s="15">
        <v>19.553999999999998</v>
      </c>
      <c r="T120" s="16">
        <v>45824</v>
      </c>
      <c r="U120" s="19">
        <v>45883</v>
      </c>
      <c r="V120" s="16">
        <v>45824</v>
      </c>
      <c r="W120" s="16">
        <v>45826</v>
      </c>
      <c r="X120" s="57">
        <f t="shared" si="8"/>
        <v>45825</v>
      </c>
      <c r="Y120" s="63">
        <v>45832</v>
      </c>
      <c r="Z120" s="67">
        <v>45861</v>
      </c>
      <c r="AA120" s="71">
        <f t="shared" si="9"/>
        <v>45874</v>
      </c>
      <c r="AB120" s="20">
        <f t="shared" si="10"/>
        <v>-9</v>
      </c>
      <c r="AC120" s="20" t="s">
        <v>50</v>
      </c>
      <c r="AD120" s="21" t="s">
        <v>51</v>
      </c>
      <c r="AE120" s="21"/>
      <c r="AF120" s="22" t="s">
        <v>52</v>
      </c>
      <c r="AG120" s="23" t="s">
        <v>53</v>
      </c>
      <c r="AH120" s="24"/>
      <c r="AN120" s="24"/>
    </row>
    <row r="121" spans="1:40" ht="12.75">
      <c r="A121" s="15">
        <v>3254506</v>
      </c>
      <c r="B121" s="15" t="s">
        <v>37</v>
      </c>
      <c r="C121" s="15" t="s">
        <v>38</v>
      </c>
      <c r="D121" s="15" t="s">
        <v>85</v>
      </c>
      <c r="E121" s="15" t="s">
        <v>86</v>
      </c>
      <c r="F121" s="15" t="s">
        <v>41</v>
      </c>
      <c r="G121" s="15" t="s">
        <v>87</v>
      </c>
      <c r="H121" s="15" t="s">
        <v>76</v>
      </c>
      <c r="I121" s="15" t="s">
        <v>77</v>
      </c>
      <c r="J121" s="15" t="s">
        <v>88</v>
      </c>
      <c r="K121" s="15" t="s">
        <v>89</v>
      </c>
      <c r="L121" s="16" t="s">
        <v>90</v>
      </c>
      <c r="M121" s="15" t="s">
        <v>48</v>
      </c>
      <c r="N121" s="17">
        <v>452848070482</v>
      </c>
      <c r="O121" s="15">
        <v>19843852</v>
      </c>
      <c r="P121" s="18" t="s">
        <v>93</v>
      </c>
      <c r="Q121" s="18">
        <v>16</v>
      </c>
      <c r="R121" s="18">
        <v>0.70299999999999996</v>
      </c>
      <c r="S121" s="15">
        <v>97.519000000000005</v>
      </c>
      <c r="T121" s="16">
        <v>45824</v>
      </c>
      <c r="U121" s="19">
        <v>45883</v>
      </c>
      <c r="V121" s="16">
        <v>45824</v>
      </c>
      <c r="W121" s="16">
        <v>45826</v>
      </c>
      <c r="X121" s="57">
        <f t="shared" si="8"/>
        <v>45825</v>
      </c>
      <c r="Y121" s="63">
        <v>45832</v>
      </c>
      <c r="Z121" s="67">
        <v>45861</v>
      </c>
      <c r="AA121" s="71">
        <f t="shared" si="9"/>
        <v>45874</v>
      </c>
      <c r="AB121" s="20">
        <f t="shared" si="10"/>
        <v>-9</v>
      </c>
      <c r="AC121" s="20" t="s">
        <v>50</v>
      </c>
      <c r="AD121" s="21" t="s">
        <v>51</v>
      </c>
      <c r="AE121" s="21"/>
      <c r="AF121" s="22" t="s">
        <v>52</v>
      </c>
      <c r="AG121" s="23" t="s">
        <v>53</v>
      </c>
      <c r="AH121" s="24"/>
      <c r="AN121" s="24"/>
    </row>
    <row r="122" spans="1:40" ht="12.75">
      <c r="A122" s="15">
        <v>3254506</v>
      </c>
      <c r="B122" s="15" t="s">
        <v>37</v>
      </c>
      <c r="C122" s="15" t="s">
        <v>38</v>
      </c>
      <c r="D122" s="15" t="s">
        <v>85</v>
      </c>
      <c r="E122" s="15" t="s">
        <v>86</v>
      </c>
      <c r="F122" s="15" t="s">
        <v>41</v>
      </c>
      <c r="G122" s="15" t="s">
        <v>87</v>
      </c>
      <c r="H122" s="15" t="s">
        <v>76</v>
      </c>
      <c r="I122" s="15" t="s">
        <v>77</v>
      </c>
      <c r="J122" s="15" t="s">
        <v>88</v>
      </c>
      <c r="K122" s="15" t="s">
        <v>89</v>
      </c>
      <c r="L122" s="16" t="s">
        <v>90</v>
      </c>
      <c r="M122" s="15" t="s">
        <v>48</v>
      </c>
      <c r="N122" s="17">
        <v>452848241196</v>
      </c>
      <c r="O122" s="15">
        <v>19878851</v>
      </c>
      <c r="P122" s="18" t="s">
        <v>95</v>
      </c>
      <c r="Q122" s="18">
        <v>1</v>
      </c>
      <c r="R122" s="18">
        <v>8.1000000000000003E-2</v>
      </c>
      <c r="S122" s="15">
        <v>8.3680000000000003</v>
      </c>
      <c r="T122" s="16">
        <v>45824</v>
      </c>
      <c r="U122" s="19">
        <v>45883</v>
      </c>
      <c r="V122" s="16">
        <v>45824</v>
      </c>
      <c r="W122" s="16">
        <v>45826</v>
      </c>
      <c r="X122" s="57">
        <f t="shared" si="8"/>
        <v>45825</v>
      </c>
      <c r="Y122" s="63">
        <v>45832</v>
      </c>
      <c r="Z122" s="67">
        <v>45861</v>
      </c>
      <c r="AA122" s="71">
        <f t="shared" si="9"/>
        <v>45874</v>
      </c>
      <c r="AB122" s="20">
        <f t="shared" si="10"/>
        <v>-9</v>
      </c>
      <c r="AC122" s="20" t="s">
        <v>50</v>
      </c>
      <c r="AD122" s="21" t="s">
        <v>51</v>
      </c>
      <c r="AE122" s="21"/>
      <c r="AF122" s="22" t="s">
        <v>52</v>
      </c>
      <c r="AG122" s="23" t="s">
        <v>53</v>
      </c>
      <c r="AH122" s="24"/>
      <c r="AN122" s="24"/>
    </row>
    <row r="123" spans="1:40" ht="12.75">
      <c r="A123" s="15">
        <v>3254506</v>
      </c>
      <c r="B123" s="15" t="s">
        <v>37</v>
      </c>
      <c r="C123" s="15" t="s">
        <v>38</v>
      </c>
      <c r="D123" s="15" t="s">
        <v>85</v>
      </c>
      <c r="E123" s="15" t="s">
        <v>86</v>
      </c>
      <c r="F123" s="15" t="s">
        <v>41</v>
      </c>
      <c r="G123" s="15" t="s">
        <v>87</v>
      </c>
      <c r="H123" s="15" t="s">
        <v>76</v>
      </c>
      <c r="I123" s="15" t="s">
        <v>77</v>
      </c>
      <c r="J123" s="15" t="s">
        <v>88</v>
      </c>
      <c r="K123" s="15" t="s">
        <v>89</v>
      </c>
      <c r="L123" s="16" t="s">
        <v>90</v>
      </c>
      <c r="M123" s="15" t="s">
        <v>48</v>
      </c>
      <c r="N123" s="17">
        <v>452849279925</v>
      </c>
      <c r="O123" s="15">
        <v>19877550</v>
      </c>
      <c r="P123" s="18" t="s">
        <v>103</v>
      </c>
      <c r="Q123" s="18">
        <v>3</v>
      </c>
      <c r="R123" s="18">
        <v>0.13200000000000001</v>
      </c>
      <c r="S123" s="15">
        <v>8.36</v>
      </c>
      <c r="T123" s="16">
        <v>45824</v>
      </c>
      <c r="U123" s="19">
        <v>45883</v>
      </c>
      <c r="V123" s="16">
        <v>45824</v>
      </c>
      <c r="W123" s="16">
        <v>45826</v>
      </c>
      <c r="X123" s="57">
        <f t="shared" si="8"/>
        <v>45825</v>
      </c>
      <c r="Y123" s="63">
        <v>45832</v>
      </c>
      <c r="Z123" s="67">
        <v>45861</v>
      </c>
      <c r="AA123" s="71">
        <f t="shared" si="9"/>
        <v>45874</v>
      </c>
      <c r="AB123" s="20">
        <f t="shared" si="10"/>
        <v>-9</v>
      </c>
      <c r="AC123" s="20" t="s">
        <v>50</v>
      </c>
      <c r="AD123" s="21" t="s">
        <v>51</v>
      </c>
      <c r="AE123" s="21"/>
      <c r="AF123" s="22" t="s">
        <v>52</v>
      </c>
      <c r="AG123" s="23" t="s">
        <v>53</v>
      </c>
      <c r="AH123" s="24"/>
      <c r="AN123" s="24"/>
    </row>
    <row r="124" spans="1:40" ht="12.75">
      <c r="A124" s="15">
        <v>3254506</v>
      </c>
      <c r="B124" s="15" t="s">
        <v>37</v>
      </c>
      <c r="C124" s="15" t="s">
        <v>38</v>
      </c>
      <c r="D124" s="15" t="s">
        <v>85</v>
      </c>
      <c r="E124" s="15" t="s">
        <v>86</v>
      </c>
      <c r="F124" s="15" t="s">
        <v>41</v>
      </c>
      <c r="G124" s="15" t="s">
        <v>87</v>
      </c>
      <c r="H124" s="15" t="s">
        <v>76</v>
      </c>
      <c r="I124" s="15" t="s">
        <v>77</v>
      </c>
      <c r="J124" s="15" t="s">
        <v>88</v>
      </c>
      <c r="K124" s="15" t="s">
        <v>89</v>
      </c>
      <c r="L124" s="16" t="s">
        <v>90</v>
      </c>
      <c r="M124" s="15" t="s">
        <v>48</v>
      </c>
      <c r="N124" s="17">
        <v>452850338711</v>
      </c>
      <c r="O124" s="15">
        <v>19878347</v>
      </c>
      <c r="P124" s="18" t="s">
        <v>104</v>
      </c>
      <c r="Q124" s="18">
        <v>4</v>
      </c>
      <c r="R124" s="18">
        <v>0.17599999999999999</v>
      </c>
      <c r="S124" s="15">
        <v>20.667999999999999</v>
      </c>
      <c r="T124" s="16">
        <v>45824</v>
      </c>
      <c r="U124" s="19">
        <v>45883</v>
      </c>
      <c r="V124" s="16">
        <v>45824</v>
      </c>
      <c r="W124" s="16">
        <v>45826</v>
      </c>
      <c r="X124" s="57">
        <f t="shared" si="8"/>
        <v>45825</v>
      </c>
      <c r="Y124" s="63">
        <v>45832</v>
      </c>
      <c r="Z124" s="67">
        <v>45861</v>
      </c>
      <c r="AA124" s="71">
        <f t="shared" si="9"/>
        <v>45874</v>
      </c>
      <c r="AB124" s="20">
        <f t="shared" si="10"/>
        <v>-9</v>
      </c>
      <c r="AC124" s="20" t="s">
        <v>50</v>
      </c>
      <c r="AD124" s="21" t="s">
        <v>51</v>
      </c>
      <c r="AE124" s="21"/>
      <c r="AF124" s="22" t="s">
        <v>52</v>
      </c>
      <c r="AG124" s="23" t="s">
        <v>53</v>
      </c>
      <c r="AH124" s="24"/>
      <c r="AN124" s="24"/>
    </row>
    <row r="125" spans="1:40" ht="12.75">
      <c r="A125" s="15">
        <v>3254506</v>
      </c>
      <c r="B125" s="15" t="s">
        <v>37</v>
      </c>
      <c r="C125" s="15" t="s">
        <v>38</v>
      </c>
      <c r="D125" s="15" t="s">
        <v>85</v>
      </c>
      <c r="E125" s="15" t="s">
        <v>86</v>
      </c>
      <c r="F125" s="15" t="s">
        <v>41</v>
      </c>
      <c r="G125" s="15" t="s">
        <v>87</v>
      </c>
      <c r="H125" s="15" t="s">
        <v>76</v>
      </c>
      <c r="I125" s="15" t="s">
        <v>77</v>
      </c>
      <c r="J125" s="15" t="s">
        <v>88</v>
      </c>
      <c r="K125" s="15" t="s">
        <v>89</v>
      </c>
      <c r="L125" s="16" t="s">
        <v>90</v>
      </c>
      <c r="M125" s="15" t="s">
        <v>48</v>
      </c>
      <c r="N125" s="17">
        <v>452851676008</v>
      </c>
      <c r="O125" s="15">
        <v>19877758</v>
      </c>
      <c r="P125" s="18" t="s">
        <v>107</v>
      </c>
      <c r="Q125" s="18">
        <v>4</v>
      </c>
      <c r="R125" s="18">
        <v>0.17599999999999999</v>
      </c>
      <c r="S125" s="15">
        <v>19.690999999999999</v>
      </c>
      <c r="T125" s="16">
        <v>45824</v>
      </c>
      <c r="U125" s="19">
        <v>45883</v>
      </c>
      <c r="V125" s="16">
        <v>45824</v>
      </c>
      <c r="W125" s="16">
        <v>45826</v>
      </c>
      <c r="X125" s="57">
        <f t="shared" si="8"/>
        <v>45825</v>
      </c>
      <c r="Y125" s="63">
        <v>45832</v>
      </c>
      <c r="Z125" s="67">
        <v>45861</v>
      </c>
      <c r="AA125" s="71">
        <f t="shared" si="9"/>
        <v>45874</v>
      </c>
      <c r="AB125" s="20">
        <f t="shared" si="10"/>
        <v>-9</v>
      </c>
      <c r="AC125" s="20" t="s">
        <v>50</v>
      </c>
      <c r="AD125" s="21" t="s">
        <v>51</v>
      </c>
      <c r="AE125" s="21"/>
      <c r="AF125" s="22" t="s">
        <v>52</v>
      </c>
      <c r="AG125" s="23" t="s">
        <v>53</v>
      </c>
      <c r="AH125" s="24"/>
      <c r="AN125" s="24"/>
    </row>
    <row r="126" spans="1:40" ht="12.75">
      <c r="A126" s="15">
        <v>3254506</v>
      </c>
      <c r="B126" s="15" t="s">
        <v>37</v>
      </c>
      <c r="C126" s="15" t="s">
        <v>38</v>
      </c>
      <c r="D126" s="15" t="s">
        <v>85</v>
      </c>
      <c r="E126" s="15" t="s">
        <v>86</v>
      </c>
      <c r="F126" s="15" t="s">
        <v>41</v>
      </c>
      <c r="G126" s="15" t="s">
        <v>87</v>
      </c>
      <c r="H126" s="15" t="s">
        <v>76</v>
      </c>
      <c r="I126" s="15" t="s">
        <v>77</v>
      </c>
      <c r="J126" s="15" t="s">
        <v>88</v>
      </c>
      <c r="K126" s="15" t="s">
        <v>46</v>
      </c>
      <c r="L126" s="16" t="s">
        <v>47</v>
      </c>
      <c r="M126" s="15" t="s">
        <v>48</v>
      </c>
      <c r="N126" s="17">
        <v>451988861192</v>
      </c>
      <c r="O126" s="15">
        <v>19855622</v>
      </c>
      <c r="P126" s="18" t="s">
        <v>112</v>
      </c>
      <c r="Q126" s="18">
        <v>7</v>
      </c>
      <c r="R126" s="18">
        <v>0.45800000000000002</v>
      </c>
      <c r="S126" s="15">
        <v>68.66</v>
      </c>
      <c r="T126" s="16">
        <v>45824</v>
      </c>
      <c r="U126" s="19">
        <v>45883</v>
      </c>
      <c r="V126" s="16">
        <v>45824</v>
      </c>
      <c r="W126" s="16">
        <v>45826</v>
      </c>
      <c r="X126" s="57">
        <f t="shared" si="8"/>
        <v>45825</v>
      </c>
      <c r="Y126" s="63">
        <v>45832</v>
      </c>
      <c r="Z126" s="67">
        <v>45861</v>
      </c>
      <c r="AA126" s="71">
        <f t="shared" si="9"/>
        <v>45874</v>
      </c>
      <c r="AB126" s="20">
        <f t="shared" si="10"/>
        <v>-9</v>
      </c>
      <c r="AC126" s="20" t="s">
        <v>50</v>
      </c>
      <c r="AD126" s="21" t="s">
        <v>51</v>
      </c>
      <c r="AE126" s="21"/>
      <c r="AF126" s="22" t="s">
        <v>52</v>
      </c>
      <c r="AG126" s="23" t="s">
        <v>53</v>
      </c>
      <c r="AH126" s="24"/>
      <c r="AN126" s="24"/>
    </row>
    <row r="127" spans="1:40" ht="12.75">
      <c r="A127" s="15">
        <v>3254506</v>
      </c>
      <c r="B127" s="15" t="s">
        <v>37</v>
      </c>
      <c r="C127" s="15" t="s">
        <v>38</v>
      </c>
      <c r="D127" s="15" t="s">
        <v>85</v>
      </c>
      <c r="E127" s="15" t="s">
        <v>86</v>
      </c>
      <c r="F127" s="15" t="s">
        <v>41</v>
      </c>
      <c r="G127" s="15" t="s">
        <v>87</v>
      </c>
      <c r="H127" s="15" t="s">
        <v>76</v>
      </c>
      <c r="I127" s="15" t="s">
        <v>77</v>
      </c>
      <c r="J127" s="15" t="s">
        <v>88</v>
      </c>
      <c r="K127" s="15" t="s">
        <v>46</v>
      </c>
      <c r="L127" s="16" t="s">
        <v>47</v>
      </c>
      <c r="M127" s="15" t="s">
        <v>48</v>
      </c>
      <c r="N127" s="17">
        <v>451989839084</v>
      </c>
      <c r="O127" s="15">
        <v>19856007</v>
      </c>
      <c r="P127" s="18" t="s">
        <v>113</v>
      </c>
      <c r="Q127" s="18">
        <v>4</v>
      </c>
      <c r="R127" s="18">
        <v>0.21</v>
      </c>
      <c r="S127" s="15">
        <v>31.39</v>
      </c>
      <c r="T127" s="16">
        <v>45824</v>
      </c>
      <c r="U127" s="19">
        <v>45883</v>
      </c>
      <c r="V127" s="16">
        <v>45824</v>
      </c>
      <c r="W127" s="16">
        <v>45826</v>
      </c>
      <c r="X127" s="57">
        <f t="shared" si="8"/>
        <v>45825</v>
      </c>
      <c r="Y127" s="63">
        <v>45832</v>
      </c>
      <c r="Z127" s="67">
        <v>45861</v>
      </c>
      <c r="AA127" s="71">
        <f t="shared" si="9"/>
        <v>45874</v>
      </c>
      <c r="AB127" s="20">
        <f t="shared" si="10"/>
        <v>-9</v>
      </c>
      <c r="AC127" s="20" t="s">
        <v>50</v>
      </c>
      <c r="AD127" s="21" t="s">
        <v>51</v>
      </c>
      <c r="AE127" s="21"/>
      <c r="AF127" s="22" t="s">
        <v>52</v>
      </c>
      <c r="AG127" s="23" t="s">
        <v>53</v>
      </c>
      <c r="AH127" s="24"/>
      <c r="AN127" s="24"/>
    </row>
    <row r="128" spans="1:40" ht="12.75">
      <c r="A128" s="15">
        <v>3254506</v>
      </c>
      <c r="B128" s="15" t="s">
        <v>37</v>
      </c>
      <c r="C128" s="15" t="s">
        <v>38</v>
      </c>
      <c r="D128" s="15" t="s">
        <v>85</v>
      </c>
      <c r="E128" s="15" t="s">
        <v>86</v>
      </c>
      <c r="F128" s="15" t="s">
        <v>41</v>
      </c>
      <c r="G128" s="15" t="s">
        <v>87</v>
      </c>
      <c r="H128" s="15" t="s">
        <v>76</v>
      </c>
      <c r="I128" s="15" t="s">
        <v>77</v>
      </c>
      <c r="J128" s="15" t="s">
        <v>88</v>
      </c>
      <c r="K128" s="15" t="s">
        <v>46</v>
      </c>
      <c r="L128" s="16" t="s">
        <v>47</v>
      </c>
      <c r="M128" s="15" t="s">
        <v>48</v>
      </c>
      <c r="N128" s="17">
        <v>451995535808</v>
      </c>
      <c r="O128" s="15">
        <v>19856119</v>
      </c>
      <c r="P128" s="18" t="s">
        <v>114</v>
      </c>
      <c r="Q128" s="18">
        <v>8</v>
      </c>
      <c r="R128" s="18">
        <v>0.54</v>
      </c>
      <c r="S128" s="15">
        <v>89.15</v>
      </c>
      <c r="T128" s="16">
        <v>45824</v>
      </c>
      <c r="U128" s="19">
        <v>45883</v>
      </c>
      <c r="V128" s="16">
        <v>45824</v>
      </c>
      <c r="W128" s="16">
        <v>45826</v>
      </c>
      <c r="X128" s="57">
        <f t="shared" si="8"/>
        <v>45825</v>
      </c>
      <c r="Y128" s="63">
        <v>45832</v>
      </c>
      <c r="Z128" s="67">
        <v>45861</v>
      </c>
      <c r="AA128" s="71">
        <f t="shared" si="9"/>
        <v>45874</v>
      </c>
      <c r="AB128" s="20">
        <f t="shared" si="10"/>
        <v>-9</v>
      </c>
      <c r="AC128" s="20" t="s">
        <v>50</v>
      </c>
      <c r="AD128" s="21" t="s">
        <v>51</v>
      </c>
      <c r="AE128" s="21"/>
      <c r="AF128" s="22" t="s">
        <v>52</v>
      </c>
      <c r="AG128" s="23" t="s">
        <v>53</v>
      </c>
      <c r="AH128" s="24"/>
      <c r="AN128" s="24"/>
    </row>
    <row r="129" spans="1:40" ht="12.75">
      <c r="A129" s="15">
        <v>3254506</v>
      </c>
      <c r="B129" s="15" t="s">
        <v>37</v>
      </c>
      <c r="C129" s="15" t="s">
        <v>38</v>
      </c>
      <c r="D129" s="15" t="s">
        <v>85</v>
      </c>
      <c r="E129" s="15" t="s">
        <v>86</v>
      </c>
      <c r="F129" s="15" t="s">
        <v>41</v>
      </c>
      <c r="G129" s="15" t="s">
        <v>87</v>
      </c>
      <c r="H129" s="15" t="s">
        <v>76</v>
      </c>
      <c r="I129" s="15" t="s">
        <v>77</v>
      </c>
      <c r="J129" s="15" t="s">
        <v>88</v>
      </c>
      <c r="K129" s="15" t="s">
        <v>46</v>
      </c>
      <c r="L129" s="16" t="s">
        <v>47</v>
      </c>
      <c r="M129" s="15" t="s">
        <v>48</v>
      </c>
      <c r="N129" s="17">
        <v>452504526441</v>
      </c>
      <c r="O129" s="15">
        <v>19855598</v>
      </c>
      <c r="P129" s="18" t="s">
        <v>115</v>
      </c>
      <c r="Q129" s="18">
        <v>4</v>
      </c>
      <c r="R129" s="18">
        <v>0.21</v>
      </c>
      <c r="S129" s="15">
        <v>35.31</v>
      </c>
      <c r="T129" s="16">
        <v>45824</v>
      </c>
      <c r="U129" s="19">
        <v>45883</v>
      </c>
      <c r="V129" s="16">
        <v>45824</v>
      </c>
      <c r="W129" s="16">
        <v>45826</v>
      </c>
      <c r="X129" s="57">
        <f t="shared" si="8"/>
        <v>45825</v>
      </c>
      <c r="Y129" s="63">
        <v>45832</v>
      </c>
      <c r="Z129" s="67">
        <v>45861</v>
      </c>
      <c r="AA129" s="71">
        <f t="shared" si="9"/>
        <v>45874</v>
      </c>
      <c r="AB129" s="20">
        <f t="shared" si="10"/>
        <v>-9</v>
      </c>
      <c r="AC129" s="20" t="s">
        <v>50</v>
      </c>
      <c r="AD129" s="21" t="s">
        <v>51</v>
      </c>
      <c r="AE129" s="21"/>
      <c r="AF129" s="22" t="s">
        <v>52</v>
      </c>
      <c r="AG129" s="23" t="s">
        <v>53</v>
      </c>
      <c r="AH129" s="24"/>
      <c r="AN129" s="24"/>
    </row>
    <row r="130" spans="1:40" ht="12.75">
      <c r="A130" s="15">
        <v>3254506</v>
      </c>
      <c r="B130" s="15" t="s">
        <v>37</v>
      </c>
      <c r="C130" s="15" t="s">
        <v>38</v>
      </c>
      <c r="D130" s="15" t="s">
        <v>85</v>
      </c>
      <c r="E130" s="15" t="s">
        <v>86</v>
      </c>
      <c r="F130" s="15" t="s">
        <v>41</v>
      </c>
      <c r="G130" s="15" t="s">
        <v>87</v>
      </c>
      <c r="H130" s="15" t="s">
        <v>76</v>
      </c>
      <c r="I130" s="15" t="s">
        <v>77</v>
      </c>
      <c r="J130" s="15" t="s">
        <v>88</v>
      </c>
      <c r="K130" s="15" t="s">
        <v>46</v>
      </c>
      <c r="L130" s="16" t="s">
        <v>47</v>
      </c>
      <c r="M130" s="15" t="s">
        <v>48</v>
      </c>
      <c r="N130" s="17">
        <v>452507248363</v>
      </c>
      <c r="O130" s="15">
        <v>19855867</v>
      </c>
      <c r="P130" s="18" t="s">
        <v>115</v>
      </c>
      <c r="Q130" s="18">
        <v>11</v>
      </c>
      <c r="R130" s="18">
        <v>0.82799999999999996</v>
      </c>
      <c r="S130" s="15">
        <v>152.16999999999999</v>
      </c>
      <c r="T130" s="16">
        <v>45824</v>
      </c>
      <c r="U130" s="19">
        <v>45883</v>
      </c>
      <c r="V130" s="16">
        <v>45824</v>
      </c>
      <c r="W130" s="16">
        <v>45826</v>
      </c>
      <c r="X130" s="57">
        <f t="shared" si="8"/>
        <v>45825</v>
      </c>
      <c r="Y130" s="63">
        <v>45832</v>
      </c>
      <c r="Z130" s="67">
        <v>45861</v>
      </c>
      <c r="AA130" s="71">
        <f t="shared" si="9"/>
        <v>45874</v>
      </c>
      <c r="AB130" s="20">
        <f t="shared" si="10"/>
        <v>-9</v>
      </c>
      <c r="AC130" s="20" t="s">
        <v>50</v>
      </c>
      <c r="AD130" s="21" t="s">
        <v>51</v>
      </c>
      <c r="AE130" s="21"/>
      <c r="AF130" s="22" t="s">
        <v>52</v>
      </c>
      <c r="AG130" s="23" t="s">
        <v>53</v>
      </c>
      <c r="AH130" s="24"/>
      <c r="AN130" s="24"/>
    </row>
    <row r="131" spans="1:40" ht="12.75">
      <c r="A131" s="15">
        <v>3254506</v>
      </c>
      <c r="B131" s="15" t="s">
        <v>37</v>
      </c>
      <c r="C131" s="15" t="s">
        <v>38</v>
      </c>
      <c r="D131" s="15" t="s">
        <v>85</v>
      </c>
      <c r="E131" s="15" t="s">
        <v>86</v>
      </c>
      <c r="F131" s="15" t="s">
        <v>41</v>
      </c>
      <c r="G131" s="15" t="s">
        <v>87</v>
      </c>
      <c r="H131" s="15" t="s">
        <v>76</v>
      </c>
      <c r="I131" s="15" t="s">
        <v>77</v>
      </c>
      <c r="J131" s="15" t="s">
        <v>88</v>
      </c>
      <c r="K131" s="15" t="s">
        <v>46</v>
      </c>
      <c r="L131" s="16" t="s">
        <v>47</v>
      </c>
      <c r="M131" s="15" t="s">
        <v>48</v>
      </c>
      <c r="N131" s="17">
        <v>452510246609</v>
      </c>
      <c r="O131" s="15">
        <v>19855946</v>
      </c>
      <c r="P131" s="18" t="s">
        <v>116</v>
      </c>
      <c r="Q131" s="18">
        <v>10</v>
      </c>
      <c r="R131" s="18">
        <v>0.66500000000000004</v>
      </c>
      <c r="S131" s="15">
        <v>137.38999999999999</v>
      </c>
      <c r="T131" s="16">
        <v>45824</v>
      </c>
      <c r="U131" s="19">
        <v>45883</v>
      </c>
      <c r="V131" s="16">
        <v>45824</v>
      </c>
      <c r="W131" s="16">
        <v>45826</v>
      </c>
      <c r="X131" s="57">
        <f t="shared" si="8"/>
        <v>45825</v>
      </c>
      <c r="Y131" s="63">
        <v>45832</v>
      </c>
      <c r="Z131" s="67">
        <v>45861</v>
      </c>
      <c r="AA131" s="71">
        <f t="shared" si="9"/>
        <v>45874</v>
      </c>
      <c r="AB131" s="20">
        <f t="shared" si="10"/>
        <v>-9</v>
      </c>
      <c r="AC131" s="20" t="s">
        <v>50</v>
      </c>
      <c r="AD131" s="21" t="s">
        <v>51</v>
      </c>
      <c r="AE131" s="21"/>
      <c r="AF131" s="22" t="s">
        <v>52</v>
      </c>
      <c r="AG131" s="23" t="s">
        <v>53</v>
      </c>
      <c r="AH131" s="24"/>
      <c r="AN131" s="24"/>
    </row>
    <row r="132" spans="1:40" ht="12.75">
      <c r="A132" s="15">
        <v>3254506</v>
      </c>
      <c r="B132" s="15" t="s">
        <v>37</v>
      </c>
      <c r="C132" s="15" t="s">
        <v>38</v>
      </c>
      <c r="D132" s="15" t="s">
        <v>85</v>
      </c>
      <c r="E132" s="15" t="s">
        <v>86</v>
      </c>
      <c r="F132" s="15" t="s">
        <v>41</v>
      </c>
      <c r="G132" s="15" t="s">
        <v>87</v>
      </c>
      <c r="H132" s="15" t="s">
        <v>76</v>
      </c>
      <c r="I132" s="15" t="s">
        <v>77</v>
      </c>
      <c r="J132" s="15" t="s">
        <v>88</v>
      </c>
      <c r="K132" s="15" t="s">
        <v>46</v>
      </c>
      <c r="L132" s="16" t="s">
        <v>47</v>
      </c>
      <c r="M132" s="15" t="s">
        <v>48</v>
      </c>
      <c r="N132" s="17">
        <v>452510849438</v>
      </c>
      <c r="O132" s="15">
        <v>19855921</v>
      </c>
      <c r="P132" s="18" t="s">
        <v>112</v>
      </c>
      <c r="Q132" s="18">
        <v>20</v>
      </c>
      <c r="R132" s="18">
        <v>1.4910000000000001</v>
      </c>
      <c r="S132" s="15">
        <v>296.66000000000003</v>
      </c>
      <c r="T132" s="16">
        <v>45824</v>
      </c>
      <c r="U132" s="19">
        <v>45883</v>
      </c>
      <c r="V132" s="16">
        <v>45824</v>
      </c>
      <c r="W132" s="16">
        <v>45826</v>
      </c>
      <c r="X132" s="57">
        <f t="shared" si="8"/>
        <v>45825</v>
      </c>
      <c r="Y132" s="63">
        <v>45832</v>
      </c>
      <c r="Z132" s="67">
        <v>45861</v>
      </c>
      <c r="AA132" s="71">
        <f t="shared" si="9"/>
        <v>45874</v>
      </c>
      <c r="AB132" s="20">
        <f t="shared" si="10"/>
        <v>-9</v>
      </c>
      <c r="AC132" s="20" t="s">
        <v>50</v>
      </c>
      <c r="AD132" s="21" t="s">
        <v>51</v>
      </c>
      <c r="AE132" s="21"/>
      <c r="AF132" s="22" t="s">
        <v>52</v>
      </c>
      <c r="AG132" s="23" t="s">
        <v>53</v>
      </c>
      <c r="AH132" s="24"/>
      <c r="AN132" s="24"/>
    </row>
    <row r="133" spans="1:40" ht="12.75">
      <c r="A133" s="15">
        <v>3254506</v>
      </c>
      <c r="B133" s="15" t="s">
        <v>37</v>
      </c>
      <c r="C133" s="15" t="s">
        <v>38</v>
      </c>
      <c r="D133" s="15" t="s">
        <v>85</v>
      </c>
      <c r="E133" s="15" t="s">
        <v>86</v>
      </c>
      <c r="F133" s="15" t="s">
        <v>41</v>
      </c>
      <c r="G133" s="15" t="s">
        <v>87</v>
      </c>
      <c r="H133" s="15" t="s">
        <v>76</v>
      </c>
      <c r="I133" s="15" t="s">
        <v>77</v>
      </c>
      <c r="J133" s="15" t="s">
        <v>88</v>
      </c>
      <c r="K133" s="15" t="s">
        <v>46</v>
      </c>
      <c r="L133" s="16" t="s">
        <v>47</v>
      </c>
      <c r="M133" s="15" t="s">
        <v>48</v>
      </c>
      <c r="N133" s="17">
        <v>452510849936</v>
      </c>
      <c r="O133" s="15">
        <v>19855628</v>
      </c>
      <c r="P133" s="18" t="s">
        <v>116</v>
      </c>
      <c r="Q133" s="18">
        <v>3</v>
      </c>
      <c r="R133" s="18">
        <v>0.16800000000000001</v>
      </c>
      <c r="S133" s="15">
        <v>32.31</v>
      </c>
      <c r="T133" s="16">
        <v>45824</v>
      </c>
      <c r="U133" s="19">
        <v>45883</v>
      </c>
      <c r="V133" s="16">
        <v>45824</v>
      </c>
      <c r="W133" s="16">
        <v>45826</v>
      </c>
      <c r="X133" s="57">
        <f t="shared" si="8"/>
        <v>45825</v>
      </c>
      <c r="Y133" s="63">
        <v>45832</v>
      </c>
      <c r="Z133" s="67">
        <v>45861</v>
      </c>
      <c r="AA133" s="71">
        <f t="shared" si="9"/>
        <v>45874</v>
      </c>
      <c r="AB133" s="20">
        <f t="shared" si="10"/>
        <v>-9</v>
      </c>
      <c r="AC133" s="20" t="s">
        <v>50</v>
      </c>
      <c r="AD133" s="21" t="s">
        <v>51</v>
      </c>
      <c r="AE133" s="21"/>
      <c r="AF133" s="22" t="s">
        <v>52</v>
      </c>
      <c r="AG133" s="23" t="s">
        <v>53</v>
      </c>
      <c r="AH133" s="24"/>
      <c r="AN133" s="24"/>
    </row>
    <row r="134" spans="1:40" ht="12.75">
      <c r="A134" s="15">
        <v>3254506</v>
      </c>
      <c r="B134" s="15" t="s">
        <v>37</v>
      </c>
      <c r="C134" s="15" t="s">
        <v>38</v>
      </c>
      <c r="D134" s="15" t="s">
        <v>85</v>
      </c>
      <c r="E134" s="15" t="s">
        <v>86</v>
      </c>
      <c r="F134" s="15" t="s">
        <v>41</v>
      </c>
      <c r="G134" s="15" t="s">
        <v>87</v>
      </c>
      <c r="H134" s="15" t="s">
        <v>76</v>
      </c>
      <c r="I134" s="15" t="s">
        <v>77</v>
      </c>
      <c r="J134" s="15" t="s">
        <v>88</v>
      </c>
      <c r="K134" s="15" t="s">
        <v>46</v>
      </c>
      <c r="L134" s="16" t="s">
        <v>47</v>
      </c>
      <c r="M134" s="15" t="s">
        <v>48</v>
      </c>
      <c r="N134" s="17">
        <v>452511203202</v>
      </c>
      <c r="O134" s="15">
        <v>19855632</v>
      </c>
      <c r="P134" s="18" t="s">
        <v>116</v>
      </c>
      <c r="Q134" s="18">
        <v>5</v>
      </c>
      <c r="R134" s="18">
        <v>0.29299999999999998</v>
      </c>
      <c r="S134" s="15">
        <v>49.83</v>
      </c>
      <c r="T134" s="16">
        <v>45824</v>
      </c>
      <c r="U134" s="19">
        <v>45883</v>
      </c>
      <c r="V134" s="16">
        <v>45824</v>
      </c>
      <c r="W134" s="16">
        <v>45826</v>
      </c>
      <c r="X134" s="57">
        <f t="shared" si="8"/>
        <v>45825</v>
      </c>
      <c r="Y134" s="63">
        <v>45832</v>
      </c>
      <c r="Z134" s="67">
        <v>45861</v>
      </c>
      <c r="AA134" s="71">
        <f t="shared" si="9"/>
        <v>45874</v>
      </c>
      <c r="AB134" s="20">
        <f t="shared" si="10"/>
        <v>-9</v>
      </c>
      <c r="AC134" s="20" t="s">
        <v>50</v>
      </c>
      <c r="AD134" s="21" t="s">
        <v>51</v>
      </c>
      <c r="AE134" s="21"/>
      <c r="AF134" s="22" t="s">
        <v>52</v>
      </c>
      <c r="AG134" s="23" t="s">
        <v>53</v>
      </c>
      <c r="AH134" s="24"/>
      <c r="AN134" s="24"/>
    </row>
    <row r="135" spans="1:40" ht="12.75">
      <c r="A135" s="15">
        <v>3254506</v>
      </c>
      <c r="B135" s="15" t="s">
        <v>37</v>
      </c>
      <c r="C135" s="15" t="s">
        <v>38</v>
      </c>
      <c r="D135" s="15" t="s">
        <v>85</v>
      </c>
      <c r="E135" s="15" t="s">
        <v>86</v>
      </c>
      <c r="F135" s="15" t="s">
        <v>41</v>
      </c>
      <c r="G135" s="15" t="s">
        <v>87</v>
      </c>
      <c r="H135" s="15" t="s">
        <v>76</v>
      </c>
      <c r="I135" s="15" t="s">
        <v>77</v>
      </c>
      <c r="J135" s="15" t="s">
        <v>88</v>
      </c>
      <c r="K135" s="15" t="s">
        <v>46</v>
      </c>
      <c r="L135" s="16" t="s">
        <v>47</v>
      </c>
      <c r="M135" s="15" t="s">
        <v>48</v>
      </c>
      <c r="N135" s="17">
        <v>452511415477</v>
      </c>
      <c r="O135" s="15">
        <v>19855934</v>
      </c>
      <c r="P135" s="18" t="s">
        <v>116</v>
      </c>
      <c r="Q135" s="18">
        <v>7</v>
      </c>
      <c r="R135" s="18">
        <v>0.41799999999999998</v>
      </c>
      <c r="S135" s="15">
        <v>88.51</v>
      </c>
      <c r="T135" s="16">
        <v>45824</v>
      </c>
      <c r="U135" s="19">
        <v>45883</v>
      </c>
      <c r="V135" s="16">
        <v>45824</v>
      </c>
      <c r="W135" s="16">
        <v>45826</v>
      </c>
      <c r="X135" s="57">
        <f t="shared" si="8"/>
        <v>45825</v>
      </c>
      <c r="Y135" s="63">
        <v>45832</v>
      </c>
      <c r="Z135" s="67">
        <v>45861</v>
      </c>
      <c r="AA135" s="71">
        <f t="shared" si="9"/>
        <v>45874</v>
      </c>
      <c r="AB135" s="20">
        <f t="shared" si="10"/>
        <v>-9</v>
      </c>
      <c r="AC135" s="20" t="s">
        <v>50</v>
      </c>
      <c r="AD135" s="21" t="s">
        <v>51</v>
      </c>
      <c r="AE135" s="21"/>
      <c r="AF135" s="22" t="s">
        <v>52</v>
      </c>
      <c r="AG135" s="23" t="s">
        <v>53</v>
      </c>
      <c r="AH135" s="24"/>
      <c r="AN135" s="24"/>
    </row>
    <row r="136" spans="1:40" ht="12.75">
      <c r="A136" s="15">
        <v>3254506</v>
      </c>
      <c r="B136" s="15" t="s">
        <v>37</v>
      </c>
      <c r="C136" s="15" t="s">
        <v>38</v>
      </c>
      <c r="D136" s="15" t="s">
        <v>85</v>
      </c>
      <c r="E136" s="15" t="s">
        <v>86</v>
      </c>
      <c r="F136" s="15" t="s">
        <v>41</v>
      </c>
      <c r="G136" s="15" t="s">
        <v>87</v>
      </c>
      <c r="H136" s="15" t="s">
        <v>76</v>
      </c>
      <c r="I136" s="15" t="s">
        <v>77</v>
      </c>
      <c r="J136" s="15" t="s">
        <v>88</v>
      </c>
      <c r="K136" s="15" t="s">
        <v>46</v>
      </c>
      <c r="L136" s="16" t="s">
        <v>47</v>
      </c>
      <c r="M136" s="15" t="s">
        <v>48</v>
      </c>
      <c r="N136" s="17">
        <v>452512005389</v>
      </c>
      <c r="O136" s="15">
        <v>19855959</v>
      </c>
      <c r="P136" s="18" t="s">
        <v>116</v>
      </c>
      <c r="Q136" s="18">
        <v>9</v>
      </c>
      <c r="R136" s="18">
        <v>0.623</v>
      </c>
      <c r="S136" s="15">
        <v>119.49</v>
      </c>
      <c r="T136" s="16">
        <v>45824</v>
      </c>
      <c r="U136" s="19">
        <v>45883</v>
      </c>
      <c r="V136" s="16">
        <v>45824</v>
      </c>
      <c r="W136" s="16">
        <v>45826</v>
      </c>
      <c r="X136" s="57">
        <f t="shared" si="8"/>
        <v>45825</v>
      </c>
      <c r="Y136" s="63">
        <v>45832</v>
      </c>
      <c r="Z136" s="67">
        <v>45861</v>
      </c>
      <c r="AA136" s="71">
        <f t="shared" si="9"/>
        <v>45874</v>
      </c>
      <c r="AB136" s="20">
        <f t="shared" si="10"/>
        <v>-9</v>
      </c>
      <c r="AC136" s="20" t="s">
        <v>50</v>
      </c>
      <c r="AD136" s="21" t="s">
        <v>51</v>
      </c>
      <c r="AE136" s="21"/>
      <c r="AF136" s="22" t="s">
        <v>52</v>
      </c>
      <c r="AG136" s="23" t="s">
        <v>53</v>
      </c>
      <c r="AH136" s="24"/>
      <c r="AN136" s="24"/>
    </row>
    <row r="137" spans="1:40" ht="12.75">
      <c r="A137" s="15">
        <v>3254506</v>
      </c>
      <c r="B137" s="15" t="s">
        <v>37</v>
      </c>
      <c r="C137" s="15" t="s">
        <v>38</v>
      </c>
      <c r="D137" s="15" t="s">
        <v>85</v>
      </c>
      <c r="E137" s="15" t="s">
        <v>86</v>
      </c>
      <c r="F137" s="15" t="s">
        <v>41</v>
      </c>
      <c r="G137" s="15" t="s">
        <v>87</v>
      </c>
      <c r="H137" s="15" t="s">
        <v>76</v>
      </c>
      <c r="I137" s="15" t="s">
        <v>77</v>
      </c>
      <c r="J137" s="15" t="s">
        <v>88</v>
      </c>
      <c r="K137" s="15" t="s">
        <v>46</v>
      </c>
      <c r="L137" s="16" t="s">
        <v>47</v>
      </c>
      <c r="M137" s="15" t="s">
        <v>48</v>
      </c>
      <c r="N137" s="17">
        <v>452512384989</v>
      </c>
      <c r="O137" s="15">
        <v>19855984</v>
      </c>
      <c r="P137" s="18" t="s">
        <v>113</v>
      </c>
      <c r="Q137" s="18">
        <v>5</v>
      </c>
      <c r="R137" s="18">
        <v>0.253</v>
      </c>
      <c r="S137" s="15">
        <v>31.77</v>
      </c>
      <c r="T137" s="16">
        <v>45824</v>
      </c>
      <c r="U137" s="19">
        <v>45883</v>
      </c>
      <c r="V137" s="16">
        <v>45824</v>
      </c>
      <c r="W137" s="16">
        <v>45826</v>
      </c>
      <c r="X137" s="57">
        <f t="shared" si="8"/>
        <v>45825</v>
      </c>
      <c r="Y137" s="63">
        <v>45832</v>
      </c>
      <c r="Z137" s="67">
        <v>45861</v>
      </c>
      <c r="AA137" s="71">
        <f t="shared" si="9"/>
        <v>45874</v>
      </c>
      <c r="AB137" s="20">
        <f t="shared" si="10"/>
        <v>-9</v>
      </c>
      <c r="AC137" s="20" t="s">
        <v>50</v>
      </c>
      <c r="AD137" s="21" t="s">
        <v>51</v>
      </c>
      <c r="AE137" s="21"/>
      <c r="AF137" s="22" t="s">
        <v>52</v>
      </c>
      <c r="AG137" s="23" t="s">
        <v>53</v>
      </c>
      <c r="AH137" s="24"/>
      <c r="AN137" s="24"/>
    </row>
    <row r="138" spans="1:40" ht="12.75">
      <c r="A138" s="15">
        <v>3254506</v>
      </c>
      <c r="B138" s="15" t="s">
        <v>37</v>
      </c>
      <c r="C138" s="15" t="s">
        <v>38</v>
      </c>
      <c r="D138" s="15" t="s">
        <v>85</v>
      </c>
      <c r="E138" s="15" t="s">
        <v>86</v>
      </c>
      <c r="F138" s="15" t="s">
        <v>41</v>
      </c>
      <c r="G138" s="15" t="s">
        <v>87</v>
      </c>
      <c r="H138" s="15" t="s">
        <v>76</v>
      </c>
      <c r="I138" s="15" t="s">
        <v>77</v>
      </c>
      <c r="J138" s="15" t="s">
        <v>88</v>
      </c>
      <c r="K138" s="15" t="s">
        <v>46</v>
      </c>
      <c r="L138" s="16" t="s">
        <v>47</v>
      </c>
      <c r="M138" s="15" t="s">
        <v>48</v>
      </c>
      <c r="N138" s="17">
        <v>452513362362</v>
      </c>
      <c r="O138" s="15">
        <v>19855995</v>
      </c>
      <c r="P138" s="18" t="s">
        <v>113</v>
      </c>
      <c r="Q138" s="18">
        <v>5</v>
      </c>
      <c r="R138" s="18">
        <v>0.29499999999999998</v>
      </c>
      <c r="S138" s="15">
        <v>38.61</v>
      </c>
      <c r="T138" s="16">
        <v>45824</v>
      </c>
      <c r="U138" s="19">
        <v>45883</v>
      </c>
      <c r="V138" s="16">
        <v>45824</v>
      </c>
      <c r="W138" s="16">
        <v>45826</v>
      </c>
      <c r="X138" s="57">
        <f t="shared" si="8"/>
        <v>45825</v>
      </c>
      <c r="Y138" s="63">
        <v>45832</v>
      </c>
      <c r="Z138" s="67">
        <v>45861</v>
      </c>
      <c r="AA138" s="71">
        <f t="shared" si="9"/>
        <v>45874</v>
      </c>
      <c r="AB138" s="20">
        <f t="shared" si="10"/>
        <v>-9</v>
      </c>
      <c r="AC138" s="20" t="s">
        <v>50</v>
      </c>
      <c r="AD138" s="21" t="s">
        <v>51</v>
      </c>
      <c r="AE138" s="21"/>
      <c r="AF138" s="22" t="s">
        <v>52</v>
      </c>
      <c r="AG138" s="23" t="s">
        <v>53</v>
      </c>
      <c r="AH138" s="24"/>
      <c r="AN138" s="24"/>
    </row>
    <row r="139" spans="1:40" ht="12.75">
      <c r="A139" s="15">
        <v>3254506</v>
      </c>
      <c r="B139" s="15" t="s">
        <v>37</v>
      </c>
      <c r="C139" s="15" t="s">
        <v>38</v>
      </c>
      <c r="D139" s="15" t="s">
        <v>85</v>
      </c>
      <c r="E139" s="15" t="s">
        <v>86</v>
      </c>
      <c r="F139" s="15" t="s">
        <v>41</v>
      </c>
      <c r="G139" s="15" t="s">
        <v>87</v>
      </c>
      <c r="H139" s="15" t="s">
        <v>76</v>
      </c>
      <c r="I139" s="15" t="s">
        <v>77</v>
      </c>
      <c r="J139" s="15" t="s">
        <v>88</v>
      </c>
      <c r="K139" s="15" t="s">
        <v>46</v>
      </c>
      <c r="L139" s="16" t="s">
        <v>47</v>
      </c>
      <c r="M139" s="15" t="s">
        <v>48</v>
      </c>
      <c r="N139" s="17">
        <v>452514184896</v>
      </c>
      <c r="O139" s="15">
        <v>19856019</v>
      </c>
      <c r="P139" s="18" t="s">
        <v>117</v>
      </c>
      <c r="Q139" s="18">
        <v>9</v>
      </c>
      <c r="R139" s="18">
        <v>0.66300000000000003</v>
      </c>
      <c r="S139" s="15">
        <v>112.39</v>
      </c>
      <c r="T139" s="16">
        <v>45824</v>
      </c>
      <c r="U139" s="19">
        <v>45883</v>
      </c>
      <c r="V139" s="16">
        <v>45824</v>
      </c>
      <c r="W139" s="16">
        <v>45826</v>
      </c>
      <c r="X139" s="57">
        <f t="shared" si="8"/>
        <v>45825</v>
      </c>
      <c r="Y139" s="63">
        <v>45832</v>
      </c>
      <c r="Z139" s="67">
        <v>45861</v>
      </c>
      <c r="AA139" s="71">
        <f t="shared" si="9"/>
        <v>45874</v>
      </c>
      <c r="AB139" s="20">
        <f t="shared" si="10"/>
        <v>-9</v>
      </c>
      <c r="AC139" s="20" t="s">
        <v>50</v>
      </c>
      <c r="AD139" s="21" t="s">
        <v>51</v>
      </c>
      <c r="AE139" s="21"/>
      <c r="AF139" s="22" t="s">
        <v>52</v>
      </c>
      <c r="AG139" s="23" t="s">
        <v>53</v>
      </c>
      <c r="AH139" s="24"/>
      <c r="AN139" s="24"/>
    </row>
    <row r="140" spans="1:40" ht="12.75">
      <c r="A140" s="15">
        <v>3254506</v>
      </c>
      <c r="B140" s="15" t="s">
        <v>37</v>
      </c>
      <c r="C140" s="15" t="s">
        <v>38</v>
      </c>
      <c r="D140" s="15" t="s">
        <v>85</v>
      </c>
      <c r="E140" s="15" t="s">
        <v>86</v>
      </c>
      <c r="F140" s="15" t="s">
        <v>41</v>
      </c>
      <c r="G140" s="15" t="s">
        <v>87</v>
      </c>
      <c r="H140" s="15" t="s">
        <v>76</v>
      </c>
      <c r="I140" s="15" t="s">
        <v>77</v>
      </c>
      <c r="J140" s="15" t="s">
        <v>88</v>
      </c>
      <c r="K140" s="15" t="s">
        <v>46</v>
      </c>
      <c r="L140" s="16" t="s">
        <v>47</v>
      </c>
      <c r="M140" s="15" t="s">
        <v>48</v>
      </c>
      <c r="N140" s="17">
        <v>452514187247</v>
      </c>
      <c r="O140" s="15">
        <v>19856055</v>
      </c>
      <c r="P140" s="18" t="s">
        <v>118</v>
      </c>
      <c r="Q140" s="18">
        <v>4</v>
      </c>
      <c r="R140" s="18">
        <v>0.21</v>
      </c>
      <c r="S140" s="15">
        <v>37.479999999999997</v>
      </c>
      <c r="T140" s="16">
        <v>45824</v>
      </c>
      <c r="U140" s="19">
        <v>45883</v>
      </c>
      <c r="V140" s="16">
        <v>45824</v>
      </c>
      <c r="W140" s="16">
        <v>45826</v>
      </c>
      <c r="X140" s="57">
        <f t="shared" si="8"/>
        <v>45825</v>
      </c>
      <c r="Y140" s="63">
        <v>45832</v>
      </c>
      <c r="Z140" s="67">
        <v>45861</v>
      </c>
      <c r="AA140" s="71">
        <f t="shared" si="9"/>
        <v>45874</v>
      </c>
      <c r="AB140" s="20">
        <f t="shared" si="10"/>
        <v>-9</v>
      </c>
      <c r="AC140" s="20" t="s">
        <v>50</v>
      </c>
      <c r="AD140" s="21" t="s">
        <v>51</v>
      </c>
      <c r="AE140" s="21"/>
      <c r="AF140" s="22" t="s">
        <v>52</v>
      </c>
      <c r="AG140" s="23" t="s">
        <v>53</v>
      </c>
      <c r="AH140" s="24"/>
      <c r="AN140" s="24"/>
    </row>
    <row r="141" spans="1:40" ht="12.75">
      <c r="A141" s="15">
        <v>3254506</v>
      </c>
      <c r="B141" s="15" t="s">
        <v>37</v>
      </c>
      <c r="C141" s="15" t="s">
        <v>38</v>
      </c>
      <c r="D141" s="15" t="s">
        <v>85</v>
      </c>
      <c r="E141" s="15" t="s">
        <v>86</v>
      </c>
      <c r="F141" s="15" t="s">
        <v>41</v>
      </c>
      <c r="G141" s="15" t="s">
        <v>87</v>
      </c>
      <c r="H141" s="15" t="s">
        <v>76</v>
      </c>
      <c r="I141" s="15" t="s">
        <v>77</v>
      </c>
      <c r="J141" s="15" t="s">
        <v>88</v>
      </c>
      <c r="K141" s="15" t="s">
        <v>46</v>
      </c>
      <c r="L141" s="16" t="s">
        <v>47</v>
      </c>
      <c r="M141" s="15" t="s">
        <v>48</v>
      </c>
      <c r="N141" s="17">
        <v>452514909602</v>
      </c>
      <c r="O141" s="15">
        <v>19856067</v>
      </c>
      <c r="P141" s="18" t="s">
        <v>118</v>
      </c>
      <c r="Q141" s="18">
        <v>4</v>
      </c>
      <c r="R141" s="18">
        <v>0.21</v>
      </c>
      <c r="S141" s="15">
        <v>39.380000000000003</v>
      </c>
      <c r="T141" s="16">
        <v>45824</v>
      </c>
      <c r="U141" s="19">
        <v>45883</v>
      </c>
      <c r="V141" s="16">
        <v>45824</v>
      </c>
      <c r="W141" s="16">
        <v>45826</v>
      </c>
      <c r="X141" s="57">
        <f t="shared" si="8"/>
        <v>45825</v>
      </c>
      <c r="Y141" s="63">
        <v>45832</v>
      </c>
      <c r="Z141" s="67">
        <v>45861</v>
      </c>
      <c r="AA141" s="71">
        <f t="shared" si="9"/>
        <v>45874</v>
      </c>
      <c r="AB141" s="20">
        <f t="shared" si="10"/>
        <v>-9</v>
      </c>
      <c r="AC141" s="20" t="s">
        <v>50</v>
      </c>
      <c r="AD141" s="21" t="s">
        <v>51</v>
      </c>
      <c r="AE141" s="21"/>
      <c r="AF141" s="22" t="s">
        <v>52</v>
      </c>
      <c r="AG141" s="23" t="s">
        <v>53</v>
      </c>
      <c r="AH141" s="24"/>
      <c r="AN141" s="24"/>
    </row>
    <row r="142" spans="1:40" ht="12.75">
      <c r="A142" s="15">
        <v>3254506</v>
      </c>
      <c r="B142" s="15" t="s">
        <v>37</v>
      </c>
      <c r="C142" s="15" t="s">
        <v>38</v>
      </c>
      <c r="D142" s="15" t="s">
        <v>85</v>
      </c>
      <c r="E142" s="15" t="s">
        <v>86</v>
      </c>
      <c r="F142" s="15" t="s">
        <v>41</v>
      </c>
      <c r="G142" s="15" t="s">
        <v>87</v>
      </c>
      <c r="H142" s="15" t="s">
        <v>76</v>
      </c>
      <c r="I142" s="15" t="s">
        <v>77</v>
      </c>
      <c r="J142" s="15" t="s">
        <v>88</v>
      </c>
      <c r="K142" s="15" t="s">
        <v>46</v>
      </c>
      <c r="L142" s="16" t="s">
        <v>47</v>
      </c>
      <c r="M142" s="15" t="s">
        <v>48</v>
      </c>
      <c r="N142" s="17">
        <v>452665810522</v>
      </c>
      <c r="O142" s="15">
        <v>19856043</v>
      </c>
      <c r="P142" s="18" t="s">
        <v>118</v>
      </c>
      <c r="Q142" s="18">
        <v>4</v>
      </c>
      <c r="R142" s="18">
        <v>0.253</v>
      </c>
      <c r="S142" s="15">
        <v>43.62</v>
      </c>
      <c r="T142" s="16">
        <v>45824</v>
      </c>
      <c r="U142" s="19">
        <v>45883</v>
      </c>
      <c r="V142" s="16">
        <v>45824</v>
      </c>
      <c r="W142" s="16">
        <v>45826</v>
      </c>
      <c r="X142" s="57">
        <f t="shared" si="8"/>
        <v>45825</v>
      </c>
      <c r="Y142" s="63">
        <v>45832</v>
      </c>
      <c r="Z142" s="67">
        <v>45861</v>
      </c>
      <c r="AA142" s="71">
        <f t="shared" si="9"/>
        <v>45874</v>
      </c>
      <c r="AB142" s="20">
        <f t="shared" si="10"/>
        <v>-9</v>
      </c>
      <c r="AC142" s="20" t="s">
        <v>50</v>
      </c>
      <c r="AD142" s="21" t="s">
        <v>51</v>
      </c>
      <c r="AE142" s="21"/>
      <c r="AF142" s="22" t="s">
        <v>52</v>
      </c>
      <c r="AG142" s="23" t="s">
        <v>53</v>
      </c>
      <c r="AH142" s="24"/>
      <c r="AN142" s="24"/>
    </row>
    <row r="143" spans="1:40" ht="12.75">
      <c r="A143" s="15">
        <v>3254506</v>
      </c>
      <c r="B143" s="15" t="s">
        <v>37</v>
      </c>
      <c r="C143" s="15" t="s">
        <v>38</v>
      </c>
      <c r="D143" s="15" t="s">
        <v>85</v>
      </c>
      <c r="E143" s="15" t="s">
        <v>86</v>
      </c>
      <c r="F143" s="15" t="s">
        <v>41</v>
      </c>
      <c r="G143" s="15" t="s">
        <v>87</v>
      </c>
      <c r="H143" s="15" t="s">
        <v>76</v>
      </c>
      <c r="I143" s="15" t="s">
        <v>77</v>
      </c>
      <c r="J143" s="15" t="s">
        <v>88</v>
      </c>
      <c r="K143" s="15" t="s">
        <v>46</v>
      </c>
      <c r="L143" s="16" t="s">
        <v>47</v>
      </c>
      <c r="M143" s="15" t="s">
        <v>48</v>
      </c>
      <c r="N143" s="17">
        <v>452666085643</v>
      </c>
      <c r="O143" s="15">
        <v>19856610</v>
      </c>
      <c r="P143" s="18" t="s">
        <v>119</v>
      </c>
      <c r="Q143" s="18">
        <v>2</v>
      </c>
      <c r="R143" s="18">
        <v>0.125</v>
      </c>
      <c r="S143" s="15">
        <v>17.850000000000001</v>
      </c>
      <c r="T143" s="16">
        <v>45824</v>
      </c>
      <c r="U143" s="19">
        <v>45883</v>
      </c>
      <c r="V143" s="16">
        <v>45824</v>
      </c>
      <c r="W143" s="16">
        <v>45826</v>
      </c>
      <c r="X143" s="57">
        <f t="shared" si="8"/>
        <v>45825</v>
      </c>
      <c r="Y143" s="63">
        <v>45832</v>
      </c>
      <c r="Z143" s="67">
        <v>45861</v>
      </c>
      <c r="AA143" s="71">
        <f t="shared" si="9"/>
        <v>45874</v>
      </c>
      <c r="AB143" s="20">
        <f t="shared" si="10"/>
        <v>-9</v>
      </c>
      <c r="AC143" s="20" t="s">
        <v>50</v>
      </c>
      <c r="AD143" s="21" t="s">
        <v>51</v>
      </c>
      <c r="AE143" s="21"/>
      <c r="AF143" s="22" t="s">
        <v>52</v>
      </c>
      <c r="AG143" s="23" t="s">
        <v>53</v>
      </c>
      <c r="AH143" s="24"/>
      <c r="AN143" s="24"/>
    </row>
    <row r="144" spans="1:40" ht="12.75">
      <c r="A144" s="15">
        <v>3254506</v>
      </c>
      <c r="B144" s="15" t="s">
        <v>37</v>
      </c>
      <c r="C144" s="15" t="s">
        <v>38</v>
      </c>
      <c r="D144" s="15" t="s">
        <v>85</v>
      </c>
      <c r="E144" s="15" t="s">
        <v>86</v>
      </c>
      <c r="F144" s="15" t="s">
        <v>41</v>
      </c>
      <c r="G144" s="15" t="s">
        <v>87</v>
      </c>
      <c r="H144" s="15" t="s">
        <v>76</v>
      </c>
      <c r="I144" s="15" t="s">
        <v>77</v>
      </c>
      <c r="J144" s="15" t="s">
        <v>88</v>
      </c>
      <c r="K144" s="15" t="s">
        <v>46</v>
      </c>
      <c r="L144" s="16" t="s">
        <v>55</v>
      </c>
      <c r="M144" s="15" t="s">
        <v>48</v>
      </c>
      <c r="N144" s="17">
        <v>452020198265</v>
      </c>
      <c r="O144" s="15">
        <v>19910305</v>
      </c>
      <c r="P144" s="18" t="s">
        <v>56</v>
      </c>
      <c r="Q144" s="18">
        <v>14</v>
      </c>
      <c r="R144" s="18">
        <v>1.099</v>
      </c>
      <c r="S144" s="15">
        <v>142.26</v>
      </c>
      <c r="T144" s="16">
        <v>45824</v>
      </c>
      <c r="U144" s="19">
        <v>45883</v>
      </c>
      <c r="V144" s="16">
        <v>45824</v>
      </c>
      <c r="W144" s="16">
        <v>45826</v>
      </c>
      <c r="X144" s="57">
        <f t="shared" si="8"/>
        <v>45825</v>
      </c>
      <c r="Y144" s="63">
        <v>45832</v>
      </c>
      <c r="Z144" s="67">
        <v>45861</v>
      </c>
      <c r="AA144" s="71">
        <f t="shared" si="9"/>
        <v>45874</v>
      </c>
      <c r="AB144" s="20">
        <f t="shared" si="10"/>
        <v>-9</v>
      </c>
      <c r="AC144" s="20" t="s">
        <v>50</v>
      </c>
      <c r="AD144" s="21" t="s">
        <v>51</v>
      </c>
      <c r="AE144" s="21"/>
      <c r="AF144" s="22" t="s">
        <v>52</v>
      </c>
      <c r="AG144" s="23" t="s">
        <v>53</v>
      </c>
      <c r="AH144" s="24"/>
      <c r="AN144" s="24"/>
    </row>
    <row r="145" spans="1:40" ht="12.75">
      <c r="A145" s="15">
        <v>3254506</v>
      </c>
      <c r="B145" s="15" t="s">
        <v>37</v>
      </c>
      <c r="C145" s="15" t="s">
        <v>38</v>
      </c>
      <c r="D145" s="15" t="s">
        <v>85</v>
      </c>
      <c r="E145" s="15" t="s">
        <v>86</v>
      </c>
      <c r="F145" s="15" t="s">
        <v>41</v>
      </c>
      <c r="G145" s="15" t="s">
        <v>87</v>
      </c>
      <c r="H145" s="15" t="s">
        <v>76</v>
      </c>
      <c r="I145" s="15" t="s">
        <v>77</v>
      </c>
      <c r="J145" s="15" t="s">
        <v>88</v>
      </c>
      <c r="K145" s="15" t="s">
        <v>46</v>
      </c>
      <c r="L145" s="16" t="s">
        <v>55</v>
      </c>
      <c r="M145" s="15" t="s">
        <v>48</v>
      </c>
      <c r="N145" s="17">
        <v>452020642697</v>
      </c>
      <c r="O145" s="15">
        <v>19933127</v>
      </c>
      <c r="P145" s="18" t="s">
        <v>120</v>
      </c>
      <c r="Q145" s="18">
        <v>8</v>
      </c>
      <c r="R145" s="18">
        <v>0.628</v>
      </c>
      <c r="S145" s="15">
        <v>93.65</v>
      </c>
      <c r="T145" s="16">
        <v>45824</v>
      </c>
      <c r="U145" s="19">
        <v>45883</v>
      </c>
      <c r="V145" s="16">
        <v>45824</v>
      </c>
      <c r="W145" s="16">
        <v>45826</v>
      </c>
      <c r="X145" s="57">
        <f t="shared" si="8"/>
        <v>45825</v>
      </c>
      <c r="Y145" s="63">
        <v>45832</v>
      </c>
      <c r="Z145" s="67">
        <v>45861</v>
      </c>
      <c r="AA145" s="71">
        <f t="shared" si="9"/>
        <v>45874</v>
      </c>
      <c r="AB145" s="20">
        <f t="shared" si="10"/>
        <v>-9</v>
      </c>
      <c r="AC145" s="20" t="s">
        <v>50</v>
      </c>
      <c r="AD145" s="21" t="s">
        <v>51</v>
      </c>
      <c r="AE145" s="21"/>
      <c r="AF145" s="22" t="s">
        <v>52</v>
      </c>
      <c r="AG145" s="23" t="s">
        <v>53</v>
      </c>
      <c r="AH145" s="24"/>
      <c r="AN145" s="24"/>
    </row>
    <row r="146" spans="1:40" ht="12.75">
      <c r="A146" s="15">
        <v>3254506</v>
      </c>
      <c r="B146" s="15" t="s">
        <v>37</v>
      </c>
      <c r="C146" s="15" t="s">
        <v>38</v>
      </c>
      <c r="D146" s="15" t="s">
        <v>85</v>
      </c>
      <c r="E146" s="15" t="s">
        <v>86</v>
      </c>
      <c r="F146" s="15" t="s">
        <v>41</v>
      </c>
      <c r="G146" s="15" t="s">
        <v>87</v>
      </c>
      <c r="H146" s="15" t="s">
        <v>76</v>
      </c>
      <c r="I146" s="15" t="s">
        <v>77</v>
      </c>
      <c r="J146" s="15" t="s">
        <v>88</v>
      </c>
      <c r="K146" s="15" t="s">
        <v>46</v>
      </c>
      <c r="L146" s="16" t="s">
        <v>55</v>
      </c>
      <c r="M146" s="15" t="s">
        <v>48</v>
      </c>
      <c r="N146" s="17">
        <v>452021328446</v>
      </c>
      <c r="O146" s="15">
        <v>19933357</v>
      </c>
      <c r="P146" s="18" t="s">
        <v>120</v>
      </c>
      <c r="Q146" s="18">
        <v>6</v>
      </c>
      <c r="R146" s="18">
        <v>0.47099999999999997</v>
      </c>
      <c r="S146" s="15">
        <v>76</v>
      </c>
      <c r="T146" s="16">
        <v>45824</v>
      </c>
      <c r="U146" s="19">
        <v>45883</v>
      </c>
      <c r="V146" s="16">
        <v>45824</v>
      </c>
      <c r="W146" s="16">
        <v>45826</v>
      </c>
      <c r="X146" s="57">
        <f t="shared" si="8"/>
        <v>45825</v>
      </c>
      <c r="Y146" s="63">
        <v>45832</v>
      </c>
      <c r="Z146" s="67">
        <v>45861</v>
      </c>
      <c r="AA146" s="71">
        <f t="shared" si="9"/>
        <v>45874</v>
      </c>
      <c r="AB146" s="20">
        <f t="shared" si="10"/>
        <v>-9</v>
      </c>
      <c r="AC146" s="20" t="s">
        <v>50</v>
      </c>
      <c r="AD146" s="21" t="s">
        <v>51</v>
      </c>
      <c r="AE146" s="21"/>
      <c r="AF146" s="22" t="s">
        <v>52</v>
      </c>
      <c r="AG146" s="23" t="s">
        <v>53</v>
      </c>
      <c r="AH146" s="24"/>
      <c r="AN146" s="24"/>
    </row>
    <row r="147" spans="1:40" ht="12.75">
      <c r="A147" s="15">
        <v>3254506</v>
      </c>
      <c r="B147" s="15" t="s">
        <v>37</v>
      </c>
      <c r="C147" s="15" t="s">
        <v>38</v>
      </c>
      <c r="D147" s="15" t="s">
        <v>85</v>
      </c>
      <c r="E147" s="15" t="s">
        <v>86</v>
      </c>
      <c r="F147" s="15" t="s">
        <v>41</v>
      </c>
      <c r="G147" s="15" t="s">
        <v>87</v>
      </c>
      <c r="H147" s="15" t="s">
        <v>76</v>
      </c>
      <c r="I147" s="15" t="s">
        <v>77</v>
      </c>
      <c r="J147" s="15" t="s">
        <v>88</v>
      </c>
      <c r="K147" s="15" t="s">
        <v>46</v>
      </c>
      <c r="L147" s="16" t="s">
        <v>55</v>
      </c>
      <c r="M147" s="15" t="s">
        <v>48</v>
      </c>
      <c r="N147" s="17">
        <v>452521848044</v>
      </c>
      <c r="O147" s="15">
        <v>19933297</v>
      </c>
      <c r="P147" s="18" t="s">
        <v>56</v>
      </c>
      <c r="Q147" s="18">
        <v>25</v>
      </c>
      <c r="R147" s="18">
        <v>1.9630000000000001</v>
      </c>
      <c r="S147" s="15">
        <v>269.95999999999998</v>
      </c>
      <c r="T147" s="16">
        <v>45824</v>
      </c>
      <c r="U147" s="19">
        <v>45883</v>
      </c>
      <c r="V147" s="16">
        <v>45824</v>
      </c>
      <c r="W147" s="16">
        <v>45826</v>
      </c>
      <c r="X147" s="57">
        <f t="shared" si="8"/>
        <v>45825</v>
      </c>
      <c r="Y147" s="63">
        <v>45832</v>
      </c>
      <c r="Z147" s="67">
        <v>45861</v>
      </c>
      <c r="AA147" s="71">
        <f t="shared" si="9"/>
        <v>45874</v>
      </c>
      <c r="AB147" s="20">
        <f t="shared" si="10"/>
        <v>-9</v>
      </c>
      <c r="AC147" s="20" t="s">
        <v>50</v>
      </c>
      <c r="AD147" s="21" t="s">
        <v>51</v>
      </c>
      <c r="AE147" s="21"/>
      <c r="AF147" s="22" t="s">
        <v>52</v>
      </c>
      <c r="AG147" s="23" t="s">
        <v>53</v>
      </c>
      <c r="AH147" s="24"/>
      <c r="AN147" s="24"/>
    </row>
    <row r="148" spans="1:40" ht="12.75">
      <c r="A148" s="15">
        <v>3254506</v>
      </c>
      <c r="B148" s="15" t="s">
        <v>37</v>
      </c>
      <c r="C148" s="15" t="s">
        <v>38</v>
      </c>
      <c r="D148" s="15" t="s">
        <v>85</v>
      </c>
      <c r="E148" s="15" t="s">
        <v>86</v>
      </c>
      <c r="F148" s="15" t="s">
        <v>41</v>
      </c>
      <c r="G148" s="15" t="s">
        <v>87</v>
      </c>
      <c r="H148" s="15" t="s">
        <v>76</v>
      </c>
      <c r="I148" s="15" t="s">
        <v>77</v>
      </c>
      <c r="J148" s="15" t="s">
        <v>88</v>
      </c>
      <c r="K148" s="15" t="s">
        <v>46</v>
      </c>
      <c r="L148" s="16" t="s">
        <v>57</v>
      </c>
      <c r="M148" s="15" t="s">
        <v>48</v>
      </c>
      <c r="N148" s="17">
        <v>452043834613</v>
      </c>
      <c r="O148" s="15">
        <v>19876732</v>
      </c>
      <c r="P148" s="18" t="s">
        <v>121</v>
      </c>
      <c r="Q148" s="18">
        <v>1</v>
      </c>
      <c r="R148" s="18">
        <v>0.04</v>
      </c>
      <c r="S148" s="15">
        <v>5.1719999999999997</v>
      </c>
      <c r="T148" s="16">
        <v>45824</v>
      </c>
      <c r="U148" s="19">
        <v>45883</v>
      </c>
      <c r="V148" s="16">
        <v>45824</v>
      </c>
      <c r="W148" s="16">
        <v>45826</v>
      </c>
      <c r="X148" s="57">
        <f t="shared" si="8"/>
        <v>45825</v>
      </c>
      <c r="Y148" s="63">
        <v>45832</v>
      </c>
      <c r="Z148" s="67">
        <v>45861</v>
      </c>
      <c r="AA148" s="71">
        <f t="shared" si="9"/>
        <v>45874</v>
      </c>
      <c r="AB148" s="20">
        <f t="shared" si="10"/>
        <v>-9</v>
      </c>
      <c r="AC148" s="20" t="s">
        <v>50</v>
      </c>
      <c r="AD148" s="21" t="s">
        <v>51</v>
      </c>
      <c r="AE148" s="21"/>
      <c r="AF148" s="22" t="s">
        <v>52</v>
      </c>
      <c r="AG148" s="23" t="s">
        <v>53</v>
      </c>
      <c r="AH148" s="24"/>
      <c r="AN148" s="24"/>
    </row>
    <row r="149" spans="1:40" ht="12.75">
      <c r="A149" s="15">
        <v>3254506</v>
      </c>
      <c r="B149" s="15" t="s">
        <v>37</v>
      </c>
      <c r="C149" s="15" t="s">
        <v>38</v>
      </c>
      <c r="D149" s="15" t="s">
        <v>85</v>
      </c>
      <c r="E149" s="15" t="s">
        <v>86</v>
      </c>
      <c r="F149" s="15" t="s">
        <v>41</v>
      </c>
      <c r="G149" s="15" t="s">
        <v>87</v>
      </c>
      <c r="H149" s="15" t="s">
        <v>76</v>
      </c>
      <c r="I149" s="15" t="s">
        <v>77</v>
      </c>
      <c r="J149" s="15" t="s">
        <v>88</v>
      </c>
      <c r="K149" s="15" t="s">
        <v>46</v>
      </c>
      <c r="L149" s="16" t="s">
        <v>57</v>
      </c>
      <c r="M149" s="15" t="s">
        <v>48</v>
      </c>
      <c r="N149" s="17">
        <v>452045547643</v>
      </c>
      <c r="O149" s="15">
        <v>19876487</v>
      </c>
      <c r="P149" s="18" t="s">
        <v>121</v>
      </c>
      <c r="Q149" s="18">
        <v>1</v>
      </c>
      <c r="R149" s="18">
        <v>0.04</v>
      </c>
      <c r="S149" s="15">
        <v>7.6239999999999997</v>
      </c>
      <c r="T149" s="16">
        <v>45824</v>
      </c>
      <c r="U149" s="19">
        <v>45883</v>
      </c>
      <c r="V149" s="16">
        <v>45824</v>
      </c>
      <c r="W149" s="16">
        <v>45826</v>
      </c>
      <c r="X149" s="57">
        <f t="shared" si="8"/>
        <v>45825</v>
      </c>
      <c r="Y149" s="63">
        <v>45832</v>
      </c>
      <c r="Z149" s="67">
        <v>45861</v>
      </c>
      <c r="AA149" s="71">
        <f t="shared" si="9"/>
        <v>45874</v>
      </c>
      <c r="AB149" s="20">
        <f t="shared" si="10"/>
        <v>-9</v>
      </c>
      <c r="AC149" s="20" t="s">
        <v>50</v>
      </c>
      <c r="AD149" s="21" t="s">
        <v>51</v>
      </c>
      <c r="AE149" s="21"/>
      <c r="AF149" s="22" t="s">
        <v>52</v>
      </c>
      <c r="AG149" s="23" t="s">
        <v>53</v>
      </c>
      <c r="AH149" s="24"/>
      <c r="AN149" s="24"/>
    </row>
    <row r="150" spans="1:40" ht="12.75">
      <c r="A150" s="15">
        <v>3254506</v>
      </c>
      <c r="B150" s="15" t="s">
        <v>37</v>
      </c>
      <c r="C150" s="15" t="s">
        <v>38</v>
      </c>
      <c r="D150" s="15" t="s">
        <v>85</v>
      </c>
      <c r="E150" s="15" t="s">
        <v>86</v>
      </c>
      <c r="F150" s="15" t="s">
        <v>41</v>
      </c>
      <c r="G150" s="15" t="s">
        <v>87</v>
      </c>
      <c r="H150" s="15" t="s">
        <v>76</v>
      </c>
      <c r="I150" s="15" t="s">
        <v>77</v>
      </c>
      <c r="J150" s="15" t="s">
        <v>88</v>
      </c>
      <c r="K150" s="15" t="s">
        <v>46</v>
      </c>
      <c r="L150" s="16" t="s">
        <v>57</v>
      </c>
      <c r="M150" s="15" t="s">
        <v>48</v>
      </c>
      <c r="N150" s="17">
        <v>452048141508</v>
      </c>
      <c r="O150" s="15">
        <v>19876518</v>
      </c>
      <c r="P150" s="18" t="s">
        <v>121</v>
      </c>
      <c r="Q150" s="18">
        <v>1</v>
      </c>
      <c r="R150" s="18">
        <v>0.04</v>
      </c>
      <c r="S150" s="15">
        <v>3.387</v>
      </c>
      <c r="T150" s="16">
        <v>45824</v>
      </c>
      <c r="U150" s="19">
        <v>45883</v>
      </c>
      <c r="V150" s="16">
        <v>45824</v>
      </c>
      <c r="W150" s="16">
        <v>45826</v>
      </c>
      <c r="X150" s="57">
        <f t="shared" si="8"/>
        <v>45825</v>
      </c>
      <c r="Y150" s="63">
        <v>45832</v>
      </c>
      <c r="Z150" s="67">
        <v>45861</v>
      </c>
      <c r="AA150" s="71">
        <f t="shared" si="9"/>
        <v>45874</v>
      </c>
      <c r="AB150" s="20">
        <f t="shared" si="10"/>
        <v>-9</v>
      </c>
      <c r="AC150" s="20" t="s">
        <v>50</v>
      </c>
      <c r="AD150" s="21" t="s">
        <v>51</v>
      </c>
      <c r="AE150" s="21"/>
      <c r="AF150" s="22" t="s">
        <v>52</v>
      </c>
      <c r="AG150" s="23" t="s">
        <v>53</v>
      </c>
      <c r="AH150" s="24"/>
      <c r="AN150" s="24"/>
    </row>
    <row r="151" spans="1:40" ht="12.75">
      <c r="A151" s="15">
        <v>3254506</v>
      </c>
      <c r="B151" s="15" t="s">
        <v>37</v>
      </c>
      <c r="C151" s="15" t="s">
        <v>38</v>
      </c>
      <c r="D151" s="15" t="s">
        <v>85</v>
      </c>
      <c r="E151" s="15" t="s">
        <v>86</v>
      </c>
      <c r="F151" s="15" t="s">
        <v>41</v>
      </c>
      <c r="G151" s="15" t="s">
        <v>87</v>
      </c>
      <c r="H151" s="15" t="s">
        <v>76</v>
      </c>
      <c r="I151" s="15" t="s">
        <v>77</v>
      </c>
      <c r="J151" s="15" t="s">
        <v>88</v>
      </c>
      <c r="K151" s="15" t="s">
        <v>46</v>
      </c>
      <c r="L151" s="16" t="s">
        <v>57</v>
      </c>
      <c r="M151" s="15" t="s">
        <v>48</v>
      </c>
      <c r="N151" s="17">
        <v>452051223910</v>
      </c>
      <c r="O151" s="15">
        <v>19876108</v>
      </c>
      <c r="P151" s="18" t="s">
        <v>122</v>
      </c>
      <c r="Q151" s="18">
        <v>1</v>
      </c>
      <c r="R151" s="18">
        <v>0.04</v>
      </c>
      <c r="S151" s="15">
        <v>6.7130000000000001</v>
      </c>
      <c r="T151" s="16">
        <v>45824</v>
      </c>
      <c r="U151" s="19">
        <v>45883</v>
      </c>
      <c r="V151" s="16">
        <v>45824</v>
      </c>
      <c r="W151" s="16">
        <v>45826</v>
      </c>
      <c r="X151" s="57">
        <f t="shared" si="8"/>
        <v>45825</v>
      </c>
      <c r="Y151" s="63">
        <v>45832</v>
      </c>
      <c r="Z151" s="67">
        <v>45861</v>
      </c>
      <c r="AA151" s="71">
        <f t="shared" si="9"/>
        <v>45874</v>
      </c>
      <c r="AB151" s="20">
        <f t="shared" si="10"/>
        <v>-9</v>
      </c>
      <c r="AC151" s="20" t="s">
        <v>50</v>
      </c>
      <c r="AD151" s="21" t="s">
        <v>51</v>
      </c>
      <c r="AE151" s="21"/>
      <c r="AF151" s="22" t="s">
        <v>52</v>
      </c>
      <c r="AG151" s="23" t="s">
        <v>53</v>
      </c>
      <c r="AH151" s="24"/>
      <c r="AN151" s="24"/>
    </row>
    <row r="152" spans="1:40" ht="12.75">
      <c r="A152" s="15">
        <v>3254506</v>
      </c>
      <c r="B152" s="15" t="s">
        <v>37</v>
      </c>
      <c r="C152" s="15" t="s">
        <v>38</v>
      </c>
      <c r="D152" s="15" t="s">
        <v>85</v>
      </c>
      <c r="E152" s="15" t="s">
        <v>86</v>
      </c>
      <c r="F152" s="15" t="s">
        <v>41</v>
      </c>
      <c r="G152" s="15" t="s">
        <v>87</v>
      </c>
      <c r="H152" s="15" t="s">
        <v>76</v>
      </c>
      <c r="I152" s="15" t="s">
        <v>77</v>
      </c>
      <c r="J152" s="15" t="s">
        <v>88</v>
      </c>
      <c r="K152" s="15" t="s">
        <v>46</v>
      </c>
      <c r="L152" s="16" t="s">
        <v>57</v>
      </c>
      <c r="M152" s="15" t="s">
        <v>48</v>
      </c>
      <c r="N152" s="17">
        <v>452052829747</v>
      </c>
      <c r="O152" s="15">
        <v>19876875</v>
      </c>
      <c r="P152" s="18" t="s">
        <v>122</v>
      </c>
      <c r="Q152" s="18">
        <v>1</v>
      </c>
      <c r="R152" s="18">
        <v>8.4000000000000005E-2</v>
      </c>
      <c r="S152" s="15">
        <v>18.760000000000002</v>
      </c>
      <c r="T152" s="16">
        <v>45824</v>
      </c>
      <c r="U152" s="19">
        <v>45883</v>
      </c>
      <c r="V152" s="16">
        <v>45824</v>
      </c>
      <c r="W152" s="16">
        <v>45826</v>
      </c>
      <c r="X152" s="57">
        <f t="shared" si="8"/>
        <v>45825</v>
      </c>
      <c r="Y152" s="63">
        <v>45832</v>
      </c>
      <c r="Z152" s="67">
        <v>45861</v>
      </c>
      <c r="AA152" s="71">
        <f t="shared" si="9"/>
        <v>45874</v>
      </c>
      <c r="AB152" s="20">
        <f t="shared" si="10"/>
        <v>-9</v>
      </c>
      <c r="AC152" s="20" t="s">
        <v>50</v>
      </c>
      <c r="AD152" s="21" t="s">
        <v>51</v>
      </c>
      <c r="AE152" s="21"/>
      <c r="AF152" s="22" t="s">
        <v>52</v>
      </c>
      <c r="AG152" s="23" t="s">
        <v>53</v>
      </c>
      <c r="AH152" s="24"/>
      <c r="AN152" s="24"/>
    </row>
    <row r="153" spans="1:40" ht="12.75">
      <c r="A153" s="15">
        <v>3254506</v>
      </c>
      <c r="B153" s="15" t="s">
        <v>37</v>
      </c>
      <c r="C153" s="15" t="s">
        <v>38</v>
      </c>
      <c r="D153" s="15" t="s">
        <v>85</v>
      </c>
      <c r="E153" s="15" t="s">
        <v>86</v>
      </c>
      <c r="F153" s="15" t="s">
        <v>41</v>
      </c>
      <c r="G153" s="15" t="s">
        <v>87</v>
      </c>
      <c r="H153" s="15" t="s">
        <v>76</v>
      </c>
      <c r="I153" s="15" t="s">
        <v>77</v>
      </c>
      <c r="J153" s="15" t="s">
        <v>88</v>
      </c>
      <c r="K153" s="15" t="s">
        <v>46</v>
      </c>
      <c r="L153" s="16" t="s">
        <v>57</v>
      </c>
      <c r="M153" s="15" t="s">
        <v>48</v>
      </c>
      <c r="N153" s="17">
        <v>452052906569</v>
      </c>
      <c r="O153" s="15">
        <v>19876879</v>
      </c>
      <c r="P153" s="18" t="s">
        <v>122</v>
      </c>
      <c r="Q153" s="18">
        <v>1</v>
      </c>
      <c r="R153" s="18">
        <v>0.04</v>
      </c>
      <c r="S153" s="15">
        <v>10.425000000000001</v>
      </c>
      <c r="T153" s="16">
        <v>45824</v>
      </c>
      <c r="U153" s="19">
        <v>45883</v>
      </c>
      <c r="V153" s="16">
        <v>45824</v>
      </c>
      <c r="W153" s="16">
        <v>45826</v>
      </c>
      <c r="X153" s="57">
        <f t="shared" si="8"/>
        <v>45825</v>
      </c>
      <c r="Y153" s="63">
        <v>45832</v>
      </c>
      <c r="Z153" s="67">
        <v>45861</v>
      </c>
      <c r="AA153" s="71">
        <f t="shared" si="9"/>
        <v>45874</v>
      </c>
      <c r="AB153" s="20">
        <f t="shared" si="10"/>
        <v>-9</v>
      </c>
      <c r="AC153" s="20" t="s">
        <v>50</v>
      </c>
      <c r="AD153" s="21" t="s">
        <v>51</v>
      </c>
      <c r="AE153" s="21"/>
      <c r="AF153" s="22" t="s">
        <v>52</v>
      </c>
      <c r="AG153" s="23" t="s">
        <v>53</v>
      </c>
      <c r="AH153" s="24"/>
      <c r="AN153" s="24"/>
    </row>
    <row r="154" spans="1:40" ht="12.75">
      <c r="A154" s="15">
        <v>3254506</v>
      </c>
      <c r="B154" s="15" t="s">
        <v>37</v>
      </c>
      <c r="C154" s="15" t="s">
        <v>38</v>
      </c>
      <c r="D154" s="15" t="s">
        <v>85</v>
      </c>
      <c r="E154" s="15" t="s">
        <v>86</v>
      </c>
      <c r="F154" s="15" t="s">
        <v>41</v>
      </c>
      <c r="G154" s="15" t="s">
        <v>87</v>
      </c>
      <c r="H154" s="15" t="s">
        <v>76</v>
      </c>
      <c r="I154" s="15" t="s">
        <v>77</v>
      </c>
      <c r="J154" s="15" t="s">
        <v>88</v>
      </c>
      <c r="K154" s="15" t="s">
        <v>46</v>
      </c>
      <c r="L154" s="16" t="s">
        <v>57</v>
      </c>
      <c r="M154" s="15" t="s">
        <v>48</v>
      </c>
      <c r="N154" s="17">
        <v>452057107390</v>
      </c>
      <c r="O154" s="15">
        <v>19876142</v>
      </c>
      <c r="P154" s="18" t="s">
        <v>122</v>
      </c>
      <c r="Q154" s="18">
        <v>1</v>
      </c>
      <c r="R154" s="18">
        <v>0.04</v>
      </c>
      <c r="S154" s="15">
        <v>3.2919999999999998</v>
      </c>
      <c r="T154" s="16">
        <v>45824</v>
      </c>
      <c r="U154" s="19">
        <v>45883</v>
      </c>
      <c r="V154" s="16">
        <v>45824</v>
      </c>
      <c r="W154" s="16">
        <v>45826</v>
      </c>
      <c r="X154" s="57">
        <f t="shared" si="8"/>
        <v>45825</v>
      </c>
      <c r="Y154" s="63">
        <v>45832</v>
      </c>
      <c r="Z154" s="67">
        <v>45861</v>
      </c>
      <c r="AA154" s="71">
        <f t="shared" si="9"/>
        <v>45874</v>
      </c>
      <c r="AB154" s="20">
        <f t="shared" si="10"/>
        <v>-9</v>
      </c>
      <c r="AC154" s="20" t="s">
        <v>50</v>
      </c>
      <c r="AD154" s="21" t="s">
        <v>51</v>
      </c>
      <c r="AE154" s="21"/>
      <c r="AF154" s="22" t="s">
        <v>52</v>
      </c>
      <c r="AG154" s="23" t="s">
        <v>53</v>
      </c>
      <c r="AH154" s="24"/>
      <c r="AN154" s="24"/>
    </row>
    <row r="155" spans="1:40" ht="12.75">
      <c r="A155" s="15">
        <v>3254506</v>
      </c>
      <c r="B155" s="15" t="s">
        <v>37</v>
      </c>
      <c r="C155" s="15" t="s">
        <v>38</v>
      </c>
      <c r="D155" s="15" t="s">
        <v>85</v>
      </c>
      <c r="E155" s="15" t="s">
        <v>86</v>
      </c>
      <c r="F155" s="15" t="s">
        <v>41</v>
      </c>
      <c r="G155" s="15" t="s">
        <v>87</v>
      </c>
      <c r="H155" s="15" t="s">
        <v>76</v>
      </c>
      <c r="I155" s="15" t="s">
        <v>77</v>
      </c>
      <c r="J155" s="15" t="s">
        <v>88</v>
      </c>
      <c r="K155" s="15" t="s">
        <v>46</v>
      </c>
      <c r="L155" s="16" t="s">
        <v>57</v>
      </c>
      <c r="M155" s="15" t="s">
        <v>48</v>
      </c>
      <c r="N155" s="17">
        <v>452057947068</v>
      </c>
      <c r="O155" s="15">
        <v>19876141</v>
      </c>
      <c r="P155" s="18" t="s">
        <v>122</v>
      </c>
      <c r="Q155" s="18">
        <v>1</v>
      </c>
      <c r="R155" s="18">
        <v>0.04</v>
      </c>
      <c r="S155" s="15">
        <v>4.6470000000000002</v>
      </c>
      <c r="T155" s="16">
        <v>45824</v>
      </c>
      <c r="U155" s="19">
        <v>45883</v>
      </c>
      <c r="V155" s="16">
        <v>45824</v>
      </c>
      <c r="W155" s="16">
        <v>45826</v>
      </c>
      <c r="X155" s="57">
        <f t="shared" si="8"/>
        <v>45825</v>
      </c>
      <c r="Y155" s="63">
        <v>45832</v>
      </c>
      <c r="Z155" s="67">
        <v>45861</v>
      </c>
      <c r="AA155" s="71">
        <f t="shared" si="9"/>
        <v>45874</v>
      </c>
      <c r="AB155" s="20">
        <f t="shared" si="10"/>
        <v>-9</v>
      </c>
      <c r="AC155" s="20" t="s">
        <v>50</v>
      </c>
      <c r="AD155" s="21" t="s">
        <v>51</v>
      </c>
      <c r="AE155" s="21"/>
      <c r="AF155" s="22" t="s">
        <v>52</v>
      </c>
      <c r="AG155" s="23" t="s">
        <v>53</v>
      </c>
      <c r="AH155" s="24"/>
      <c r="AN155" s="24"/>
    </row>
    <row r="156" spans="1:40" ht="12.75">
      <c r="A156" s="15">
        <v>3254506</v>
      </c>
      <c r="B156" s="15" t="s">
        <v>37</v>
      </c>
      <c r="C156" s="15" t="s">
        <v>38</v>
      </c>
      <c r="D156" s="15" t="s">
        <v>85</v>
      </c>
      <c r="E156" s="15" t="s">
        <v>86</v>
      </c>
      <c r="F156" s="15" t="s">
        <v>41</v>
      </c>
      <c r="G156" s="15" t="s">
        <v>87</v>
      </c>
      <c r="H156" s="15" t="s">
        <v>76</v>
      </c>
      <c r="I156" s="15" t="s">
        <v>77</v>
      </c>
      <c r="J156" s="15" t="s">
        <v>88</v>
      </c>
      <c r="K156" s="15" t="s">
        <v>46</v>
      </c>
      <c r="L156" s="16" t="s">
        <v>57</v>
      </c>
      <c r="M156" s="15" t="s">
        <v>48</v>
      </c>
      <c r="N156" s="17">
        <v>452058797576</v>
      </c>
      <c r="O156" s="15">
        <v>19876945</v>
      </c>
      <c r="P156" s="18" t="s">
        <v>122</v>
      </c>
      <c r="Q156" s="18">
        <v>1</v>
      </c>
      <c r="R156" s="18">
        <v>0.04</v>
      </c>
      <c r="S156" s="15">
        <v>8.7970000000000006</v>
      </c>
      <c r="T156" s="16">
        <v>45824</v>
      </c>
      <c r="U156" s="19">
        <v>45883</v>
      </c>
      <c r="V156" s="16">
        <v>45824</v>
      </c>
      <c r="W156" s="16">
        <v>45826</v>
      </c>
      <c r="X156" s="57">
        <f t="shared" si="8"/>
        <v>45825</v>
      </c>
      <c r="Y156" s="63">
        <v>45832</v>
      </c>
      <c r="Z156" s="67">
        <v>45861</v>
      </c>
      <c r="AA156" s="71">
        <f t="shared" si="9"/>
        <v>45874</v>
      </c>
      <c r="AB156" s="20">
        <f t="shared" si="10"/>
        <v>-9</v>
      </c>
      <c r="AC156" s="20" t="s">
        <v>50</v>
      </c>
      <c r="AD156" s="21" t="s">
        <v>51</v>
      </c>
      <c r="AE156" s="21"/>
      <c r="AF156" s="22" t="s">
        <v>52</v>
      </c>
      <c r="AG156" s="23" t="s">
        <v>53</v>
      </c>
      <c r="AH156" s="24"/>
      <c r="AN156" s="24"/>
    </row>
    <row r="157" spans="1:40" ht="12.75">
      <c r="A157" s="15">
        <v>3254506</v>
      </c>
      <c r="B157" s="15" t="s">
        <v>37</v>
      </c>
      <c r="C157" s="15" t="s">
        <v>38</v>
      </c>
      <c r="D157" s="15" t="s">
        <v>85</v>
      </c>
      <c r="E157" s="15" t="s">
        <v>86</v>
      </c>
      <c r="F157" s="15" t="s">
        <v>41</v>
      </c>
      <c r="G157" s="15" t="s">
        <v>87</v>
      </c>
      <c r="H157" s="15" t="s">
        <v>76</v>
      </c>
      <c r="I157" s="15" t="s">
        <v>77</v>
      </c>
      <c r="J157" s="15" t="s">
        <v>88</v>
      </c>
      <c r="K157" s="15" t="s">
        <v>46</v>
      </c>
      <c r="L157" s="16" t="s">
        <v>57</v>
      </c>
      <c r="M157" s="15" t="s">
        <v>48</v>
      </c>
      <c r="N157" s="17">
        <v>452059368323</v>
      </c>
      <c r="O157" s="15">
        <v>19876949</v>
      </c>
      <c r="P157" s="18" t="s">
        <v>122</v>
      </c>
      <c r="Q157" s="18">
        <v>1</v>
      </c>
      <c r="R157" s="18">
        <v>0.04</v>
      </c>
      <c r="S157" s="15">
        <v>5.65</v>
      </c>
      <c r="T157" s="16">
        <v>45824</v>
      </c>
      <c r="U157" s="19">
        <v>45883</v>
      </c>
      <c r="V157" s="16">
        <v>45824</v>
      </c>
      <c r="W157" s="16">
        <v>45826</v>
      </c>
      <c r="X157" s="57">
        <f t="shared" si="8"/>
        <v>45825</v>
      </c>
      <c r="Y157" s="63">
        <v>45832</v>
      </c>
      <c r="Z157" s="67">
        <v>45861</v>
      </c>
      <c r="AA157" s="71">
        <f t="shared" si="9"/>
        <v>45874</v>
      </c>
      <c r="AB157" s="20">
        <f t="shared" si="10"/>
        <v>-9</v>
      </c>
      <c r="AC157" s="20" t="s">
        <v>50</v>
      </c>
      <c r="AD157" s="21" t="s">
        <v>51</v>
      </c>
      <c r="AE157" s="21"/>
      <c r="AF157" s="22" t="s">
        <v>52</v>
      </c>
      <c r="AG157" s="23" t="s">
        <v>53</v>
      </c>
      <c r="AH157" s="24"/>
      <c r="AN157" s="24"/>
    </row>
    <row r="158" spans="1:40" ht="12.75">
      <c r="A158" s="15">
        <v>3254506</v>
      </c>
      <c r="B158" s="15" t="s">
        <v>37</v>
      </c>
      <c r="C158" s="15" t="s">
        <v>38</v>
      </c>
      <c r="D158" s="15" t="s">
        <v>85</v>
      </c>
      <c r="E158" s="15" t="s">
        <v>86</v>
      </c>
      <c r="F158" s="15" t="s">
        <v>41</v>
      </c>
      <c r="G158" s="15" t="s">
        <v>87</v>
      </c>
      <c r="H158" s="15" t="s">
        <v>76</v>
      </c>
      <c r="I158" s="15" t="s">
        <v>77</v>
      </c>
      <c r="J158" s="15" t="s">
        <v>88</v>
      </c>
      <c r="K158" s="15" t="s">
        <v>46</v>
      </c>
      <c r="L158" s="16" t="s">
        <v>57</v>
      </c>
      <c r="M158" s="15" t="s">
        <v>48</v>
      </c>
      <c r="N158" s="17">
        <v>452063949367</v>
      </c>
      <c r="O158" s="15">
        <v>19876135</v>
      </c>
      <c r="P158" s="18" t="s">
        <v>122</v>
      </c>
      <c r="Q158" s="18">
        <v>1</v>
      </c>
      <c r="R158" s="18">
        <v>0.04</v>
      </c>
      <c r="S158" s="15">
        <v>5.9249999999999998</v>
      </c>
      <c r="T158" s="16">
        <v>45824</v>
      </c>
      <c r="U158" s="19">
        <v>45883</v>
      </c>
      <c r="V158" s="16">
        <v>45824</v>
      </c>
      <c r="W158" s="16">
        <v>45826</v>
      </c>
      <c r="X158" s="57">
        <f t="shared" si="8"/>
        <v>45825</v>
      </c>
      <c r="Y158" s="63">
        <v>45832</v>
      </c>
      <c r="Z158" s="67">
        <v>45861</v>
      </c>
      <c r="AA158" s="71">
        <f t="shared" si="9"/>
        <v>45874</v>
      </c>
      <c r="AB158" s="20">
        <f t="shared" si="10"/>
        <v>-9</v>
      </c>
      <c r="AC158" s="20" t="s">
        <v>50</v>
      </c>
      <c r="AD158" s="21" t="s">
        <v>51</v>
      </c>
      <c r="AE158" s="21"/>
      <c r="AF158" s="22" t="s">
        <v>52</v>
      </c>
      <c r="AG158" s="23" t="s">
        <v>53</v>
      </c>
      <c r="AH158" s="24"/>
      <c r="AN158" s="24"/>
    </row>
    <row r="159" spans="1:40" ht="12.75">
      <c r="A159" s="15">
        <v>3254506</v>
      </c>
      <c r="B159" s="15" t="s">
        <v>37</v>
      </c>
      <c r="C159" s="15" t="s">
        <v>38</v>
      </c>
      <c r="D159" s="15" t="s">
        <v>85</v>
      </c>
      <c r="E159" s="15" t="s">
        <v>86</v>
      </c>
      <c r="F159" s="15" t="s">
        <v>41</v>
      </c>
      <c r="G159" s="15" t="s">
        <v>87</v>
      </c>
      <c r="H159" s="15" t="s">
        <v>76</v>
      </c>
      <c r="I159" s="15" t="s">
        <v>77</v>
      </c>
      <c r="J159" s="15" t="s">
        <v>88</v>
      </c>
      <c r="K159" s="15" t="s">
        <v>46</v>
      </c>
      <c r="L159" s="16" t="s">
        <v>57</v>
      </c>
      <c r="M159" s="15" t="s">
        <v>48</v>
      </c>
      <c r="N159" s="17">
        <v>452064162091</v>
      </c>
      <c r="O159" s="15">
        <v>19876136</v>
      </c>
      <c r="P159" s="18" t="s">
        <v>122</v>
      </c>
      <c r="Q159" s="18">
        <v>1</v>
      </c>
      <c r="R159" s="18">
        <v>0.04</v>
      </c>
      <c r="S159" s="15">
        <v>5.1440000000000001</v>
      </c>
      <c r="T159" s="16">
        <v>45824</v>
      </c>
      <c r="U159" s="19">
        <v>45883</v>
      </c>
      <c r="V159" s="16">
        <v>45824</v>
      </c>
      <c r="W159" s="16">
        <v>45826</v>
      </c>
      <c r="X159" s="57">
        <f t="shared" si="8"/>
        <v>45825</v>
      </c>
      <c r="Y159" s="63">
        <v>45832</v>
      </c>
      <c r="Z159" s="67">
        <v>45861</v>
      </c>
      <c r="AA159" s="71">
        <f t="shared" si="9"/>
        <v>45874</v>
      </c>
      <c r="AB159" s="20">
        <f t="shared" si="10"/>
        <v>-9</v>
      </c>
      <c r="AC159" s="20" t="s">
        <v>50</v>
      </c>
      <c r="AD159" s="21" t="s">
        <v>51</v>
      </c>
      <c r="AE159" s="21"/>
      <c r="AF159" s="22" t="s">
        <v>52</v>
      </c>
      <c r="AG159" s="23" t="s">
        <v>53</v>
      </c>
      <c r="AH159" s="24"/>
      <c r="AN159" s="24"/>
    </row>
    <row r="160" spans="1:40" ht="12.75">
      <c r="A160" s="15">
        <v>3254506</v>
      </c>
      <c r="B160" s="15" t="s">
        <v>37</v>
      </c>
      <c r="C160" s="15" t="s">
        <v>38</v>
      </c>
      <c r="D160" s="15" t="s">
        <v>85</v>
      </c>
      <c r="E160" s="15" t="s">
        <v>86</v>
      </c>
      <c r="F160" s="15" t="s">
        <v>41</v>
      </c>
      <c r="G160" s="15" t="s">
        <v>87</v>
      </c>
      <c r="H160" s="15" t="s">
        <v>76</v>
      </c>
      <c r="I160" s="15" t="s">
        <v>77</v>
      </c>
      <c r="J160" s="15" t="s">
        <v>88</v>
      </c>
      <c r="K160" s="15" t="s">
        <v>46</v>
      </c>
      <c r="L160" s="16" t="s">
        <v>57</v>
      </c>
      <c r="M160" s="15" t="s">
        <v>48</v>
      </c>
      <c r="N160" s="17">
        <v>452065075476</v>
      </c>
      <c r="O160" s="15">
        <v>19876915</v>
      </c>
      <c r="P160" s="18" t="s">
        <v>122</v>
      </c>
      <c r="Q160" s="18">
        <v>1</v>
      </c>
      <c r="R160" s="18">
        <v>0.04</v>
      </c>
      <c r="S160" s="15">
        <v>9.07</v>
      </c>
      <c r="T160" s="16">
        <v>45824</v>
      </c>
      <c r="U160" s="19">
        <v>45883</v>
      </c>
      <c r="V160" s="16">
        <v>45824</v>
      </c>
      <c r="W160" s="16">
        <v>45826</v>
      </c>
      <c r="X160" s="57">
        <f t="shared" si="8"/>
        <v>45825</v>
      </c>
      <c r="Y160" s="63">
        <v>45832</v>
      </c>
      <c r="Z160" s="67">
        <v>45861</v>
      </c>
      <c r="AA160" s="71">
        <f t="shared" si="9"/>
        <v>45874</v>
      </c>
      <c r="AB160" s="20">
        <f t="shared" si="10"/>
        <v>-9</v>
      </c>
      <c r="AC160" s="20" t="s">
        <v>50</v>
      </c>
      <c r="AD160" s="21" t="s">
        <v>51</v>
      </c>
      <c r="AE160" s="21"/>
      <c r="AF160" s="22" t="s">
        <v>52</v>
      </c>
      <c r="AG160" s="23" t="s">
        <v>53</v>
      </c>
      <c r="AH160" s="24"/>
      <c r="AN160" s="24"/>
    </row>
    <row r="161" spans="1:40" ht="12.75">
      <c r="A161" s="15">
        <v>3254506</v>
      </c>
      <c r="B161" s="15" t="s">
        <v>37</v>
      </c>
      <c r="C161" s="15" t="s">
        <v>38</v>
      </c>
      <c r="D161" s="15" t="s">
        <v>85</v>
      </c>
      <c r="E161" s="15" t="s">
        <v>86</v>
      </c>
      <c r="F161" s="15" t="s">
        <v>41</v>
      </c>
      <c r="G161" s="15" t="s">
        <v>87</v>
      </c>
      <c r="H161" s="15" t="s">
        <v>76</v>
      </c>
      <c r="I161" s="15" t="s">
        <v>77</v>
      </c>
      <c r="J161" s="15" t="s">
        <v>88</v>
      </c>
      <c r="K161" s="15" t="s">
        <v>46</v>
      </c>
      <c r="L161" s="16" t="s">
        <v>57</v>
      </c>
      <c r="M161" s="15" t="s">
        <v>48</v>
      </c>
      <c r="N161" s="17">
        <v>452065160070</v>
      </c>
      <c r="O161" s="15">
        <v>19876911</v>
      </c>
      <c r="P161" s="18" t="s">
        <v>122</v>
      </c>
      <c r="Q161" s="18">
        <v>1</v>
      </c>
      <c r="R161" s="18">
        <v>7.9000000000000001E-2</v>
      </c>
      <c r="S161" s="15">
        <v>16.149000000000001</v>
      </c>
      <c r="T161" s="16">
        <v>45824</v>
      </c>
      <c r="U161" s="19">
        <v>45883</v>
      </c>
      <c r="V161" s="16">
        <v>45824</v>
      </c>
      <c r="W161" s="16">
        <v>45826</v>
      </c>
      <c r="X161" s="57">
        <f t="shared" si="8"/>
        <v>45825</v>
      </c>
      <c r="Y161" s="63">
        <v>45832</v>
      </c>
      <c r="Z161" s="67">
        <v>45861</v>
      </c>
      <c r="AA161" s="71">
        <f t="shared" si="9"/>
        <v>45874</v>
      </c>
      <c r="AB161" s="20">
        <f t="shared" si="10"/>
        <v>-9</v>
      </c>
      <c r="AC161" s="20" t="s">
        <v>50</v>
      </c>
      <c r="AD161" s="21" t="s">
        <v>51</v>
      </c>
      <c r="AE161" s="21"/>
      <c r="AF161" s="22" t="s">
        <v>52</v>
      </c>
      <c r="AG161" s="23" t="s">
        <v>53</v>
      </c>
      <c r="AH161" s="24"/>
      <c r="AN161" s="24"/>
    </row>
    <row r="162" spans="1:40" ht="12.75">
      <c r="A162" s="15">
        <v>3254506</v>
      </c>
      <c r="B162" s="15" t="s">
        <v>37</v>
      </c>
      <c r="C162" s="15" t="s">
        <v>38</v>
      </c>
      <c r="D162" s="15" t="s">
        <v>85</v>
      </c>
      <c r="E162" s="15" t="s">
        <v>86</v>
      </c>
      <c r="F162" s="15" t="s">
        <v>41</v>
      </c>
      <c r="G162" s="15" t="s">
        <v>87</v>
      </c>
      <c r="H162" s="15" t="s">
        <v>76</v>
      </c>
      <c r="I162" s="15" t="s">
        <v>77</v>
      </c>
      <c r="J162" s="15" t="s">
        <v>88</v>
      </c>
      <c r="K162" s="15" t="s">
        <v>46</v>
      </c>
      <c r="L162" s="16" t="s">
        <v>57</v>
      </c>
      <c r="M162" s="15" t="s">
        <v>48</v>
      </c>
      <c r="N162" s="17">
        <v>452090767696</v>
      </c>
      <c r="O162" s="15">
        <v>19876156</v>
      </c>
      <c r="P162" s="18" t="s">
        <v>59</v>
      </c>
      <c r="Q162" s="18">
        <v>1</v>
      </c>
      <c r="R162" s="18">
        <v>7.9000000000000001E-2</v>
      </c>
      <c r="S162" s="15">
        <v>4.2510000000000003</v>
      </c>
      <c r="T162" s="16">
        <v>45824</v>
      </c>
      <c r="U162" s="19">
        <v>45883</v>
      </c>
      <c r="V162" s="16">
        <v>45824</v>
      </c>
      <c r="W162" s="16">
        <v>45826</v>
      </c>
      <c r="X162" s="57">
        <f t="shared" si="8"/>
        <v>45825</v>
      </c>
      <c r="Y162" s="63">
        <v>45832</v>
      </c>
      <c r="Z162" s="67">
        <v>45861</v>
      </c>
      <c r="AA162" s="71">
        <f t="shared" si="9"/>
        <v>45874</v>
      </c>
      <c r="AB162" s="20">
        <f t="shared" si="10"/>
        <v>-9</v>
      </c>
      <c r="AC162" s="20" t="s">
        <v>50</v>
      </c>
      <c r="AD162" s="21" t="s">
        <v>51</v>
      </c>
      <c r="AE162" s="21"/>
      <c r="AF162" s="22" t="s">
        <v>52</v>
      </c>
      <c r="AG162" s="23" t="s">
        <v>53</v>
      </c>
      <c r="AH162" s="24"/>
      <c r="AN162" s="24"/>
    </row>
    <row r="163" spans="1:40" ht="12.75">
      <c r="A163" s="15">
        <v>3254506</v>
      </c>
      <c r="B163" s="15" t="s">
        <v>37</v>
      </c>
      <c r="C163" s="15" t="s">
        <v>38</v>
      </c>
      <c r="D163" s="15" t="s">
        <v>85</v>
      </c>
      <c r="E163" s="15" t="s">
        <v>86</v>
      </c>
      <c r="F163" s="15" t="s">
        <v>41</v>
      </c>
      <c r="G163" s="15" t="s">
        <v>87</v>
      </c>
      <c r="H163" s="15" t="s">
        <v>76</v>
      </c>
      <c r="I163" s="15" t="s">
        <v>77</v>
      </c>
      <c r="J163" s="15" t="s">
        <v>88</v>
      </c>
      <c r="K163" s="15" t="s">
        <v>46</v>
      </c>
      <c r="L163" s="16" t="s">
        <v>57</v>
      </c>
      <c r="M163" s="15" t="s">
        <v>48</v>
      </c>
      <c r="N163" s="17">
        <v>452091918889</v>
      </c>
      <c r="O163" s="15">
        <v>19876155</v>
      </c>
      <c r="P163" s="18" t="s">
        <v>59</v>
      </c>
      <c r="Q163" s="18">
        <v>1</v>
      </c>
      <c r="R163" s="18">
        <v>0.04</v>
      </c>
      <c r="S163" s="15">
        <v>4.2320000000000002</v>
      </c>
      <c r="T163" s="16">
        <v>45824</v>
      </c>
      <c r="U163" s="19">
        <v>45883</v>
      </c>
      <c r="V163" s="16">
        <v>45824</v>
      </c>
      <c r="W163" s="16">
        <v>45826</v>
      </c>
      <c r="X163" s="57">
        <f t="shared" si="8"/>
        <v>45825</v>
      </c>
      <c r="Y163" s="63">
        <v>45832</v>
      </c>
      <c r="Z163" s="67">
        <v>45861</v>
      </c>
      <c r="AA163" s="71">
        <f t="shared" si="9"/>
        <v>45874</v>
      </c>
      <c r="AB163" s="20">
        <f t="shared" si="10"/>
        <v>-9</v>
      </c>
      <c r="AC163" s="20" t="s">
        <v>50</v>
      </c>
      <c r="AD163" s="21" t="s">
        <v>51</v>
      </c>
      <c r="AE163" s="21"/>
      <c r="AF163" s="22" t="s">
        <v>52</v>
      </c>
      <c r="AG163" s="23" t="s">
        <v>53</v>
      </c>
      <c r="AH163" s="24"/>
      <c r="AN163" s="24"/>
    </row>
    <row r="164" spans="1:40" ht="12.75">
      <c r="A164" s="15">
        <v>3254506</v>
      </c>
      <c r="B164" s="15" t="s">
        <v>37</v>
      </c>
      <c r="C164" s="15" t="s">
        <v>38</v>
      </c>
      <c r="D164" s="15" t="s">
        <v>85</v>
      </c>
      <c r="E164" s="15" t="s">
        <v>86</v>
      </c>
      <c r="F164" s="15" t="s">
        <v>41</v>
      </c>
      <c r="G164" s="15" t="s">
        <v>87</v>
      </c>
      <c r="H164" s="15" t="s">
        <v>76</v>
      </c>
      <c r="I164" s="15" t="s">
        <v>77</v>
      </c>
      <c r="J164" s="15" t="s">
        <v>88</v>
      </c>
      <c r="K164" s="15" t="s">
        <v>46</v>
      </c>
      <c r="L164" s="16" t="s">
        <v>57</v>
      </c>
      <c r="M164" s="15" t="s">
        <v>48</v>
      </c>
      <c r="N164" s="17">
        <v>452329023254</v>
      </c>
      <c r="O164" s="15">
        <v>19876983</v>
      </c>
      <c r="P164" s="18" t="s">
        <v>59</v>
      </c>
      <c r="Q164" s="18">
        <v>1</v>
      </c>
      <c r="R164" s="18">
        <v>7.9000000000000001E-2</v>
      </c>
      <c r="S164" s="15">
        <v>9.51</v>
      </c>
      <c r="T164" s="16">
        <v>45824</v>
      </c>
      <c r="U164" s="19">
        <v>45883</v>
      </c>
      <c r="V164" s="16">
        <v>45824</v>
      </c>
      <c r="W164" s="16">
        <v>45826</v>
      </c>
      <c r="X164" s="57">
        <f t="shared" si="8"/>
        <v>45825</v>
      </c>
      <c r="Y164" s="63">
        <v>45832</v>
      </c>
      <c r="Z164" s="67">
        <v>45861</v>
      </c>
      <c r="AA164" s="71">
        <f t="shared" si="9"/>
        <v>45874</v>
      </c>
      <c r="AB164" s="20">
        <f t="shared" si="10"/>
        <v>-9</v>
      </c>
      <c r="AC164" s="20" t="s">
        <v>50</v>
      </c>
      <c r="AD164" s="21" t="s">
        <v>51</v>
      </c>
      <c r="AE164" s="21"/>
      <c r="AF164" s="22" t="s">
        <v>52</v>
      </c>
      <c r="AG164" s="23" t="s">
        <v>53</v>
      </c>
      <c r="AH164" s="24"/>
      <c r="AN164" s="24"/>
    </row>
    <row r="165" spans="1:40" ht="12.75">
      <c r="A165" s="15">
        <v>3254506</v>
      </c>
      <c r="B165" s="15" t="s">
        <v>37</v>
      </c>
      <c r="C165" s="15" t="s">
        <v>38</v>
      </c>
      <c r="D165" s="15" t="s">
        <v>85</v>
      </c>
      <c r="E165" s="15" t="s">
        <v>86</v>
      </c>
      <c r="F165" s="15" t="s">
        <v>41</v>
      </c>
      <c r="G165" s="15" t="s">
        <v>87</v>
      </c>
      <c r="H165" s="15" t="s">
        <v>76</v>
      </c>
      <c r="I165" s="15" t="s">
        <v>77</v>
      </c>
      <c r="J165" s="15" t="s">
        <v>88</v>
      </c>
      <c r="K165" s="15" t="s">
        <v>46</v>
      </c>
      <c r="L165" s="16" t="s">
        <v>57</v>
      </c>
      <c r="M165" s="15" t="s">
        <v>48</v>
      </c>
      <c r="N165" s="17">
        <v>452329220808</v>
      </c>
      <c r="O165" s="15">
        <v>19876987</v>
      </c>
      <c r="P165" s="18" t="s">
        <v>59</v>
      </c>
      <c r="Q165" s="18">
        <v>1</v>
      </c>
      <c r="R165" s="18">
        <v>0.04</v>
      </c>
      <c r="S165" s="15">
        <v>5.1550000000000002</v>
      </c>
      <c r="T165" s="16">
        <v>45824</v>
      </c>
      <c r="U165" s="19">
        <v>45883</v>
      </c>
      <c r="V165" s="16">
        <v>45824</v>
      </c>
      <c r="W165" s="16">
        <v>45826</v>
      </c>
      <c r="X165" s="57">
        <f t="shared" si="8"/>
        <v>45825</v>
      </c>
      <c r="Y165" s="63">
        <v>45832</v>
      </c>
      <c r="Z165" s="67">
        <v>45861</v>
      </c>
      <c r="AA165" s="71">
        <f t="shared" si="9"/>
        <v>45874</v>
      </c>
      <c r="AB165" s="20">
        <f t="shared" si="10"/>
        <v>-9</v>
      </c>
      <c r="AC165" s="20" t="s">
        <v>50</v>
      </c>
      <c r="AD165" s="21" t="s">
        <v>51</v>
      </c>
      <c r="AE165" s="21"/>
      <c r="AF165" s="22" t="s">
        <v>52</v>
      </c>
      <c r="AG165" s="23" t="s">
        <v>53</v>
      </c>
      <c r="AH165" s="24"/>
      <c r="AN165" s="24"/>
    </row>
    <row r="166" spans="1:40" ht="12.75">
      <c r="A166" s="15">
        <v>3254506</v>
      </c>
      <c r="B166" s="15" t="s">
        <v>37</v>
      </c>
      <c r="C166" s="15" t="s">
        <v>38</v>
      </c>
      <c r="D166" s="15" t="s">
        <v>85</v>
      </c>
      <c r="E166" s="15" t="s">
        <v>86</v>
      </c>
      <c r="F166" s="15" t="s">
        <v>41</v>
      </c>
      <c r="G166" s="15" t="s">
        <v>87</v>
      </c>
      <c r="H166" s="15" t="s">
        <v>76</v>
      </c>
      <c r="I166" s="15" t="s">
        <v>77</v>
      </c>
      <c r="J166" s="15" t="s">
        <v>88</v>
      </c>
      <c r="K166" s="15" t="s">
        <v>46</v>
      </c>
      <c r="L166" s="16" t="s">
        <v>57</v>
      </c>
      <c r="M166" s="15" t="s">
        <v>48</v>
      </c>
      <c r="N166" s="17">
        <v>452331134230</v>
      </c>
      <c r="O166" s="15">
        <v>19876167</v>
      </c>
      <c r="P166" s="18" t="s">
        <v>59</v>
      </c>
      <c r="Q166" s="18">
        <v>1</v>
      </c>
      <c r="R166" s="18">
        <v>0.04</v>
      </c>
      <c r="S166" s="15">
        <v>2.714</v>
      </c>
      <c r="T166" s="16">
        <v>45824</v>
      </c>
      <c r="U166" s="19">
        <v>45883</v>
      </c>
      <c r="V166" s="16">
        <v>45824</v>
      </c>
      <c r="W166" s="16">
        <v>45826</v>
      </c>
      <c r="X166" s="57">
        <f t="shared" si="8"/>
        <v>45825</v>
      </c>
      <c r="Y166" s="63">
        <v>45832</v>
      </c>
      <c r="Z166" s="67">
        <v>45861</v>
      </c>
      <c r="AA166" s="71">
        <f t="shared" si="9"/>
        <v>45874</v>
      </c>
      <c r="AB166" s="20">
        <f t="shared" si="10"/>
        <v>-9</v>
      </c>
      <c r="AC166" s="20" t="s">
        <v>50</v>
      </c>
      <c r="AD166" s="21" t="s">
        <v>51</v>
      </c>
      <c r="AE166" s="21"/>
      <c r="AF166" s="22" t="s">
        <v>52</v>
      </c>
      <c r="AG166" s="23" t="s">
        <v>53</v>
      </c>
      <c r="AH166" s="24"/>
      <c r="AN166" s="24"/>
    </row>
    <row r="167" spans="1:40" ht="12.75">
      <c r="A167" s="15">
        <v>3254506</v>
      </c>
      <c r="B167" s="15" t="s">
        <v>37</v>
      </c>
      <c r="C167" s="15" t="s">
        <v>38</v>
      </c>
      <c r="D167" s="15" t="s">
        <v>85</v>
      </c>
      <c r="E167" s="15" t="s">
        <v>86</v>
      </c>
      <c r="F167" s="15" t="s">
        <v>41</v>
      </c>
      <c r="G167" s="15" t="s">
        <v>87</v>
      </c>
      <c r="H167" s="15" t="s">
        <v>76</v>
      </c>
      <c r="I167" s="15" t="s">
        <v>77</v>
      </c>
      <c r="J167" s="15" t="s">
        <v>88</v>
      </c>
      <c r="K167" s="15" t="s">
        <v>46</v>
      </c>
      <c r="L167" s="16" t="s">
        <v>57</v>
      </c>
      <c r="M167" s="15" t="s">
        <v>48</v>
      </c>
      <c r="N167" s="17">
        <v>452333555853</v>
      </c>
      <c r="O167" s="15">
        <v>19876168</v>
      </c>
      <c r="P167" s="18" t="s">
        <v>59</v>
      </c>
      <c r="Q167" s="18">
        <v>1</v>
      </c>
      <c r="R167" s="18">
        <v>0.04</v>
      </c>
      <c r="S167" s="15">
        <v>2.7890000000000001</v>
      </c>
      <c r="T167" s="16">
        <v>45824</v>
      </c>
      <c r="U167" s="19">
        <v>45883</v>
      </c>
      <c r="V167" s="16">
        <v>45824</v>
      </c>
      <c r="W167" s="16">
        <v>45826</v>
      </c>
      <c r="X167" s="57">
        <f t="shared" si="8"/>
        <v>45825</v>
      </c>
      <c r="Y167" s="63">
        <v>45832</v>
      </c>
      <c r="Z167" s="67">
        <v>45861</v>
      </c>
      <c r="AA167" s="71">
        <f t="shared" si="9"/>
        <v>45874</v>
      </c>
      <c r="AB167" s="20">
        <f t="shared" si="10"/>
        <v>-9</v>
      </c>
      <c r="AC167" s="20" t="s">
        <v>50</v>
      </c>
      <c r="AD167" s="21" t="s">
        <v>51</v>
      </c>
      <c r="AE167" s="21"/>
      <c r="AF167" s="22" t="s">
        <v>52</v>
      </c>
      <c r="AG167" s="23" t="s">
        <v>53</v>
      </c>
      <c r="AH167" s="24"/>
      <c r="AN167" s="24"/>
    </row>
    <row r="168" spans="1:40" ht="15" customHeight="1">
      <c r="A168" s="15">
        <v>3254506</v>
      </c>
      <c r="B168" s="15" t="s">
        <v>37</v>
      </c>
      <c r="C168" s="15" t="s">
        <v>38</v>
      </c>
      <c r="D168" s="15" t="s">
        <v>85</v>
      </c>
      <c r="E168" s="15" t="s">
        <v>86</v>
      </c>
      <c r="F168" s="15" t="s">
        <v>41</v>
      </c>
      <c r="G168" s="15" t="s">
        <v>87</v>
      </c>
      <c r="H168" s="15" t="s">
        <v>76</v>
      </c>
      <c r="I168" s="15" t="s">
        <v>77</v>
      </c>
      <c r="J168" s="15" t="s">
        <v>88</v>
      </c>
      <c r="K168" s="15" t="s">
        <v>46</v>
      </c>
      <c r="L168" s="16" t="s">
        <v>57</v>
      </c>
      <c r="M168" s="15" t="s">
        <v>48</v>
      </c>
      <c r="N168" s="17">
        <v>452334621428</v>
      </c>
      <c r="O168" s="15">
        <v>19877037</v>
      </c>
      <c r="P168" s="18" t="s">
        <v>59</v>
      </c>
      <c r="Q168" s="18">
        <v>1</v>
      </c>
      <c r="R168" s="18">
        <v>0.04</v>
      </c>
      <c r="S168" s="15">
        <v>4.6020000000000003</v>
      </c>
      <c r="T168" s="16">
        <v>45824</v>
      </c>
      <c r="U168" s="19">
        <v>45883</v>
      </c>
      <c r="V168" s="16">
        <v>45824</v>
      </c>
      <c r="W168" s="16">
        <v>45826</v>
      </c>
      <c r="X168" s="57">
        <f t="shared" si="8"/>
        <v>45825</v>
      </c>
      <c r="Y168" s="63">
        <v>45832</v>
      </c>
      <c r="Z168" s="67">
        <v>45861</v>
      </c>
      <c r="AA168" s="71">
        <f t="shared" si="9"/>
        <v>45874</v>
      </c>
      <c r="AB168" s="20">
        <f t="shared" si="10"/>
        <v>-9</v>
      </c>
      <c r="AC168" s="20" t="s">
        <v>50</v>
      </c>
      <c r="AD168" s="21" t="s">
        <v>51</v>
      </c>
      <c r="AE168" s="21"/>
      <c r="AF168" s="22" t="s">
        <v>52</v>
      </c>
      <c r="AG168" s="23" t="s">
        <v>53</v>
      </c>
      <c r="AH168" s="24"/>
      <c r="AN168" s="24"/>
    </row>
    <row r="169" spans="1:40" ht="12.75">
      <c r="A169" s="15">
        <v>3254506</v>
      </c>
      <c r="B169" s="15" t="s">
        <v>37</v>
      </c>
      <c r="C169" s="15" t="s">
        <v>38</v>
      </c>
      <c r="D169" s="15" t="s">
        <v>85</v>
      </c>
      <c r="E169" s="15" t="s">
        <v>86</v>
      </c>
      <c r="F169" s="15" t="s">
        <v>41</v>
      </c>
      <c r="G169" s="15" t="s">
        <v>87</v>
      </c>
      <c r="H169" s="15" t="s">
        <v>76</v>
      </c>
      <c r="I169" s="15" t="s">
        <v>77</v>
      </c>
      <c r="J169" s="15" t="s">
        <v>88</v>
      </c>
      <c r="K169" s="15" t="s">
        <v>46</v>
      </c>
      <c r="L169" s="16" t="s">
        <v>57</v>
      </c>
      <c r="M169" s="15" t="s">
        <v>48</v>
      </c>
      <c r="N169" s="17">
        <v>452334899638</v>
      </c>
      <c r="O169" s="15">
        <v>19877041</v>
      </c>
      <c r="P169" s="18" t="s">
        <v>59</v>
      </c>
      <c r="Q169" s="18">
        <v>1</v>
      </c>
      <c r="R169" s="18">
        <v>0.04</v>
      </c>
      <c r="S169" s="15">
        <v>3.157</v>
      </c>
      <c r="T169" s="16">
        <v>45824</v>
      </c>
      <c r="U169" s="19">
        <v>45883</v>
      </c>
      <c r="V169" s="16">
        <v>45824</v>
      </c>
      <c r="W169" s="16">
        <v>45826</v>
      </c>
      <c r="X169" s="57">
        <f t="shared" si="8"/>
        <v>45825</v>
      </c>
      <c r="Y169" s="63">
        <v>45832</v>
      </c>
      <c r="Z169" s="67">
        <v>45861</v>
      </c>
      <c r="AA169" s="71">
        <f t="shared" si="9"/>
        <v>45874</v>
      </c>
      <c r="AB169" s="20">
        <f t="shared" si="10"/>
        <v>-9</v>
      </c>
      <c r="AC169" s="20" t="s">
        <v>50</v>
      </c>
      <c r="AD169" s="21" t="s">
        <v>51</v>
      </c>
      <c r="AE169" s="21"/>
      <c r="AF169" s="22" t="s">
        <v>52</v>
      </c>
      <c r="AG169" s="23" t="s">
        <v>53</v>
      </c>
      <c r="AH169" s="24"/>
      <c r="AN169" s="24"/>
    </row>
    <row r="170" spans="1:40" ht="12.75">
      <c r="A170" s="15">
        <v>3254506</v>
      </c>
      <c r="B170" s="15" t="s">
        <v>37</v>
      </c>
      <c r="C170" s="15" t="s">
        <v>38</v>
      </c>
      <c r="D170" s="15" t="s">
        <v>85</v>
      </c>
      <c r="E170" s="15" t="s">
        <v>86</v>
      </c>
      <c r="F170" s="15" t="s">
        <v>41</v>
      </c>
      <c r="G170" s="15" t="s">
        <v>87</v>
      </c>
      <c r="H170" s="15" t="s">
        <v>76</v>
      </c>
      <c r="I170" s="15" t="s">
        <v>77</v>
      </c>
      <c r="J170" s="15" t="s">
        <v>88</v>
      </c>
      <c r="K170" s="15" t="s">
        <v>46</v>
      </c>
      <c r="L170" s="16" t="s">
        <v>57</v>
      </c>
      <c r="M170" s="15" t="s">
        <v>48</v>
      </c>
      <c r="N170" s="17">
        <v>452336515351</v>
      </c>
      <c r="O170" s="15">
        <v>19876163</v>
      </c>
      <c r="P170" s="18" t="s">
        <v>59</v>
      </c>
      <c r="Q170" s="18">
        <v>1</v>
      </c>
      <c r="R170" s="18">
        <v>0.04</v>
      </c>
      <c r="S170" s="15">
        <v>2.3039999999999998</v>
      </c>
      <c r="T170" s="16">
        <v>45824</v>
      </c>
      <c r="U170" s="19">
        <v>45883</v>
      </c>
      <c r="V170" s="16">
        <v>45824</v>
      </c>
      <c r="W170" s="16">
        <v>45826</v>
      </c>
      <c r="X170" s="57">
        <f t="shared" si="8"/>
        <v>45825</v>
      </c>
      <c r="Y170" s="63">
        <v>45832</v>
      </c>
      <c r="Z170" s="67">
        <v>45861</v>
      </c>
      <c r="AA170" s="71">
        <f t="shared" si="9"/>
        <v>45874</v>
      </c>
      <c r="AB170" s="20">
        <f t="shared" si="10"/>
        <v>-9</v>
      </c>
      <c r="AC170" s="20" t="s">
        <v>50</v>
      </c>
      <c r="AD170" s="21" t="s">
        <v>51</v>
      </c>
      <c r="AE170" s="21"/>
      <c r="AF170" s="22" t="s">
        <v>52</v>
      </c>
      <c r="AG170" s="23" t="s">
        <v>53</v>
      </c>
      <c r="AH170" s="24"/>
      <c r="AN170" s="24"/>
    </row>
    <row r="171" spans="1:40" ht="12.75">
      <c r="A171" s="15">
        <v>3254506</v>
      </c>
      <c r="B171" s="15" t="s">
        <v>37</v>
      </c>
      <c r="C171" s="15" t="s">
        <v>38</v>
      </c>
      <c r="D171" s="15" t="s">
        <v>85</v>
      </c>
      <c r="E171" s="15" t="s">
        <v>86</v>
      </c>
      <c r="F171" s="15" t="s">
        <v>41</v>
      </c>
      <c r="G171" s="15" t="s">
        <v>87</v>
      </c>
      <c r="H171" s="15" t="s">
        <v>76</v>
      </c>
      <c r="I171" s="15" t="s">
        <v>77</v>
      </c>
      <c r="J171" s="15" t="s">
        <v>88</v>
      </c>
      <c r="K171" s="15" t="s">
        <v>46</v>
      </c>
      <c r="L171" s="16" t="s">
        <v>57</v>
      </c>
      <c r="M171" s="15" t="s">
        <v>48</v>
      </c>
      <c r="N171" s="17">
        <v>452337415724</v>
      </c>
      <c r="O171" s="15">
        <v>19877011</v>
      </c>
      <c r="P171" s="18" t="s">
        <v>59</v>
      </c>
      <c r="Q171" s="18">
        <v>1</v>
      </c>
      <c r="R171" s="18">
        <v>0.04</v>
      </c>
      <c r="S171" s="15">
        <v>4.7110000000000003</v>
      </c>
      <c r="T171" s="16">
        <v>45824</v>
      </c>
      <c r="U171" s="19">
        <v>45883</v>
      </c>
      <c r="V171" s="16">
        <v>45824</v>
      </c>
      <c r="W171" s="16">
        <v>45826</v>
      </c>
      <c r="X171" s="57">
        <f t="shared" si="8"/>
        <v>45825</v>
      </c>
      <c r="Y171" s="63">
        <v>45832</v>
      </c>
      <c r="Z171" s="67">
        <v>45861</v>
      </c>
      <c r="AA171" s="71">
        <f t="shared" si="9"/>
        <v>45874</v>
      </c>
      <c r="AB171" s="20">
        <f t="shared" si="10"/>
        <v>-9</v>
      </c>
      <c r="AC171" s="20" t="s">
        <v>50</v>
      </c>
      <c r="AD171" s="21" t="s">
        <v>51</v>
      </c>
      <c r="AE171" s="21"/>
      <c r="AF171" s="22" t="s">
        <v>52</v>
      </c>
      <c r="AG171" s="23" t="s">
        <v>53</v>
      </c>
      <c r="AH171" s="24"/>
      <c r="AN171" s="24"/>
    </row>
    <row r="172" spans="1:40" ht="12.75">
      <c r="A172" s="15">
        <v>3254506</v>
      </c>
      <c r="B172" s="15" t="s">
        <v>37</v>
      </c>
      <c r="C172" s="15" t="s">
        <v>38</v>
      </c>
      <c r="D172" s="15" t="s">
        <v>85</v>
      </c>
      <c r="E172" s="15" t="s">
        <v>86</v>
      </c>
      <c r="F172" s="15" t="s">
        <v>41</v>
      </c>
      <c r="G172" s="15" t="s">
        <v>87</v>
      </c>
      <c r="H172" s="15" t="s">
        <v>76</v>
      </c>
      <c r="I172" s="15" t="s">
        <v>77</v>
      </c>
      <c r="J172" s="15" t="s">
        <v>88</v>
      </c>
      <c r="K172" s="15" t="s">
        <v>46</v>
      </c>
      <c r="L172" s="16" t="s">
        <v>57</v>
      </c>
      <c r="M172" s="15" t="s">
        <v>48</v>
      </c>
      <c r="N172" s="17">
        <v>452337503304</v>
      </c>
      <c r="O172" s="15">
        <v>19877007</v>
      </c>
      <c r="P172" s="18" t="s">
        <v>59</v>
      </c>
      <c r="Q172" s="18">
        <v>1</v>
      </c>
      <c r="R172" s="18">
        <v>7.9000000000000001E-2</v>
      </c>
      <c r="S172" s="15">
        <v>8.7319999999999993</v>
      </c>
      <c r="T172" s="16">
        <v>45824</v>
      </c>
      <c r="U172" s="19">
        <v>45883</v>
      </c>
      <c r="V172" s="16">
        <v>45824</v>
      </c>
      <c r="W172" s="16">
        <v>45826</v>
      </c>
      <c r="X172" s="57">
        <f t="shared" si="8"/>
        <v>45825</v>
      </c>
      <c r="Y172" s="63">
        <v>45832</v>
      </c>
      <c r="Z172" s="67">
        <v>45861</v>
      </c>
      <c r="AA172" s="71">
        <f t="shared" si="9"/>
        <v>45874</v>
      </c>
      <c r="AB172" s="20">
        <f t="shared" si="10"/>
        <v>-9</v>
      </c>
      <c r="AC172" s="20" t="s">
        <v>50</v>
      </c>
      <c r="AD172" s="21" t="s">
        <v>51</v>
      </c>
      <c r="AE172" s="21"/>
      <c r="AF172" s="22" t="s">
        <v>52</v>
      </c>
      <c r="AG172" s="23" t="s">
        <v>53</v>
      </c>
      <c r="AH172" s="24"/>
      <c r="AN172" s="24"/>
    </row>
    <row r="173" spans="1:40" ht="12.75">
      <c r="A173" s="15">
        <v>3254506</v>
      </c>
      <c r="B173" s="15" t="s">
        <v>37</v>
      </c>
      <c r="C173" s="15" t="s">
        <v>38</v>
      </c>
      <c r="D173" s="15" t="s">
        <v>85</v>
      </c>
      <c r="E173" s="15" t="s">
        <v>86</v>
      </c>
      <c r="F173" s="15" t="s">
        <v>41</v>
      </c>
      <c r="G173" s="15" t="s">
        <v>87</v>
      </c>
      <c r="H173" s="15" t="s">
        <v>76</v>
      </c>
      <c r="I173" s="15" t="s">
        <v>77</v>
      </c>
      <c r="J173" s="15" t="s">
        <v>88</v>
      </c>
      <c r="K173" s="15" t="s">
        <v>46</v>
      </c>
      <c r="L173" s="16" t="s">
        <v>57</v>
      </c>
      <c r="M173" s="15" t="s">
        <v>48</v>
      </c>
      <c r="N173" s="17">
        <v>452338733738</v>
      </c>
      <c r="O173" s="15">
        <v>19876190</v>
      </c>
      <c r="P173" s="18" t="s">
        <v>123</v>
      </c>
      <c r="Q173" s="18">
        <v>1</v>
      </c>
      <c r="R173" s="18">
        <v>0.04</v>
      </c>
      <c r="S173" s="15">
        <v>4.1529999999999996</v>
      </c>
      <c r="T173" s="16">
        <v>45824</v>
      </c>
      <c r="U173" s="19">
        <v>45883</v>
      </c>
      <c r="V173" s="16">
        <v>45824</v>
      </c>
      <c r="W173" s="16">
        <v>45826</v>
      </c>
      <c r="X173" s="57">
        <f t="shared" si="8"/>
        <v>45825</v>
      </c>
      <c r="Y173" s="63">
        <v>45832</v>
      </c>
      <c r="Z173" s="67">
        <v>45861</v>
      </c>
      <c r="AA173" s="71">
        <f t="shared" si="9"/>
        <v>45874</v>
      </c>
      <c r="AB173" s="20">
        <f t="shared" si="10"/>
        <v>-9</v>
      </c>
      <c r="AC173" s="20" t="s">
        <v>50</v>
      </c>
      <c r="AD173" s="21" t="s">
        <v>51</v>
      </c>
      <c r="AE173" s="21"/>
      <c r="AF173" s="22" t="s">
        <v>52</v>
      </c>
      <c r="AG173" s="23" t="s">
        <v>53</v>
      </c>
      <c r="AH173" s="24"/>
      <c r="AN173" s="24"/>
    </row>
    <row r="174" spans="1:40" ht="12.75">
      <c r="A174" s="15">
        <v>3254506</v>
      </c>
      <c r="B174" s="15" t="s">
        <v>37</v>
      </c>
      <c r="C174" s="15" t="s">
        <v>38</v>
      </c>
      <c r="D174" s="15" t="s">
        <v>85</v>
      </c>
      <c r="E174" s="15" t="s">
        <v>86</v>
      </c>
      <c r="F174" s="15" t="s">
        <v>41</v>
      </c>
      <c r="G174" s="15" t="s">
        <v>87</v>
      </c>
      <c r="H174" s="15" t="s">
        <v>76</v>
      </c>
      <c r="I174" s="15" t="s">
        <v>77</v>
      </c>
      <c r="J174" s="15" t="s">
        <v>88</v>
      </c>
      <c r="K174" s="15" t="s">
        <v>46</v>
      </c>
      <c r="L174" s="16" t="s">
        <v>57</v>
      </c>
      <c r="M174" s="15" t="s">
        <v>48</v>
      </c>
      <c r="N174" s="17">
        <v>452339268805</v>
      </c>
      <c r="O174" s="15">
        <v>19877071</v>
      </c>
      <c r="P174" s="18" t="s">
        <v>123</v>
      </c>
      <c r="Q174" s="18">
        <v>1</v>
      </c>
      <c r="R174" s="18">
        <v>0.04</v>
      </c>
      <c r="S174" s="15">
        <v>10.143000000000001</v>
      </c>
      <c r="T174" s="16">
        <v>45824</v>
      </c>
      <c r="U174" s="19">
        <v>45883</v>
      </c>
      <c r="V174" s="16">
        <v>45824</v>
      </c>
      <c r="W174" s="16">
        <v>45826</v>
      </c>
      <c r="X174" s="57">
        <f t="shared" si="8"/>
        <v>45825</v>
      </c>
      <c r="Y174" s="63">
        <v>45832</v>
      </c>
      <c r="Z174" s="67">
        <v>45861</v>
      </c>
      <c r="AA174" s="71">
        <f t="shared" si="9"/>
        <v>45874</v>
      </c>
      <c r="AB174" s="20">
        <f t="shared" si="10"/>
        <v>-9</v>
      </c>
      <c r="AC174" s="20" t="s">
        <v>50</v>
      </c>
      <c r="AD174" s="21" t="s">
        <v>51</v>
      </c>
      <c r="AE174" s="21"/>
      <c r="AF174" s="22" t="s">
        <v>52</v>
      </c>
      <c r="AG174" s="23" t="s">
        <v>53</v>
      </c>
      <c r="AH174" s="24"/>
      <c r="AN174" s="24"/>
    </row>
    <row r="175" spans="1:40" ht="12.75">
      <c r="A175" s="15">
        <v>3254506</v>
      </c>
      <c r="B175" s="15" t="s">
        <v>37</v>
      </c>
      <c r="C175" s="15" t="s">
        <v>38</v>
      </c>
      <c r="D175" s="15" t="s">
        <v>85</v>
      </c>
      <c r="E175" s="15" t="s">
        <v>86</v>
      </c>
      <c r="F175" s="15" t="s">
        <v>41</v>
      </c>
      <c r="G175" s="15" t="s">
        <v>87</v>
      </c>
      <c r="H175" s="15" t="s">
        <v>76</v>
      </c>
      <c r="I175" s="15" t="s">
        <v>77</v>
      </c>
      <c r="J175" s="15" t="s">
        <v>88</v>
      </c>
      <c r="K175" s="15" t="s">
        <v>46</v>
      </c>
      <c r="L175" s="16" t="s">
        <v>57</v>
      </c>
      <c r="M175" s="15" t="s">
        <v>48</v>
      </c>
      <c r="N175" s="17">
        <v>452340224599</v>
      </c>
      <c r="O175" s="15">
        <v>19877072</v>
      </c>
      <c r="P175" s="18" t="s">
        <v>123</v>
      </c>
      <c r="Q175" s="18">
        <v>1</v>
      </c>
      <c r="R175" s="18">
        <v>0.04</v>
      </c>
      <c r="S175" s="15">
        <v>7</v>
      </c>
      <c r="T175" s="16">
        <v>45824</v>
      </c>
      <c r="U175" s="19">
        <v>45883</v>
      </c>
      <c r="V175" s="16">
        <v>45824</v>
      </c>
      <c r="W175" s="16">
        <v>45826</v>
      </c>
      <c r="X175" s="57">
        <f t="shared" si="8"/>
        <v>45825</v>
      </c>
      <c r="Y175" s="63">
        <v>45832</v>
      </c>
      <c r="Z175" s="67">
        <v>45861</v>
      </c>
      <c r="AA175" s="71">
        <f t="shared" si="9"/>
        <v>45874</v>
      </c>
      <c r="AB175" s="20">
        <f t="shared" si="10"/>
        <v>-9</v>
      </c>
      <c r="AC175" s="20" t="s">
        <v>50</v>
      </c>
      <c r="AD175" s="21" t="s">
        <v>51</v>
      </c>
      <c r="AE175" s="21"/>
      <c r="AF175" s="22" t="s">
        <v>52</v>
      </c>
      <c r="AG175" s="23" t="s">
        <v>53</v>
      </c>
      <c r="AH175" s="24"/>
      <c r="AN175" s="24"/>
    </row>
    <row r="176" spans="1:40" ht="12.75">
      <c r="A176" s="15">
        <v>3254506</v>
      </c>
      <c r="B176" s="15" t="s">
        <v>37</v>
      </c>
      <c r="C176" s="15" t="s">
        <v>38</v>
      </c>
      <c r="D176" s="15" t="s">
        <v>85</v>
      </c>
      <c r="E176" s="15" t="s">
        <v>86</v>
      </c>
      <c r="F176" s="15" t="s">
        <v>41</v>
      </c>
      <c r="G176" s="15" t="s">
        <v>87</v>
      </c>
      <c r="H176" s="15" t="s">
        <v>76</v>
      </c>
      <c r="I176" s="15" t="s">
        <v>77</v>
      </c>
      <c r="J176" s="15" t="s">
        <v>88</v>
      </c>
      <c r="K176" s="15" t="s">
        <v>46</v>
      </c>
      <c r="L176" s="16" t="s">
        <v>57</v>
      </c>
      <c r="M176" s="15" t="s">
        <v>48</v>
      </c>
      <c r="N176" s="17">
        <v>452342044538</v>
      </c>
      <c r="O176" s="15">
        <v>19876212</v>
      </c>
      <c r="P176" s="18" t="s">
        <v>123</v>
      </c>
      <c r="Q176" s="18">
        <v>1</v>
      </c>
      <c r="R176" s="18">
        <v>0.04</v>
      </c>
      <c r="S176" s="15">
        <v>4.7889999999999997</v>
      </c>
      <c r="T176" s="16">
        <v>45824</v>
      </c>
      <c r="U176" s="19">
        <v>45883</v>
      </c>
      <c r="V176" s="16">
        <v>45824</v>
      </c>
      <c r="W176" s="16">
        <v>45826</v>
      </c>
      <c r="X176" s="57">
        <f t="shared" si="8"/>
        <v>45825</v>
      </c>
      <c r="Y176" s="63">
        <v>45832</v>
      </c>
      <c r="Z176" s="67">
        <v>45861</v>
      </c>
      <c r="AA176" s="71">
        <f t="shared" si="9"/>
        <v>45874</v>
      </c>
      <c r="AB176" s="20">
        <f t="shared" si="10"/>
        <v>-9</v>
      </c>
      <c r="AC176" s="20" t="s">
        <v>50</v>
      </c>
      <c r="AD176" s="21" t="s">
        <v>51</v>
      </c>
      <c r="AE176" s="21"/>
      <c r="AF176" s="22" t="s">
        <v>52</v>
      </c>
      <c r="AG176" s="23" t="s">
        <v>53</v>
      </c>
      <c r="AH176" s="24"/>
      <c r="AN176" s="24"/>
    </row>
    <row r="177" spans="1:40" ht="12.75">
      <c r="A177" s="15">
        <v>3254506</v>
      </c>
      <c r="B177" s="15" t="s">
        <v>37</v>
      </c>
      <c r="C177" s="15" t="s">
        <v>38</v>
      </c>
      <c r="D177" s="15" t="s">
        <v>85</v>
      </c>
      <c r="E177" s="15" t="s">
        <v>86</v>
      </c>
      <c r="F177" s="15" t="s">
        <v>41</v>
      </c>
      <c r="G177" s="15" t="s">
        <v>87</v>
      </c>
      <c r="H177" s="15" t="s">
        <v>76</v>
      </c>
      <c r="I177" s="15" t="s">
        <v>77</v>
      </c>
      <c r="J177" s="15" t="s">
        <v>88</v>
      </c>
      <c r="K177" s="15" t="s">
        <v>46</v>
      </c>
      <c r="L177" s="16" t="s">
        <v>57</v>
      </c>
      <c r="M177" s="15" t="s">
        <v>48</v>
      </c>
      <c r="N177" s="17">
        <v>452342279624</v>
      </c>
      <c r="O177" s="15">
        <v>19876211</v>
      </c>
      <c r="P177" s="18" t="s">
        <v>123</v>
      </c>
      <c r="Q177" s="18">
        <v>1</v>
      </c>
      <c r="R177" s="18">
        <v>0.04</v>
      </c>
      <c r="S177" s="15">
        <v>4.22</v>
      </c>
      <c r="T177" s="16">
        <v>45824</v>
      </c>
      <c r="U177" s="19">
        <v>45883</v>
      </c>
      <c r="V177" s="16">
        <v>45824</v>
      </c>
      <c r="W177" s="16">
        <v>45826</v>
      </c>
      <c r="X177" s="57">
        <f t="shared" si="8"/>
        <v>45825</v>
      </c>
      <c r="Y177" s="63">
        <v>45832</v>
      </c>
      <c r="Z177" s="67">
        <v>45861</v>
      </c>
      <c r="AA177" s="71">
        <f t="shared" si="9"/>
        <v>45874</v>
      </c>
      <c r="AB177" s="20">
        <f t="shared" si="10"/>
        <v>-9</v>
      </c>
      <c r="AC177" s="20" t="s">
        <v>50</v>
      </c>
      <c r="AD177" s="21" t="s">
        <v>51</v>
      </c>
      <c r="AE177" s="21"/>
      <c r="AF177" s="22" t="s">
        <v>52</v>
      </c>
      <c r="AG177" s="23" t="s">
        <v>53</v>
      </c>
      <c r="AH177" s="24"/>
      <c r="AN177" s="24"/>
    </row>
    <row r="178" spans="1:40" ht="12.75">
      <c r="A178" s="15">
        <v>3254506</v>
      </c>
      <c r="B178" s="15" t="s">
        <v>37</v>
      </c>
      <c r="C178" s="15" t="s">
        <v>38</v>
      </c>
      <c r="D178" s="15" t="s">
        <v>85</v>
      </c>
      <c r="E178" s="15" t="s">
        <v>86</v>
      </c>
      <c r="F178" s="15" t="s">
        <v>41</v>
      </c>
      <c r="G178" s="15" t="s">
        <v>87</v>
      </c>
      <c r="H178" s="15" t="s">
        <v>76</v>
      </c>
      <c r="I178" s="15" t="s">
        <v>77</v>
      </c>
      <c r="J178" s="15" t="s">
        <v>88</v>
      </c>
      <c r="K178" s="15" t="s">
        <v>46</v>
      </c>
      <c r="L178" s="16" t="s">
        <v>57</v>
      </c>
      <c r="M178" s="15" t="s">
        <v>48</v>
      </c>
      <c r="N178" s="17">
        <v>452343218294</v>
      </c>
      <c r="O178" s="15">
        <v>19877131</v>
      </c>
      <c r="P178" s="18" t="s">
        <v>123</v>
      </c>
      <c r="Q178" s="18">
        <v>1</v>
      </c>
      <c r="R178" s="18">
        <v>0.04</v>
      </c>
      <c r="S178" s="15">
        <v>4.9260000000000002</v>
      </c>
      <c r="T178" s="16">
        <v>45824</v>
      </c>
      <c r="U178" s="19">
        <v>45883</v>
      </c>
      <c r="V178" s="16">
        <v>45824</v>
      </c>
      <c r="W178" s="16">
        <v>45826</v>
      </c>
      <c r="X178" s="57">
        <f t="shared" si="8"/>
        <v>45825</v>
      </c>
      <c r="Y178" s="63">
        <v>45832</v>
      </c>
      <c r="Z178" s="67">
        <v>45861</v>
      </c>
      <c r="AA178" s="71">
        <f t="shared" si="9"/>
        <v>45874</v>
      </c>
      <c r="AB178" s="20">
        <f t="shared" si="10"/>
        <v>-9</v>
      </c>
      <c r="AC178" s="20" t="s">
        <v>50</v>
      </c>
      <c r="AD178" s="21" t="s">
        <v>51</v>
      </c>
      <c r="AE178" s="21"/>
      <c r="AF178" s="22" t="s">
        <v>52</v>
      </c>
      <c r="AG178" s="23" t="s">
        <v>53</v>
      </c>
      <c r="AH178" s="24"/>
      <c r="AN178" s="24"/>
    </row>
    <row r="179" spans="1:40" ht="12.75">
      <c r="A179" s="15">
        <v>3254506</v>
      </c>
      <c r="B179" s="15" t="s">
        <v>37</v>
      </c>
      <c r="C179" s="15" t="s">
        <v>38</v>
      </c>
      <c r="D179" s="15" t="s">
        <v>85</v>
      </c>
      <c r="E179" s="15" t="s">
        <v>86</v>
      </c>
      <c r="F179" s="15" t="s">
        <v>41</v>
      </c>
      <c r="G179" s="15" t="s">
        <v>87</v>
      </c>
      <c r="H179" s="15" t="s">
        <v>76</v>
      </c>
      <c r="I179" s="15" t="s">
        <v>77</v>
      </c>
      <c r="J179" s="15" t="s">
        <v>88</v>
      </c>
      <c r="K179" s="15" t="s">
        <v>46</v>
      </c>
      <c r="L179" s="16" t="s">
        <v>57</v>
      </c>
      <c r="M179" s="15" t="s">
        <v>48</v>
      </c>
      <c r="N179" s="17">
        <v>452343456868</v>
      </c>
      <c r="O179" s="15">
        <v>19877127</v>
      </c>
      <c r="P179" s="18" t="s">
        <v>123</v>
      </c>
      <c r="Q179" s="18">
        <v>1</v>
      </c>
      <c r="R179" s="18">
        <v>0.04</v>
      </c>
      <c r="S179" s="15">
        <v>7.43</v>
      </c>
      <c r="T179" s="16">
        <v>45824</v>
      </c>
      <c r="U179" s="19">
        <v>45883</v>
      </c>
      <c r="V179" s="16">
        <v>45824</v>
      </c>
      <c r="W179" s="16">
        <v>45826</v>
      </c>
      <c r="X179" s="57">
        <f t="shared" si="8"/>
        <v>45825</v>
      </c>
      <c r="Y179" s="63">
        <v>45832</v>
      </c>
      <c r="Z179" s="67">
        <v>45861</v>
      </c>
      <c r="AA179" s="71">
        <f t="shared" si="9"/>
        <v>45874</v>
      </c>
      <c r="AB179" s="20">
        <f t="shared" si="10"/>
        <v>-9</v>
      </c>
      <c r="AC179" s="20" t="s">
        <v>50</v>
      </c>
      <c r="AD179" s="21" t="s">
        <v>51</v>
      </c>
      <c r="AE179" s="21"/>
      <c r="AF179" s="22" t="s">
        <v>52</v>
      </c>
      <c r="AG179" s="23" t="s">
        <v>53</v>
      </c>
      <c r="AH179" s="24"/>
      <c r="AN179" s="24"/>
    </row>
    <row r="180" spans="1:40" ht="12.75">
      <c r="A180" s="15">
        <v>3254506</v>
      </c>
      <c r="B180" s="15" t="s">
        <v>37</v>
      </c>
      <c r="C180" s="15" t="s">
        <v>38</v>
      </c>
      <c r="D180" s="15" t="s">
        <v>85</v>
      </c>
      <c r="E180" s="15" t="s">
        <v>86</v>
      </c>
      <c r="F180" s="15" t="s">
        <v>41</v>
      </c>
      <c r="G180" s="15" t="s">
        <v>87</v>
      </c>
      <c r="H180" s="15" t="s">
        <v>76</v>
      </c>
      <c r="I180" s="15" t="s">
        <v>77</v>
      </c>
      <c r="J180" s="15" t="s">
        <v>88</v>
      </c>
      <c r="K180" s="15" t="s">
        <v>46</v>
      </c>
      <c r="L180" s="16" t="s">
        <v>57</v>
      </c>
      <c r="M180" s="15" t="s">
        <v>48</v>
      </c>
      <c r="N180" s="17">
        <v>452345792788</v>
      </c>
      <c r="O180" s="15">
        <v>19876195</v>
      </c>
      <c r="P180" s="18" t="s">
        <v>123</v>
      </c>
      <c r="Q180" s="18">
        <v>1</v>
      </c>
      <c r="R180" s="18">
        <v>0.04</v>
      </c>
      <c r="S180" s="15">
        <v>3.0710000000000002</v>
      </c>
      <c r="T180" s="16">
        <v>45824</v>
      </c>
      <c r="U180" s="19">
        <v>45883</v>
      </c>
      <c r="V180" s="16">
        <v>45824</v>
      </c>
      <c r="W180" s="16">
        <v>45826</v>
      </c>
      <c r="X180" s="57">
        <f t="shared" si="8"/>
        <v>45825</v>
      </c>
      <c r="Y180" s="63">
        <v>45832</v>
      </c>
      <c r="Z180" s="67">
        <v>45861</v>
      </c>
      <c r="AA180" s="71">
        <f t="shared" si="9"/>
        <v>45874</v>
      </c>
      <c r="AB180" s="20">
        <f t="shared" si="10"/>
        <v>-9</v>
      </c>
      <c r="AC180" s="20" t="s">
        <v>50</v>
      </c>
      <c r="AD180" s="21" t="s">
        <v>51</v>
      </c>
      <c r="AE180" s="21"/>
      <c r="AF180" s="22" t="s">
        <v>52</v>
      </c>
      <c r="AG180" s="23" t="s">
        <v>53</v>
      </c>
      <c r="AH180" s="24"/>
      <c r="AN180" s="24"/>
    </row>
    <row r="181" spans="1:40" ht="12.75">
      <c r="A181" s="15">
        <v>3254506</v>
      </c>
      <c r="B181" s="15" t="s">
        <v>37</v>
      </c>
      <c r="C181" s="15" t="s">
        <v>38</v>
      </c>
      <c r="D181" s="15" t="s">
        <v>85</v>
      </c>
      <c r="E181" s="15" t="s">
        <v>86</v>
      </c>
      <c r="F181" s="15" t="s">
        <v>41</v>
      </c>
      <c r="G181" s="15" t="s">
        <v>87</v>
      </c>
      <c r="H181" s="15" t="s">
        <v>76</v>
      </c>
      <c r="I181" s="15" t="s">
        <v>77</v>
      </c>
      <c r="J181" s="15" t="s">
        <v>88</v>
      </c>
      <c r="K181" s="15" t="s">
        <v>46</v>
      </c>
      <c r="L181" s="16" t="s">
        <v>57</v>
      </c>
      <c r="M181" s="15" t="s">
        <v>48</v>
      </c>
      <c r="N181" s="17">
        <v>452347475679</v>
      </c>
      <c r="O181" s="15">
        <v>19877091</v>
      </c>
      <c r="P181" s="18" t="s">
        <v>123</v>
      </c>
      <c r="Q181" s="18">
        <v>1</v>
      </c>
      <c r="R181" s="18">
        <v>0.04</v>
      </c>
      <c r="S181" s="15">
        <v>10.364000000000001</v>
      </c>
      <c r="T181" s="16">
        <v>45824</v>
      </c>
      <c r="U181" s="19">
        <v>45883</v>
      </c>
      <c r="V181" s="16">
        <v>45824</v>
      </c>
      <c r="W181" s="16">
        <v>45826</v>
      </c>
      <c r="X181" s="57">
        <f t="shared" si="8"/>
        <v>45825</v>
      </c>
      <c r="Y181" s="63">
        <v>45832</v>
      </c>
      <c r="Z181" s="67">
        <v>45861</v>
      </c>
      <c r="AA181" s="71">
        <f t="shared" si="9"/>
        <v>45874</v>
      </c>
      <c r="AB181" s="20">
        <f t="shared" si="10"/>
        <v>-9</v>
      </c>
      <c r="AC181" s="20" t="s">
        <v>50</v>
      </c>
      <c r="AD181" s="21" t="s">
        <v>51</v>
      </c>
      <c r="AE181" s="21"/>
      <c r="AF181" s="22" t="s">
        <v>52</v>
      </c>
      <c r="AG181" s="23" t="s">
        <v>53</v>
      </c>
      <c r="AH181" s="24"/>
      <c r="AN181" s="24"/>
    </row>
    <row r="182" spans="1:40" ht="12.75">
      <c r="A182" s="15">
        <v>3254506</v>
      </c>
      <c r="B182" s="15" t="s">
        <v>37</v>
      </c>
      <c r="C182" s="15" t="s">
        <v>38</v>
      </c>
      <c r="D182" s="15" t="s">
        <v>85</v>
      </c>
      <c r="E182" s="15" t="s">
        <v>86</v>
      </c>
      <c r="F182" s="15" t="s">
        <v>41</v>
      </c>
      <c r="G182" s="15" t="s">
        <v>87</v>
      </c>
      <c r="H182" s="15" t="s">
        <v>76</v>
      </c>
      <c r="I182" s="15" t="s">
        <v>77</v>
      </c>
      <c r="J182" s="15" t="s">
        <v>88</v>
      </c>
      <c r="K182" s="15" t="s">
        <v>60</v>
      </c>
      <c r="L182" s="16" t="s">
        <v>124</v>
      </c>
      <c r="M182" s="15" t="s">
        <v>48</v>
      </c>
      <c r="N182" s="17">
        <v>452842141320</v>
      </c>
      <c r="O182" s="15">
        <v>19913214</v>
      </c>
      <c r="P182" s="18" t="s">
        <v>125</v>
      </c>
      <c r="Q182" s="18">
        <v>3</v>
      </c>
      <c r="R182" s="18">
        <v>0.23799999999999999</v>
      </c>
      <c r="S182" s="15">
        <v>35.58</v>
      </c>
      <c r="T182" s="16">
        <v>45824</v>
      </c>
      <c r="U182" s="19">
        <v>45883</v>
      </c>
      <c r="V182" s="16">
        <v>45824</v>
      </c>
      <c r="W182" s="16">
        <v>45826</v>
      </c>
      <c r="X182" s="57">
        <f t="shared" si="8"/>
        <v>45825</v>
      </c>
      <c r="Y182" s="63">
        <v>45832</v>
      </c>
      <c r="Z182" s="67">
        <v>45861</v>
      </c>
      <c r="AA182" s="71">
        <f t="shared" si="9"/>
        <v>45874</v>
      </c>
      <c r="AB182" s="20">
        <f t="shared" si="10"/>
        <v>-9</v>
      </c>
      <c r="AC182" s="20" t="s">
        <v>50</v>
      </c>
      <c r="AD182" s="21" t="s">
        <v>51</v>
      </c>
      <c r="AE182" s="21"/>
      <c r="AF182" s="22" t="s">
        <v>52</v>
      </c>
      <c r="AG182" s="23" t="s">
        <v>53</v>
      </c>
      <c r="AH182" s="24"/>
      <c r="AN182" s="24"/>
    </row>
    <row r="183" spans="1:40" ht="12.75">
      <c r="A183" s="15">
        <v>3254506</v>
      </c>
      <c r="B183" s="15" t="s">
        <v>37</v>
      </c>
      <c r="C183" s="15" t="s">
        <v>38</v>
      </c>
      <c r="D183" s="15" t="s">
        <v>85</v>
      </c>
      <c r="E183" s="15" t="s">
        <v>86</v>
      </c>
      <c r="F183" s="15" t="s">
        <v>41</v>
      </c>
      <c r="G183" s="15" t="s">
        <v>87</v>
      </c>
      <c r="H183" s="15" t="s">
        <v>76</v>
      </c>
      <c r="I183" s="15" t="s">
        <v>77</v>
      </c>
      <c r="J183" s="15" t="s">
        <v>88</v>
      </c>
      <c r="K183" s="15" t="s">
        <v>60</v>
      </c>
      <c r="L183" s="16" t="s">
        <v>124</v>
      </c>
      <c r="M183" s="15" t="s">
        <v>48</v>
      </c>
      <c r="N183" s="17">
        <v>452843102834</v>
      </c>
      <c r="O183" s="15">
        <v>19913391</v>
      </c>
      <c r="P183" s="18" t="s">
        <v>126</v>
      </c>
      <c r="Q183" s="18">
        <v>3</v>
      </c>
      <c r="R183" s="18">
        <v>0.23799999999999999</v>
      </c>
      <c r="S183" s="15">
        <v>33.630000000000003</v>
      </c>
      <c r="T183" s="16">
        <v>45824</v>
      </c>
      <c r="U183" s="19">
        <v>45883</v>
      </c>
      <c r="V183" s="16">
        <v>45824</v>
      </c>
      <c r="W183" s="16">
        <v>45826</v>
      </c>
      <c r="X183" s="57">
        <f t="shared" si="8"/>
        <v>45825</v>
      </c>
      <c r="Y183" s="63">
        <v>45832</v>
      </c>
      <c r="Z183" s="67">
        <v>45861</v>
      </c>
      <c r="AA183" s="71">
        <f t="shared" si="9"/>
        <v>45874</v>
      </c>
      <c r="AB183" s="20">
        <f t="shared" si="10"/>
        <v>-9</v>
      </c>
      <c r="AC183" s="20" t="s">
        <v>50</v>
      </c>
      <c r="AD183" s="21" t="s">
        <v>51</v>
      </c>
      <c r="AE183" s="21"/>
      <c r="AF183" s="22" t="s">
        <v>52</v>
      </c>
      <c r="AG183" s="23" t="s">
        <v>53</v>
      </c>
      <c r="AH183" s="24"/>
      <c r="AN183" s="24"/>
    </row>
    <row r="184" spans="1:40" ht="12.75">
      <c r="A184" s="15">
        <v>3254506</v>
      </c>
      <c r="B184" s="15" t="s">
        <v>37</v>
      </c>
      <c r="C184" s="15" t="s">
        <v>38</v>
      </c>
      <c r="D184" s="15" t="s">
        <v>85</v>
      </c>
      <c r="E184" s="15" t="s">
        <v>86</v>
      </c>
      <c r="F184" s="15" t="s">
        <v>41</v>
      </c>
      <c r="G184" s="15" t="s">
        <v>87</v>
      </c>
      <c r="H184" s="15" t="s">
        <v>76</v>
      </c>
      <c r="I184" s="15" t="s">
        <v>77</v>
      </c>
      <c r="J184" s="15" t="s">
        <v>88</v>
      </c>
      <c r="K184" s="15" t="s">
        <v>60</v>
      </c>
      <c r="L184" s="16" t="s">
        <v>124</v>
      </c>
      <c r="M184" s="15" t="s">
        <v>48</v>
      </c>
      <c r="N184" s="17">
        <v>452843168146</v>
      </c>
      <c r="O184" s="15">
        <v>19913384</v>
      </c>
      <c r="P184" s="18" t="s">
        <v>127</v>
      </c>
      <c r="Q184" s="18">
        <v>4</v>
      </c>
      <c r="R184" s="18">
        <v>0.317</v>
      </c>
      <c r="S184" s="15">
        <v>52.1</v>
      </c>
      <c r="T184" s="16">
        <v>45824</v>
      </c>
      <c r="U184" s="19">
        <v>45883</v>
      </c>
      <c r="V184" s="16">
        <v>45824</v>
      </c>
      <c r="W184" s="16">
        <v>45826</v>
      </c>
      <c r="X184" s="57">
        <f t="shared" si="8"/>
        <v>45825</v>
      </c>
      <c r="Y184" s="63">
        <v>45832</v>
      </c>
      <c r="Z184" s="67">
        <v>45861</v>
      </c>
      <c r="AA184" s="71">
        <f t="shared" si="9"/>
        <v>45874</v>
      </c>
      <c r="AB184" s="20">
        <f t="shared" si="10"/>
        <v>-9</v>
      </c>
      <c r="AC184" s="20" t="s">
        <v>50</v>
      </c>
      <c r="AD184" s="21" t="s">
        <v>51</v>
      </c>
      <c r="AE184" s="21"/>
      <c r="AF184" s="22" t="s">
        <v>52</v>
      </c>
      <c r="AG184" s="23" t="s">
        <v>53</v>
      </c>
      <c r="AH184" s="24"/>
      <c r="AN184" s="24"/>
    </row>
    <row r="185" spans="1:40" ht="12.75">
      <c r="A185" s="15">
        <v>3254506</v>
      </c>
      <c r="B185" s="15" t="s">
        <v>37</v>
      </c>
      <c r="C185" s="15" t="s">
        <v>38</v>
      </c>
      <c r="D185" s="15" t="s">
        <v>85</v>
      </c>
      <c r="E185" s="15" t="s">
        <v>86</v>
      </c>
      <c r="F185" s="15" t="s">
        <v>41</v>
      </c>
      <c r="G185" s="15" t="s">
        <v>87</v>
      </c>
      <c r="H185" s="15" t="s">
        <v>76</v>
      </c>
      <c r="I185" s="15" t="s">
        <v>77</v>
      </c>
      <c r="J185" s="15" t="s">
        <v>88</v>
      </c>
      <c r="K185" s="15" t="s">
        <v>60</v>
      </c>
      <c r="L185" s="16" t="s">
        <v>124</v>
      </c>
      <c r="M185" s="15" t="s">
        <v>48</v>
      </c>
      <c r="N185" s="17">
        <v>452844569188</v>
      </c>
      <c r="O185" s="15">
        <v>19913422</v>
      </c>
      <c r="P185" s="18" t="s">
        <v>128</v>
      </c>
      <c r="Q185" s="18">
        <v>3</v>
      </c>
      <c r="R185" s="18">
        <v>0.19800000000000001</v>
      </c>
      <c r="S185" s="15">
        <v>26.03</v>
      </c>
      <c r="T185" s="16">
        <v>45824</v>
      </c>
      <c r="U185" s="19">
        <v>45883</v>
      </c>
      <c r="V185" s="16">
        <v>45824</v>
      </c>
      <c r="W185" s="16">
        <v>45826</v>
      </c>
      <c r="X185" s="57">
        <f t="shared" si="8"/>
        <v>45825</v>
      </c>
      <c r="Y185" s="63">
        <v>45832</v>
      </c>
      <c r="Z185" s="67">
        <v>45861</v>
      </c>
      <c r="AA185" s="71">
        <f t="shared" si="9"/>
        <v>45874</v>
      </c>
      <c r="AB185" s="20">
        <f t="shared" si="10"/>
        <v>-9</v>
      </c>
      <c r="AC185" s="20" t="s">
        <v>50</v>
      </c>
      <c r="AD185" s="21" t="s">
        <v>51</v>
      </c>
      <c r="AE185" s="21"/>
      <c r="AF185" s="22" t="s">
        <v>52</v>
      </c>
      <c r="AG185" s="23" t="s">
        <v>53</v>
      </c>
      <c r="AH185" s="24"/>
      <c r="AN185" s="24"/>
    </row>
    <row r="186" spans="1:40" ht="12.75">
      <c r="A186" s="15">
        <v>3254506</v>
      </c>
      <c r="B186" s="15" t="s">
        <v>37</v>
      </c>
      <c r="C186" s="15" t="s">
        <v>38</v>
      </c>
      <c r="D186" s="15" t="s">
        <v>85</v>
      </c>
      <c r="E186" s="15" t="s">
        <v>86</v>
      </c>
      <c r="F186" s="15" t="s">
        <v>41</v>
      </c>
      <c r="G186" s="15" t="s">
        <v>87</v>
      </c>
      <c r="H186" s="15" t="s">
        <v>76</v>
      </c>
      <c r="I186" s="15" t="s">
        <v>77</v>
      </c>
      <c r="J186" s="15" t="s">
        <v>88</v>
      </c>
      <c r="K186" s="15" t="s">
        <v>60</v>
      </c>
      <c r="L186" s="16" t="s">
        <v>124</v>
      </c>
      <c r="M186" s="15" t="s">
        <v>48</v>
      </c>
      <c r="N186" s="17">
        <v>452845689511</v>
      </c>
      <c r="O186" s="15">
        <v>19922420</v>
      </c>
      <c r="P186" s="18" t="s">
        <v>127</v>
      </c>
      <c r="Q186" s="18">
        <v>11</v>
      </c>
      <c r="R186" s="18">
        <v>0.872</v>
      </c>
      <c r="S186" s="15">
        <v>149.32</v>
      </c>
      <c r="T186" s="16">
        <v>45824</v>
      </c>
      <c r="U186" s="19">
        <v>45883</v>
      </c>
      <c r="V186" s="16">
        <v>45824</v>
      </c>
      <c r="W186" s="16">
        <v>45826</v>
      </c>
      <c r="X186" s="57">
        <f t="shared" si="8"/>
        <v>45825</v>
      </c>
      <c r="Y186" s="63">
        <v>45832</v>
      </c>
      <c r="Z186" s="67">
        <v>45861</v>
      </c>
      <c r="AA186" s="71">
        <f t="shared" si="9"/>
        <v>45874</v>
      </c>
      <c r="AB186" s="20">
        <f t="shared" si="10"/>
        <v>-9</v>
      </c>
      <c r="AC186" s="20" t="s">
        <v>50</v>
      </c>
      <c r="AD186" s="21" t="s">
        <v>51</v>
      </c>
      <c r="AE186" s="21"/>
      <c r="AF186" s="22" t="s">
        <v>52</v>
      </c>
      <c r="AG186" s="23" t="s">
        <v>53</v>
      </c>
      <c r="AH186" s="24"/>
      <c r="AN186" s="24"/>
    </row>
    <row r="187" spans="1:40" ht="12.75">
      <c r="A187" s="15">
        <v>3254506</v>
      </c>
      <c r="B187" s="15" t="s">
        <v>37</v>
      </c>
      <c r="C187" s="15" t="s">
        <v>38</v>
      </c>
      <c r="D187" s="15" t="s">
        <v>85</v>
      </c>
      <c r="E187" s="15" t="s">
        <v>86</v>
      </c>
      <c r="F187" s="15" t="s">
        <v>41</v>
      </c>
      <c r="G187" s="15" t="s">
        <v>87</v>
      </c>
      <c r="H187" s="15" t="s">
        <v>76</v>
      </c>
      <c r="I187" s="15" t="s">
        <v>77</v>
      </c>
      <c r="J187" s="15" t="s">
        <v>88</v>
      </c>
      <c r="K187" s="15" t="s">
        <v>60</v>
      </c>
      <c r="L187" s="16" t="s">
        <v>124</v>
      </c>
      <c r="M187" s="15" t="s">
        <v>48</v>
      </c>
      <c r="N187" s="17">
        <v>452846239219</v>
      </c>
      <c r="O187" s="15">
        <v>19922455</v>
      </c>
      <c r="P187" s="18" t="s">
        <v>128</v>
      </c>
      <c r="Q187" s="18">
        <v>5</v>
      </c>
      <c r="R187" s="18">
        <v>0.39700000000000002</v>
      </c>
      <c r="S187" s="15">
        <v>50.301000000000002</v>
      </c>
      <c r="T187" s="16">
        <v>45824</v>
      </c>
      <c r="U187" s="19">
        <v>45883</v>
      </c>
      <c r="V187" s="16">
        <v>45824</v>
      </c>
      <c r="W187" s="16">
        <v>45826</v>
      </c>
      <c r="X187" s="57">
        <f t="shared" si="8"/>
        <v>45825</v>
      </c>
      <c r="Y187" s="63">
        <v>45832</v>
      </c>
      <c r="Z187" s="67">
        <v>45861</v>
      </c>
      <c r="AA187" s="71">
        <f t="shared" si="9"/>
        <v>45874</v>
      </c>
      <c r="AB187" s="20">
        <f t="shared" si="10"/>
        <v>-9</v>
      </c>
      <c r="AC187" s="20" t="s">
        <v>50</v>
      </c>
      <c r="AD187" s="21" t="s">
        <v>51</v>
      </c>
      <c r="AE187" s="21"/>
      <c r="AF187" s="22" t="s">
        <v>52</v>
      </c>
      <c r="AG187" s="23" t="s">
        <v>53</v>
      </c>
      <c r="AH187" s="24"/>
      <c r="AN187" s="24"/>
    </row>
    <row r="188" spans="1:40" ht="12.75">
      <c r="A188" s="15">
        <v>3254506</v>
      </c>
      <c r="B188" s="15" t="s">
        <v>37</v>
      </c>
      <c r="C188" s="15" t="s">
        <v>38</v>
      </c>
      <c r="D188" s="15" t="s">
        <v>85</v>
      </c>
      <c r="E188" s="15" t="s">
        <v>86</v>
      </c>
      <c r="F188" s="15" t="s">
        <v>41</v>
      </c>
      <c r="G188" s="15" t="s">
        <v>87</v>
      </c>
      <c r="H188" s="15" t="s">
        <v>76</v>
      </c>
      <c r="I188" s="15" t="s">
        <v>77</v>
      </c>
      <c r="J188" s="15" t="s">
        <v>88</v>
      </c>
      <c r="K188" s="15" t="s">
        <v>60</v>
      </c>
      <c r="L188" s="16" t="s">
        <v>124</v>
      </c>
      <c r="M188" s="15" t="s">
        <v>48</v>
      </c>
      <c r="N188" s="17">
        <v>452847739796</v>
      </c>
      <c r="O188" s="15">
        <v>19922466</v>
      </c>
      <c r="P188" s="18" t="s">
        <v>129</v>
      </c>
      <c r="Q188" s="18">
        <v>1</v>
      </c>
      <c r="R188" s="18">
        <v>7.9000000000000001E-2</v>
      </c>
      <c r="S188" s="15">
        <v>14.81</v>
      </c>
      <c r="T188" s="16">
        <v>45824</v>
      </c>
      <c r="U188" s="19">
        <v>45883</v>
      </c>
      <c r="V188" s="16">
        <v>45824</v>
      </c>
      <c r="W188" s="16">
        <v>45826</v>
      </c>
      <c r="X188" s="57">
        <f t="shared" si="8"/>
        <v>45825</v>
      </c>
      <c r="Y188" s="63">
        <v>45832</v>
      </c>
      <c r="Z188" s="67">
        <v>45861</v>
      </c>
      <c r="AA188" s="71">
        <f t="shared" si="9"/>
        <v>45874</v>
      </c>
      <c r="AB188" s="20">
        <f t="shared" si="10"/>
        <v>-9</v>
      </c>
      <c r="AC188" s="20" t="s">
        <v>50</v>
      </c>
      <c r="AD188" s="21" t="s">
        <v>51</v>
      </c>
      <c r="AE188" s="21"/>
      <c r="AF188" s="22" t="s">
        <v>52</v>
      </c>
      <c r="AG188" s="23" t="s">
        <v>53</v>
      </c>
      <c r="AH188" s="24"/>
      <c r="AN188" s="24"/>
    </row>
    <row r="189" spans="1:40" ht="12.75">
      <c r="A189" s="15">
        <v>3254506</v>
      </c>
      <c r="B189" s="15" t="s">
        <v>37</v>
      </c>
      <c r="C189" s="15" t="s">
        <v>38</v>
      </c>
      <c r="D189" s="15" t="s">
        <v>85</v>
      </c>
      <c r="E189" s="15" t="s">
        <v>86</v>
      </c>
      <c r="F189" s="15" t="s">
        <v>41</v>
      </c>
      <c r="G189" s="15" t="s">
        <v>87</v>
      </c>
      <c r="H189" s="15" t="s">
        <v>76</v>
      </c>
      <c r="I189" s="15" t="s">
        <v>77</v>
      </c>
      <c r="J189" s="15" t="s">
        <v>88</v>
      </c>
      <c r="K189" s="15" t="s">
        <v>60</v>
      </c>
      <c r="L189" s="16" t="s">
        <v>124</v>
      </c>
      <c r="M189" s="15" t="s">
        <v>48</v>
      </c>
      <c r="N189" s="17">
        <v>452852455212</v>
      </c>
      <c r="O189" s="15">
        <v>19922488</v>
      </c>
      <c r="P189" s="18" t="s">
        <v>130</v>
      </c>
      <c r="Q189" s="18">
        <v>2</v>
      </c>
      <c r="R189" s="18">
        <v>0.11899999999999999</v>
      </c>
      <c r="S189" s="15">
        <v>14.43</v>
      </c>
      <c r="T189" s="16">
        <v>45824</v>
      </c>
      <c r="U189" s="19">
        <v>45883</v>
      </c>
      <c r="V189" s="16">
        <v>45824</v>
      </c>
      <c r="W189" s="16">
        <v>45826</v>
      </c>
      <c r="X189" s="57">
        <f t="shared" si="8"/>
        <v>45825</v>
      </c>
      <c r="Y189" s="63">
        <v>45832</v>
      </c>
      <c r="Z189" s="67">
        <v>45861</v>
      </c>
      <c r="AA189" s="71">
        <f t="shared" si="9"/>
        <v>45874</v>
      </c>
      <c r="AB189" s="20">
        <f t="shared" si="10"/>
        <v>-9</v>
      </c>
      <c r="AC189" s="20" t="s">
        <v>50</v>
      </c>
      <c r="AD189" s="21" t="s">
        <v>51</v>
      </c>
      <c r="AE189" s="21"/>
      <c r="AF189" s="22" t="s">
        <v>52</v>
      </c>
      <c r="AG189" s="23" t="s">
        <v>53</v>
      </c>
      <c r="AH189" s="24"/>
      <c r="AN189" s="24"/>
    </row>
    <row r="190" spans="1:40" ht="12.75">
      <c r="A190" s="15">
        <v>3254506</v>
      </c>
      <c r="B190" s="15" t="s">
        <v>37</v>
      </c>
      <c r="C190" s="15" t="s">
        <v>38</v>
      </c>
      <c r="D190" s="15" t="s">
        <v>85</v>
      </c>
      <c r="E190" s="15" t="s">
        <v>86</v>
      </c>
      <c r="F190" s="15" t="s">
        <v>41</v>
      </c>
      <c r="G190" s="15" t="s">
        <v>87</v>
      </c>
      <c r="H190" s="15" t="s">
        <v>76</v>
      </c>
      <c r="I190" s="15" t="s">
        <v>77</v>
      </c>
      <c r="J190" s="15" t="s">
        <v>88</v>
      </c>
      <c r="K190" s="15" t="s">
        <v>60</v>
      </c>
      <c r="L190" s="16" t="s">
        <v>124</v>
      </c>
      <c r="M190" s="15" t="s">
        <v>48</v>
      </c>
      <c r="N190" s="17">
        <v>452853430838</v>
      </c>
      <c r="O190" s="15">
        <v>19922489</v>
      </c>
      <c r="P190" s="18" t="s">
        <v>130</v>
      </c>
      <c r="Q190" s="18">
        <v>1</v>
      </c>
      <c r="R190" s="18">
        <v>7.9000000000000001E-2</v>
      </c>
      <c r="S190" s="15">
        <v>8.35</v>
      </c>
      <c r="T190" s="16">
        <v>45824</v>
      </c>
      <c r="U190" s="19">
        <v>45883</v>
      </c>
      <c r="V190" s="16">
        <v>45824</v>
      </c>
      <c r="W190" s="16">
        <v>45826</v>
      </c>
      <c r="X190" s="57">
        <f t="shared" si="8"/>
        <v>45825</v>
      </c>
      <c r="Y190" s="63">
        <v>45832</v>
      </c>
      <c r="Z190" s="67">
        <v>45861</v>
      </c>
      <c r="AA190" s="71">
        <f t="shared" si="9"/>
        <v>45874</v>
      </c>
      <c r="AB190" s="20">
        <f t="shared" si="10"/>
        <v>-9</v>
      </c>
      <c r="AC190" s="20" t="s">
        <v>50</v>
      </c>
      <c r="AD190" s="21" t="s">
        <v>51</v>
      </c>
      <c r="AE190" s="21"/>
      <c r="AF190" s="22" t="s">
        <v>52</v>
      </c>
      <c r="AG190" s="23" t="s">
        <v>53</v>
      </c>
      <c r="AH190" s="24"/>
      <c r="AN190" s="24"/>
    </row>
    <row r="191" spans="1:40" ht="12.75">
      <c r="A191" s="15">
        <v>3254506</v>
      </c>
      <c r="B191" s="15" t="s">
        <v>37</v>
      </c>
      <c r="C191" s="15" t="s">
        <v>38</v>
      </c>
      <c r="D191" s="15" t="s">
        <v>85</v>
      </c>
      <c r="E191" s="15" t="s">
        <v>86</v>
      </c>
      <c r="F191" s="15" t="s">
        <v>41</v>
      </c>
      <c r="G191" s="15" t="s">
        <v>87</v>
      </c>
      <c r="H191" s="15" t="s">
        <v>76</v>
      </c>
      <c r="I191" s="15" t="s">
        <v>77</v>
      </c>
      <c r="J191" s="15" t="s">
        <v>88</v>
      </c>
      <c r="K191" s="15" t="s">
        <v>60</v>
      </c>
      <c r="L191" s="16" t="s">
        <v>124</v>
      </c>
      <c r="M191" s="15" t="s">
        <v>48</v>
      </c>
      <c r="N191" s="17">
        <v>452853541122</v>
      </c>
      <c r="O191" s="15">
        <v>19926806</v>
      </c>
      <c r="P191" s="18" t="s">
        <v>131</v>
      </c>
      <c r="Q191" s="18">
        <v>2</v>
      </c>
      <c r="R191" s="18">
        <v>0.159</v>
      </c>
      <c r="S191" s="15">
        <v>21.71</v>
      </c>
      <c r="T191" s="16">
        <v>45824</v>
      </c>
      <c r="U191" s="19">
        <v>45883</v>
      </c>
      <c r="V191" s="16">
        <v>45824</v>
      </c>
      <c r="W191" s="16">
        <v>45826</v>
      </c>
      <c r="X191" s="57">
        <f t="shared" si="8"/>
        <v>45825</v>
      </c>
      <c r="Y191" s="63">
        <v>45832</v>
      </c>
      <c r="Z191" s="67">
        <v>45861</v>
      </c>
      <c r="AA191" s="71">
        <f t="shared" si="9"/>
        <v>45874</v>
      </c>
      <c r="AB191" s="20">
        <f t="shared" si="10"/>
        <v>-9</v>
      </c>
      <c r="AC191" s="20" t="s">
        <v>50</v>
      </c>
      <c r="AD191" s="21" t="s">
        <v>51</v>
      </c>
      <c r="AE191" s="21"/>
      <c r="AF191" s="22" t="s">
        <v>52</v>
      </c>
      <c r="AG191" s="23" t="s">
        <v>53</v>
      </c>
      <c r="AH191" s="24"/>
      <c r="AN191" s="24"/>
    </row>
    <row r="192" spans="1:40" ht="12.75">
      <c r="A192" s="15">
        <v>3254506</v>
      </c>
      <c r="B192" s="15" t="s">
        <v>37</v>
      </c>
      <c r="C192" s="15" t="s">
        <v>38</v>
      </c>
      <c r="D192" s="15" t="s">
        <v>85</v>
      </c>
      <c r="E192" s="15" t="s">
        <v>86</v>
      </c>
      <c r="F192" s="15" t="s">
        <v>41</v>
      </c>
      <c r="G192" s="15" t="s">
        <v>87</v>
      </c>
      <c r="H192" s="15" t="s">
        <v>76</v>
      </c>
      <c r="I192" s="15" t="s">
        <v>77</v>
      </c>
      <c r="J192" s="15" t="s">
        <v>88</v>
      </c>
      <c r="K192" s="15" t="s">
        <v>60</v>
      </c>
      <c r="L192" s="16" t="s">
        <v>124</v>
      </c>
      <c r="M192" s="15" t="s">
        <v>48</v>
      </c>
      <c r="N192" s="17">
        <v>452854030967</v>
      </c>
      <c r="O192" s="15">
        <v>19926805</v>
      </c>
      <c r="P192" s="18" t="s">
        <v>131</v>
      </c>
      <c r="Q192" s="18">
        <v>3</v>
      </c>
      <c r="R192" s="18">
        <v>0.23799999999999999</v>
      </c>
      <c r="S192" s="15">
        <v>43.12</v>
      </c>
      <c r="T192" s="16">
        <v>45824</v>
      </c>
      <c r="U192" s="19">
        <v>45883</v>
      </c>
      <c r="V192" s="16">
        <v>45824</v>
      </c>
      <c r="W192" s="16">
        <v>45826</v>
      </c>
      <c r="X192" s="57">
        <f t="shared" si="8"/>
        <v>45825</v>
      </c>
      <c r="Y192" s="63">
        <v>45832</v>
      </c>
      <c r="Z192" s="67">
        <v>45861</v>
      </c>
      <c r="AA192" s="71">
        <f t="shared" si="9"/>
        <v>45874</v>
      </c>
      <c r="AB192" s="20">
        <f t="shared" si="10"/>
        <v>-9</v>
      </c>
      <c r="AC192" s="20" t="s">
        <v>50</v>
      </c>
      <c r="AD192" s="21" t="s">
        <v>51</v>
      </c>
      <c r="AE192" s="21"/>
      <c r="AF192" s="22" t="s">
        <v>52</v>
      </c>
      <c r="AG192" s="23" t="s">
        <v>53</v>
      </c>
      <c r="AH192" s="24"/>
      <c r="AN192" s="24"/>
    </row>
    <row r="193" spans="1:40" ht="12.75">
      <c r="A193" s="15">
        <v>3254506</v>
      </c>
      <c r="B193" s="15" t="s">
        <v>37</v>
      </c>
      <c r="C193" s="15" t="s">
        <v>38</v>
      </c>
      <c r="D193" s="15" t="s">
        <v>85</v>
      </c>
      <c r="E193" s="15" t="s">
        <v>86</v>
      </c>
      <c r="F193" s="15" t="s">
        <v>41</v>
      </c>
      <c r="G193" s="15" t="s">
        <v>87</v>
      </c>
      <c r="H193" s="15" t="s">
        <v>76</v>
      </c>
      <c r="I193" s="15" t="s">
        <v>77</v>
      </c>
      <c r="J193" s="15" t="s">
        <v>88</v>
      </c>
      <c r="K193" s="15" t="s">
        <v>60</v>
      </c>
      <c r="L193" s="16" t="s">
        <v>124</v>
      </c>
      <c r="M193" s="15" t="s">
        <v>48</v>
      </c>
      <c r="N193" s="17">
        <v>452856319907</v>
      </c>
      <c r="O193" s="15">
        <v>19926822</v>
      </c>
      <c r="P193" s="18" t="s">
        <v>132</v>
      </c>
      <c r="Q193" s="18">
        <v>6</v>
      </c>
      <c r="R193" s="18">
        <v>0.436</v>
      </c>
      <c r="S193" s="15">
        <v>54.42</v>
      </c>
      <c r="T193" s="16">
        <v>45824</v>
      </c>
      <c r="U193" s="19">
        <v>45883</v>
      </c>
      <c r="V193" s="16">
        <v>45824</v>
      </c>
      <c r="W193" s="16">
        <v>45826</v>
      </c>
      <c r="X193" s="57">
        <f t="shared" si="8"/>
        <v>45825</v>
      </c>
      <c r="Y193" s="63">
        <v>45832</v>
      </c>
      <c r="Z193" s="67">
        <v>45861</v>
      </c>
      <c r="AA193" s="71">
        <f t="shared" si="9"/>
        <v>45874</v>
      </c>
      <c r="AB193" s="20">
        <f t="shared" si="10"/>
        <v>-9</v>
      </c>
      <c r="AC193" s="20" t="s">
        <v>50</v>
      </c>
      <c r="AD193" s="21" t="s">
        <v>51</v>
      </c>
      <c r="AE193" s="21"/>
      <c r="AF193" s="22" t="s">
        <v>52</v>
      </c>
      <c r="AG193" s="23" t="s">
        <v>53</v>
      </c>
      <c r="AH193" s="24"/>
      <c r="AN193" s="24"/>
    </row>
    <row r="194" spans="1:40" ht="12.75">
      <c r="A194" s="15">
        <v>3254506</v>
      </c>
      <c r="B194" s="15" t="s">
        <v>37</v>
      </c>
      <c r="C194" s="15" t="s">
        <v>38</v>
      </c>
      <c r="D194" s="15" t="s">
        <v>85</v>
      </c>
      <c r="E194" s="15" t="s">
        <v>86</v>
      </c>
      <c r="F194" s="15" t="s">
        <v>41</v>
      </c>
      <c r="G194" s="15" t="s">
        <v>87</v>
      </c>
      <c r="H194" s="15" t="s">
        <v>76</v>
      </c>
      <c r="I194" s="15" t="s">
        <v>77</v>
      </c>
      <c r="J194" s="15" t="s">
        <v>88</v>
      </c>
      <c r="K194" s="15" t="s">
        <v>60</v>
      </c>
      <c r="L194" s="16" t="s">
        <v>124</v>
      </c>
      <c r="M194" s="15" t="s">
        <v>48</v>
      </c>
      <c r="N194" s="17">
        <v>452858135232</v>
      </c>
      <c r="O194" s="15">
        <v>19926952</v>
      </c>
      <c r="P194" s="18" t="s">
        <v>133</v>
      </c>
      <c r="Q194" s="18">
        <v>4</v>
      </c>
      <c r="R194" s="18">
        <v>0.317</v>
      </c>
      <c r="S194" s="15">
        <v>49.6</v>
      </c>
      <c r="T194" s="16">
        <v>45824</v>
      </c>
      <c r="U194" s="19">
        <v>45883</v>
      </c>
      <c r="V194" s="16">
        <v>45824</v>
      </c>
      <c r="W194" s="16">
        <v>45826</v>
      </c>
      <c r="X194" s="57">
        <f t="shared" si="8"/>
        <v>45825</v>
      </c>
      <c r="Y194" s="63">
        <v>45832</v>
      </c>
      <c r="Z194" s="67">
        <v>45861</v>
      </c>
      <c r="AA194" s="71">
        <f t="shared" si="9"/>
        <v>45874</v>
      </c>
      <c r="AB194" s="20">
        <f t="shared" si="10"/>
        <v>-9</v>
      </c>
      <c r="AC194" s="20" t="s">
        <v>50</v>
      </c>
      <c r="AD194" s="21" t="s">
        <v>51</v>
      </c>
      <c r="AE194" s="21"/>
      <c r="AF194" s="22" t="s">
        <v>52</v>
      </c>
      <c r="AG194" s="23" t="s">
        <v>53</v>
      </c>
      <c r="AH194" s="24"/>
      <c r="AN194" s="24"/>
    </row>
    <row r="195" spans="1:40" ht="12.75">
      <c r="A195" s="15">
        <v>3254506</v>
      </c>
      <c r="B195" s="15" t="s">
        <v>37</v>
      </c>
      <c r="C195" s="15" t="s">
        <v>38</v>
      </c>
      <c r="D195" s="15" t="s">
        <v>85</v>
      </c>
      <c r="E195" s="15" t="s">
        <v>86</v>
      </c>
      <c r="F195" s="15" t="s">
        <v>41</v>
      </c>
      <c r="G195" s="15" t="s">
        <v>87</v>
      </c>
      <c r="H195" s="15" t="s">
        <v>76</v>
      </c>
      <c r="I195" s="15" t="s">
        <v>77</v>
      </c>
      <c r="J195" s="15" t="s">
        <v>88</v>
      </c>
      <c r="K195" s="15" t="s">
        <v>60</v>
      </c>
      <c r="L195" s="16" t="s">
        <v>124</v>
      </c>
      <c r="M195" s="15" t="s">
        <v>48</v>
      </c>
      <c r="N195" s="17">
        <v>452859992323</v>
      </c>
      <c r="O195" s="15">
        <v>19927038</v>
      </c>
      <c r="P195" s="18" t="s">
        <v>127</v>
      </c>
      <c r="Q195" s="18">
        <v>7</v>
      </c>
      <c r="R195" s="18">
        <v>0.55500000000000005</v>
      </c>
      <c r="S195" s="15">
        <v>95.01</v>
      </c>
      <c r="T195" s="16">
        <v>45824</v>
      </c>
      <c r="U195" s="19">
        <v>45883</v>
      </c>
      <c r="V195" s="16">
        <v>45824</v>
      </c>
      <c r="W195" s="16">
        <v>45826</v>
      </c>
      <c r="X195" s="57">
        <f t="shared" si="8"/>
        <v>45825</v>
      </c>
      <c r="Y195" s="63">
        <v>45832</v>
      </c>
      <c r="Z195" s="67">
        <v>45861</v>
      </c>
      <c r="AA195" s="71">
        <f t="shared" si="9"/>
        <v>45874</v>
      </c>
      <c r="AB195" s="20">
        <f t="shared" si="10"/>
        <v>-9</v>
      </c>
      <c r="AC195" s="20" t="s">
        <v>50</v>
      </c>
      <c r="AD195" s="21" t="s">
        <v>51</v>
      </c>
      <c r="AE195" s="21"/>
      <c r="AF195" s="22" t="s">
        <v>52</v>
      </c>
      <c r="AG195" s="23" t="s">
        <v>53</v>
      </c>
      <c r="AH195" s="24"/>
      <c r="AN195" s="24"/>
    </row>
    <row r="196" spans="1:40" ht="12.75">
      <c r="A196" s="15">
        <v>3254506</v>
      </c>
      <c r="B196" s="15" t="s">
        <v>37</v>
      </c>
      <c r="C196" s="15" t="s">
        <v>38</v>
      </c>
      <c r="D196" s="15" t="s">
        <v>85</v>
      </c>
      <c r="E196" s="15" t="s">
        <v>86</v>
      </c>
      <c r="F196" s="15" t="s">
        <v>41</v>
      </c>
      <c r="G196" s="15" t="s">
        <v>87</v>
      </c>
      <c r="H196" s="15" t="s">
        <v>76</v>
      </c>
      <c r="I196" s="15" t="s">
        <v>77</v>
      </c>
      <c r="J196" s="15" t="s">
        <v>88</v>
      </c>
      <c r="K196" s="15" t="s">
        <v>60</v>
      </c>
      <c r="L196" s="16" t="s">
        <v>124</v>
      </c>
      <c r="M196" s="15" t="s">
        <v>48</v>
      </c>
      <c r="N196" s="17">
        <v>452862804612</v>
      </c>
      <c r="O196" s="15">
        <v>19927068</v>
      </c>
      <c r="P196" s="18" t="s">
        <v>134</v>
      </c>
      <c r="Q196" s="18">
        <v>4</v>
      </c>
      <c r="R196" s="18">
        <v>0.317</v>
      </c>
      <c r="S196" s="15">
        <v>49.04</v>
      </c>
      <c r="T196" s="16">
        <v>45824</v>
      </c>
      <c r="U196" s="19">
        <v>45883</v>
      </c>
      <c r="V196" s="16">
        <v>45824</v>
      </c>
      <c r="W196" s="16">
        <v>45826</v>
      </c>
      <c r="X196" s="57">
        <f t="shared" si="8"/>
        <v>45825</v>
      </c>
      <c r="Y196" s="63">
        <v>45832</v>
      </c>
      <c r="Z196" s="67">
        <v>45861</v>
      </c>
      <c r="AA196" s="71">
        <f t="shared" si="9"/>
        <v>45874</v>
      </c>
      <c r="AB196" s="20">
        <f t="shared" si="10"/>
        <v>-9</v>
      </c>
      <c r="AC196" s="20" t="s">
        <v>50</v>
      </c>
      <c r="AD196" s="21" t="s">
        <v>51</v>
      </c>
      <c r="AE196" s="21"/>
      <c r="AF196" s="22" t="s">
        <v>52</v>
      </c>
      <c r="AG196" s="23" t="s">
        <v>53</v>
      </c>
      <c r="AH196" s="24"/>
      <c r="AN196" s="24"/>
    </row>
    <row r="197" spans="1:40" ht="12.75">
      <c r="A197" s="15">
        <v>3254506</v>
      </c>
      <c r="B197" s="15" t="s">
        <v>37</v>
      </c>
      <c r="C197" s="15" t="s">
        <v>38</v>
      </c>
      <c r="D197" s="15" t="s">
        <v>85</v>
      </c>
      <c r="E197" s="15" t="s">
        <v>86</v>
      </c>
      <c r="F197" s="15" t="s">
        <v>41</v>
      </c>
      <c r="G197" s="15" t="s">
        <v>87</v>
      </c>
      <c r="H197" s="15" t="s">
        <v>76</v>
      </c>
      <c r="I197" s="15" t="s">
        <v>77</v>
      </c>
      <c r="J197" s="15" t="s">
        <v>88</v>
      </c>
      <c r="K197" s="15" t="s">
        <v>60</v>
      </c>
      <c r="L197" s="16" t="s">
        <v>124</v>
      </c>
      <c r="M197" s="15" t="s">
        <v>48</v>
      </c>
      <c r="N197" s="17">
        <v>452865421049</v>
      </c>
      <c r="O197" s="15">
        <v>19935878</v>
      </c>
      <c r="P197" s="18" t="s">
        <v>128</v>
      </c>
      <c r="Q197" s="18">
        <v>2</v>
      </c>
      <c r="R197" s="18">
        <v>0.159</v>
      </c>
      <c r="S197" s="15">
        <v>18.98</v>
      </c>
      <c r="T197" s="16">
        <v>45824</v>
      </c>
      <c r="U197" s="19">
        <v>45883</v>
      </c>
      <c r="V197" s="16">
        <v>45824</v>
      </c>
      <c r="W197" s="16">
        <v>45826</v>
      </c>
      <c r="X197" s="57">
        <f t="shared" si="8"/>
        <v>45825</v>
      </c>
      <c r="Y197" s="63">
        <v>45832</v>
      </c>
      <c r="Z197" s="67">
        <v>45861</v>
      </c>
      <c r="AA197" s="71">
        <f t="shared" si="9"/>
        <v>45874</v>
      </c>
      <c r="AB197" s="20">
        <f t="shared" si="10"/>
        <v>-9</v>
      </c>
      <c r="AC197" s="20" t="s">
        <v>50</v>
      </c>
      <c r="AD197" s="21" t="s">
        <v>51</v>
      </c>
      <c r="AE197" s="21"/>
      <c r="AF197" s="22" t="s">
        <v>52</v>
      </c>
      <c r="AG197" s="23" t="s">
        <v>53</v>
      </c>
      <c r="AH197" s="24"/>
      <c r="AN197" s="24"/>
    </row>
    <row r="198" spans="1:40" ht="12.75">
      <c r="A198" s="15">
        <v>3254506</v>
      </c>
      <c r="B198" s="15" t="s">
        <v>37</v>
      </c>
      <c r="C198" s="15" t="s">
        <v>38</v>
      </c>
      <c r="D198" s="15" t="s">
        <v>85</v>
      </c>
      <c r="E198" s="15" t="s">
        <v>86</v>
      </c>
      <c r="F198" s="15" t="s">
        <v>41</v>
      </c>
      <c r="G198" s="15" t="s">
        <v>87</v>
      </c>
      <c r="H198" s="15" t="s">
        <v>76</v>
      </c>
      <c r="I198" s="15" t="s">
        <v>77</v>
      </c>
      <c r="J198" s="15" t="s">
        <v>88</v>
      </c>
      <c r="K198" s="15" t="s">
        <v>60</v>
      </c>
      <c r="L198" s="16" t="s">
        <v>124</v>
      </c>
      <c r="M198" s="15" t="s">
        <v>48</v>
      </c>
      <c r="N198" s="17">
        <v>452866507552</v>
      </c>
      <c r="O198" s="15">
        <v>19927133</v>
      </c>
      <c r="P198" s="18" t="s">
        <v>131</v>
      </c>
      <c r="Q198" s="18">
        <v>3</v>
      </c>
      <c r="R198" s="18">
        <v>0.23799999999999999</v>
      </c>
      <c r="S198" s="15">
        <v>40.36</v>
      </c>
      <c r="T198" s="16">
        <v>45824</v>
      </c>
      <c r="U198" s="19">
        <v>45883</v>
      </c>
      <c r="V198" s="16">
        <v>45824</v>
      </c>
      <c r="W198" s="16">
        <v>45826</v>
      </c>
      <c r="X198" s="57">
        <f t="shared" si="8"/>
        <v>45825</v>
      </c>
      <c r="Y198" s="63">
        <v>45832</v>
      </c>
      <c r="Z198" s="67">
        <v>45861</v>
      </c>
      <c r="AA198" s="71">
        <f t="shared" si="9"/>
        <v>45874</v>
      </c>
      <c r="AB198" s="20">
        <f t="shared" si="10"/>
        <v>-9</v>
      </c>
      <c r="AC198" s="20" t="s">
        <v>50</v>
      </c>
      <c r="AD198" s="21" t="s">
        <v>51</v>
      </c>
      <c r="AE198" s="21"/>
      <c r="AF198" s="22" t="s">
        <v>52</v>
      </c>
      <c r="AG198" s="23" t="s">
        <v>53</v>
      </c>
      <c r="AH198" s="24"/>
      <c r="AN198" s="24"/>
    </row>
    <row r="199" spans="1:40" ht="12.75">
      <c r="A199" s="15">
        <v>3254506</v>
      </c>
      <c r="B199" s="15" t="s">
        <v>37</v>
      </c>
      <c r="C199" s="15" t="s">
        <v>38</v>
      </c>
      <c r="D199" s="15" t="s">
        <v>85</v>
      </c>
      <c r="E199" s="15" t="s">
        <v>86</v>
      </c>
      <c r="F199" s="15" t="s">
        <v>41</v>
      </c>
      <c r="G199" s="15" t="s">
        <v>87</v>
      </c>
      <c r="H199" s="15" t="s">
        <v>76</v>
      </c>
      <c r="I199" s="15" t="s">
        <v>77</v>
      </c>
      <c r="J199" s="15" t="s">
        <v>88</v>
      </c>
      <c r="K199" s="15" t="s">
        <v>60</v>
      </c>
      <c r="L199" s="16" t="s">
        <v>124</v>
      </c>
      <c r="M199" s="15" t="s">
        <v>48</v>
      </c>
      <c r="N199" s="17">
        <v>452869779430</v>
      </c>
      <c r="O199" s="15">
        <v>19927158</v>
      </c>
      <c r="P199" s="18" t="s">
        <v>135</v>
      </c>
      <c r="Q199" s="18">
        <v>1</v>
      </c>
      <c r="R199" s="18">
        <v>7.9000000000000001E-2</v>
      </c>
      <c r="S199" s="15">
        <v>11.51</v>
      </c>
      <c r="T199" s="16">
        <v>45824</v>
      </c>
      <c r="U199" s="19">
        <v>45883</v>
      </c>
      <c r="V199" s="16">
        <v>45824</v>
      </c>
      <c r="W199" s="16">
        <v>45826</v>
      </c>
      <c r="X199" s="57">
        <f t="shared" si="8"/>
        <v>45825</v>
      </c>
      <c r="Y199" s="63">
        <v>45832</v>
      </c>
      <c r="Z199" s="67">
        <v>45861</v>
      </c>
      <c r="AA199" s="71">
        <f t="shared" si="9"/>
        <v>45874</v>
      </c>
      <c r="AB199" s="20">
        <f t="shared" si="10"/>
        <v>-9</v>
      </c>
      <c r="AC199" s="20" t="s">
        <v>50</v>
      </c>
      <c r="AD199" s="21" t="s">
        <v>51</v>
      </c>
      <c r="AE199" s="21"/>
      <c r="AF199" s="22" t="s">
        <v>52</v>
      </c>
      <c r="AG199" s="23" t="s">
        <v>53</v>
      </c>
      <c r="AH199" s="24"/>
      <c r="AN199" s="24"/>
    </row>
    <row r="200" spans="1:40" ht="12.75">
      <c r="A200" s="15">
        <v>3254506</v>
      </c>
      <c r="B200" s="15" t="s">
        <v>37</v>
      </c>
      <c r="C200" s="15" t="s">
        <v>38</v>
      </c>
      <c r="D200" s="15" t="s">
        <v>85</v>
      </c>
      <c r="E200" s="15" t="s">
        <v>86</v>
      </c>
      <c r="F200" s="15" t="s">
        <v>41</v>
      </c>
      <c r="G200" s="15" t="s">
        <v>87</v>
      </c>
      <c r="H200" s="15" t="s">
        <v>76</v>
      </c>
      <c r="I200" s="15" t="s">
        <v>77</v>
      </c>
      <c r="J200" s="15" t="s">
        <v>88</v>
      </c>
      <c r="K200" s="15" t="s">
        <v>60</v>
      </c>
      <c r="L200" s="16" t="s">
        <v>124</v>
      </c>
      <c r="M200" s="15" t="s">
        <v>48</v>
      </c>
      <c r="N200" s="17">
        <v>452870408857</v>
      </c>
      <c r="O200" s="15">
        <v>19927159</v>
      </c>
      <c r="P200" s="18" t="s">
        <v>135</v>
      </c>
      <c r="Q200" s="18">
        <v>1</v>
      </c>
      <c r="R200" s="18">
        <v>7.9000000000000001E-2</v>
      </c>
      <c r="S200" s="15">
        <v>8.69</v>
      </c>
      <c r="T200" s="16">
        <v>45824</v>
      </c>
      <c r="U200" s="19">
        <v>45883</v>
      </c>
      <c r="V200" s="16">
        <v>45824</v>
      </c>
      <c r="W200" s="16">
        <v>45826</v>
      </c>
      <c r="X200" s="57">
        <f t="shared" si="8"/>
        <v>45825</v>
      </c>
      <c r="Y200" s="63">
        <v>45832</v>
      </c>
      <c r="Z200" s="67">
        <v>45861</v>
      </c>
      <c r="AA200" s="71">
        <f t="shared" si="9"/>
        <v>45874</v>
      </c>
      <c r="AB200" s="20">
        <f t="shared" si="10"/>
        <v>-9</v>
      </c>
      <c r="AC200" s="20" t="s">
        <v>50</v>
      </c>
      <c r="AD200" s="21" t="s">
        <v>51</v>
      </c>
      <c r="AE200" s="21"/>
      <c r="AF200" s="22" t="s">
        <v>52</v>
      </c>
      <c r="AG200" s="23" t="s">
        <v>53</v>
      </c>
      <c r="AH200" s="24"/>
      <c r="AN200" s="24"/>
    </row>
    <row r="201" spans="1:40" ht="12.75">
      <c r="A201" s="15">
        <v>3254506</v>
      </c>
      <c r="B201" s="15" t="s">
        <v>37</v>
      </c>
      <c r="C201" s="15" t="s">
        <v>38</v>
      </c>
      <c r="D201" s="15" t="s">
        <v>85</v>
      </c>
      <c r="E201" s="15" t="s">
        <v>86</v>
      </c>
      <c r="F201" s="15" t="s">
        <v>41</v>
      </c>
      <c r="G201" s="15" t="s">
        <v>87</v>
      </c>
      <c r="H201" s="15" t="s">
        <v>76</v>
      </c>
      <c r="I201" s="15" t="s">
        <v>77</v>
      </c>
      <c r="J201" s="15" t="s">
        <v>88</v>
      </c>
      <c r="K201" s="15" t="s">
        <v>60</v>
      </c>
      <c r="L201" s="16" t="s">
        <v>124</v>
      </c>
      <c r="M201" s="15" t="s">
        <v>48</v>
      </c>
      <c r="N201" s="17">
        <v>452871646110</v>
      </c>
      <c r="O201" s="15">
        <v>19935859</v>
      </c>
      <c r="P201" s="18" t="s">
        <v>136</v>
      </c>
      <c r="Q201" s="18">
        <v>1</v>
      </c>
      <c r="R201" s="18">
        <v>7.9000000000000001E-2</v>
      </c>
      <c r="S201" s="15">
        <v>10.210000000000001</v>
      </c>
      <c r="T201" s="16">
        <v>45824</v>
      </c>
      <c r="U201" s="19">
        <v>45883</v>
      </c>
      <c r="V201" s="16">
        <v>45824</v>
      </c>
      <c r="W201" s="16">
        <v>45826</v>
      </c>
      <c r="X201" s="57">
        <f t="shared" si="8"/>
        <v>45825</v>
      </c>
      <c r="Y201" s="63">
        <v>45832</v>
      </c>
      <c r="Z201" s="67">
        <v>45861</v>
      </c>
      <c r="AA201" s="71">
        <f t="shared" si="9"/>
        <v>45874</v>
      </c>
      <c r="AB201" s="20">
        <f t="shared" si="10"/>
        <v>-9</v>
      </c>
      <c r="AC201" s="20" t="s">
        <v>50</v>
      </c>
      <c r="AD201" s="21" t="s">
        <v>51</v>
      </c>
      <c r="AE201" s="21"/>
      <c r="AF201" s="22" t="s">
        <v>52</v>
      </c>
      <c r="AG201" s="23" t="s">
        <v>53</v>
      </c>
      <c r="AH201" s="24"/>
      <c r="AN201" s="24"/>
    </row>
    <row r="202" spans="1:40" ht="12.75">
      <c r="A202" s="15">
        <v>3254506</v>
      </c>
      <c r="B202" s="15" t="s">
        <v>37</v>
      </c>
      <c r="C202" s="15" t="s">
        <v>38</v>
      </c>
      <c r="D202" s="15" t="s">
        <v>85</v>
      </c>
      <c r="E202" s="15" t="s">
        <v>86</v>
      </c>
      <c r="F202" s="15" t="s">
        <v>41</v>
      </c>
      <c r="G202" s="15" t="s">
        <v>87</v>
      </c>
      <c r="H202" s="15" t="s">
        <v>76</v>
      </c>
      <c r="I202" s="15" t="s">
        <v>77</v>
      </c>
      <c r="J202" s="15" t="s">
        <v>88</v>
      </c>
      <c r="K202" s="15" t="s">
        <v>60</v>
      </c>
      <c r="L202" s="16" t="s">
        <v>124</v>
      </c>
      <c r="M202" s="15" t="s">
        <v>48</v>
      </c>
      <c r="N202" s="17">
        <v>452873627359</v>
      </c>
      <c r="O202" s="15">
        <v>19935996</v>
      </c>
      <c r="P202" s="18" t="s">
        <v>126</v>
      </c>
      <c r="Q202" s="18">
        <v>4</v>
      </c>
      <c r="R202" s="18">
        <v>0.317</v>
      </c>
      <c r="S202" s="15">
        <v>49.66</v>
      </c>
      <c r="T202" s="16">
        <v>45824</v>
      </c>
      <c r="U202" s="19">
        <v>45883</v>
      </c>
      <c r="V202" s="16">
        <v>45824</v>
      </c>
      <c r="W202" s="16">
        <v>45826</v>
      </c>
      <c r="X202" s="57">
        <f t="shared" si="8"/>
        <v>45825</v>
      </c>
      <c r="Y202" s="63">
        <v>45832</v>
      </c>
      <c r="Z202" s="67">
        <v>45861</v>
      </c>
      <c r="AA202" s="71">
        <f t="shared" si="9"/>
        <v>45874</v>
      </c>
      <c r="AB202" s="20">
        <f t="shared" si="10"/>
        <v>-9</v>
      </c>
      <c r="AC202" s="20" t="s">
        <v>50</v>
      </c>
      <c r="AD202" s="21" t="s">
        <v>51</v>
      </c>
      <c r="AE202" s="21"/>
      <c r="AF202" s="22" t="s">
        <v>52</v>
      </c>
      <c r="AG202" s="23" t="s">
        <v>53</v>
      </c>
      <c r="AH202" s="24"/>
      <c r="AN202" s="24"/>
    </row>
    <row r="203" spans="1:40" ht="12.75">
      <c r="A203" s="15">
        <v>3254506</v>
      </c>
      <c r="B203" s="15" t="s">
        <v>37</v>
      </c>
      <c r="C203" s="15" t="s">
        <v>38</v>
      </c>
      <c r="D203" s="15" t="s">
        <v>85</v>
      </c>
      <c r="E203" s="15" t="s">
        <v>86</v>
      </c>
      <c r="F203" s="15" t="s">
        <v>41</v>
      </c>
      <c r="G203" s="15" t="s">
        <v>87</v>
      </c>
      <c r="H203" s="15" t="s">
        <v>76</v>
      </c>
      <c r="I203" s="15" t="s">
        <v>77</v>
      </c>
      <c r="J203" s="15" t="s">
        <v>88</v>
      </c>
      <c r="K203" s="15" t="s">
        <v>60</v>
      </c>
      <c r="L203" s="16" t="s">
        <v>124</v>
      </c>
      <c r="M203" s="15" t="s">
        <v>48</v>
      </c>
      <c r="N203" s="17">
        <v>452874553770</v>
      </c>
      <c r="O203" s="15">
        <v>19936035</v>
      </c>
      <c r="P203" s="18" t="s">
        <v>128</v>
      </c>
      <c r="Q203" s="18">
        <v>4</v>
      </c>
      <c r="R203" s="18">
        <v>0.27800000000000002</v>
      </c>
      <c r="S203" s="15">
        <v>44.52</v>
      </c>
      <c r="T203" s="16">
        <v>45824</v>
      </c>
      <c r="U203" s="19">
        <v>45883</v>
      </c>
      <c r="V203" s="16">
        <v>45824</v>
      </c>
      <c r="W203" s="16">
        <v>45826</v>
      </c>
      <c r="X203" s="57">
        <f t="shared" si="8"/>
        <v>45825</v>
      </c>
      <c r="Y203" s="63">
        <v>45832</v>
      </c>
      <c r="Z203" s="67">
        <v>45861</v>
      </c>
      <c r="AA203" s="71">
        <f t="shared" si="9"/>
        <v>45874</v>
      </c>
      <c r="AB203" s="20">
        <f t="shared" si="10"/>
        <v>-9</v>
      </c>
      <c r="AC203" s="20" t="s">
        <v>50</v>
      </c>
      <c r="AD203" s="21" t="s">
        <v>51</v>
      </c>
      <c r="AE203" s="21"/>
      <c r="AF203" s="22" t="s">
        <v>52</v>
      </c>
      <c r="AG203" s="23" t="s">
        <v>53</v>
      </c>
      <c r="AH203" s="24"/>
      <c r="AN203" s="24"/>
    </row>
    <row r="204" spans="1:40" ht="12.75">
      <c r="A204" s="15">
        <v>3254506</v>
      </c>
      <c r="B204" s="15" t="s">
        <v>37</v>
      </c>
      <c r="C204" s="15" t="s">
        <v>38</v>
      </c>
      <c r="D204" s="15" t="s">
        <v>85</v>
      </c>
      <c r="E204" s="15" t="s">
        <v>86</v>
      </c>
      <c r="F204" s="15" t="s">
        <v>41</v>
      </c>
      <c r="G204" s="15" t="s">
        <v>87</v>
      </c>
      <c r="H204" s="15" t="s">
        <v>76</v>
      </c>
      <c r="I204" s="15" t="s">
        <v>77</v>
      </c>
      <c r="J204" s="15" t="s">
        <v>88</v>
      </c>
      <c r="K204" s="15" t="s">
        <v>60</v>
      </c>
      <c r="L204" s="16" t="s">
        <v>124</v>
      </c>
      <c r="M204" s="15" t="s">
        <v>48</v>
      </c>
      <c r="N204" s="17">
        <v>452874603824</v>
      </c>
      <c r="O204" s="15">
        <v>19935997</v>
      </c>
      <c r="P204" s="18" t="s">
        <v>126</v>
      </c>
      <c r="Q204" s="18">
        <v>3</v>
      </c>
      <c r="R204" s="18">
        <v>0.23799999999999999</v>
      </c>
      <c r="S204" s="15">
        <v>28.31</v>
      </c>
      <c r="T204" s="16">
        <v>45824</v>
      </c>
      <c r="U204" s="19">
        <v>45883</v>
      </c>
      <c r="V204" s="16">
        <v>45824</v>
      </c>
      <c r="W204" s="16">
        <v>45826</v>
      </c>
      <c r="X204" s="57">
        <f t="shared" si="8"/>
        <v>45825</v>
      </c>
      <c r="Y204" s="63">
        <v>45832</v>
      </c>
      <c r="Z204" s="67">
        <v>45861</v>
      </c>
      <c r="AA204" s="71">
        <f t="shared" si="9"/>
        <v>45874</v>
      </c>
      <c r="AB204" s="20">
        <f t="shared" si="10"/>
        <v>-9</v>
      </c>
      <c r="AC204" s="20" t="s">
        <v>50</v>
      </c>
      <c r="AD204" s="21" t="s">
        <v>51</v>
      </c>
      <c r="AE204" s="21"/>
      <c r="AF204" s="22" t="s">
        <v>52</v>
      </c>
      <c r="AG204" s="23" t="s">
        <v>53</v>
      </c>
      <c r="AH204" s="24"/>
      <c r="AN204" s="24"/>
    </row>
    <row r="205" spans="1:40" ht="12.75">
      <c r="A205" s="15">
        <v>3254506</v>
      </c>
      <c r="B205" s="15" t="s">
        <v>37</v>
      </c>
      <c r="C205" s="15" t="s">
        <v>38</v>
      </c>
      <c r="D205" s="15" t="s">
        <v>85</v>
      </c>
      <c r="E205" s="15" t="s">
        <v>86</v>
      </c>
      <c r="F205" s="15" t="s">
        <v>41</v>
      </c>
      <c r="G205" s="15" t="s">
        <v>87</v>
      </c>
      <c r="H205" s="15" t="s">
        <v>76</v>
      </c>
      <c r="I205" s="15" t="s">
        <v>77</v>
      </c>
      <c r="J205" s="15" t="s">
        <v>88</v>
      </c>
      <c r="K205" s="15" t="s">
        <v>60</v>
      </c>
      <c r="L205" s="16" t="s">
        <v>124</v>
      </c>
      <c r="M205" s="15" t="s">
        <v>48</v>
      </c>
      <c r="N205" s="17">
        <v>452879674993</v>
      </c>
      <c r="O205" s="15">
        <v>19936140</v>
      </c>
      <c r="P205" s="18" t="s">
        <v>130</v>
      </c>
      <c r="Q205" s="18">
        <v>1</v>
      </c>
      <c r="R205" s="18">
        <v>7.9000000000000001E-2</v>
      </c>
      <c r="S205" s="15">
        <v>12.16</v>
      </c>
      <c r="T205" s="16">
        <v>45824</v>
      </c>
      <c r="U205" s="19">
        <v>45883</v>
      </c>
      <c r="V205" s="16">
        <v>45824</v>
      </c>
      <c r="W205" s="16">
        <v>45826</v>
      </c>
      <c r="X205" s="57">
        <f t="shared" si="8"/>
        <v>45825</v>
      </c>
      <c r="Y205" s="63">
        <v>45832</v>
      </c>
      <c r="Z205" s="67">
        <v>45861</v>
      </c>
      <c r="AA205" s="71">
        <f t="shared" si="9"/>
        <v>45874</v>
      </c>
      <c r="AB205" s="20">
        <f t="shared" si="10"/>
        <v>-9</v>
      </c>
      <c r="AC205" s="20" t="s">
        <v>50</v>
      </c>
      <c r="AD205" s="21" t="s">
        <v>51</v>
      </c>
      <c r="AE205" s="21"/>
      <c r="AF205" s="22" t="s">
        <v>52</v>
      </c>
      <c r="AG205" s="23" t="s">
        <v>53</v>
      </c>
      <c r="AH205" s="24"/>
      <c r="AN205" s="24"/>
    </row>
    <row r="206" spans="1:40" ht="12.75">
      <c r="A206" s="15">
        <v>3254506</v>
      </c>
      <c r="B206" s="15" t="s">
        <v>37</v>
      </c>
      <c r="C206" s="15" t="s">
        <v>38</v>
      </c>
      <c r="D206" s="15" t="s">
        <v>85</v>
      </c>
      <c r="E206" s="15" t="s">
        <v>86</v>
      </c>
      <c r="F206" s="15" t="s">
        <v>41</v>
      </c>
      <c r="G206" s="15" t="s">
        <v>87</v>
      </c>
      <c r="H206" s="15" t="s">
        <v>76</v>
      </c>
      <c r="I206" s="15" t="s">
        <v>77</v>
      </c>
      <c r="J206" s="15" t="s">
        <v>88</v>
      </c>
      <c r="K206" s="15" t="s">
        <v>60</v>
      </c>
      <c r="L206" s="16" t="s">
        <v>124</v>
      </c>
      <c r="M206" s="15" t="s">
        <v>48</v>
      </c>
      <c r="N206" s="17">
        <v>452880378218</v>
      </c>
      <c r="O206" s="15">
        <v>19936141</v>
      </c>
      <c r="P206" s="18" t="s">
        <v>130</v>
      </c>
      <c r="Q206" s="18">
        <v>1</v>
      </c>
      <c r="R206" s="18">
        <v>7.9000000000000001E-2</v>
      </c>
      <c r="S206" s="15">
        <v>9.7799999999999994</v>
      </c>
      <c r="T206" s="16">
        <v>45824</v>
      </c>
      <c r="U206" s="19">
        <v>45883</v>
      </c>
      <c r="V206" s="16">
        <v>45824</v>
      </c>
      <c r="W206" s="16">
        <v>45826</v>
      </c>
      <c r="X206" s="57">
        <f t="shared" si="8"/>
        <v>45825</v>
      </c>
      <c r="Y206" s="63">
        <v>45832</v>
      </c>
      <c r="Z206" s="67">
        <v>45861</v>
      </c>
      <c r="AA206" s="71">
        <f t="shared" si="9"/>
        <v>45874</v>
      </c>
      <c r="AB206" s="20">
        <f t="shared" si="10"/>
        <v>-9</v>
      </c>
      <c r="AC206" s="20" t="s">
        <v>50</v>
      </c>
      <c r="AD206" s="21" t="s">
        <v>51</v>
      </c>
      <c r="AE206" s="21"/>
      <c r="AF206" s="22" t="s">
        <v>52</v>
      </c>
      <c r="AG206" s="23" t="s">
        <v>53</v>
      </c>
      <c r="AH206" s="24"/>
      <c r="AN206" s="24"/>
    </row>
    <row r="207" spans="1:40" ht="12.75">
      <c r="A207" s="15">
        <v>3254506</v>
      </c>
      <c r="B207" s="15" t="s">
        <v>37</v>
      </c>
      <c r="C207" s="15" t="s">
        <v>38</v>
      </c>
      <c r="D207" s="15" t="s">
        <v>85</v>
      </c>
      <c r="E207" s="15" t="s">
        <v>86</v>
      </c>
      <c r="F207" s="15" t="s">
        <v>41</v>
      </c>
      <c r="G207" s="15" t="s">
        <v>87</v>
      </c>
      <c r="H207" s="15" t="s">
        <v>76</v>
      </c>
      <c r="I207" s="15" t="s">
        <v>77</v>
      </c>
      <c r="J207" s="15" t="s">
        <v>88</v>
      </c>
      <c r="K207" s="15" t="s">
        <v>60</v>
      </c>
      <c r="L207" s="16" t="s">
        <v>124</v>
      </c>
      <c r="M207" s="15" t="s">
        <v>48</v>
      </c>
      <c r="N207" s="17">
        <v>452880990382</v>
      </c>
      <c r="O207" s="15">
        <v>19938303</v>
      </c>
      <c r="P207" s="18" t="s">
        <v>125</v>
      </c>
      <c r="Q207" s="18">
        <v>9</v>
      </c>
      <c r="R207" s="18">
        <v>0.63400000000000001</v>
      </c>
      <c r="S207" s="15">
        <v>111.25</v>
      </c>
      <c r="T207" s="16">
        <v>45824</v>
      </c>
      <c r="U207" s="19">
        <v>45883</v>
      </c>
      <c r="V207" s="16">
        <v>45824</v>
      </c>
      <c r="W207" s="16">
        <v>45826</v>
      </c>
      <c r="X207" s="57">
        <f t="shared" si="8"/>
        <v>45825</v>
      </c>
      <c r="Y207" s="63">
        <v>45832</v>
      </c>
      <c r="Z207" s="67">
        <v>45861</v>
      </c>
      <c r="AA207" s="71">
        <f t="shared" si="9"/>
        <v>45874</v>
      </c>
      <c r="AB207" s="20">
        <f t="shared" si="10"/>
        <v>-9</v>
      </c>
      <c r="AC207" s="20" t="s">
        <v>50</v>
      </c>
      <c r="AD207" s="21" t="s">
        <v>51</v>
      </c>
      <c r="AE207" s="21"/>
      <c r="AF207" s="22" t="s">
        <v>52</v>
      </c>
      <c r="AG207" s="23" t="s">
        <v>53</v>
      </c>
      <c r="AH207" s="24"/>
      <c r="AN207" s="24"/>
    </row>
    <row r="208" spans="1:40" ht="12.75">
      <c r="A208" s="15">
        <v>3254506</v>
      </c>
      <c r="B208" s="15" t="s">
        <v>37</v>
      </c>
      <c r="C208" s="15" t="s">
        <v>38</v>
      </c>
      <c r="D208" s="15" t="s">
        <v>85</v>
      </c>
      <c r="E208" s="15" t="s">
        <v>86</v>
      </c>
      <c r="F208" s="15" t="s">
        <v>41</v>
      </c>
      <c r="G208" s="15" t="s">
        <v>87</v>
      </c>
      <c r="H208" s="15" t="s">
        <v>76</v>
      </c>
      <c r="I208" s="15" t="s">
        <v>77</v>
      </c>
      <c r="J208" s="15" t="s">
        <v>88</v>
      </c>
      <c r="K208" s="15" t="s">
        <v>60</v>
      </c>
      <c r="L208" s="16" t="s">
        <v>124</v>
      </c>
      <c r="M208" s="15" t="s">
        <v>48</v>
      </c>
      <c r="N208" s="17">
        <v>452883062691</v>
      </c>
      <c r="O208" s="15">
        <v>19940639</v>
      </c>
      <c r="P208" s="18" t="s">
        <v>136</v>
      </c>
      <c r="Q208" s="18">
        <v>1</v>
      </c>
      <c r="R208" s="18">
        <v>7.9000000000000001E-2</v>
      </c>
      <c r="S208" s="15">
        <v>13.29</v>
      </c>
      <c r="T208" s="16">
        <v>45824</v>
      </c>
      <c r="U208" s="19">
        <v>45883</v>
      </c>
      <c r="V208" s="16">
        <v>45824</v>
      </c>
      <c r="W208" s="16">
        <v>45826</v>
      </c>
      <c r="X208" s="57">
        <f t="shared" si="8"/>
        <v>45825</v>
      </c>
      <c r="Y208" s="63">
        <v>45832</v>
      </c>
      <c r="Z208" s="67">
        <v>45861</v>
      </c>
      <c r="AA208" s="71">
        <f t="shared" si="9"/>
        <v>45874</v>
      </c>
      <c r="AB208" s="20">
        <f t="shared" si="10"/>
        <v>-9</v>
      </c>
      <c r="AC208" s="20" t="s">
        <v>50</v>
      </c>
      <c r="AD208" s="21" t="s">
        <v>51</v>
      </c>
      <c r="AE208" s="21"/>
      <c r="AF208" s="22" t="s">
        <v>52</v>
      </c>
      <c r="AG208" s="23" t="s">
        <v>53</v>
      </c>
      <c r="AH208" s="24"/>
      <c r="AN208" s="24"/>
    </row>
    <row r="209" spans="1:40" ht="12.75">
      <c r="A209" s="15">
        <v>3254506</v>
      </c>
      <c r="B209" s="15" t="s">
        <v>37</v>
      </c>
      <c r="C209" s="15" t="s">
        <v>38</v>
      </c>
      <c r="D209" s="15" t="s">
        <v>85</v>
      </c>
      <c r="E209" s="15" t="s">
        <v>86</v>
      </c>
      <c r="F209" s="15" t="s">
        <v>41</v>
      </c>
      <c r="G209" s="15" t="s">
        <v>87</v>
      </c>
      <c r="H209" s="15" t="s">
        <v>76</v>
      </c>
      <c r="I209" s="15" t="s">
        <v>77</v>
      </c>
      <c r="J209" s="15" t="s">
        <v>88</v>
      </c>
      <c r="K209" s="15" t="s">
        <v>60</v>
      </c>
      <c r="L209" s="16" t="s">
        <v>124</v>
      </c>
      <c r="M209" s="15" t="s">
        <v>48</v>
      </c>
      <c r="N209" s="17">
        <v>452883659582</v>
      </c>
      <c r="O209" s="15">
        <v>19940638</v>
      </c>
      <c r="P209" s="18" t="s">
        <v>136</v>
      </c>
      <c r="Q209" s="18">
        <v>2</v>
      </c>
      <c r="R209" s="18">
        <v>0.11899999999999999</v>
      </c>
      <c r="S209" s="15">
        <v>17.835000000000001</v>
      </c>
      <c r="T209" s="16">
        <v>45824</v>
      </c>
      <c r="U209" s="19">
        <v>45883</v>
      </c>
      <c r="V209" s="16">
        <v>45824</v>
      </c>
      <c r="W209" s="16">
        <v>45826</v>
      </c>
      <c r="X209" s="57">
        <f t="shared" si="8"/>
        <v>45825</v>
      </c>
      <c r="Y209" s="63">
        <v>45832</v>
      </c>
      <c r="Z209" s="67">
        <v>45861</v>
      </c>
      <c r="AA209" s="71">
        <f t="shared" si="9"/>
        <v>45874</v>
      </c>
      <c r="AB209" s="20">
        <f t="shared" si="10"/>
        <v>-9</v>
      </c>
      <c r="AC209" s="20" t="s">
        <v>50</v>
      </c>
      <c r="AD209" s="21" t="s">
        <v>51</v>
      </c>
      <c r="AE209" s="21"/>
      <c r="AF209" s="22" t="s">
        <v>52</v>
      </c>
      <c r="AG209" s="23" t="s">
        <v>53</v>
      </c>
      <c r="AH209" s="24"/>
      <c r="AN209" s="24"/>
    </row>
    <row r="210" spans="1:40" ht="12.75">
      <c r="A210" s="15">
        <v>3254506</v>
      </c>
      <c r="B210" s="15" t="s">
        <v>37</v>
      </c>
      <c r="C210" s="15" t="s">
        <v>38</v>
      </c>
      <c r="D210" s="15" t="s">
        <v>85</v>
      </c>
      <c r="E210" s="15" t="s">
        <v>86</v>
      </c>
      <c r="F210" s="15" t="s">
        <v>41</v>
      </c>
      <c r="G210" s="15" t="s">
        <v>87</v>
      </c>
      <c r="H210" s="15" t="s">
        <v>76</v>
      </c>
      <c r="I210" s="15" t="s">
        <v>77</v>
      </c>
      <c r="J210" s="15" t="s">
        <v>88</v>
      </c>
      <c r="K210" s="15" t="s">
        <v>60</v>
      </c>
      <c r="L210" s="16" t="s">
        <v>124</v>
      </c>
      <c r="M210" s="15" t="s">
        <v>48</v>
      </c>
      <c r="N210" s="17">
        <v>452884014566</v>
      </c>
      <c r="O210" s="15">
        <v>19940694</v>
      </c>
      <c r="P210" s="18" t="s">
        <v>131</v>
      </c>
      <c r="Q210" s="18">
        <v>5</v>
      </c>
      <c r="R210" s="18">
        <v>0.35699999999999998</v>
      </c>
      <c r="S210" s="15">
        <v>59.09</v>
      </c>
      <c r="T210" s="16">
        <v>45824</v>
      </c>
      <c r="U210" s="19">
        <v>45883</v>
      </c>
      <c r="V210" s="16">
        <v>45824</v>
      </c>
      <c r="W210" s="16">
        <v>45826</v>
      </c>
      <c r="X210" s="57">
        <f t="shared" si="8"/>
        <v>45825</v>
      </c>
      <c r="Y210" s="63">
        <v>45832</v>
      </c>
      <c r="Z210" s="67">
        <v>45861</v>
      </c>
      <c r="AA210" s="71">
        <f t="shared" si="9"/>
        <v>45874</v>
      </c>
      <c r="AB210" s="20">
        <f t="shared" si="10"/>
        <v>-9</v>
      </c>
      <c r="AC210" s="20" t="s">
        <v>50</v>
      </c>
      <c r="AD210" s="21" t="s">
        <v>51</v>
      </c>
      <c r="AE210" s="21"/>
      <c r="AF210" s="22" t="s">
        <v>52</v>
      </c>
      <c r="AG210" s="23" t="s">
        <v>53</v>
      </c>
      <c r="AH210" s="24"/>
      <c r="AN210" s="24"/>
    </row>
    <row r="211" spans="1:40" ht="12.75">
      <c r="A211" s="15">
        <v>3254506</v>
      </c>
      <c r="B211" s="15" t="s">
        <v>37</v>
      </c>
      <c r="C211" s="15" t="s">
        <v>38</v>
      </c>
      <c r="D211" s="15" t="s">
        <v>85</v>
      </c>
      <c r="E211" s="15" t="s">
        <v>86</v>
      </c>
      <c r="F211" s="15" t="s">
        <v>41</v>
      </c>
      <c r="G211" s="15" t="s">
        <v>87</v>
      </c>
      <c r="H211" s="15" t="s">
        <v>76</v>
      </c>
      <c r="I211" s="15" t="s">
        <v>77</v>
      </c>
      <c r="J211" s="15" t="s">
        <v>88</v>
      </c>
      <c r="K211" s="15" t="s">
        <v>60</v>
      </c>
      <c r="L211" s="16" t="s">
        <v>124</v>
      </c>
      <c r="M211" s="15" t="s">
        <v>48</v>
      </c>
      <c r="N211" s="17">
        <v>452885455014</v>
      </c>
      <c r="O211" s="15">
        <v>19940754</v>
      </c>
      <c r="P211" s="18" t="s">
        <v>130</v>
      </c>
      <c r="Q211" s="18">
        <v>1</v>
      </c>
      <c r="R211" s="18">
        <v>7.9000000000000001E-2</v>
      </c>
      <c r="S211" s="15">
        <v>11.917</v>
      </c>
      <c r="T211" s="16">
        <v>45824</v>
      </c>
      <c r="U211" s="19">
        <v>45883</v>
      </c>
      <c r="V211" s="16">
        <v>45824</v>
      </c>
      <c r="W211" s="16">
        <v>45826</v>
      </c>
      <c r="X211" s="57">
        <f t="shared" si="8"/>
        <v>45825</v>
      </c>
      <c r="Y211" s="63">
        <v>45832</v>
      </c>
      <c r="Z211" s="67">
        <v>45861</v>
      </c>
      <c r="AA211" s="71">
        <f t="shared" si="9"/>
        <v>45874</v>
      </c>
      <c r="AB211" s="20">
        <f t="shared" si="10"/>
        <v>-9</v>
      </c>
      <c r="AC211" s="20" t="s">
        <v>50</v>
      </c>
      <c r="AD211" s="21" t="s">
        <v>51</v>
      </c>
      <c r="AE211" s="21"/>
      <c r="AF211" s="22" t="s">
        <v>52</v>
      </c>
      <c r="AG211" s="23" t="s">
        <v>53</v>
      </c>
      <c r="AH211" s="24"/>
      <c r="AN211" s="24"/>
    </row>
    <row r="212" spans="1:40" ht="12.75">
      <c r="A212" s="15">
        <v>3254506</v>
      </c>
      <c r="B212" s="15" t="s">
        <v>37</v>
      </c>
      <c r="C212" s="15" t="s">
        <v>38</v>
      </c>
      <c r="D212" s="15" t="s">
        <v>85</v>
      </c>
      <c r="E212" s="15" t="s">
        <v>86</v>
      </c>
      <c r="F212" s="15" t="s">
        <v>41</v>
      </c>
      <c r="G212" s="15" t="s">
        <v>87</v>
      </c>
      <c r="H212" s="15" t="s">
        <v>76</v>
      </c>
      <c r="I212" s="15" t="s">
        <v>77</v>
      </c>
      <c r="J212" s="15" t="s">
        <v>88</v>
      </c>
      <c r="K212" s="15" t="s">
        <v>60</v>
      </c>
      <c r="L212" s="16" t="s">
        <v>124</v>
      </c>
      <c r="M212" s="15" t="s">
        <v>48</v>
      </c>
      <c r="N212" s="17">
        <v>452886840225</v>
      </c>
      <c r="O212" s="15">
        <v>19940778</v>
      </c>
      <c r="P212" s="18" t="s">
        <v>135</v>
      </c>
      <c r="Q212" s="18">
        <v>1</v>
      </c>
      <c r="R212" s="18">
        <v>7.9000000000000001E-2</v>
      </c>
      <c r="S212" s="15">
        <v>10.53</v>
      </c>
      <c r="T212" s="16">
        <v>45824</v>
      </c>
      <c r="U212" s="19">
        <v>45883</v>
      </c>
      <c r="V212" s="16">
        <v>45824</v>
      </c>
      <c r="W212" s="16">
        <v>45826</v>
      </c>
      <c r="X212" s="57">
        <f t="shared" si="8"/>
        <v>45825</v>
      </c>
      <c r="Y212" s="63">
        <v>45832</v>
      </c>
      <c r="Z212" s="67">
        <v>45861</v>
      </c>
      <c r="AA212" s="71">
        <f t="shared" si="9"/>
        <v>45874</v>
      </c>
      <c r="AB212" s="20">
        <f t="shared" si="10"/>
        <v>-9</v>
      </c>
      <c r="AC212" s="20" t="s">
        <v>50</v>
      </c>
      <c r="AD212" s="21" t="s">
        <v>51</v>
      </c>
      <c r="AE212" s="21"/>
      <c r="AF212" s="22" t="s">
        <v>52</v>
      </c>
      <c r="AG212" s="23" t="s">
        <v>53</v>
      </c>
      <c r="AH212" s="24"/>
      <c r="AN212" s="24"/>
    </row>
    <row r="213" spans="1:40" ht="12.75">
      <c r="A213" s="15">
        <v>3254506</v>
      </c>
      <c r="B213" s="15" t="s">
        <v>37</v>
      </c>
      <c r="C213" s="15" t="s">
        <v>38</v>
      </c>
      <c r="D213" s="15" t="s">
        <v>85</v>
      </c>
      <c r="E213" s="15" t="s">
        <v>86</v>
      </c>
      <c r="F213" s="15" t="s">
        <v>41</v>
      </c>
      <c r="G213" s="15" t="s">
        <v>87</v>
      </c>
      <c r="H213" s="15" t="s">
        <v>76</v>
      </c>
      <c r="I213" s="15" t="s">
        <v>77</v>
      </c>
      <c r="J213" s="15" t="s">
        <v>88</v>
      </c>
      <c r="K213" s="15" t="s">
        <v>60</v>
      </c>
      <c r="L213" s="16" t="s">
        <v>124</v>
      </c>
      <c r="M213" s="15" t="s">
        <v>48</v>
      </c>
      <c r="N213" s="17">
        <v>452887033412</v>
      </c>
      <c r="O213" s="15">
        <v>19940655</v>
      </c>
      <c r="P213" s="18" t="s">
        <v>134</v>
      </c>
      <c r="Q213" s="18">
        <v>3</v>
      </c>
      <c r="R213" s="18">
        <v>0.23799999999999999</v>
      </c>
      <c r="S213" s="15">
        <v>33.409999999999997</v>
      </c>
      <c r="T213" s="16">
        <v>45824</v>
      </c>
      <c r="U213" s="19">
        <v>45883</v>
      </c>
      <c r="V213" s="16">
        <v>45824</v>
      </c>
      <c r="W213" s="16">
        <v>45826</v>
      </c>
      <c r="X213" s="57">
        <f t="shared" si="8"/>
        <v>45825</v>
      </c>
      <c r="Y213" s="63">
        <v>45832</v>
      </c>
      <c r="Z213" s="67">
        <v>45861</v>
      </c>
      <c r="AA213" s="71">
        <f t="shared" si="9"/>
        <v>45874</v>
      </c>
      <c r="AB213" s="20">
        <f t="shared" si="10"/>
        <v>-9</v>
      </c>
      <c r="AC213" s="20" t="s">
        <v>50</v>
      </c>
      <c r="AD213" s="21" t="s">
        <v>51</v>
      </c>
      <c r="AE213" s="21"/>
      <c r="AF213" s="22" t="s">
        <v>52</v>
      </c>
      <c r="AG213" s="23" t="s">
        <v>53</v>
      </c>
      <c r="AH213" s="24"/>
      <c r="AN213" s="24"/>
    </row>
    <row r="214" spans="1:40" ht="12.75">
      <c r="A214" s="15">
        <v>3254506</v>
      </c>
      <c r="B214" s="15" t="s">
        <v>37</v>
      </c>
      <c r="C214" s="15" t="s">
        <v>38</v>
      </c>
      <c r="D214" s="15" t="s">
        <v>85</v>
      </c>
      <c r="E214" s="15" t="s">
        <v>86</v>
      </c>
      <c r="F214" s="15" t="s">
        <v>41</v>
      </c>
      <c r="G214" s="15" t="s">
        <v>87</v>
      </c>
      <c r="H214" s="15" t="s">
        <v>76</v>
      </c>
      <c r="I214" s="15" t="s">
        <v>77</v>
      </c>
      <c r="J214" s="15" t="s">
        <v>88</v>
      </c>
      <c r="K214" s="15" t="s">
        <v>60</v>
      </c>
      <c r="L214" s="16" t="s">
        <v>124</v>
      </c>
      <c r="M214" s="15" t="s">
        <v>48</v>
      </c>
      <c r="N214" s="17">
        <v>452887538870</v>
      </c>
      <c r="O214" s="15">
        <v>19940706</v>
      </c>
      <c r="P214" s="18" t="s">
        <v>132</v>
      </c>
      <c r="Q214" s="18">
        <v>10</v>
      </c>
      <c r="R214" s="18">
        <v>0.79300000000000004</v>
      </c>
      <c r="S214" s="15">
        <v>121.12</v>
      </c>
      <c r="T214" s="16">
        <v>45824</v>
      </c>
      <c r="U214" s="19">
        <v>45883</v>
      </c>
      <c r="V214" s="16">
        <v>45824</v>
      </c>
      <c r="W214" s="16">
        <v>45826</v>
      </c>
      <c r="X214" s="57">
        <f t="shared" si="8"/>
        <v>45825</v>
      </c>
      <c r="Y214" s="63">
        <v>45832</v>
      </c>
      <c r="Z214" s="67">
        <v>45861</v>
      </c>
      <c r="AA214" s="71">
        <f t="shared" si="9"/>
        <v>45874</v>
      </c>
      <c r="AB214" s="20">
        <f t="shared" si="10"/>
        <v>-9</v>
      </c>
      <c r="AC214" s="20" t="s">
        <v>50</v>
      </c>
      <c r="AD214" s="21" t="s">
        <v>51</v>
      </c>
      <c r="AE214" s="21"/>
      <c r="AF214" s="22" t="s">
        <v>52</v>
      </c>
      <c r="AG214" s="23" t="s">
        <v>53</v>
      </c>
      <c r="AH214" s="24"/>
      <c r="AN214" s="24"/>
    </row>
    <row r="215" spans="1:40" ht="12.75">
      <c r="A215" s="15">
        <v>3254506</v>
      </c>
      <c r="B215" s="15" t="s">
        <v>37</v>
      </c>
      <c r="C215" s="15" t="s">
        <v>38</v>
      </c>
      <c r="D215" s="15" t="s">
        <v>85</v>
      </c>
      <c r="E215" s="15" t="s">
        <v>86</v>
      </c>
      <c r="F215" s="15" t="s">
        <v>41</v>
      </c>
      <c r="G215" s="15" t="s">
        <v>87</v>
      </c>
      <c r="H215" s="15" t="s">
        <v>76</v>
      </c>
      <c r="I215" s="15" t="s">
        <v>77</v>
      </c>
      <c r="J215" s="15" t="s">
        <v>88</v>
      </c>
      <c r="K215" s="15" t="s">
        <v>60</v>
      </c>
      <c r="L215" s="16" t="s">
        <v>124</v>
      </c>
      <c r="M215" s="15" t="s">
        <v>48</v>
      </c>
      <c r="N215" s="17">
        <v>452888470781</v>
      </c>
      <c r="O215" s="15">
        <v>19940734</v>
      </c>
      <c r="P215" s="18" t="s">
        <v>130</v>
      </c>
      <c r="Q215" s="18">
        <v>1</v>
      </c>
      <c r="R215" s="18">
        <v>7.9000000000000001E-2</v>
      </c>
      <c r="S215" s="15">
        <v>10.14</v>
      </c>
      <c r="T215" s="16">
        <v>45824</v>
      </c>
      <c r="U215" s="19">
        <v>45883</v>
      </c>
      <c r="V215" s="16">
        <v>45824</v>
      </c>
      <c r="W215" s="16">
        <v>45826</v>
      </c>
      <c r="X215" s="57">
        <f t="shared" si="8"/>
        <v>45825</v>
      </c>
      <c r="Y215" s="63">
        <v>45832</v>
      </c>
      <c r="Z215" s="67">
        <v>45861</v>
      </c>
      <c r="AA215" s="71">
        <f t="shared" si="9"/>
        <v>45874</v>
      </c>
      <c r="AB215" s="20">
        <f t="shared" si="10"/>
        <v>-9</v>
      </c>
      <c r="AC215" s="20" t="s">
        <v>50</v>
      </c>
      <c r="AD215" s="21" t="s">
        <v>51</v>
      </c>
      <c r="AE215" s="21"/>
      <c r="AF215" s="22" t="s">
        <v>52</v>
      </c>
      <c r="AG215" s="23" t="s">
        <v>53</v>
      </c>
      <c r="AH215" s="24"/>
      <c r="AN215" s="24"/>
    </row>
    <row r="216" spans="1:40" ht="12.75">
      <c r="A216" s="15">
        <v>3254506</v>
      </c>
      <c r="B216" s="15" t="s">
        <v>37</v>
      </c>
      <c r="C216" s="15" t="s">
        <v>38</v>
      </c>
      <c r="D216" s="15" t="s">
        <v>85</v>
      </c>
      <c r="E216" s="15" t="s">
        <v>86</v>
      </c>
      <c r="F216" s="15" t="s">
        <v>41</v>
      </c>
      <c r="G216" s="15" t="s">
        <v>87</v>
      </c>
      <c r="H216" s="15" t="s">
        <v>76</v>
      </c>
      <c r="I216" s="15" t="s">
        <v>77</v>
      </c>
      <c r="J216" s="15" t="s">
        <v>88</v>
      </c>
      <c r="K216" s="15" t="s">
        <v>60</v>
      </c>
      <c r="L216" s="16" t="s">
        <v>124</v>
      </c>
      <c r="M216" s="15" t="s">
        <v>48</v>
      </c>
      <c r="N216" s="17">
        <v>452890794023</v>
      </c>
      <c r="O216" s="15">
        <v>19940777</v>
      </c>
      <c r="P216" s="18" t="s">
        <v>135</v>
      </c>
      <c r="Q216" s="18">
        <v>1</v>
      </c>
      <c r="R216" s="18">
        <v>7.9000000000000001E-2</v>
      </c>
      <c r="S216" s="15">
        <v>12.99</v>
      </c>
      <c r="T216" s="16">
        <v>45824</v>
      </c>
      <c r="U216" s="19">
        <v>45883</v>
      </c>
      <c r="V216" s="16">
        <v>45824</v>
      </c>
      <c r="W216" s="16">
        <v>45826</v>
      </c>
      <c r="X216" s="57">
        <f t="shared" si="8"/>
        <v>45825</v>
      </c>
      <c r="Y216" s="63">
        <v>45832</v>
      </c>
      <c r="Z216" s="67">
        <v>45861</v>
      </c>
      <c r="AA216" s="71">
        <f t="shared" si="9"/>
        <v>45874</v>
      </c>
      <c r="AB216" s="20">
        <f t="shared" si="10"/>
        <v>-9</v>
      </c>
      <c r="AC216" s="20" t="s">
        <v>50</v>
      </c>
      <c r="AD216" s="21" t="s">
        <v>51</v>
      </c>
      <c r="AE216" s="21"/>
      <c r="AF216" s="22" t="s">
        <v>52</v>
      </c>
      <c r="AG216" s="23" t="s">
        <v>53</v>
      </c>
      <c r="AH216" s="24"/>
      <c r="AN216" s="24"/>
    </row>
    <row r="217" spans="1:40" ht="12.75">
      <c r="A217" s="15">
        <v>3254506</v>
      </c>
      <c r="B217" s="15" t="s">
        <v>37</v>
      </c>
      <c r="C217" s="15" t="s">
        <v>38</v>
      </c>
      <c r="D217" s="15" t="s">
        <v>85</v>
      </c>
      <c r="E217" s="15" t="s">
        <v>86</v>
      </c>
      <c r="F217" s="15" t="s">
        <v>41</v>
      </c>
      <c r="G217" s="15" t="s">
        <v>87</v>
      </c>
      <c r="H217" s="15" t="s">
        <v>76</v>
      </c>
      <c r="I217" s="15" t="s">
        <v>77</v>
      </c>
      <c r="J217" s="15" t="s">
        <v>88</v>
      </c>
      <c r="K217" s="15" t="s">
        <v>60</v>
      </c>
      <c r="L217" s="16" t="s">
        <v>65</v>
      </c>
      <c r="M217" s="15" t="s">
        <v>48</v>
      </c>
      <c r="N217" s="17">
        <v>452892261132</v>
      </c>
      <c r="O217" s="15">
        <v>19890779</v>
      </c>
      <c r="P217" s="18" t="s">
        <v>70</v>
      </c>
      <c r="Q217" s="18">
        <v>1</v>
      </c>
      <c r="R217" s="18">
        <v>7.9000000000000001E-2</v>
      </c>
      <c r="S217" s="15">
        <v>12.695</v>
      </c>
      <c r="T217" s="16">
        <v>45824</v>
      </c>
      <c r="U217" s="19">
        <v>45883</v>
      </c>
      <c r="V217" s="16">
        <v>45824</v>
      </c>
      <c r="W217" s="16">
        <v>45826</v>
      </c>
      <c r="X217" s="57">
        <f t="shared" si="8"/>
        <v>45825</v>
      </c>
      <c r="Y217" s="63">
        <v>45832</v>
      </c>
      <c r="Z217" s="67">
        <v>45861</v>
      </c>
      <c r="AA217" s="71">
        <f t="shared" si="9"/>
        <v>45874</v>
      </c>
      <c r="AB217" s="20">
        <f t="shared" si="10"/>
        <v>-9</v>
      </c>
      <c r="AC217" s="20" t="s">
        <v>50</v>
      </c>
      <c r="AD217" s="21" t="s">
        <v>51</v>
      </c>
      <c r="AE217" s="21"/>
      <c r="AF217" s="22" t="s">
        <v>52</v>
      </c>
      <c r="AG217" s="23" t="s">
        <v>53</v>
      </c>
      <c r="AH217" s="24"/>
      <c r="AN217" s="24"/>
    </row>
    <row r="218" spans="1:40" ht="12.75">
      <c r="A218" s="15">
        <v>3254506</v>
      </c>
      <c r="B218" s="15" t="s">
        <v>37</v>
      </c>
      <c r="C218" s="15" t="s">
        <v>38</v>
      </c>
      <c r="D218" s="15" t="s">
        <v>85</v>
      </c>
      <c r="E218" s="15" t="s">
        <v>86</v>
      </c>
      <c r="F218" s="15" t="s">
        <v>41</v>
      </c>
      <c r="G218" s="15" t="s">
        <v>87</v>
      </c>
      <c r="H218" s="15" t="s">
        <v>76</v>
      </c>
      <c r="I218" s="15" t="s">
        <v>77</v>
      </c>
      <c r="J218" s="15" t="s">
        <v>88</v>
      </c>
      <c r="K218" s="15" t="s">
        <v>60</v>
      </c>
      <c r="L218" s="16" t="s">
        <v>65</v>
      </c>
      <c r="M218" s="15" t="s">
        <v>48</v>
      </c>
      <c r="N218" s="17">
        <v>452893010230</v>
      </c>
      <c r="O218" s="15">
        <v>19890515</v>
      </c>
      <c r="P218" s="18" t="s">
        <v>137</v>
      </c>
      <c r="Q218" s="18">
        <v>4</v>
      </c>
      <c r="R218" s="18">
        <v>0.316</v>
      </c>
      <c r="S218" s="15">
        <v>48.994</v>
      </c>
      <c r="T218" s="16">
        <v>45824</v>
      </c>
      <c r="U218" s="19">
        <v>45883</v>
      </c>
      <c r="V218" s="16">
        <v>45824</v>
      </c>
      <c r="W218" s="16">
        <v>45826</v>
      </c>
      <c r="X218" s="57">
        <f t="shared" si="8"/>
        <v>45825</v>
      </c>
      <c r="Y218" s="63">
        <v>45832</v>
      </c>
      <c r="Z218" s="67">
        <v>45861</v>
      </c>
      <c r="AA218" s="71">
        <f t="shared" si="9"/>
        <v>45874</v>
      </c>
      <c r="AB218" s="20">
        <f t="shared" si="10"/>
        <v>-9</v>
      </c>
      <c r="AC218" s="20" t="s">
        <v>50</v>
      </c>
      <c r="AD218" s="21" t="s">
        <v>51</v>
      </c>
      <c r="AE218" s="21"/>
      <c r="AF218" s="22" t="s">
        <v>52</v>
      </c>
      <c r="AG218" s="23" t="s">
        <v>53</v>
      </c>
      <c r="AH218" s="24"/>
      <c r="AN218" s="24"/>
    </row>
    <row r="219" spans="1:40" ht="12.75">
      <c r="A219" s="15">
        <v>3254506</v>
      </c>
      <c r="B219" s="15" t="s">
        <v>37</v>
      </c>
      <c r="C219" s="15" t="s">
        <v>38</v>
      </c>
      <c r="D219" s="15" t="s">
        <v>85</v>
      </c>
      <c r="E219" s="15" t="s">
        <v>86</v>
      </c>
      <c r="F219" s="15" t="s">
        <v>41</v>
      </c>
      <c r="G219" s="15" t="s">
        <v>87</v>
      </c>
      <c r="H219" s="15" t="s">
        <v>76</v>
      </c>
      <c r="I219" s="15" t="s">
        <v>77</v>
      </c>
      <c r="J219" s="15" t="s">
        <v>88</v>
      </c>
      <c r="K219" s="15" t="s">
        <v>60</v>
      </c>
      <c r="L219" s="16" t="s">
        <v>65</v>
      </c>
      <c r="M219" s="15" t="s">
        <v>48</v>
      </c>
      <c r="N219" s="17">
        <v>452893191541</v>
      </c>
      <c r="O219" s="15">
        <v>19890516</v>
      </c>
      <c r="P219" s="18" t="s">
        <v>137</v>
      </c>
      <c r="Q219" s="18">
        <v>3</v>
      </c>
      <c r="R219" s="18">
        <v>0.158</v>
      </c>
      <c r="S219" s="15">
        <v>23.271999999999998</v>
      </c>
      <c r="T219" s="16">
        <v>45824</v>
      </c>
      <c r="U219" s="19">
        <v>45883</v>
      </c>
      <c r="V219" s="16">
        <v>45824</v>
      </c>
      <c r="W219" s="16">
        <v>45826</v>
      </c>
      <c r="X219" s="57">
        <f t="shared" si="8"/>
        <v>45825</v>
      </c>
      <c r="Y219" s="63">
        <v>45832</v>
      </c>
      <c r="Z219" s="67">
        <v>45861</v>
      </c>
      <c r="AA219" s="71">
        <f t="shared" si="9"/>
        <v>45874</v>
      </c>
      <c r="AB219" s="20">
        <f t="shared" si="10"/>
        <v>-9</v>
      </c>
      <c r="AC219" s="20" t="s">
        <v>50</v>
      </c>
      <c r="AD219" s="21" t="s">
        <v>51</v>
      </c>
      <c r="AE219" s="21"/>
      <c r="AF219" s="22" t="s">
        <v>52</v>
      </c>
      <c r="AG219" s="23" t="s">
        <v>53</v>
      </c>
      <c r="AH219" s="24"/>
      <c r="AN219" s="24"/>
    </row>
    <row r="220" spans="1:40" ht="12.75">
      <c r="A220" s="15">
        <v>3254506</v>
      </c>
      <c r="B220" s="15" t="s">
        <v>37</v>
      </c>
      <c r="C220" s="15" t="s">
        <v>38</v>
      </c>
      <c r="D220" s="15" t="s">
        <v>85</v>
      </c>
      <c r="E220" s="15" t="s">
        <v>86</v>
      </c>
      <c r="F220" s="15" t="s">
        <v>41</v>
      </c>
      <c r="G220" s="15" t="s">
        <v>87</v>
      </c>
      <c r="H220" s="15" t="s">
        <v>76</v>
      </c>
      <c r="I220" s="15" t="s">
        <v>77</v>
      </c>
      <c r="J220" s="15" t="s">
        <v>88</v>
      </c>
      <c r="K220" s="15" t="s">
        <v>60</v>
      </c>
      <c r="L220" s="16" t="s">
        <v>65</v>
      </c>
      <c r="M220" s="15" t="s">
        <v>48</v>
      </c>
      <c r="N220" s="17">
        <v>452893711589</v>
      </c>
      <c r="O220" s="15">
        <v>19890682</v>
      </c>
      <c r="P220" s="18" t="s">
        <v>137</v>
      </c>
      <c r="Q220" s="18">
        <v>4</v>
      </c>
      <c r="R220" s="18">
        <v>0.27600000000000002</v>
      </c>
      <c r="S220" s="15">
        <v>44.304000000000002</v>
      </c>
      <c r="T220" s="16">
        <v>45824</v>
      </c>
      <c r="U220" s="19">
        <v>45883</v>
      </c>
      <c r="V220" s="16">
        <v>45824</v>
      </c>
      <c r="W220" s="16">
        <v>45826</v>
      </c>
      <c r="X220" s="57">
        <f t="shared" si="8"/>
        <v>45825</v>
      </c>
      <c r="Y220" s="63">
        <v>45832</v>
      </c>
      <c r="Z220" s="67">
        <v>45861</v>
      </c>
      <c r="AA220" s="71">
        <f t="shared" si="9"/>
        <v>45874</v>
      </c>
      <c r="AB220" s="20">
        <f t="shared" si="10"/>
        <v>-9</v>
      </c>
      <c r="AC220" s="20" t="s">
        <v>50</v>
      </c>
      <c r="AD220" s="21" t="s">
        <v>51</v>
      </c>
      <c r="AE220" s="21"/>
      <c r="AF220" s="22" t="s">
        <v>52</v>
      </c>
      <c r="AG220" s="23" t="s">
        <v>53</v>
      </c>
      <c r="AH220" s="24"/>
      <c r="AN220" s="24"/>
    </row>
    <row r="221" spans="1:40" ht="12.75">
      <c r="A221" s="15">
        <v>3254506</v>
      </c>
      <c r="B221" s="15" t="s">
        <v>37</v>
      </c>
      <c r="C221" s="15" t="s">
        <v>38</v>
      </c>
      <c r="D221" s="15" t="s">
        <v>85</v>
      </c>
      <c r="E221" s="15" t="s">
        <v>86</v>
      </c>
      <c r="F221" s="15" t="s">
        <v>41</v>
      </c>
      <c r="G221" s="15" t="s">
        <v>87</v>
      </c>
      <c r="H221" s="15" t="s">
        <v>76</v>
      </c>
      <c r="I221" s="15" t="s">
        <v>77</v>
      </c>
      <c r="J221" s="15" t="s">
        <v>88</v>
      </c>
      <c r="K221" s="15" t="s">
        <v>60</v>
      </c>
      <c r="L221" s="16" t="s">
        <v>65</v>
      </c>
      <c r="M221" s="15" t="s">
        <v>48</v>
      </c>
      <c r="N221" s="17">
        <v>452893711674</v>
      </c>
      <c r="O221" s="15">
        <v>19890717</v>
      </c>
      <c r="P221" s="18" t="s">
        <v>70</v>
      </c>
      <c r="Q221" s="18">
        <v>6</v>
      </c>
      <c r="R221" s="18">
        <v>0.47399999999999998</v>
      </c>
      <c r="S221" s="15">
        <v>58.933</v>
      </c>
      <c r="T221" s="16">
        <v>45824</v>
      </c>
      <c r="U221" s="19">
        <v>45883</v>
      </c>
      <c r="V221" s="16">
        <v>45824</v>
      </c>
      <c r="W221" s="16">
        <v>45826</v>
      </c>
      <c r="X221" s="57">
        <f t="shared" si="8"/>
        <v>45825</v>
      </c>
      <c r="Y221" s="63">
        <v>45832</v>
      </c>
      <c r="Z221" s="67">
        <v>45861</v>
      </c>
      <c r="AA221" s="71">
        <f t="shared" si="9"/>
        <v>45874</v>
      </c>
      <c r="AB221" s="20">
        <f t="shared" si="10"/>
        <v>-9</v>
      </c>
      <c r="AC221" s="20" t="s">
        <v>50</v>
      </c>
      <c r="AD221" s="21" t="s">
        <v>51</v>
      </c>
      <c r="AE221" s="21"/>
      <c r="AF221" s="22" t="s">
        <v>52</v>
      </c>
      <c r="AG221" s="23" t="s">
        <v>53</v>
      </c>
      <c r="AH221" s="24"/>
      <c r="AN221" s="24"/>
    </row>
    <row r="222" spans="1:40" ht="12.75">
      <c r="A222" s="15">
        <v>3254506</v>
      </c>
      <c r="B222" s="15" t="s">
        <v>37</v>
      </c>
      <c r="C222" s="15" t="s">
        <v>38</v>
      </c>
      <c r="D222" s="15" t="s">
        <v>85</v>
      </c>
      <c r="E222" s="15" t="s">
        <v>86</v>
      </c>
      <c r="F222" s="15" t="s">
        <v>41</v>
      </c>
      <c r="G222" s="15" t="s">
        <v>87</v>
      </c>
      <c r="H222" s="15" t="s">
        <v>76</v>
      </c>
      <c r="I222" s="15" t="s">
        <v>77</v>
      </c>
      <c r="J222" s="15" t="s">
        <v>88</v>
      </c>
      <c r="K222" s="15" t="s">
        <v>60</v>
      </c>
      <c r="L222" s="16" t="s">
        <v>65</v>
      </c>
      <c r="M222" s="15" t="s">
        <v>48</v>
      </c>
      <c r="N222" s="17">
        <v>452897061954</v>
      </c>
      <c r="O222" s="15">
        <v>19890781</v>
      </c>
      <c r="P222" s="18" t="s">
        <v>70</v>
      </c>
      <c r="Q222" s="18">
        <v>2</v>
      </c>
      <c r="R222" s="18">
        <v>0.11799999999999999</v>
      </c>
      <c r="S222" s="15">
        <v>17.856000000000002</v>
      </c>
      <c r="T222" s="16">
        <v>45824</v>
      </c>
      <c r="U222" s="19">
        <v>45883</v>
      </c>
      <c r="V222" s="16">
        <v>45824</v>
      </c>
      <c r="W222" s="16">
        <v>45826</v>
      </c>
      <c r="X222" s="57">
        <f t="shared" si="8"/>
        <v>45825</v>
      </c>
      <c r="Y222" s="63">
        <v>45832</v>
      </c>
      <c r="Z222" s="67">
        <v>45861</v>
      </c>
      <c r="AA222" s="71">
        <f t="shared" si="9"/>
        <v>45874</v>
      </c>
      <c r="AB222" s="20">
        <f t="shared" si="10"/>
        <v>-9</v>
      </c>
      <c r="AC222" s="20" t="s">
        <v>50</v>
      </c>
      <c r="AD222" s="21" t="s">
        <v>51</v>
      </c>
      <c r="AE222" s="21"/>
      <c r="AF222" s="22" t="s">
        <v>52</v>
      </c>
      <c r="AG222" s="23" t="s">
        <v>53</v>
      </c>
      <c r="AH222" s="24"/>
      <c r="AN222" s="24"/>
    </row>
    <row r="223" spans="1:40" ht="12.75">
      <c r="A223" s="15">
        <v>3254506</v>
      </c>
      <c r="B223" s="15" t="s">
        <v>37</v>
      </c>
      <c r="C223" s="15" t="s">
        <v>38</v>
      </c>
      <c r="D223" s="15" t="s">
        <v>85</v>
      </c>
      <c r="E223" s="15" t="s">
        <v>86</v>
      </c>
      <c r="F223" s="15" t="s">
        <v>41</v>
      </c>
      <c r="G223" s="15" t="s">
        <v>87</v>
      </c>
      <c r="H223" s="15" t="s">
        <v>76</v>
      </c>
      <c r="I223" s="15" t="s">
        <v>77</v>
      </c>
      <c r="J223" s="15" t="s">
        <v>88</v>
      </c>
      <c r="K223" s="15" t="s">
        <v>60</v>
      </c>
      <c r="L223" s="16" t="s">
        <v>65</v>
      </c>
      <c r="M223" s="15" t="s">
        <v>48</v>
      </c>
      <c r="N223" s="17">
        <v>452897736645</v>
      </c>
      <c r="O223" s="15">
        <v>19890836</v>
      </c>
      <c r="P223" s="18" t="s">
        <v>69</v>
      </c>
      <c r="Q223" s="18">
        <v>3</v>
      </c>
      <c r="R223" s="18">
        <v>0.158</v>
      </c>
      <c r="S223" s="15">
        <v>22.451000000000001</v>
      </c>
      <c r="T223" s="16">
        <v>45824</v>
      </c>
      <c r="U223" s="19">
        <v>45883</v>
      </c>
      <c r="V223" s="16">
        <v>45824</v>
      </c>
      <c r="W223" s="16">
        <v>45826</v>
      </c>
      <c r="X223" s="57">
        <f t="shared" si="8"/>
        <v>45825</v>
      </c>
      <c r="Y223" s="63">
        <v>45832</v>
      </c>
      <c r="Z223" s="67">
        <v>45861</v>
      </c>
      <c r="AA223" s="71">
        <f t="shared" si="9"/>
        <v>45874</v>
      </c>
      <c r="AB223" s="20">
        <f t="shared" si="10"/>
        <v>-9</v>
      </c>
      <c r="AC223" s="20" t="s">
        <v>50</v>
      </c>
      <c r="AD223" s="21" t="s">
        <v>51</v>
      </c>
      <c r="AE223" s="21"/>
      <c r="AF223" s="22" t="s">
        <v>52</v>
      </c>
      <c r="AG223" s="23" t="s">
        <v>53</v>
      </c>
      <c r="AH223" s="24"/>
      <c r="AN223" s="24"/>
    </row>
    <row r="224" spans="1:40" ht="12.75">
      <c r="A224" s="15">
        <v>3254506</v>
      </c>
      <c r="B224" s="15" t="s">
        <v>37</v>
      </c>
      <c r="C224" s="15" t="s">
        <v>38</v>
      </c>
      <c r="D224" s="15" t="s">
        <v>85</v>
      </c>
      <c r="E224" s="15" t="s">
        <v>86</v>
      </c>
      <c r="F224" s="15" t="s">
        <v>41</v>
      </c>
      <c r="G224" s="15" t="s">
        <v>87</v>
      </c>
      <c r="H224" s="15" t="s">
        <v>76</v>
      </c>
      <c r="I224" s="15" t="s">
        <v>77</v>
      </c>
      <c r="J224" s="15" t="s">
        <v>88</v>
      </c>
      <c r="K224" s="15" t="s">
        <v>60</v>
      </c>
      <c r="L224" s="16" t="s">
        <v>65</v>
      </c>
      <c r="M224" s="15" t="s">
        <v>48</v>
      </c>
      <c r="N224" s="17">
        <v>452898265551</v>
      </c>
      <c r="O224" s="15">
        <v>19890842</v>
      </c>
      <c r="P224" s="18" t="s">
        <v>69</v>
      </c>
      <c r="Q224" s="18">
        <v>4</v>
      </c>
      <c r="R224" s="18">
        <v>0.316</v>
      </c>
      <c r="S224" s="15">
        <v>39.107999999999997</v>
      </c>
      <c r="T224" s="16">
        <v>45824</v>
      </c>
      <c r="U224" s="19">
        <v>45883</v>
      </c>
      <c r="V224" s="16">
        <v>45824</v>
      </c>
      <c r="W224" s="16">
        <v>45826</v>
      </c>
      <c r="X224" s="57">
        <f t="shared" si="8"/>
        <v>45825</v>
      </c>
      <c r="Y224" s="63">
        <v>45832</v>
      </c>
      <c r="Z224" s="67">
        <v>45861</v>
      </c>
      <c r="AA224" s="71">
        <f t="shared" si="9"/>
        <v>45874</v>
      </c>
      <c r="AB224" s="20">
        <f t="shared" si="10"/>
        <v>-9</v>
      </c>
      <c r="AC224" s="20" t="s">
        <v>50</v>
      </c>
      <c r="AD224" s="21" t="s">
        <v>51</v>
      </c>
      <c r="AE224" s="21"/>
      <c r="AF224" s="22" t="s">
        <v>52</v>
      </c>
      <c r="AG224" s="23" t="s">
        <v>53</v>
      </c>
      <c r="AH224" s="24"/>
      <c r="AN224" s="24"/>
    </row>
    <row r="225" spans="1:40" ht="12.75">
      <c r="A225" s="15">
        <v>3254506</v>
      </c>
      <c r="B225" s="15" t="s">
        <v>37</v>
      </c>
      <c r="C225" s="15" t="s">
        <v>38</v>
      </c>
      <c r="D225" s="15" t="s">
        <v>85</v>
      </c>
      <c r="E225" s="15" t="s">
        <v>86</v>
      </c>
      <c r="F225" s="15" t="s">
        <v>41</v>
      </c>
      <c r="G225" s="15" t="s">
        <v>87</v>
      </c>
      <c r="H225" s="15" t="s">
        <v>76</v>
      </c>
      <c r="I225" s="15" t="s">
        <v>77</v>
      </c>
      <c r="J225" s="15" t="s">
        <v>88</v>
      </c>
      <c r="K225" s="15" t="s">
        <v>60</v>
      </c>
      <c r="L225" s="16" t="s">
        <v>65</v>
      </c>
      <c r="M225" s="15" t="s">
        <v>48</v>
      </c>
      <c r="N225" s="17">
        <v>452901003671</v>
      </c>
      <c r="O225" s="15">
        <v>19920744</v>
      </c>
      <c r="P225" s="18" t="s">
        <v>68</v>
      </c>
      <c r="Q225" s="18">
        <v>1</v>
      </c>
      <c r="R225" s="18">
        <v>7.9000000000000001E-2</v>
      </c>
      <c r="S225" s="15">
        <v>15.013999999999999</v>
      </c>
      <c r="T225" s="16">
        <v>45824</v>
      </c>
      <c r="U225" s="19">
        <v>45883</v>
      </c>
      <c r="V225" s="16">
        <v>45824</v>
      </c>
      <c r="W225" s="16">
        <v>45826</v>
      </c>
      <c r="X225" s="57">
        <f t="shared" si="8"/>
        <v>45825</v>
      </c>
      <c r="Y225" s="63">
        <v>45832</v>
      </c>
      <c r="Z225" s="67">
        <v>45861</v>
      </c>
      <c r="AA225" s="71">
        <f t="shared" si="9"/>
        <v>45874</v>
      </c>
      <c r="AB225" s="20">
        <f t="shared" si="10"/>
        <v>-9</v>
      </c>
      <c r="AC225" s="20" t="s">
        <v>50</v>
      </c>
      <c r="AD225" s="21" t="s">
        <v>51</v>
      </c>
      <c r="AE225" s="21"/>
      <c r="AF225" s="22" t="s">
        <v>52</v>
      </c>
      <c r="AG225" s="23" t="s">
        <v>53</v>
      </c>
      <c r="AH225" s="24"/>
      <c r="AN225" s="24"/>
    </row>
    <row r="226" spans="1:40" ht="12.75">
      <c r="A226" s="15">
        <v>3254506</v>
      </c>
      <c r="B226" s="15" t="s">
        <v>37</v>
      </c>
      <c r="C226" s="15" t="s">
        <v>38</v>
      </c>
      <c r="D226" s="15" t="s">
        <v>85</v>
      </c>
      <c r="E226" s="15" t="s">
        <v>86</v>
      </c>
      <c r="F226" s="15" t="s">
        <v>41</v>
      </c>
      <c r="G226" s="15" t="s">
        <v>87</v>
      </c>
      <c r="H226" s="15" t="s">
        <v>76</v>
      </c>
      <c r="I226" s="15" t="s">
        <v>77</v>
      </c>
      <c r="J226" s="15" t="s">
        <v>88</v>
      </c>
      <c r="K226" s="15" t="s">
        <v>60</v>
      </c>
      <c r="L226" s="16" t="s">
        <v>65</v>
      </c>
      <c r="M226" s="15" t="s">
        <v>48</v>
      </c>
      <c r="N226" s="17">
        <v>452901487847</v>
      </c>
      <c r="O226" s="15">
        <v>19920846</v>
      </c>
      <c r="P226" s="18" t="s">
        <v>66</v>
      </c>
      <c r="Q226" s="18">
        <v>9</v>
      </c>
      <c r="R226" s="18">
        <v>0.67100000000000004</v>
      </c>
      <c r="S226" s="15">
        <v>124.319</v>
      </c>
      <c r="T226" s="16">
        <v>45824</v>
      </c>
      <c r="U226" s="19">
        <v>45883</v>
      </c>
      <c r="V226" s="16">
        <v>45824</v>
      </c>
      <c r="W226" s="16">
        <v>45826</v>
      </c>
      <c r="X226" s="57">
        <f t="shared" si="8"/>
        <v>45825</v>
      </c>
      <c r="Y226" s="63">
        <v>45832</v>
      </c>
      <c r="Z226" s="67">
        <v>45861</v>
      </c>
      <c r="AA226" s="71">
        <f t="shared" si="9"/>
        <v>45874</v>
      </c>
      <c r="AB226" s="20">
        <f t="shared" si="10"/>
        <v>-9</v>
      </c>
      <c r="AC226" s="20" t="s">
        <v>50</v>
      </c>
      <c r="AD226" s="21" t="s">
        <v>51</v>
      </c>
      <c r="AE226" s="21"/>
      <c r="AF226" s="22" t="s">
        <v>52</v>
      </c>
      <c r="AG226" s="23" t="s">
        <v>53</v>
      </c>
      <c r="AH226" s="24"/>
      <c r="AN226" s="24"/>
    </row>
    <row r="227" spans="1:40" ht="12.75">
      <c r="A227" s="15">
        <v>3254506</v>
      </c>
      <c r="B227" s="15" t="s">
        <v>37</v>
      </c>
      <c r="C227" s="15" t="s">
        <v>38</v>
      </c>
      <c r="D227" s="15" t="s">
        <v>85</v>
      </c>
      <c r="E227" s="15" t="s">
        <v>86</v>
      </c>
      <c r="F227" s="15" t="s">
        <v>41</v>
      </c>
      <c r="G227" s="15" t="s">
        <v>87</v>
      </c>
      <c r="H227" s="15" t="s">
        <v>76</v>
      </c>
      <c r="I227" s="15" t="s">
        <v>77</v>
      </c>
      <c r="J227" s="15" t="s">
        <v>88</v>
      </c>
      <c r="K227" s="15" t="s">
        <v>60</v>
      </c>
      <c r="L227" s="16" t="s">
        <v>65</v>
      </c>
      <c r="M227" s="15" t="s">
        <v>48</v>
      </c>
      <c r="N227" s="17">
        <v>452901622156</v>
      </c>
      <c r="O227" s="15">
        <v>19913617</v>
      </c>
      <c r="P227" s="18" t="s">
        <v>71</v>
      </c>
      <c r="Q227" s="18">
        <v>3</v>
      </c>
      <c r="R227" s="18">
        <v>0.158</v>
      </c>
      <c r="S227" s="15">
        <v>27.177</v>
      </c>
      <c r="T227" s="16">
        <v>45824</v>
      </c>
      <c r="U227" s="19">
        <v>45883</v>
      </c>
      <c r="V227" s="16">
        <v>45824</v>
      </c>
      <c r="W227" s="16">
        <v>45826</v>
      </c>
      <c r="X227" s="57">
        <f t="shared" si="8"/>
        <v>45825</v>
      </c>
      <c r="Y227" s="63">
        <v>45832</v>
      </c>
      <c r="Z227" s="67">
        <v>45861</v>
      </c>
      <c r="AA227" s="71">
        <f t="shared" si="9"/>
        <v>45874</v>
      </c>
      <c r="AB227" s="20">
        <f t="shared" si="10"/>
        <v>-9</v>
      </c>
      <c r="AC227" s="20" t="s">
        <v>50</v>
      </c>
      <c r="AD227" s="21" t="s">
        <v>51</v>
      </c>
      <c r="AE227" s="21"/>
      <c r="AF227" s="22" t="s">
        <v>52</v>
      </c>
      <c r="AG227" s="23" t="s">
        <v>53</v>
      </c>
      <c r="AH227" s="24"/>
      <c r="AN227" s="24"/>
    </row>
    <row r="228" spans="1:40" ht="12.75">
      <c r="A228" s="15">
        <v>3254506</v>
      </c>
      <c r="B228" s="15" t="s">
        <v>37</v>
      </c>
      <c r="C228" s="15" t="s">
        <v>38</v>
      </c>
      <c r="D228" s="15" t="s">
        <v>85</v>
      </c>
      <c r="E228" s="15" t="s">
        <v>86</v>
      </c>
      <c r="F228" s="15" t="s">
        <v>41</v>
      </c>
      <c r="G228" s="15" t="s">
        <v>87</v>
      </c>
      <c r="H228" s="15" t="s">
        <v>76</v>
      </c>
      <c r="I228" s="15" t="s">
        <v>77</v>
      </c>
      <c r="J228" s="15" t="s">
        <v>88</v>
      </c>
      <c r="K228" s="15" t="s">
        <v>60</v>
      </c>
      <c r="L228" s="16" t="s">
        <v>65</v>
      </c>
      <c r="M228" s="15" t="s">
        <v>48</v>
      </c>
      <c r="N228" s="17">
        <v>452902222311</v>
      </c>
      <c r="O228" s="15">
        <v>19920786</v>
      </c>
      <c r="P228" s="18" t="s">
        <v>138</v>
      </c>
      <c r="Q228" s="18">
        <v>3</v>
      </c>
      <c r="R228" s="18">
        <v>0.23699999999999999</v>
      </c>
      <c r="S228" s="15">
        <v>32.502000000000002</v>
      </c>
      <c r="T228" s="16">
        <v>45824</v>
      </c>
      <c r="U228" s="19">
        <v>45883</v>
      </c>
      <c r="V228" s="16">
        <v>45824</v>
      </c>
      <c r="W228" s="16">
        <v>45826</v>
      </c>
      <c r="X228" s="57">
        <f t="shared" si="8"/>
        <v>45825</v>
      </c>
      <c r="Y228" s="63">
        <v>45832</v>
      </c>
      <c r="Z228" s="67">
        <v>45861</v>
      </c>
      <c r="AA228" s="71">
        <f t="shared" si="9"/>
        <v>45874</v>
      </c>
      <c r="AB228" s="20">
        <f t="shared" si="10"/>
        <v>-9</v>
      </c>
      <c r="AC228" s="20" t="s">
        <v>50</v>
      </c>
      <c r="AD228" s="21" t="s">
        <v>51</v>
      </c>
      <c r="AE228" s="21"/>
      <c r="AF228" s="22" t="s">
        <v>52</v>
      </c>
      <c r="AG228" s="23" t="s">
        <v>53</v>
      </c>
      <c r="AH228" s="24"/>
      <c r="AN228" s="24"/>
    </row>
    <row r="229" spans="1:40" ht="12.75">
      <c r="A229" s="15">
        <v>3254506</v>
      </c>
      <c r="B229" s="15" t="s">
        <v>37</v>
      </c>
      <c r="C229" s="15" t="s">
        <v>38</v>
      </c>
      <c r="D229" s="15" t="s">
        <v>85</v>
      </c>
      <c r="E229" s="15" t="s">
        <v>86</v>
      </c>
      <c r="F229" s="15" t="s">
        <v>41</v>
      </c>
      <c r="G229" s="15" t="s">
        <v>87</v>
      </c>
      <c r="H229" s="15" t="s">
        <v>76</v>
      </c>
      <c r="I229" s="15" t="s">
        <v>77</v>
      </c>
      <c r="J229" s="15" t="s">
        <v>88</v>
      </c>
      <c r="K229" s="15" t="s">
        <v>60</v>
      </c>
      <c r="L229" s="16" t="s">
        <v>65</v>
      </c>
      <c r="M229" s="15" t="s">
        <v>48</v>
      </c>
      <c r="N229" s="17">
        <v>452902798117</v>
      </c>
      <c r="O229" s="15">
        <v>19920857</v>
      </c>
      <c r="P229" s="18" t="s">
        <v>66</v>
      </c>
      <c r="Q229" s="18">
        <v>6</v>
      </c>
      <c r="R229" s="18">
        <v>0.434</v>
      </c>
      <c r="S229" s="15">
        <v>71.98</v>
      </c>
      <c r="T229" s="16">
        <v>45824</v>
      </c>
      <c r="U229" s="19">
        <v>45883</v>
      </c>
      <c r="V229" s="16">
        <v>45824</v>
      </c>
      <c r="W229" s="16">
        <v>45826</v>
      </c>
      <c r="X229" s="57">
        <f t="shared" si="8"/>
        <v>45825</v>
      </c>
      <c r="Y229" s="63">
        <v>45832</v>
      </c>
      <c r="Z229" s="67">
        <v>45861</v>
      </c>
      <c r="AA229" s="71">
        <f t="shared" si="9"/>
        <v>45874</v>
      </c>
      <c r="AB229" s="20">
        <f t="shared" si="10"/>
        <v>-9</v>
      </c>
      <c r="AC229" s="20" t="s">
        <v>50</v>
      </c>
      <c r="AD229" s="21" t="s">
        <v>51</v>
      </c>
      <c r="AE229" s="21"/>
      <c r="AF229" s="22" t="s">
        <v>52</v>
      </c>
      <c r="AG229" s="23" t="s">
        <v>53</v>
      </c>
      <c r="AH229" s="24"/>
      <c r="AN229" s="24"/>
    </row>
    <row r="230" spans="1:40" ht="12.75">
      <c r="A230" s="15">
        <v>3254506</v>
      </c>
      <c r="B230" s="15" t="s">
        <v>37</v>
      </c>
      <c r="C230" s="15" t="s">
        <v>38</v>
      </c>
      <c r="D230" s="15" t="s">
        <v>85</v>
      </c>
      <c r="E230" s="15" t="s">
        <v>86</v>
      </c>
      <c r="F230" s="15" t="s">
        <v>41</v>
      </c>
      <c r="G230" s="15" t="s">
        <v>87</v>
      </c>
      <c r="H230" s="15" t="s">
        <v>76</v>
      </c>
      <c r="I230" s="15" t="s">
        <v>77</v>
      </c>
      <c r="J230" s="15" t="s">
        <v>88</v>
      </c>
      <c r="K230" s="15" t="s">
        <v>60</v>
      </c>
      <c r="L230" s="16" t="s">
        <v>65</v>
      </c>
      <c r="M230" s="15" t="s">
        <v>48</v>
      </c>
      <c r="N230" s="17">
        <v>452902914427</v>
      </c>
      <c r="O230" s="15">
        <v>19925161</v>
      </c>
      <c r="P230" s="18" t="s">
        <v>66</v>
      </c>
      <c r="Q230" s="18">
        <v>3</v>
      </c>
      <c r="R230" s="18">
        <v>0.158</v>
      </c>
      <c r="S230" s="15">
        <v>23.309000000000001</v>
      </c>
      <c r="T230" s="16">
        <v>45824</v>
      </c>
      <c r="U230" s="19">
        <v>45883</v>
      </c>
      <c r="V230" s="16">
        <v>45824</v>
      </c>
      <c r="W230" s="16">
        <v>45826</v>
      </c>
      <c r="X230" s="57">
        <f t="shared" si="8"/>
        <v>45825</v>
      </c>
      <c r="Y230" s="63">
        <v>45832</v>
      </c>
      <c r="Z230" s="67">
        <v>45861</v>
      </c>
      <c r="AA230" s="71">
        <f t="shared" si="9"/>
        <v>45874</v>
      </c>
      <c r="AB230" s="20">
        <f t="shared" si="10"/>
        <v>-9</v>
      </c>
      <c r="AC230" s="20" t="s">
        <v>50</v>
      </c>
      <c r="AD230" s="21" t="s">
        <v>51</v>
      </c>
      <c r="AE230" s="21"/>
      <c r="AF230" s="22" t="s">
        <v>52</v>
      </c>
      <c r="AG230" s="23" t="s">
        <v>53</v>
      </c>
      <c r="AH230" s="24"/>
      <c r="AN230" s="24"/>
    </row>
    <row r="231" spans="1:40" ht="12.75">
      <c r="A231" s="15">
        <v>3254506</v>
      </c>
      <c r="B231" s="15" t="s">
        <v>37</v>
      </c>
      <c r="C231" s="15" t="s">
        <v>38</v>
      </c>
      <c r="D231" s="15" t="s">
        <v>85</v>
      </c>
      <c r="E231" s="15" t="s">
        <v>86</v>
      </c>
      <c r="F231" s="15" t="s">
        <v>41</v>
      </c>
      <c r="G231" s="15" t="s">
        <v>87</v>
      </c>
      <c r="H231" s="15" t="s">
        <v>76</v>
      </c>
      <c r="I231" s="15" t="s">
        <v>77</v>
      </c>
      <c r="J231" s="15" t="s">
        <v>88</v>
      </c>
      <c r="K231" s="15" t="s">
        <v>60</v>
      </c>
      <c r="L231" s="16" t="s">
        <v>65</v>
      </c>
      <c r="M231" s="15" t="s">
        <v>48</v>
      </c>
      <c r="N231" s="17">
        <v>452902914946</v>
      </c>
      <c r="O231" s="15">
        <v>19925377</v>
      </c>
      <c r="P231" s="18" t="s">
        <v>68</v>
      </c>
      <c r="Q231" s="18">
        <v>5</v>
      </c>
      <c r="R231" s="18">
        <v>0.39500000000000002</v>
      </c>
      <c r="S231" s="15">
        <v>68.347999999999999</v>
      </c>
      <c r="T231" s="16">
        <v>45824</v>
      </c>
      <c r="U231" s="19">
        <v>45883</v>
      </c>
      <c r="V231" s="16">
        <v>45824</v>
      </c>
      <c r="W231" s="16">
        <v>45826</v>
      </c>
      <c r="X231" s="57">
        <f t="shared" si="8"/>
        <v>45825</v>
      </c>
      <c r="Y231" s="63">
        <v>45832</v>
      </c>
      <c r="Z231" s="67">
        <v>45861</v>
      </c>
      <c r="AA231" s="71">
        <f t="shared" si="9"/>
        <v>45874</v>
      </c>
      <c r="AB231" s="20">
        <f t="shared" si="10"/>
        <v>-9</v>
      </c>
      <c r="AC231" s="20" t="s">
        <v>50</v>
      </c>
      <c r="AD231" s="21" t="s">
        <v>51</v>
      </c>
      <c r="AE231" s="21"/>
      <c r="AF231" s="22" t="s">
        <v>52</v>
      </c>
      <c r="AG231" s="23" t="s">
        <v>53</v>
      </c>
      <c r="AH231" s="24"/>
      <c r="AN231" s="24"/>
    </row>
    <row r="232" spans="1:40" ht="12.75">
      <c r="A232" s="15">
        <v>3254506</v>
      </c>
      <c r="B232" s="15" t="s">
        <v>37</v>
      </c>
      <c r="C232" s="15" t="s">
        <v>38</v>
      </c>
      <c r="D232" s="15" t="s">
        <v>85</v>
      </c>
      <c r="E232" s="15" t="s">
        <v>86</v>
      </c>
      <c r="F232" s="15" t="s">
        <v>41</v>
      </c>
      <c r="G232" s="15" t="s">
        <v>87</v>
      </c>
      <c r="H232" s="15" t="s">
        <v>76</v>
      </c>
      <c r="I232" s="15" t="s">
        <v>77</v>
      </c>
      <c r="J232" s="15" t="s">
        <v>88</v>
      </c>
      <c r="K232" s="15" t="s">
        <v>60</v>
      </c>
      <c r="L232" s="16" t="s">
        <v>65</v>
      </c>
      <c r="M232" s="15" t="s">
        <v>48</v>
      </c>
      <c r="N232" s="17">
        <v>452903297077</v>
      </c>
      <c r="O232" s="15">
        <v>19925117</v>
      </c>
      <c r="P232" s="18" t="s">
        <v>139</v>
      </c>
      <c r="Q232" s="18">
        <v>7</v>
      </c>
      <c r="R232" s="18">
        <v>0.47399999999999998</v>
      </c>
      <c r="S232" s="15">
        <v>83.793999999999997</v>
      </c>
      <c r="T232" s="16">
        <v>45824</v>
      </c>
      <c r="U232" s="19">
        <v>45883</v>
      </c>
      <c r="V232" s="16">
        <v>45824</v>
      </c>
      <c r="W232" s="16">
        <v>45826</v>
      </c>
      <c r="X232" s="57">
        <f t="shared" si="8"/>
        <v>45825</v>
      </c>
      <c r="Y232" s="63">
        <v>45832</v>
      </c>
      <c r="Z232" s="67">
        <v>45861</v>
      </c>
      <c r="AA232" s="71">
        <f t="shared" si="9"/>
        <v>45874</v>
      </c>
      <c r="AB232" s="20">
        <f t="shared" si="10"/>
        <v>-9</v>
      </c>
      <c r="AC232" s="20" t="s">
        <v>50</v>
      </c>
      <c r="AD232" s="21" t="s">
        <v>51</v>
      </c>
      <c r="AE232" s="21"/>
      <c r="AF232" s="22" t="s">
        <v>52</v>
      </c>
      <c r="AG232" s="23" t="s">
        <v>53</v>
      </c>
      <c r="AH232" s="24"/>
      <c r="AN232" s="24"/>
    </row>
    <row r="233" spans="1:40" ht="12.75">
      <c r="A233" s="15">
        <v>3254506</v>
      </c>
      <c r="B233" s="15" t="s">
        <v>37</v>
      </c>
      <c r="C233" s="15" t="s">
        <v>38</v>
      </c>
      <c r="D233" s="15" t="s">
        <v>85</v>
      </c>
      <c r="E233" s="15" t="s">
        <v>86</v>
      </c>
      <c r="F233" s="15" t="s">
        <v>41</v>
      </c>
      <c r="G233" s="15" t="s">
        <v>87</v>
      </c>
      <c r="H233" s="15" t="s">
        <v>76</v>
      </c>
      <c r="I233" s="15" t="s">
        <v>77</v>
      </c>
      <c r="J233" s="15" t="s">
        <v>88</v>
      </c>
      <c r="K233" s="15" t="s">
        <v>60</v>
      </c>
      <c r="L233" s="16" t="s">
        <v>65</v>
      </c>
      <c r="M233" s="15" t="s">
        <v>48</v>
      </c>
      <c r="N233" s="17">
        <v>452903298624</v>
      </c>
      <c r="O233" s="15">
        <v>19925475</v>
      </c>
      <c r="P233" s="18" t="s">
        <v>66</v>
      </c>
      <c r="Q233" s="18">
        <v>7</v>
      </c>
      <c r="R233" s="18">
        <v>0.47399999999999998</v>
      </c>
      <c r="S233" s="15">
        <v>74.989000000000004</v>
      </c>
      <c r="T233" s="16">
        <v>45824</v>
      </c>
      <c r="U233" s="19">
        <v>45883</v>
      </c>
      <c r="V233" s="16">
        <v>45824</v>
      </c>
      <c r="W233" s="16">
        <v>45826</v>
      </c>
      <c r="X233" s="57">
        <f t="shared" si="8"/>
        <v>45825</v>
      </c>
      <c r="Y233" s="63">
        <v>45832</v>
      </c>
      <c r="Z233" s="67">
        <v>45861</v>
      </c>
      <c r="AA233" s="71">
        <f t="shared" si="9"/>
        <v>45874</v>
      </c>
      <c r="AB233" s="20">
        <f t="shared" si="10"/>
        <v>-9</v>
      </c>
      <c r="AC233" s="20" t="s">
        <v>50</v>
      </c>
      <c r="AD233" s="21" t="s">
        <v>51</v>
      </c>
      <c r="AE233" s="21"/>
      <c r="AF233" s="22" t="s">
        <v>52</v>
      </c>
      <c r="AG233" s="23" t="s">
        <v>53</v>
      </c>
      <c r="AH233" s="24"/>
      <c r="AN233" s="24"/>
    </row>
    <row r="234" spans="1:40" ht="12.75">
      <c r="A234" s="15">
        <v>3254506</v>
      </c>
      <c r="B234" s="15" t="s">
        <v>37</v>
      </c>
      <c r="C234" s="15" t="s">
        <v>38</v>
      </c>
      <c r="D234" s="15" t="s">
        <v>85</v>
      </c>
      <c r="E234" s="15" t="s">
        <v>86</v>
      </c>
      <c r="F234" s="15" t="s">
        <v>41</v>
      </c>
      <c r="G234" s="15" t="s">
        <v>87</v>
      </c>
      <c r="H234" s="15" t="s">
        <v>76</v>
      </c>
      <c r="I234" s="15" t="s">
        <v>77</v>
      </c>
      <c r="J234" s="15" t="s">
        <v>88</v>
      </c>
      <c r="K234" s="15" t="s">
        <v>60</v>
      </c>
      <c r="L234" s="16" t="s">
        <v>65</v>
      </c>
      <c r="M234" s="15" t="s">
        <v>48</v>
      </c>
      <c r="N234" s="17">
        <v>452903872795</v>
      </c>
      <c r="O234" s="15">
        <v>19925107</v>
      </c>
      <c r="P234" s="18" t="s">
        <v>139</v>
      </c>
      <c r="Q234" s="18">
        <v>4</v>
      </c>
      <c r="R234" s="18">
        <v>0.19700000000000001</v>
      </c>
      <c r="S234" s="15">
        <v>33.436</v>
      </c>
      <c r="T234" s="16">
        <v>45824</v>
      </c>
      <c r="U234" s="19">
        <v>45883</v>
      </c>
      <c r="V234" s="16">
        <v>45824</v>
      </c>
      <c r="W234" s="16">
        <v>45826</v>
      </c>
      <c r="X234" s="57">
        <f t="shared" si="8"/>
        <v>45825</v>
      </c>
      <c r="Y234" s="63">
        <v>45832</v>
      </c>
      <c r="Z234" s="67">
        <v>45861</v>
      </c>
      <c r="AA234" s="71">
        <f t="shared" si="9"/>
        <v>45874</v>
      </c>
      <c r="AB234" s="20">
        <f t="shared" si="10"/>
        <v>-9</v>
      </c>
      <c r="AC234" s="20" t="s">
        <v>50</v>
      </c>
      <c r="AD234" s="21" t="s">
        <v>51</v>
      </c>
      <c r="AE234" s="21"/>
      <c r="AF234" s="22" t="s">
        <v>52</v>
      </c>
      <c r="AG234" s="23" t="s">
        <v>53</v>
      </c>
      <c r="AH234" s="24"/>
      <c r="AN234" s="24"/>
    </row>
    <row r="235" spans="1:40" ht="12.75">
      <c r="A235" s="15">
        <v>3254506</v>
      </c>
      <c r="B235" s="15" t="s">
        <v>37</v>
      </c>
      <c r="C235" s="15" t="s">
        <v>38</v>
      </c>
      <c r="D235" s="15" t="s">
        <v>85</v>
      </c>
      <c r="E235" s="15" t="s">
        <v>86</v>
      </c>
      <c r="F235" s="15" t="s">
        <v>41</v>
      </c>
      <c r="G235" s="15" t="s">
        <v>87</v>
      </c>
      <c r="H235" s="15" t="s">
        <v>76</v>
      </c>
      <c r="I235" s="15" t="s">
        <v>77</v>
      </c>
      <c r="J235" s="15" t="s">
        <v>88</v>
      </c>
      <c r="K235" s="15" t="s">
        <v>60</v>
      </c>
      <c r="L235" s="16" t="s">
        <v>65</v>
      </c>
      <c r="M235" s="15" t="s">
        <v>48</v>
      </c>
      <c r="N235" s="17">
        <v>452903873171</v>
      </c>
      <c r="O235" s="15">
        <v>19925369</v>
      </c>
      <c r="P235" s="18" t="s">
        <v>71</v>
      </c>
      <c r="Q235" s="18">
        <v>6</v>
      </c>
      <c r="R235" s="18">
        <v>0.47399999999999998</v>
      </c>
      <c r="S235" s="15">
        <v>74.132999999999996</v>
      </c>
      <c r="T235" s="16">
        <v>45824</v>
      </c>
      <c r="U235" s="19">
        <v>45883</v>
      </c>
      <c r="V235" s="16">
        <v>45824</v>
      </c>
      <c r="W235" s="16">
        <v>45826</v>
      </c>
      <c r="X235" s="57">
        <f t="shared" si="8"/>
        <v>45825</v>
      </c>
      <c r="Y235" s="63">
        <v>45832</v>
      </c>
      <c r="Z235" s="67">
        <v>45861</v>
      </c>
      <c r="AA235" s="71">
        <f t="shared" si="9"/>
        <v>45874</v>
      </c>
      <c r="AB235" s="20">
        <f t="shared" si="10"/>
        <v>-9</v>
      </c>
      <c r="AC235" s="20" t="s">
        <v>50</v>
      </c>
      <c r="AD235" s="21" t="s">
        <v>51</v>
      </c>
      <c r="AE235" s="21"/>
      <c r="AF235" s="22" t="s">
        <v>52</v>
      </c>
      <c r="AG235" s="23" t="s">
        <v>53</v>
      </c>
      <c r="AH235" s="24"/>
      <c r="AN235" s="24"/>
    </row>
    <row r="236" spans="1:40" ht="12.75">
      <c r="A236" s="15">
        <v>3254506</v>
      </c>
      <c r="B236" s="15" t="s">
        <v>37</v>
      </c>
      <c r="C236" s="15" t="s">
        <v>38</v>
      </c>
      <c r="D236" s="15" t="s">
        <v>85</v>
      </c>
      <c r="E236" s="15" t="s">
        <v>140</v>
      </c>
      <c r="F236" s="15" t="s">
        <v>41</v>
      </c>
      <c r="G236" s="15" t="s">
        <v>87</v>
      </c>
      <c r="H236" s="15" t="s">
        <v>76</v>
      </c>
      <c r="I236" s="15" t="s">
        <v>77</v>
      </c>
      <c r="J236" s="15" t="s">
        <v>88</v>
      </c>
      <c r="K236" s="15" t="s">
        <v>89</v>
      </c>
      <c r="L236" s="16" t="s">
        <v>90</v>
      </c>
      <c r="M236" s="15" t="s">
        <v>48</v>
      </c>
      <c r="N236" s="17">
        <v>452711175976</v>
      </c>
      <c r="O236" s="15">
        <v>19878100</v>
      </c>
      <c r="P236" s="18" t="s">
        <v>91</v>
      </c>
      <c r="Q236" s="18">
        <v>4</v>
      </c>
      <c r="R236" s="18">
        <v>0.17599999999999999</v>
      </c>
      <c r="S236" s="15">
        <v>17.891999999999999</v>
      </c>
      <c r="T236" s="16">
        <v>45824</v>
      </c>
      <c r="U236" s="19">
        <v>45883</v>
      </c>
      <c r="V236" s="16">
        <v>45824</v>
      </c>
      <c r="W236" s="16">
        <v>45826</v>
      </c>
      <c r="X236" s="57">
        <f t="shared" si="8"/>
        <v>45825</v>
      </c>
      <c r="Y236" s="63">
        <v>45832</v>
      </c>
      <c r="Z236" s="67">
        <v>45861</v>
      </c>
      <c r="AA236" s="71">
        <f t="shared" si="9"/>
        <v>45874</v>
      </c>
      <c r="AB236" s="20">
        <f t="shared" si="10"/>
        <v>-9</v>
      </c>
      <c r="AC236" s="20" t="s">
        <v>50</v>
      </c>
      <c r="AD236" s="21" t="s">
        <v>51</v>
      </c>
      <c r="AE236" s="21"/>
      <c r="AF236" s="22" t="s">
        <v>52</v>
      </c>
      <c r="AG236" s="23" t="s">
        <v>53</v>
      </c>
      <c r="AH236" s="24"/>
      <c r="AN236" s="24"/>
    </row>
    <row r="237" spans="1:40" ht="12.75">
      <c r="A237" s="15">
        <v>3254506</v>
      </c>
      <c r="B237" s="15" t="s">
        <v>37</v>
      </c>
      <c r="C237" s="15" t="s">
        <v>38</v>
      </c>
      <c r="D237" s="15" t="s">
        <v>85</v>
      </c>
      <c r="E237" s="15" t="s">
        <v>140</v>
      </c>
      <c r="F237" s="15" t="s">
        <v>41</v>
      </c>
      <c r="G237" s="15" t="s">
        <v>87</v>
      </c>
      <c r="H237" s="15" t="s">
        <v>76</v>
      </c>
      <c r="I237" s="15" t="s">
        <v>77</v>
      </c>
      <c r="J237" s="15" t="s">
        <v>88</v>
      </c>
      <c r="K237" s="15" t="s">
        <v>89</v>
      </c>
      <c r="L237" s="16" t="s">
        <v>90</v>
      </c>
      <c r="M237" s="15" t="s">
        <v>48</v>
      </c>
      <c r="N237" s="17">
        <v>452736545832</v>
      </c>
      <c r="O237" s="15">
        <v>19878576</v>
      </c>
      <c r="P237" s="18" t="s">
        <v>100</v>
      </c>
      <c r="Q237" s="18">
        <v>4</v>
      </c>
      <c r="R237" s="18">
        <v>0.32200000000000001</v>
      </c>
      <c r="S237" s="15">
        <v>23.259</v>
      </c>
      <c r="T237" s="16">
        <v>45824</v>
      </c>
      <c r="U237" s="19">
        <v>45883</v>
      </c>
      <c r="V237" s="16">
        <v>45824</v>
      </c>
      <c r="W237" s="16">
        <v>45826</v>
      </c>
      <c r="X237" s="57">
        <f t="shared" si="8"/>
        <v>45825</v>
      </c>
      <c r="Y237" s="63">
        <v>45832</v>
      </c>
      <c r="Z237" s="67">
        <v>45861</v>
      </c>
      <c r="AA237" s="71">
        <f t="shared" si="9"/>
        <v>45874</v>
      </c>
      <c r="AB237" s="20">
        <f t="shared" si="10"/>
        <v>-9</v>
      </c>
      <c r="AC237" s="20" t="s">
        <v>50</v>
      </c>
      <c r="AD237" s="21" t="s">
        <v>51</v>
      </c>
      <c r="AE237" s="21"/>
      <c r="AF237" s="22" t="s">
        <v>52</v>
      </c>
      <c r="AG237" s="23" t="s">
        <v>53</v>
      </c>
      <c r="AH237" s="24"/>
      <c r="AN237" s="24"/>
    </row>
    <row r="238" spans="1:40" ht="12.75">
      <c r="A238" s="15">
        <v>3254506</v>
      </c>
      <c r="B238" s="15" t="s">
        <v>37</v>
      </c>
      <c r="C238" s="15" t="s">
        <v>38</v>
      </c>
      <c r="D238" s="15" t="s">
        <v>85</v>
      </c>
      <c r="E238" s="15" t="s">
        <v>140</v>
      </c>
      <c r="F238" s="15" t="s">
        <v>41</v>
      </c>
      <c r="G238" s="15" t="s">
        <v>87</v>
      </c>
      <c r="H238" s="15" t="s">
        <v>76</v>
      </c>
      <c r="I238" s="15" t="s">
        <v>77</v>
      </c>
      <c r="J238" s="15" t="s">
        <v>88</v>
      </c>
      <c r="K238" s="15" t="s">
        <v>89</v>
      </c>
      <c r="L238" s="16" t="s">
        <v>90</v>
      </c>
      <c r="M238" s="15" t="s">
        <v>48</v>
      </c>
      <c r="N238" s="17">
        <v>452740193438</v>
      </c>
      <c r="O238" s="15">
        <v>19878607</v>
      </c>
      <c r="P238" s="18" t="s">
        <v>100</v>
      </c>
      <c r="Q238" s="18">
        <v>11</v>
      </c>
      <c r="R238" s="18">
        <v>0.88600000000000001</v>
      </c>
      <c r="S238" s="15">
        <v>83.268000000000001</v>
      </c>
      <c r="T238" s="16">
        <v>45824</v>
      </c>
      <c r="U238" s="19">
        <v>45883</v>
      </c>
      <c r="V238" s="16">
        <v>45824</v>
      </c>
      <c r="W238" s="16">
        <v>45826</v>
      </c>
      <c r="X238" s="57">
        <f t="shared" si="8"/>
        <v>45825</v>
      </c>
      <c r="Y238" s="63">
        <v>45832</v>
      </c>
      <c r="Z238" s="67">
        <v>45861</v>
      </c>
      <c r="AA238" s="71">
        <f t="shared" si="9"/>
        <v>45874</v>
      </c>
      <c r="AB238" s="20">
        <f t="shared" si="10"/>
        <v>-9</v>
      </c>
      <c r="AC238" s="20" t="s">
        <v>50</v>
      </c>
      <c r="AD238" s="21" t="s">
        <v>51</v>
      </c>
      <c r="AE238" s="21"/>
      <c r="AF238" s="22" t="s">
        <v>52</v>
      </c>
      <c r="AG238" s="23" t="s">
        <v>53</v>
      </c>
      <c r="AH238" s="24"/>
      <c r="AN238" s="24"/>
    </row>
    <row r="239" spans="1:40" ht="12.75">
      <c r="A239" s="15">
        <v>3254506</v>
      </c>
      <c r="B239" s="15" t="s">
        <v>37</v>
      </c>
      <c r="C239" s="15" t="s">
        <v>38</v>
      </c>
      <c r="D239" s="15" t="s">
        <v>85</v>
      </c>
      <c r="E239" s="15" t="s">
        <v>140</v>
      </c>
      <c r="F239" s="15" t="s">
        <v>41</v>
      </c>
      <c r="G239" s="15" t="s">
        <v>87</v>
      </c>
      <c r="H239" s="15" t="s">
        <v>76</v>
      </c>
      <c r="I239" s="15" t="s">
        <v>77</v>
      </c>
      <c r="J239" s="15" t="s">
        <v>88</v>
      </c>
      <c r="K239" s="15" t="s">
        <v>89</v>
      </c>
      <c r="L239" s="16" t="s">
        <v>90</v>
      </c>
      <c r="M239" s="15" t="s">
        <v>48</v>
      </c>
      <c r="N239" s="17">
        <v>452744631950</v>
      </c>
      <c r="O239" s="15">
        <v>19877438</v>
      </c>
      <c r="P239" s="18" t="s">
        <v>102</v>
      </c>
      <c r="Q239" s="18">
        <v>3</v>
      </c>
      <c r="R239" s="18">
        <v>0.13200000000000001</v>
      </c>
      <c r="S239" s="15">
        <v>13.271000000000001</v>
      </c>
      <c r="T239" s="16">
        <v>45824</v>
      </c>
      <c r="U239" s="19">
        <v>45883</v>
      </c>
      <c r="V239" s="16">
        <v>45824</v>
      </c>
      <c r="W239" s="16">
        <v>45826</v>
      </c>
      <c r="X239" s="57">
        <f t="shared" si="8"/>
        <v>45825</v>
      </c>
      <c r="Y239" s="63">
        <v>45832</v>
      </c>
      <c r="Z239" s="67">
        <v>45861</v>
      </c>
      <c r="AA239" s="71">
        <f t="shared" si="9"/>
        <v>45874</v>
      </c>
      <c r="AB239" s="20">
        <f t="shared" si="10"/>
        <v>-9</v>
      </c>
      <c r="AC239" s="20" t="s">
        <v>50</v>
      </c>
      <c r="AD239" s="21" t="s">
        <v>51</v>
      </c>
      <c r="AE239" s="21"/>
      <c r="AF239" s="22" t="s">
        <v>52</v>
      </c>
      <c r="AG239" s="23" t="s">
        <v>53</v>
      </c>
      <c r="AH239" s="24"/>
      <c r="AN239" s="24"/>
    </row>
    <row r="240" spans="1:40" ht="12.75">
      <c r="A240" s="15">
        <v>3254506</v>
      </c>
      <c r="B240" s="15" t="s">
        <v>37</v>
      </c>
      <c r="C240" s="15" t="s">
        <v>38</v>
      </c>
      <c r="D240" s="15" t="s">
        <v>85</v>
      </c>
      <c r="E240" s="15" t="s">
        <v>140</v>
      </c>
      <c r="F240" s="15" t="s">
        <v>41</v>
      </c>
      <c r="G240" s="15" t="s">
        <v>87</v>
      </c>
      <c r="H240" s="15" t="s">
        <v>76</v>
      </c>
      <c r="I240" s="15" t="s">
        <v>77</v>
      </c>
      <c r="J240" s="15" t="s">
        <v>88</v>
      </c>
      <c r="K240" s="15" t="s">
        <v>89</v>
      </c>
      <c r="L240" s="16" t="s">
        <v>90</v>
      </c>
      <c r="M240" s="15" t="s">
        <v>48</v>
      </c>
      <c r="N240" s="17">
        <v>452745107166</v>
      </c>
      <c r="O240" s="15">
        <v>19877398</v>
      </c>
      <c r="P240" s="18" t="s">
        <v>102</v>
      </c>
      <c r="Q240" s="18">
        <v>3</v>
      </c>
      <c r="R240" s="18">
        <v>0.13200000000000001</v>
      </c>
      <c r="S240" s="15">
        <v>13.035</v>
      </c>
      <c r="T240" s="16">
        <v>45824</v>
      </c>
      <c r="U240" s="19">
        <v>45883</v>
      </c>
      <c r="V240" s="16">
        <v>45824</v>
      </c>
      <c r="W240" s="16">
        <v>45826</v>
      </c>
      <c r="X240" s="57">
        <f t="shared" si="8"/>
        <v>45825</v>
      </c>
      <c r="Y240" s="63">
        <v>45832</v>
      </c>
      <c r="Z240" s="67">
        <v>45861</v>
      </c>
      <c r="AA240" s="71">
        <f t="shared" si="9"/>
        <v>45874</v>
      </c>
      <c r="AB240" s="20">
        <f t="shared" si="10"/>
        <v>-9</v>
      </c>
      <c r="AC240" s="20" t="s">
        <v>50</v>
      </c>
      <c r="AD240" s="21" t="s">
        <v>51</v>
      </c>
      <c r="AE240" s="21"/>
      <c r="AF240" s="22" t="s">
        <v>52</v>
      </c>
      <c r="AG240" s="23" t="s">
        <v>53</v>
      </c>
      <c r="AH240" s="24"/>
      <c r="AN240" s="24"/>
    </row>
    <row r="241" spans="1:40" ht="12.75">
      <c r="A241" s="15">
        <v>3254506</v>
      </c>
      <c r="B241" s="15" t="s">
        <v>37</v>
      </c>
      <c r="C241" s="15" t="s">
        <v>38</v>
      </c>
      <c r="D241" s="15" t="s">
        <v>85</v>
      </c>
      <c r="E241" s="15" t="s">
        <v>140</v>
      </c>
      <c r="F241" s="15" t="s">
        <v>41</v>
      </c>
      <c r="G241" s="15" t="s">
        <v>87</v>
      </c>
      <c r="H241" s="15" t="s">
        <v>76</v>
      </c>
      <c r="I241" s="15" t="s">
        <v>77</v>
      </c>
      <c r="J241" s="15" t="s">
        <v>88</v>
      </c>
      <c r="K241" s="15" t="s">
        <v>89</v>
      </c>
      <c r="L241" s="16" t="s">
        <v>90</v>
      </c>
      <c r="M241" s="15" t="s">
        <v>48</v>
      </c>
      <c r="N241" s="17">
        <v>452749827433</v>
      </c>
      <c r="O241" s="15">
        <v>19877568</v>
      </c>
      <c r="P241" s="18" t="s">
        <v>103</v>
      </c>
      <c r="Q241" s="18">
        <v>2</v>
      </c>
      <c r="R241" s="18">
        <v>8.7999999999999995E-2</v>
      </c>
      <c r="S241" s="15">
        <v>5.8339999999999996</v>
      </c>
      <c r="T241" s="16">
        <v>45824</v>
      </c>
      <c r="U241" s="19">
        <v>45883</v>
      </c>
      <c r="V241" s="16">
        <v>45824</v>
      </c>
      <c r="W241" s="16">
        <v>45826</v>
      </c>
      <c r="X241" s="57">
        <f t="shared" si="8"/>
        <v>45825</v>
      </c>
      <c r="Y241" s="63">
        <v>45832</v>
      </c>
      <c r="Z241" s="67">
        <v>45861</v>
      </c>
      <c r="AA241" s="71">
        <f t="shared" si="9"/>
        <v>45874</v>
      </c>
      <c r="AB241" s="20">
        <f t="shared" si="10"/>
        <v>-9</v>
      </c>
      <c r="AC241" s="20" t="s">
        <v>50</v>
      </c>
      <c r="AD241" s="21" t="s">
        <v>51</v>
      </c>
      <c r="AE241" s="21"/>
      <c r="AF241" s="22" t="s">
        <v>52</v>
      </c>
      <c r="AG241" s="23" t="s">
        <v>53</v>
      </c>
      <c r="AH241" s="24"/>
      <c r="AN241" s="24"/>
    </row>
    <row r="242" spans="1:40" ht="12.75">
      <c r="A242" s="15">
        <v>3254506</v>
      </c>
      <c r="B242" s="15" t="s">
        <v>37</v>
      </c>
      <c r="C242" s="15" t="s">
        <v>38</v>
      </c>
      <c r="D242" s="15" t="s">
        <v>85</v>
      </c>
      <c r="E242" s="15" t="s">
        <v>140</v>
      </c>
      <c r="F242" s="15" t="s">
        <v>41</v>
      </c>
      <c r="G242" s="15" t="s">
        <v>87</v>
      </c>
      <c r="H242" s="15" t="s">
        <v>76</v>
      </c>
      <c r="I242" s="15" t="s">
        <v>77</v>
      </c>
      <c r="J242" s="15" t="s">
        <v>88</v>
      </c>
      <c r="K242" s="15" t="s">
        <v>89</v>
      </c>
      <c r="L242" s="16" t="s">
        <v>90</v>
      </c>
      <c r="M242" s="15" t="s">
        <v>48</v>
      </c>
      <c r="N242" s="17">
        <v>452752403390</v>
      </c>
      <c r="O242" s="15">
        <v>19877621</v>
      </c>
      <c r="P242" s="18" t="s">
        <v>104</v>
      </c>
      <c r="Q242" s="18">
        <v>2</v>
      </c>
      <c r="R242" s="18">
        <v>8.7999999999999995E-2</v>
      </c>
      <c r="S242" s="15">
        <v>7.5389999999999997</v>
      </c>
      <c r="T242" s="16">
        <v>45824</v>
      </c>
      <c r="U242" s="19">
        <v>45883</v>
      </c>
      <c r="V242" s="16">
        <v>45824</v>
      </c>
      <c r="W242" s="16">
        <v>45826</v>
      </c>
      <c r="X242" s="57">
        <f t="shared" si="8"/>
        <v>45825</v>
      </c>
      <c r="Y242" s="63">
        <v>45832</v>
      </c>
      <c r="Z242" s="67">
        <v>45861</v>
      </c>
      <c r="AA242" s="71">
        <f t="shared" si="9"/>
        <v>45874</v>
      </c>
      <c r="AB242" s="20">
        <f t="shared" si="10"/>
        <v>-9</v>
      </c>
      <c r="AC242" s="20" t="s">
        <v>50</v>
      </c>
      <c r="AD242" s="21" t="s">
        <v>51</v>
      </c>
      <c r="AE242" s="21"/>
      <c r="AF242" s="22" t="s">
        <v>52</v>
      </c>
      <c r="AG242" s="23" t="s">
        <v>53</v>
      </c>
      <c r="AH242" s="24"/>
      <c r="AN242" s="24"/>
    </row>
    <row r="243" spans="1:40" ht="12.75">
      <c r="A243" s="15">
        <v>3254506</v>
      </c>
      <c r="B243" s="15" t="s">
        <v>37</v>
      </c>
      <c r="C243" s="15" t="s">
        <v>38</v>
      </c>
      <c r="D243" s="15" t="s">
        <v>85</v>
      </c>
      <c r="E243" s="15" t="s">
        <v>140</v>
      </c>
      <c r="F243" s="15" t="s">
        <v>41</v>
      </c>
      <c r="G243" s="15" t="s">
        <v>87</v>
      </c>
      <c r="H243" s="15" t="s">
        <v>76</v>
      </c>
      <c r="I243" s="15" t="s">
        <v>77</v>
      </c>
      <c r="J243" s="15" t="s">
        <v>88</v>
      </c>
      <c r="K243" s="15" t="s">
        <v>89</v>
      </c>
      <c r="L243" s="16" t="s">
        <v>90</v>
      </c>
      <c r="M243" s="15" t="s">
        <v>48</v>
      </c>
      <c r="N243" s="17">
        <v>452759324840</v>
      </c>
      <c r="O243" s="15">
        <v>19877743</v>
      </c>
      <c r="P243" s="18" t="s">
        <v>105</v>
      </c>
      <c r="Q243" s="18">
        <v>2</v>
      </c>
      <c r="R243" s="18">
        <v>8.7999999999999995E-2</v>
      </c>
      <c r="S243" s="15">
        <v>8.5559999999999992</v>
      </c>
      <c r="T243" s="16">
        <v>45824</v>
      </c>
      <c r="U243" s="19">
        <v>45883</v>
      </c>
      <c r="V243" s="16">
        <v>45824</v>
      </c>
      <c r="W243" s="16">
        <v>45826</v>
      </c>
      <c r="X243" s="57">
        <f t="shared" si="8"/>
        <v>45825</v>
      </c>
      <c r="Y243" s="63">
        <v>45832</v>
      </c>
      <c r="Z243" s="67">
        <v>45861</v>
      </c>
      <c r="AA243" s="71">
        <f t="shared" si="9"/>
        <v>45874</v>
      </c>
      <c r="AB243" s="20">
        <f t="shared" si="10"/>
        <v>-9</v>
      </c>
      <c r="AC243" s="20" t="s">
        <v>50</v>
      </c>
      <c r="AD243" s="21" t="s">
        <v>51</v>
      </c>
      <c r="AE243" s="21"/>
      <c r="AF243" s="22" t="s">
        <v>52</v>
      </c>
      <c r="AG243" s="23" t="s">
        <v>53</v>
      </c>
      <c r="AH243" s="24"/>
      <c r="AN243" s="24"/>
    </row>
    <row r="244" spans="1:40" ht="12.75">
      <c r="A244" s="15">
        <v>3254506</v>
      </c>
      <c r="B244" s="15" t="s">
        <v>37</v>
      </c>
      <c r="C244" s="15" t="s">
        <v>38</v>
      </c>
      <c r="D244" s="15" t="s">
        <v>85</v>
      </c>
      <c r="E244" s="15" t="s">
        <v>140</v>
      </c>
      <c r="F244" s="15" t="s">
        <v>41</v>
      </c>
      <c r="G244" s="15" t="s">
        <v>87</v>
      </c>
      <c r="H244" s="15" t="s">
        <v>76</v>
      </c>
      <c r="I244" s="15" t="s">
        <v>77</v>
      </c>
      <c r="J244" s="15" t="s">
        <v>88</v>
      </c>
      <c r="K244" s="15" t="s">
        <v>89</v>
      </c>
      <c r="L244" s="16" t="s">
        <v>90</v>
      </c>
      <c r="M244" s="15" t="s">
        <v>48</v>
      </c>
      <c r="N244" s="17">
        <v>452767134024</v>
      </c>
      <c r="O244" s="15">
        <v>19877486</v>
      </c>
      <c r="P244" s="18" t="s">
        <v>107</v>
      </c>
      <c r="Q244" s="18">
        <v>3</v>
      </c>
      <c r="R244" s="18">
        <v>0.13200000000000001</v>
      </c>
      <c r="S244" s="15">
        <v>15.645</v>
      </c>
      <c r="T244" s="16">
        <v>45824</v>
      </c>
      <c r="U244" s="19">
        <v>45883</v>
      </c>
      <c r="V244" s="16">
        <v>45824</v>
      </c>
      <c r="W244" s="16">
        <v>45826</v>
      </c>
      <c r="X244" s="57">
        <f t="shared" si="8"/>
        <v>45825</v>
      </c>
      <c r="Y244" s="63">
        <v>45832</v>
      </c>
      <c r="Z244" s="67">
        <v>45861</v>
      </c>
      <c r="AA244" s="71">
        <f t="shared" si="9"/>
        <v>45874</v>
      </c>
      <c r="AB244" s="20">
        <f t="shared" si="10"/>
        <v>-9</v>
      </c>
      <c r="AC244" s="20" t="s">
        <v>50</v>
      </c>
      <c r="AD244" s="21" t="s">
        <v>51</v>
      </c>
      <c r="AE244" s="21"/>
      <c r="AF244" s="22" t="s">
        <v>52</v>
      </c>
      <c r="AG244" s="23" t="s">
        <v>53</v>
      </c>
      <c r="AH244" s="24"/>
      <c r="AN244" s="24"/>
    </row>
    <row r="245" spans="1:40" ht="12.75">
      <c r="A245" s="15">
        <v>3254506</v>
      </c>
      <c r="B245" s="15" t="s">
        <v>37</v>
      </c>
      <c r="C245" s="15" t="s">
        <v>38</v>
      </c>
      <c r="D245" s="15" t="s">
        <v>85</v>
      </c>
      <c r="E245" s="15" t="s">
        <v>140</v>
      </c>
      <c r="F245" s="15" t="s">
        <v>41</v>
      </c>
      <c r="G245" s="15" t="s">
        <v>87</v>
      </c>
      <c r="H245" s="15" t="s">
        <v>76</v>
      </c>
      <c r="I245" s="15" t="s">
        <v>77</v>
      </c>
      <c r="J245" s="15" t="s">
        <v>88</v>
      </c>
      <c r="K245" s="15" t="s">
        <v>89</v>
      </c>
      <c r="L245" s="16" t="s">
        <v>90</v>
      </c>
      <c r="M245" s="15" t="s">
        <v>48</v>
      </c>
      <c r="N245" s="17">
        <v>452775582660</v>
      </c>
      <c r="O245" s="15">
        <v>19877643</v>
      </c>
      <c r="P245" s="18" t="s">
        <v>108</v>
      </c>
      <c r="Q245" s="18">
        <v>3</v>
      </c>
      <c r="R245" s="18">
        <v>0.13200000000000001</v>
      </c>
      <c r="S245" s="15">
        <v>7.6950000000000003</v>
      </c>
      <c r="T245" s="16">
        <v>45824</v>
      </c>
      <c r="U245" s="19">
        <v>45883</v>
      </c>
      <c r="V245" s="16">
        <v>45824</v>
      </c>
      <c r="W245" s="16">
        <v>45826</v>
      </c>
      <c r="X245" s="57">
        <f t="shared" si="8"/>
        <v>45825</v>
      </c>
      <c r="Y245" s="63">
        <v>45832</v>
      </c>
      <c r="Z245" s="67">
        <v>45861</v>
      </c>
      <c r="AA245" s="71">
        <f t="shared" si="9"/>
        <v>45874</v>
      </c>
      <c r="AB245" s="20">
        <f t="shared" si="10"/>
        <v>-9</v>
      </c>
      <c r="AC245" s="20" t="s">
        <v>50</v>
      </c>
      <c r="AD245" s="21" t="s">
        <v>51</v>
      </c>
      <c r="AE245" s="21"/>
      <c r="AF245" s="22" t="s">
        <v>52</v>
      </c>
      <c r="AG245" s="23" t="s">
        <v>53</v>
      </c>
      <c r="AH245" s="24"/>
      <c r="AN245" s="24"/>
    </row>
    <row r="246" spans="1:40" ht="12.75">
      <c r="A246" s="15">
        <v>3254506</v>
      </c>
      <c r="B246" s="15" t="s">
        <v>37</v>
      </c>
      <c r="C246" s="15" t="s">
        <v>38</v>
      </c>
      <c r="D246" s="15" t="s">
        <v>85</v>
      </c>
      <c r="E246" s="15" t="s">
        <v>140</v>
      </c>
      <c r="F246" s="15" t="s">
        <v>41</v>
      </c>
      <c r="G246" s="15" t="s">
        <v>87</v>
      </c>
      <c r="H246" s="15" t="s">
        <v>76</v>
      </c>
      <c r="I246" s="15" t="s">
        <v>77</v>
      </c>
      <c r="J246" s="15" t="s">
        <v>88</v>
      </c>
      <c r="K246" s="15" t="s">
        <v>89</v>
      </c>
      <c r="L246" s="16" t="s">
        <v>90</v>
      </c>
      <c r="M246" s="15" t="s">
        <v>48</v>
      </c>
      <c r="N246" s="17">
        <v>452850728949</v>
      </c>
      <c r="O246" s="15">
        <v>19877788</v>
      </c>
      <c r="P246" s="18" t="s">
        <v>106</v>
      </c>
      <c r="Q246" s="18">
        <v>3</v>
      </c>
      <c r="R246" s="18">
        <v>0.13200000000000001</v>
      </c>
      <c r="S246" s="15">
        <v>13.548</v>
      </c>
      <c r="T246" s="16">
        <v>45824</v>
      </c>
      <c r="U246" s="19">
        <v>45883</v>
      </c>
      <c r="V246" s="16">
        <v>45824</v>
      </c>
      <c r="W246" s="16">
        <v>45826</v>
      </c>
      <c r="X246" s="57">
        <f t="shared" si="8"/>
        <v>45825</v>
      </c>
      <c r="Y246" s="63">
        <v>45832</v>
      </c>
      <c r="Z246" s="67">
        <v>45861</v>
      </c>
      <c r="AA246" s="71">
        <f t="shared" si="9"/>
        <v>45874</v>
      </c>
      <c r="AB246" s="20">
        <f t="shared" si="10"/>
        <v>-9</v>
      </c>
      <c r="AC246" s="20" t="s">
        <v>50</v>
      </c>
      <c r="AD246" s="21" t="s">
        <v>51</v>
      </c>
      <c r="AE246" s="21"/>
      <c r="AF246" s="22" t="s">
        <v>52</v>
      </c>
      <c r="AG246" s="23" t="s">
        <v>53</v>
      </c>
      <c r="AH246" s="24"/>
      <c r="AN246" s="24"/>
    </row>
    <row r="247" spans="1:40" ht="12.75">
      <c r="A247" s="15">
        <v>3254506</v>
      </c>
      <c r="B247" s="15" t="s">
        <v>37</v>
      </c>
      <c r="C247" s="15" t="s">
        <v>38</v>
      </c>
      <c r="D247" s="15" t="s">
        <v>85</v>
      </c>
      <c r="E247" s="15" t="s">
        <v>140</v>
      </c>
      <c r="F247" s="15" t="s">
        <v>41</v>
      </c>
      <c r="G247" s="15" t="s">
        <v>87</v>
      </c>
      <c r="H247" s="15" t="s">
        <v>76</v>
      </c>
      <c r="I247" s="15" t="s">
        <v>77</v>
      </c>
      <c r="J247" s="15" t="s">
        <v>88</v>
      </c>
      <c r="K247" s="15" t="s">
        <v>46</v>
      </c>
      <c r="L247" s="16" t="s">
        <v>47</v>
      </c>
      <c r="M247" s="15" t="s">
        <v>48</v>
      </c>
      <c r="N247" s="17">
        <v>452516737431</v>
      </c>
      <c r="O247" s="15">
        <v>19855823</v>
      </c>
      <c r="P247" s="18" t="s">
        <v>49</v>
      </c>
      <c r="Q247" s="18">
        <v>26</v>
      </c>
      <c r="R247" s="18">
        <v>2.1459999999999999</v>
      </c>
      <c r="S247" s="15">
        <v>461.72</v>
      </c>
      <c r="T247" s="16">
        <v>45824</v>
      </c>
      <c r="U247" s="19">
        <v>45883</v>
      </c>
      <c r="V247" s="16">
        <v>45824</v>
      </c>
      <c r="W247" s="16">
        <v>45826</v>
      </c>
      <c r="X247" s="57">
        <f t="shared" si="8"/>
        <v>45825</v>
      </c>
      <c r="Y247" s="63">
        <v>45832</v>
      </c>
      <c r="Z247" s="67">
        <v>45861</v>
      </c>
      <c r="AA247" s="71">
        <f t="shared" si="9"/>
        <v>45874</v>
      </c>
      <c r="AB247" s="20">
        <f t="shared" si="10"/>
        <v>-9</v>
      </c>
      <c r="AC247" s="20" t="s">
        <v>50</v>
      </c>
      <c r="AD247" s="21" t="s">
        <v>51</v>
      </c>
      <c r="AE247" s="21"/>
      <c r="AF247" s="22" t="s">
        <v>52</v>
      </c>
      <c r="AG247" s="23" t="s">
        <v>53</v>
      </c>
      <c r="AH247" s="24"/>
      <c r="AN247" s="24"/>
    </row>
    <row r="248" spans="1:40" ht="12.75">
      <c r="A248" s="15">
        <v>3254506</v>
      </c>
      <c r="B248" s="15" t="s">
        <v>37</v>
      </c>
      <c r="C248" s="15" t="s">
        <v>38</v>
      </c>
      <c r="D248" s="15" t="s">
        <v>85</v>
      </c>
      <c r="E248" s="15" t="s">
        <v>140</v>
      </c>
      <c r="F248" s="15" t="s">
        <v>41</v>
      </c>
      <c r="G248" s="15" t="s">
        <v>87</v>
      </c>
      <c r="H248" s="15" t="s">
        <v>76</v>
      </c>
      <c r="I248" s="15" t="s">
        <v>77</v>
      </c>
      <c r="J248" s="15" t="s">
        <v>88</v>
      </c>
      <c r="K248" s="15" t="s">
        <v>46</v>
      </c>
      <c r="L248" s="16" t="s">
        <v>47</v>
      </c>
      <c r="M248" s="15" t="s">
        <v>48</v>
      </c>
      <c r="N248" s="17">
        <v>452517477928</v>
      </c>
      <c r="O248" s="15">
        <v>19855825</v>
      </c>
      <c r="P248" s="18" t="s">
        <v>49</v>
      </c>
      <c r="Q248" s="18">
        <v>21</v>
      </c>
      <c r="R248" s="18">
        <v>1.6930000000000001</v>
      </c>
      <c r="S248" s="15">
        <v>350.46</v>
      </c>
      <c r="T248" s="16">
        <v>45824</v>
      </c>
      <c r="U248" s="19">
        <v>45883</v>
      </c>
      <c r="V248" s="16">
        <v>45824</v>
      </c>
      <c r="W248" s="16">
        <v>45826</v>
      </c>
      <c r="X248" s="57">
        <f t="shared" si="8"/>
        <v>45825</v>
      </c>
      <c r="Y248" s="63">
        <v>45832</v>
      </c>
      <c r="Z248" s="67">
        <v>45861</v>
      </c>
      <c r="AA248" s="71">
        <f t="shared" si="9"/>
        <v>45874</v>
      </c>
      <c r="AB248" s="20">
        <f t="shared" si="10"/>
        <v>-9</v>
      </c>
      <c r="AC248" s="20" t="s">
        <v>50</v>
      </c>
      <c r="AD248" s="21" t="s">
        <v>51</v>
      </c>
      <c r="AE248" s="21"/>
      <c r="AF248" s="22" t="s">
        <v>52</v>
      </c>
      <c r="AG248" s="23" t="s">
        <v>53</v>
      </c>
      <c r="AH248" s="24"/>
      <c r="AN248" s="24"/>
    </row>
    <row r="249" spans="1:40" ht="12.75">
      <c r="A249" s="15">
        <v>3254506</v>
      </c>
      <c r="B249" s="15" t="s">
        <v>37</v>
      </c>
      <c r="C249" s="15" t="s">
        <v>38</v>
      </c>
      <c r="D249" s="15" t="s">
        <v>85</v>
      </c>
      <c r="E249" s="15" t="s">
        <v>140</v>
      </c>
      <c r="F249" s="15" t="s">
        <v>41</v>
      </c>
      <c r="G249" s="15" t="s">
        <v>87</v>
      </c>
      <c r="H249" s="15" t="s">
        <v>76</v>
      </c>
      <c r="I249" s="15" t="s">
        <v>77</v>
      </c>
      <c r="J249" s="15" t="s">
        <v>88</v>
      </c>
      <c r="K249" s="15" t="s">
        <v>46</v>
      </c>
      <c r="L249" s="16" t="s">
        <v>55</v>
      </c>
      <c r="M249" s="15" t="s">
        <v>48</v>
      </c>
      <c r="N249" s="17">
        <v>452016338555</v>
      </c>
      <c r="O249" s="15">
        <v>19897678</v>
      </c>
      <c r="P249" s="18" t="s">
        <v>56</v>
      </c>
      <c r="Q249" s="18">
        <v>13</v>
      </c>
      <c r="R249" s="18">
        <v>1.0209999999999999</v>
      </c>
      <c r="S249" s="15">
        <v>142.51</v>
      </c>
      <c r="T249" s="16">
        <v>45824</v>
      </c>
      <c r="U249" s="19">
        <v>45883</v>
      </c>
      <c r="V249" s="16">
        <v>45824</v>
      </c>
      <c r="W249" s="16">
        <v>45826</v>
      </c>
      <c r="X249" s="57">
        <f t="shared" si="8"/>
        <v>45825</v>
      </c>
      <c r="Y249" s="63">
        <v>45832</v>
      </c>
      <c r="Z249" s="67">
        <v>45861</v>
      </c>
      <c r="AA249" s="71">
        <f t="shared" si="9"/>
        <v>45874</v>
      </c>
      <c r="AB249" s="20">
        <f t="shared" si="10"/>
        <v>-9</v>
      </c>
      <c r="AC249" s="20" t="s">
        <v>50</v>
      </c>
      <c r="AD249" s="21" t="s">
        <v>51</v>
      </c>
      <c r="AE249" s="21"/>
      <c r="AF249" s="22" t="s">
        <v>52</v>
      </c>
      <c r="AG249" s="23" t="s">
        <v>53</v>
      </c>
      <c r="AH249" s="24"/>
      <c r="AN249" s="24"/>
    </row>
    <row r="250" spans="1:40" ht="12.75">
      <c r="A250" s="15">
        <v>3254506</v>
      </c>
      <c r="B250" s="15" t="s">
        <v>37</v>
      </c>
      <c r="C250" s="15" t="s">
        <v>38</v>
      </c>
      <c r="D250" s="15" t="s">
        <v>85</v>
      </c>
      <c r="E250" s="15" t="s">
        <v>140</v>
      </c>
      <c r="F250" s="15" t="s">
        <v>41</v>
      </c>
      <c r="G250" s="15" t="s">
        <v>87</v>
      </c>
      <c r="H250" s="15" t="s">
        <v>76</v>
      </c>
      <c r="I250" s="15" t="s">
        <v>77</v>
      </c>
      <c r="J250" s="15" t="s">
        <v>88</v>
      </c>
      <c r="K250" s="15" t="s">
        <v>46</v>
      </c>
      <c r="L250" s="16" t="s">
        <v>55</v>
      </c>
      <c r="M250" s="15" t="s">
        <v>48</v>
      </c>
      <c r="N250" s="17">
        <v>452017063440</v>
      </c>
      <c r="O250" s="15">
        <v>19897689</v>
      </c>
      <c r="P250" s="18" t="s">
        <v>56</v>
      </c>
      <c r="Q250" s="18">
        <v>28</v>
      </c>
      <c r="R250" s="18">
        <v>2.198</v>
      </c>
      <c r="S250" s="15">
        <v>302.33</v>
      </c>
      <c r="T250" s="16">
        <v>45824</v>
      </c>
      <c r="U250" s="19">
        <v>45883</v>
      </c>
      <c r="V250" s="16">
        <v>45824</v>
      </c>
      <c r="W250" s="16">
        <v>45826</v>
      </c>
      <c r="X250" s="57">
        <f t="shared" si="8"/>
        <v>45825</v>
      </c>
      <c r="Y250" s="63">
        <v>45832</v>
      </c>
      <c r="Z250" s="67">
        <v>45861</v>
      </c>
      <c r="AA250" s="71">
        <f t="shared" si="9"/>
        <v>45874</v>
      </c>
      <c r="AB250" s="20">
        <f t="shared" si="10"/>
        <v>-9</v>
      </c>
      <c r="AC250" s="20" t="s">
        <v>50</v>
      </c>
      <c r="AD250" s="21" t="s">
        <v>51</v>
      </c>
      <c r="AE250" s="21"/>
      <c r="AF250" s="22" t="s">
        <v>52</v>
      </c>
      <c r="AG250" s="23" t="s">
        <v>53</v>
      </c>
      <c r="AH250" s="24"/>
      <c r="AN250" s="24"/>
    </row>
    <row r="251" spans="1:40" ht="12.75">
      <c r="A251" s="15">
        <v>3254506</v>
      </c>
      <c r="B251" s="15" t="s">
        <v>37</v>
      </c>
      <c r="C251" s="15" t="s">
        <v>38</v>
      </c>
      <c r="D251" s="15" t="s">
        <v>85</v>
      </c>
      <c r="E251" s="15" t="s">
        <v>140</v>
      </c>
      <c r="F251" s="15" t="s">
        <v>41</v>
      </c>
      <c r="G251" s="15" t="s">
        <v>87</v>
      </c>
      <c r="H251" s="15" t="s">
        <v>76</v>
      </c>
      <c r="I251" s="15" t="s">
        <v>77</v>
      </c>
      <c r="J251" s="15" t="s">
        <v>88</v>
      </c>
      <c r="K251" s="15" t="s">
        <v>46</v>
      </c>
      <c r="L251" s="16" t="s">
        <v>55</v>
      </c>
      <c r="M251" s="15" t="s">
        <v>48</v>
      </c>
      <c r="N251" s="17">
        <v>452521447192</v>
      </c>
      <c r="O251" s="15">
        <v>19897598</v>
      </c>
      <c r="P251" s="18" t="s">
        <v>141</v>
      </c>
      <c r="Q251" s="18">
        <v>21</v>
      </c>
      <c r="R251" s="18">
        <v>1.649</v>
      </c>
      <c r="S251" s="15">
        <v>234.33</v>
      </c>
      <c r="T251" s="16">
        <v>45824</v>
      </c>
      <c r="U251" s="19">
        <v>45883</v>
      </c>
      <c r="V251" s="16">
        <v>45824</v>
      </c>
      <c r="W251" s="16">
        <v>45826</v>
      </c>
      <c r="X251" s="57">
        <f t="shared" si="8"/>
        <v>45825</v>
      </c>
      <c r="Y251" s="63">
        <v>45832</v>
      </c>
      <c r="Z251" s="67">
        <v>45861</v>
      </c>
      <c r="AA251" s="71">
        <f t="shared" si="9"/>
        <v>45874</v>
      </c>
      <c r="AB251" s="20">
        <f t="shared" si="10"/>
        <v>-9</v>
      </c>
      <c r="AC251" s="20" t="s">
        <v>50</v>
      </c>
      <c r="AD251" s="21" t="s">
        <v>51</v>
      </c>
      <c r="AE251" s="21"/>
      <c r="AF251" s="22" t="s">
        <v>52</v>
      </c>
      <c r="AG251" s="23" t="s">
        <v>53</v>
      </c>
      <c r="AH251" s="24"/>
      <c r="AN251" s="24"/>
    </row>
    <row r="252" spans="1:40" ht="12.75">
      <c r="A252" s="15">
        <v>3254506</v>
      </c>
      <c r="B252" s="15" t="s">
        <v>37</v>
      </c>
      <c r="C252" s="15" t="s">
        <v>38</v>
      </c>
      <c r="D252" s="15" t="s">
        <v>85</v>
      </c>
      <c r="E252" s="15" t="s">
        <v>140</v>
      </c>
      <c r="F252" s="15" t="s">
        <v>41</v>
      </c>
      <c r="G252" s="15" t="s">
        <v>87</v>
      </c>
      <c r="H252" s="15" t="s">
        <v>76</v>
      </c>
      <c r="I252" s="15" t="s">
        <v>77</v>
      </c>
      <c r="J252" s="15" t="s">
        <v>88</v>
      </c>
      <c r="K252" s="15" t="s">
        <v>60</v>
      </c>
      <c r="L252" s="16" t="s">
        <v>63</v>
      </c>
      <c r="M252" s="15" t="s">
        <v>48</v>
      </c>
      <c r="N252" s="17">
        <v>452924604893</v>
      </c>
      <c r="O252" s="15">
        <v>19899969</v>
      </c>
      <c r="P252" s="18" t="s">
        <v>142</v>
      </c>
      <c r="Q252" s="18">
        <v>2</v>
      </c>
      <c r="R252" s="18">
        <v>0.11799999999999999</v>
      </c>
      <c r="S252" s="15">
        <v>10.401999999999999</v>
      </c>
      <c r="T252" s="16">
        <v>45824</v>
      </c>
      <c r="U252" s="19">
        <v>45883</v>
      </c>
      <c r="V252" s="16">
        <v>45824</v>
      </c>
      <c r="W252" s="16">
        <v>45826</v>
      </c>
      <c r="X252" s="57">
        <f t="shared" si="8"/>
        <v>45825</v>
      </c>
      <c r="Y252" s="63">
        <v>45832</v>
      </c>
      <c r="Z252" s="67">
        <v>45861</v>
      </c>
      <c r="AA252" s="71">
        <f t="shared" si="9"/>
        <v>45874</v>
      </c>
      <c r="AB252" s="20">
        <f t="shared" si="10"/>
        <v>-9</v>
      </c>
      <c r="AC252" s="20" t="s">
        <v>50</v>
      </c>
      <c r="AD252" s="21" t="s">
        <v>51</v>
      </c>
      <c r="AE252" s="21"/>
      <c r="AF252" s="22" t="s">
        <v>52</v>
      </c>
      <c r="AG252" s="23" t="s">
        <v>53</v>
      </c>
      <c r="AH252" s="24"/>
      <c r="AN252" s="24"/>
    </row>
    <row r="253" spans="1:40" ht="12.75">
      <c r="A253" s="15">
        <v>3254506</v>
      </c>
      <c r="B253" s="15" t="s">
        <v>37</v>
      </c>
      <c r="C253" s="15" t="s">
        <v>38</v>
      </c>
      <c r="D253" s="15" t="s">
        <v>85</v>
      </c>
      <c r="E253" s="15" t="s">
        <v>140</v>
      </c>
      <c r="F253" s="15" t="s">
        <v>41</v>
      </c>
      <c r="G253" s="15" t="s">
        <v>87</v>
      </c>
      <c r="H253" s="15" t="s">
        <v>76</v>
      </c>
      <c r="I253" s="15" t="s">
        <v>77</v>
      </c>
      <c r="J253" s="15" t="s">
        <v>88</v>
      </c>
      <c r="K253" s="15" t="s">
        <v>60</v>
      </c>
      <c r="L253" s="16" t="s">
        <v>124</v>
      </c>
      <c r="M253" s="15" t="s">
        <v>48</v>
      </c>
      <c r="N253" s="17">
        <v>452834851376</v>
      </c>
      <c r="O253" s="15">
        <v>19899418</v>
      </c>
      <c r="P253" s="18" t="s">
        <v>125</v>
      </c>
      <c r="Q253" s="18">
        <v>7</v>
      </c>
      <c r="R253" s="18">
        <v>0.55500000000000005</v>
      </c>
      <c r="S253" s="15">
        <v>103.72</v>
      </c>
      <c r="T253" s="16">
        <v>45824</v>
      </c>
      <c r="U253" s="19">
        <v>45883</v>
      </c>
      <c r="V253" s="16">
        <v>45824</v>
      </c>
      <c r="W253" s="16">
        <v>45826</v>
      </c>
      <c r="X253" s="57">
        <f t="shared" si="8"/>
        <v>45825</v>
      </c>
      <c r="Y253" s="63">
        <v>45832</v>
      </c>
      <c r="Z253" s="67">
        <v>45861</v>
      </c>
      <c r="AA253" s="71">
        <f t="shared" si="9"/>
        <v>45874</v>
      </c>
      <c r="AB253" s="20">
        <f t="shared" si="10"/>
        <v>-9</v>
      </c>
      <c r="AC253" s="20" t="s">
        <v>50</v>
      </c>
      <c r="AD253" s="21" t="s">
        <v>51</v>
      </c>
      <c r="AE253" s="21"/>
      <c r="AF253" s="22" t="s">
        <v>52</v>
      </c>
      <c r="AG253" s="23" t="s">
        <v>53</v>
      </c>
      <c r="AH253" s="24"/>
      <c r="AN253" s="24"/>
    </row>
    <row r="254" spans="1:40" ht="12.75">
      <c r="A254" s="15">
        <v>3254506</v>
      </c>
      <c r="B254" s="15" t="s">
        <v>37</v>
      </c>
      <c r="C254" s="15" t="s">
        <v>38</v>
      </c>
      <c r="D254" s="15" t="s">
        <v>85</v>
      </c>
      <c r="E254" s="15" t="s">
        <v>140</v>
      </c>
      <c r="F254" s="15" t="s">
        <v>41</v>
      </c>
      <c r="G254" s="15" t="s">
        <v>87</v>
      </c>
      <c r="H254" s="15" t="s">
        <v>76</v>
      </c>
      <c r="I254" s="15" t="s">
        <v>77</v>
      </c>
      <c r="J254" s="15" t="s">
        <v>88</v>
      </c>
      <c r="K254" s="15" t="s">
        <v>60</v>
      </c>
      <c r="L254" s="16" t="s">
        <v>124</v>
      </c>
      <c r="M254" s="15" t="s">
        <v>48</v>
      </c>
      <c r="N254" s="17">
        <v>452835956203</v>
      </c>
      <c r="O254" s="15">
        <v>19899456</v>
      </c>
      <c r="P254" s="18" t="s">
        <v>133</v>
      </c>
      <c r="Q254" s="18">
        <v>3</v>
      </c>
      <c r="R254" s="18">
        <v>0.23799999999999999</v>
      </c>
      <c r="S254" s="15">
        <v>35.78</v>
      </c>
      <c r="T254" s="16">
        <v>45824</v>
      </c>
      <c r="U254" s="19">
        <v>45883</v>
      </c>
      <c r="V254" s="16">
        <v>45824</v>
      </c>
      <c r="W254" s="16">
        <v>45826</v>
      </c>
      <c r="X254" s="57">
        <f t="shared" si="8"/>
        <v>45825</v>
      </c>
      <c r="Y254" s="63">
        <v>45832</v>
      </c>
      <c r="Z254" s="67">
        <v>45861</v>
      </c>
      <c r="AA254" s="71">
        <f t="shared" si="9"/>
        <v>45874</v>
      </c>
      <c r="AB254" s="20">
        <f t="shared" si="10"/>
        <v>-9</v>
      </c>
      <c r="AC254" s="20" t="s">
        <v>50</v>
      </c>
      <c r="AD254" s="21" t="s">
        <v>51</v>
      </c>
      <c r="AE254" s="21"/>
      <c r="AF254" s="22" t="s">
        <v>52</v>
      </c>
      <c r="AG254" s="23" t="s">
        <v>53</v>
      </c>
      <c r="AH254" s="24"/>
      <c r="AN254" s="24"/>
    </row>
    <row r="255" spans="1:40" ht="12.75">
      <c r="A255" s="15">
        <v>3254506</v>
      </c>
      <c r="B255" s="15" t="s">
        <v>37</v>
      </c>
      <c r="C255" s="15" t="s">
        <v>38</v>
      </c>
      <c r="D255" s="15" t="s">
        <v>85</v>
      </c>
      <c r="E255" s="15" t="s">
        <v>140</v>
      </c>
      <c r="F255" s="15" t="s">
        <v>41</v>
      </c>
      <c r="G255" s="15" t="s">
        <v>87</v>
      </c>
      <c r="H255" s="15" t="s">
        <v>76</v>
      </c>
      <c r="I255" s="15" t="s">
        <v>77</v>
      </c>
      <c r="J255" s="15" t="s">
        <v>88</v>
      </c>
      <c r="K255" s="15" t="s">
        <v>60</v>
      </c>
      <c r="L255" s="16" t="s">
        <v>124</v>
      </c>
      <c r="M255" s="15" t="s">
        <v>48</v>
      </c>
      <c r="N255" s="17">
        <v>452835957463</v>
      </c>
      <c r="O255" s="15">
        <v>19899496</v>
      </c>
      <c r="P255" s="18" t="s">
        <v>129</v>
      </c>
      <c r="Q255" s="18">
        <v>2</v>
      </c>
      <c r="R255" s="18">
        <v>0.11899999999999999</v>
      </c>
      <c r="S255" s="15">
        <v>16.43</v>
      </c>
      <c r="T255" s="16">
        <v>45824</v>
      </c>
      <c r="U255" s="19">
        <v>45888</v>
      </c>
      <c r="V255" s="16">
        <v>45824</v>
      </c>
      <c r="W255" s="16">
        <v>45826</v>
      </c>
      <c r="X255" s="57">
        <f t="shared" si="8"/>
        <v>45825</v>
      </c>
      <c r="Y255" s="63">
        <v>45832</v>
      </c>
      <c r="Z255" s="67">
        <v>45861</v>
      </c>
      <c r="AA255" s="71">
        <f t="shared" si="9"/>
        <v>45874</v>
      </c>
      <c r="AB255" s="20">
        <f t="shared" si="10"/>
        <v>-14</v>
      </c>
      <c r="AC255" s="20" t="s">
        <v>50</v>
      </c>
      <c r="AD255" s="21" t="s">
        <v>51</v>
      </c>
      <c r="AE255" s="21"/>
      <c r="AF255" s="22" t="s">
        <v>52</v>
      </c>
      <c r="AG255" s="23" t="s">
        <v>53</v>
      </c>
      <c r="AH255" s="24"/>
      <c r="AN255" s="24"/>
    </row>
    <row r="256" spans="1:40" ht="12.75">
      <c r="A256" s="15">
        <v>3254506</v>
      </c>
      <c r="B256" s="15" t="s">
        <v>37</v>
      </c>
      <c r="C256" s="15" t="s">
        <v>38</v>
      </c>
      <c r="D256" s="15" t="s">
        <v>85</v>
      </c>
      <c r="E256" s="15" t="s">
        <v>140</v>
      </c>
      <c r="F256" s="15" t="s">
        <v>41</v>
      </c>
      <c r="G256" s="15" t="s">
        <v>87</v>
      </c>
      <c r="H256" s="15" t="s">
        <v>76</v>
      </c>
      <c r="I256" s="15" t="s">
        <v>77</v>
      </c>
      <c r="J256" s="15" t="s">
        <v>88</v>
      </c>
      <c r="K256" s="15" t="s">
        <v>60</v>
      </c>
      <c r="L256" s="16" t="s">
        <v>124</v>
      </c>
      <c r="M256" s="15" t="s">
        <v>48</v>
      </c>
      <c r="N256" s="17">
        <v>452837963387</v>
      </c>
      <c r="O256" s="15">
        <v>19899504</v>
      </c>
      <c r="P256" s="18" t="s">
        <v>131</v>
      </c>
      <c r="Q256" s="18">
        <v>16</v>
      </c>
      <c r="R256" s="18">
        <v>1.2689999999999999</v>
      </c>
      <c r="S256" s="15">
        <v>231.89</v>
      </c>
      <c r="T256" s="16">
        <v>45824</v>
      </c>
      <c r="U256" s="19">
        <v>45883</v>
      </c>
      <c r="V256" s="16">
        <v>45824</v>
      </c>
      <c r="W256" s="16">
        <v>45826</v>
      </c>
      <c r="X256" s="57">
        <f t="shared" si="8"/>
        <v>45825</v>
      </c>
      <c r="Y256" s="63">
        <v>45832</v>
      </c>
      <c r="Z256" s="67">
        <v>45861</v>
      </c>
      <c r="AA256" s="71">
        <f t="shared" si="9"/>
        <v>45874</v>
      </c>
      <c r="AB256" s="20">
        <f t="shared" si="10"/>
        <v>-9</v>
      </c>
      <c r="AC256" s="20" t="s">
        <v>50</v>
      </c>
      <c r="AD256" s="21" t="s">
        <v>51</v>
      </c>
      <c r="AE256" s="21"/>
      <c r="AF256" s="22" t="s">
        <v>52</v>
      </c>
      <c r="AG256" s="23" t="s">
        <v>53</v>
      </c>
      <c r="AH256" s="24"/>
      <c r="AN256" s="24"/>
    </row>
    <row r="257" spans="1:42" ht="12.75">
      <c r="A257" s="15">
        <v>3254506</v>
      </c>
      <c r="B257" s="15" t="s">
        <v>37</v>
      </c>
      <c r="C257" s="15" t="s">
        <v>38</v>
      </c>
      <c r="D257" s="15" t="s">
        <v>85</v>
      </c>
      <c r="E257" s="15" t="s">
        <v>140</v>
      </c>
      <c r="F257" s="15" t="s">
        <v>41</v>
      </c>
      <c r="G257" s="15" t="s">
        <v>87</v>
      </c>
      <c r="H257" s="15" t="s">
        <v>76</v>
      </c>
      <c r="I257" s="15" t="s">
        <v>77</v>
      </c>
      <c r="J257" s="15" t="s">
        <v>88</v>
      </c>
      <c r="K257" s="15" t="s">
        <v>60</v>
      </c>
      <c r="L257" s="16" t="s">
        <v>124</v>
      </c>
      <c r="M257" s="15" t="s">
        <v>48</v>
      </c>
      <c r="N257" s="17">
        <v>452837963878</v>
      </c>
      <c r="O257" s="15">
        <v>19899505</v>
      </c>
      <c r="P257" s="18" t="s">
        <v>131</v>
      </c>
      <c r="Q257" s="18">
        <v>6</v>
      </c>
      <c r="R257" s="18">
        <v>0.47599999999999998</v>
      </c>
      <c r="S257" s="15">
        <v>83.54</v>
      </c>
      <c r="T257" s="16">
        <v>45824</v>
      </c>
      <c r="U257" s="19">
        <v>45883</v>
      </c>
      <c r="V257" s="16">
        <v>45824</v>
      </c>
      <c r="W257" s="16">
        <v>45826</v>
      </c>
      <c r="X257" s="57">
        <f t="shared" si="8"/>
        <v>45825</v>
      </c>
      <c r="Y257" s="63">
        <v>45832</v>
      </c>
      <c r="Z257" s="67">
        <v>45861</v>
      </c>
      <c r="AA257" s="71">
        <f t="shared" si="9"/>
        <v>45874</v>
      </c>
      <c r="AB257" s="20">
        <f t="shared" si="10"/>
        <v>-9</v>
      </c>
      <c r="AC257" s="20" t="s">
        <v>50</v>
      </c>
      <c r="AD257" s="21" t="s">
        <v>51</v>
      </c>
      <c r="AE257" s="21"/>
      <c r="AF257" s="22" t="s">
        <v>52</v>
      </c>
      <c r="AG257" s="23" t="s">
        <v>53</v>
      </c>
      <c r="AH257" s="24"/>
      <c r="AN257" s="24"/>
    </row>
    <row r="258" spans="1:42" ht="12.75">
      <c r="A258" s="15">
        <v>3254506</v>
      </c>
      <c r="B258" s="15" t="s">
        <v>37</v>
      </c>
      <c r="C258" s="15" t="s">
        <v>38</v>
      </c>
      <c r="D258" s="15" t="s">
        <v>85</v>
      </c>
      <c r="E258" s="15" t="s">
        <v>140</v>
      </c>
      <c r="F258" s="15" t="s">
        <v>41</v>
      </c>
      <c r="G258" s="15" t="s">
        <v>87</v>
      </c>
      <c r="H258" s="15" t="s">
        <v>76</v>
      </c>
      <c r="I258" s="15" t="s">
        <v>77</v>
      </c>
      <c r="J258" s="15" t="s">
        <v>88</v>
      </c>
      <c r="K258" s="15" t="s">
        <v>60</v>
      </c>
      <c r="L258" s="16" t="s">
        <v>124</v>
      </c>
      <c r="M258" s="15" t="s">
        <v>48</v>
      </c>
      <c r="N258" s="17">
        <v>452839125735</v>
      </c>
      <c r="O258" s="15">
        <v>19899516</v>
      </c>
      <c r="P258" s="18" t="s">
        <v>131</v>
      </c>
      <c r="Q258" s="18">
        <v>6</v>
      </c>
      <c r="R258" s="18">
        <v>0.436</v>
      </c>
      <c r="S258" s="15">
        <v>66.453999999999994</v>
      </c>
      <c r="T258" s="16">
        <v>45824</v>
      </c>
      <c r="U258" s="19">
        <v>45883</v>
      </c>
      <c r="V258" s="16">
        <v>45824</v>
      </c>
      <c r="W258" s="16">
        <v>45826</v>
      </c>
      <c r="X258" s="57">
        <f t="shared" si="8"/>
        <v>45825</v>
      </c>
      <c r="Y258" s="63">
        <v>45832</v>
      </c>
      <c r="Z258" s="67">
        <v>45861</v>
      </c>
      <c r="AA258" s="71">
        <f t="shared" si="9"/>
        <v>45874</v>
      </c>
      <c r="AB258" s="20">
        <f t="shared" si="10"/>
        <v>-9</v>
      </c>
      <c r="AC258" s="20" t="s">
        <v>50</v>
      </c>
      <c r="AD258" s="21" t="s">
        <v>51</v>
      </c>
      <c r="AE258" s="21"/>
      <c r="AF258" s="22" t="s">
        <v>52</v>
      </c>
      <c r="AG258" s="23" t="s">
        <v>53</v>
      </c>
      <c r="AH258" s="24"/>
      <c r="AN258" s="24"/>
    </row>
    <row r="259" spans="1:42" ht="12.75">
      <c r="A259" s="15">
        <v>3254506</v>
      </c>
      <c r="B259" s="15" t="s">
        <v>37</v>
      </c>
      <c r="C259" s="15" t="s">
        <v>38</v>
      </c>
      <c r="D259" s="15" t="s">
        <v>85</v>
      </c>
      <c r="E259" s="15" t="s">
        <v>140</v>
      </c>
      <c r="F259" s="15" t="s">
        <v>41</v>
      </c>
      <c r="G259" s="15" t="s">
        <v>87</v>
      </c>
      <c r="H259" s="15" t="s">
        <v>76</v>
      </c>
      <c r="I259" s="15" t="s">
        <v>77</v>
      </c>
      <c r="J259" s="15" t="s">
        <v>88</v>
      </c>
      <c r="K259" s="15" t="s">
        <v>60</v>
      </c>
      <c r="L259" s="16" t="s">
        <v>124</v>
      </c>
      <c r="M259" s="15" t="s">
        <v>48</v>
      </c>
      <c r="N259" s="17">
        <v>452840026315</v>
      </c>
      <c r="O259" s="15">
        <v>19899535</v>
      </c>
      <c r="P259" s="18" t="s">
        <v>130</v>
      </c>
      <c r="Q259" s="18">
        <v>2</v>
      </c>
      <c r="R259" s="18">
        <v>0.159</v>
      </c>
      <c r="S259" s="15">
        <v>17.29</v>
      </c>
      <c r="T259" s="16">
        <v>45824</v>
      </c>
      <c r="U259" s="19">
        <v>45883</v>
      </c>
      <c r="V259" s="16">
        <v>45824</v>
      </c>
      <c r="W259" s="16">
        <v>45826</v>
      </c>
      <c r="X259" s="57">
        <f t="shared" si="8"/>
        <v>45825</v>
      </c>
      <c r="Y259" s="63">
        <v>45832</v>
      </c>
      <c r="Z259" s="67">
        <v>45861</v>
      </c>
      <c r="AA259" s="71">
        <f t="shared" si="9"/>
        <v>45874</v>
      </c>
      <c r="AB259" s="20">
        <f t="shared" si="10"/>
        <v>-9</v>
      </c>
      <c r="AC259" s="20" t="s">
        <v>50</v>
      </c>
      <c r="AD259" s="21" t="s">
        <v>51</v>
      </c>
      <c r="AE259" s="21"/>
      <c r="AF259" s="22" t="s">
        <v>52</v>
      </c>
      <c r="AG259" s="23" t="s">
        <v>53</v>
      </c>
      <c r="AH259" s="24"/>
      <c r="AN259" s="24"/>
    </row>
    <row r="260" spans="1:42" ht="12.75">
      <c r="A260" s="15">
        <v>3254506</v>
      </c>
      <c r="B260" s="15" t="s">
        <v>37</v>
      </c>
      <c r="C260" s="15" t="s">
        <v>38</v>
      </c>
      <c r="D260" s="15" t="s">
        <v>85</v>
      </c>
      <c r="E260" s="15" t="s">
        <v>140</v>
      </c>
      <c r="F260" s="15" t="s">
        <v>41</v>
      </c>
      <c r="G260" s="15" t="s">
        <v>87</v>
      </c>
      <c r="H260" s="15" t="s">
        <v>76</v>
      </c>
      <c r="I260" s="15" t="s">
        <v>77</v>
      </c>
      <c r="J260" s="15" t="s">
        <v>88</v>
      </c>
      <c r="K260" s="15" t="s">
        <v>60</v>
      </c>
      <c r="L260" s="16" t="s">
        <v>124</v>
      </c>
      <c r="M260" s="15" t="s">
        <v>48</v>
      </c>
      <c r="N260" s="17">
        <v>452841160878</v>
      </c>
      <c r="O260" s="15">
        <v>19899546</v>
      </c>
      <c r="P260" s="18" t="s">
        <v>130</v>
      </c>
      <c r="Q260" s="18">
        <v>1</v>
      </c>
      <c r="R260" s="18">
        <v>7.9000000000000001E-2</v>
      </c>
      <c r="S260" s="15">
        <v>13.25</v>
      </c>
      <c r="T260" s="16">
        <v>45824</v>
      </c>
      <c r="U260" s="19">
        <v>45883</v>
      </c>
      <c r="V260" s="16">
        <v>45824</v>
      </c>
      <c r="W260" s="16">
        <v>45826</v>
      </c>
      <c r="X260" s="57">
        <f t="shared" si="8"/>
        <v>45825</v>
      </c>
      <c r="Y260" s="63">
        <v>45832</v>
      </c>
      <c r="Z260" s="67">
        <v>45861</v>
      </c>
      <c r="AA260" s="71">
        <f t="shared" si="9"/>
        <v>45874</v>
      </c>
      <c r="AB260" s="20">
        <f t="shared" si="10"/>
        <v>-9</v>
      </c>
      <c r="AC260" s="20" t="s">
        <v>50</v>
      </c>
      <c r="AD260" s="21" t="s">
        <v>51</v>
      </c>
      <c r="AE260" s="21"/>
      <c r="AF260" s="22" t="s">
        <v>52</v>
      </c>
      <c r="AG260" s="23" t="s">
        <v>53</v>
      </c>
      <c r="AH260" s="24"/>
      <c r="AN260" s="24"/>
    </row>
    <row r="261" spans="1:42" ht="12.75">
      <c r="A261" s="15">
        <v>3254506</v>
      </c>
      <c r="B261" s="15" t="s">
        <v>37</v>
      </c>
      <c r="C261" s="15" t="s">
        <v>38</v>
      </c>
      <c r="D261" s="15" t="s">
        <v>85</v>
      </c>
      <c r="E261" s="15" t="s">
        <v>140</v>
      </c>
      <c r="F261" s="15" t="s">
        <v>41</v>
      </c>
      <c r="G261" s="15" t="s">
        <v>87</v>
      </c>
      <c r="H261" s="15" t="s">
        <v>76</v>
      </c>
      <c r="I261" s="15" t="s">
        <v>77</v>
      </c>
      <c r="J261" s="15" t="s">
        <v>88</v>
      </c>
      <c r="K261" s="15" t="s">
        <v>60</v>
      </c>
      <c r="L261" s="16" t="s">
        <v>124</v>
      </c>
      <c r="M261" s="15" t="s">
        <v>48</v>
      </c>
      <c r="N261" s="17">
        <v>452841941411</v>
      </c>
      <c r="O261" s="15">
        <v>19899556</v>
      </c>
      <c r="P261" s="18" t="s">
        <v>143</v>
      </c>
      <c r="Q261" s="18">
        <v>5</v>
      </c>
      <c r="R261" s="18">
        <v>0.35699999999999998</v>
      </c>
      <c r="S261" s="15">
        <v>55.25</v>
      </c>
      <c r="T261" s="16">
        <v>45824</v>
      </c>
      <c r="U261" s="19">
        <v>45883</v>
      </c>
      <c r="V261" s="16">
        <v>45824</v>
      </c>
      <c r="W261" s="16">
        <v>45826</v>
      </c>
      <c r="X261" s="57">
        <f t="shared" si="8"/>
        <v>45825</v>
      </c>
      <c r="Y261" s="63">
        <v>45832</v>
      </c>
      <c r="Z261" s="67">
        <v>45861</v>
      </c>
      <c r="AA261" s="71">
        <f t="shared" si="9"/>
        <v>45874</v>
      </c>
      <c r="AB261" s="20">
        <f t="shared" si="10"/>
        <v>-9</v>
      </c>
      <c r="AC261" s="20" t="s">
        <v>50</v>
      </c>
      <c r="AD261" s="21" t="s">
        <v>51</v>
      </c>
      <c r="AE261" s="21"/>
      <c r="AF261" s="22" t="s">
        <v>52</v>
      </c>
      <c r="AG261" s="23" t="s">
        <v>53</v>
      </c>
      <c r="AH261" s="24"/>
      <c r="AN261" s="24"/>
    </row>
    <row r="262" spans="1:42" ht="12.75">
      <c r="A262" s="15">
        <v>3254506</v>
      </c>
      <c r="B262" s="15" t="s">
        <v>37</v>
      </c>
      <c r="C262" s="15" t="s">
        <v>38</v>
      </c>
      <c r="D262" s="15" t="s">
        <v>85</v>
      </c>
      <c r="E262" s="15" t="s">
        <v>140</v>
      </c>
      <c r="F262" s="15" t="s">
        <v>41</v>
      </c>
      <c r="G262" s="15" t="s">
        <v>87</v>
      </c>
      <c r="H262" s="15" t="s">
        <v>76</v>
      </c>
      <c r="I262" s="15" t="s">
        <v>77</v>
      </c>
      <c r="J262" s="15" t="s">
        <v>88</v>
      </c>
      <c r="K262" s="15" t="s">
        <v>60</v>
      </c>
      <c r="L262" s="16" t="s">
        <v>65</v>
      </c>
      <c r="M262" s="15" t="s">
        <v>48</v>
      </c>
      <c r="N262" s="17">
        <v>452897742114</v>
      </c>
      <c r="O262" s="15">
        <v>19890834</v>
      </c>
      <c r="P262" s="18" t="s">
        <v>69</v>
      </c>
      <c r="Q262" s="18">
        <v>8</v>
      </c>
      <c r="R262" s="18">
        <v>0.63200000000000001</v>
      </c>
      <c r="S262" s="15">
        <v>77.518000000000001</v>
      </c>
      <c r="T262" s="16">
        <v>45824</v>
      </c>
      <c r="U262" s="19">
        <v>45883</v>
      </c>
      <c r="V262" s="16">
        <v>45824</v>
      </c>
      <c r="W262" s="16">
        <v>45826</v>
      </c>
      <c r="X262" s="57">
        <f t="shared" si="8"/>
        <v>45825</v>
      </c>
      <c r="Y262" s="63">
        <v>45832</v>
      </c>
      <c r="Z262" s="67">
        <v>45861</v>
      </c>
      <c r="AA262" s="71">
        <f t="shared" si="9"/>
        <v>45874</v>
      </c>
      <c r="AB262" s="20">
        <f t="shared" si="10"/>
        <v>-9</v>
      </c>
      <c r="AC262" s="20" t="s">
        <v>50</v>
      </c>
      <c r="AD262" s="21" t="s">
        <v>51</v>
      </c>
      <c r="AE262" s="21"/>
      <c r="AF262" s="22" t="s">
        <v>52</v>
      </c>
      <c r="AG262" s="23" t="s">
        <v>53</v>
      </c>
      <c r="AH262" s="24"/>
      <c r="AN262" s="24"/>
    </row>
    <row r="263" spans="1:42" ht="12.75">
      <c r="A263" s="15">
        <v>3254506</v>
      </c>
      <c r="B263" s="15" t="s">
        <v>37</v>
      </c>
      <c r="C263" s="15" t="s">
        <v>38</v>
      </c>
      <c r="D263" s="15" t="s">
        <v>85</v>
      </c>
      <c r="E263" s="15" t="s">
        <v>140</v>
      </c>
      <c r="F263" s="15" t="s">
        <v>41</v>
      </c>
      <c r="G263" s="15" t="s">
        <v>87</v>
      </c>
      <c r="H263" s="15" t="s">
        <v>76</v>
      </c>
      <c r="I263" s="15" t="s">
        <v>77</v>
      </c>
      <c r="J263" s="15" t="s">
        <v>88</v>
      </c>
      <c r="K263" s="15" t="s">
        <v>60</v>
      </c>
      <c r="L263" s="16" t="s">
        <v>65</v>
      </c>
      <c r="M263" s="15" t="s">
        <v>48</v>
      </c>
      <c r="N263" s="17">
        <v>452898624462</v>
      </c>
      <c r="O263" s="15">
        <v>19897883</v>
      </c>
      <c r="P263" s="18" t="s">
        <v>137</v>
      </c>
      <c r="Q263" s="18">
        <v>4</v>
      </c>
      <c r="R263" s="18">
        <v>0.23699999999999999</v>
      </c>
      <c r="S263" s="15">
        <v>36.442999999999998</v>
      </c>
      <c r="T263" s="16">
        <v>45824</v>
      </c>
      <c r="U263" s="19">
        <v>45883</v>
      </c>
      <c r="V263" s="16">
        <v>45824</v>
      </c>
      <c r="W263" s="16">
        <v>45826</v>
      </c>
      <c r="X263" s="57">
        <f t="shared" si="8"/>
        <v>45825</v>
      </c>
      <c r="Y263" s="63">
        <v>45832</v>
      </c>
      <c r="Z263" s="67">
        <v>45861</v>
      </c>
      <c r="AA263" s="71">
        <f t="shared" si="9"/>
        <v>45874</v>
      </c>
      <c r="AB263" s="20">
        <f t="shared" si="10"/>
        <v>-9</v>
      </c>
      <c r="AC263" s="20" t="s">
        <v>50</v>
      </c>
      <c r="AD263" s="21" t="s">
        <v>51</v>
      </c>
      <c r="AE263" s="21"/>
      <c r="AF263" s="22" t="s">
        <v>52</v>
      </c>
      <c r="AG263" s="23" t="s">
        <v>53</v>
      </c>
      <c r="AH263" s="24"/>
      <c r="AN263" s="24"/>
    </row>
    <row r="264" spans="1:42" ht="12.75">
      <c r="A264" s="15">
        <v>3254506</v>
      </c>
      <c r="B264" s="15" t="s">
        <v>37</v>
      </c>
      <c r="C264" s="15" t="s">
        <v>38</v>
      </c>
      <c r="D264" s="15" t="s">
        <v>85</v>
      </c>
      <c r="E264" s="15" t="s">
        <v>140</v>
      </c>
      <c r="F264" s="15" t="s">
        <v>41</v>
      </c>
      <c r="G264" s="15" t="s">
        <v>87</v>
      </c>
      <c r="H264" s="15" t="s">
        <v>76</v>
      </c>
      <c r="I264" s="15" t="s">
        <v>77</v>
      </c>
      <c r="J264" s="15" t="s">
        <v>88</v>
      </c>
      <c r="K264" s="15" t="s">
        <v>60</v>
      </c>
      <c r="L264" s="16" t="s">
        <v>65</v>
      </c>
      <c r="M264" s="15" t="s">
        <v>48</v>
      </c>
      <c r="N264" s="17">
        <v>452898671140</v>
      </c>
      <c r="O264" s="15">
        <v>19896665</v>
      </c>
      <c r="P264" s="18" t="s">
        <v>144</v>
      </c>
      <c r="Q264" s="18">
        <v>1</v>
      </c>
      <c r="R264" s="18">
        <v>7.9000000000000001E-2</v>
      </c>
      <c r="S264" s="15">
        <v>8.8569999999999993</v>
      </c>
      <c r="T264" s="16">
        <v>45824</v>
      </c>
      <c r="U264" s="19">
        <v>45883</v>
      </c>
      <c r="V264" s="16">
        <v>45824</v>
      </c>
      <c r="W264" s="16">
        <v>45826</v>
      </c>
      <c r="X264" s="57">
        <f t="shared" si="8"/>
        <v>45825</v>
      </c>
      <c r="Y264" s="63">
        <v>45832</v>
      </c>
      <c r="Z264" s="67">
        <v>45861</v>
      </c>
      <c r="AA264" s="71">
        <f t="shared" si="9"/>
        <v>45874</v>
      </c>
      <c r="AB264" s="20">
        <f t="shared" si="10"/>
        <v>-9</v>
      </c>
      <c r="AC264" s="20" t="s">
        <v>50</v>
      </c>
      <c r="AD264" s="21" t="s">
        <v>51</v>
      </c>
      <c r="AE264" s="21"/>
      <c r="AF264" s="22" t="s">
        <v>52</v>
      </c>
      <c r="AG264" s="23" t="s">
        <v>53</v>
      </c>
      <c r="AH264" s="24"/>
      <c r="AN264" s="24"/>
    </row>
    <row r="265" spans="1:42" ht="12.75">
      <c r="A265" s="15">
        <v>3254506</v>
      </c>
      <c r="B265" s="15" t="s">
        <v>37</v>
      </c>
      <c r="C265" s="15" t="s">
        <v>38</v>
      </c>
      <c r="D265" s="15" t="s">
        <v>85</v>
      </c>
      <c r="E265" s="15" t="s">
        <v>140</v>
      </c>
      <c r="F265" s="15" t="s">
        <v>41</v>
      </c>
      <c r="G265" s="15" t="s">
        <v>87</v>
      </c>
      <c r="H265" s="15" t="s">
        <v>76</v>
      </c>
      <c r="I265" s="15" t="s">
        <v>77</v>
      </c>
      <c r="J265" s="15" t="s">
        <v>88</v>
      </c>
      <c r="K265" s="15" t="s">
        <v>60</v>
      </c>
      <c r="L265" s="16" t="s">
        <v>65</v>
      </c>
      <c r="M265" s="15" t="s">
        <v>48</v>
      </c>
      <c r="N265" s="17">
        <v>452900314066</v>
      </c>
      <c r="O265" s="15">
        <v>19897897</v>
      </c>
      <c r="P265" s="18" t="s">
        <v>138</v>
      </c>
      <c r="Q265" s="18">
        <v>16</v>
      </c>
      <c r="R265" s="18">
        <v>1.264</v>
      </c>
      <c r="S265" s="15">
        <v>226.05199999999999</v>
      </c>
      <c r="T265" s="16">
        <v>45824</v>
      </c>
      <c r="U265" s="19">
        <v>45883</v>
      </c>
      <c r="V265" s="16">
        <v>45824</v>
      </c>
      <c r="W265" s="16">
        <v>45826</v>
      </c>
      <c r="X265" s="57">
        <f t="shared" si="8"/>
        <v>45825</v>
      </c>
      <c r="Y265" s="63">
        <v>45832</v>
      </c>
      <c r="Z265" s="67">
        <v>45861</v>
      </c>
      <c r="AA265" s="71">
        <f t="shared" si="9"/>
        <v>45874</v>
      </c>
      <c r="AB265" s="20">
        <f t="shared" si="10"/>
        <v>-9</v>
      </c>
      <c r="AC265" s="20" t="s">
        <v>50</v>
      </c>
      <c r="AD265" s="21" t="s">
        <v>51</v>
      </c>
      <c r="AE265" s="21"/>
      <c r="AF265" s="22" t="s">
        <v>52</v>
      </c>
      <c r="AG265" s="23" t="s">
        <v>53</v>
      </c>
      <c r="AH265" s="24"/>
      <c r="AN265" s="24"/>
    </row>
    <row r="266" spans="1:42" ht="12.75">
      <c r="A266" s="15">
        <v>3254506</v>
      </c>
      <c r="B266" s="15" t="s">
        <v>37</v>
      </c>
      <c r="C266" s="15" t="s">
        <v>38</v>
      </c>
      <c r="D266" s="15" t="s">
        <v>85</v>
      </c>
      <c r="E266" s="15" t="s">
        <v>140</v>
      </c>
      <c r="F266" s="15" t="s">
        <v>41</v>
      </c>
      <c r="G266" s="15" t="s">
        <v>87</v>
      </c>
      <c r="H266" s="15" t="s">
        <v>76</v>
      </c>
      <c r="I266" s="15" t="s">
        <v>77</v>
      </c>
      <c r="J266" s="15" t="s">
        <v>88</v>
      </c>
      <c r="K266" s="15" t="s">
        <v>60</v>
      </c>
      <c r="L266" s="16" t="s">
        <v>65</v>
      </c>
      <c r="M266" s="15" t="s">
        <v>48</v>
      </c>
      <c r="N266" s="17">
        <v>452901003368</v>
      </c>
      <c r="O266" s="15">
        <v>19897915</v>
      </c>
      <c r="P266" s="18" t="s">
        <v>145</v>
      </c>
      <c r="Q266" s="18">
        <v>9</v>
      </c>
      <c r="R266" s="18">
        <v>0.71099999999999997</v>
      </c>
      <c r="S266" s="15">
        <v>102.029</v>
      </c>
      <c r="T266" s="16">
        <v>45824</v>
      </c>
      <c r="U266" s="19">
        <v>45883</v>
      </c>
      <c r="V266" s="16">
        <v>45824</v>
      </c>
      <c r="W266" s="16">
        <v>45826</v>
      </c>
      <c r="X266" s="57">
        <f t="shared" si="8"/>
        <v>45825</v>
      </c>
      <c r="Y266" s="63">
        <v>45832</v>
      </c>
      <c r="Z266" s="67">
        <v>45861</v>
      </c>
      <c r="AA266" s="71">
        <f t="shared" si="9"/>
        <v>45874</v>
      </c>
      <c r="AB266" s="20">
        <f t="shared" si="10"/>
        <v>-9</v>
      </c>
      <c r="AC266" s="20" t="s">
        <v>50</v>
      </c>
      <c r="AD266" s="21" t="s">
        <v>51</v>
      </c>
      <c r="AE266" s="21"/>
      <c r="AF266" s="22" t="s">
        <v>52</v>
      </c>
      <c r="AG266" s="23" t="s">
        <v>53</v>
      </c>
      <c r="AH266" s="24"/>
      <c r="AN266" s="24"/>
    </row>
    <row r="267" spans="1:42" ht="12.75">
      <c r="A267" s="29" t="s">
        <v>146</v>
      </c>
      <c r="B267" s="29" t="s">
        <v>146</v>
      </c>
      <c r="C267" s="29"/>
      <c r="D267" s="29"/>
      <c r="E267" s="29"/>
      <c r="F267" s="29"/>
      <c r="G267" s="30"/>
      <c r="H267" s="31"/>
      <c r="I267" s="29"/>
      <c r="J267" s="29"/>
      <c r="K267" s="29"/>
      <c r="L267" s="31"/>
      <c r="M267" s="29"/>
      <c r="N267" s="32"/>
      <c r="O267" s="29"/>
      <c r="P267" s="33"/>
      <c r="Q267" s="33">
        <f>SUM(Q66:Q266)</f>
        <v>949</v>
      </c>
      <c r="R267" s="33">
        <v>63.988999999999997</v>
      </c>
      <c r="S267" s="29">
        <v>9073.8669999999966</v>
      </c>
      <c r="T267" s="31"/>
      <c r="U267" s="34"/>
      <c r="V267" s="34"/>
      <c r="W267" s="35"/>
      <c r="X267" s="58"/>
      <c r="Y267" s="64"/>
      <c r="Z267" s="68"/>
      <c r="AA267" s="72"/>
      <c r="AB267" s="36"/>
      <c r="AC267" s="36"/>
      <c r="AD267" s="37"/>
      <c r="AE267" s="37"/>
      <c r="AF267" s="38"/>
      <c r="AG267" s="37"/>
      <c r="AH267" s="36"/>
      <c r="AI267" s="29"/>
      <c r="AJ267" s="29"/>
      <c r="AK267" s="29"/>
      <c r="AL267" s="29"/>
      <c r="AM267" s="29"/>
      <c r="AN267" s="36"/>
      <c r="AO267" s="29"/>
      <c r="AP267" s="29"/>
    </row>
    <row r="268" spans="1:42" ht="12.75">
      <c r="A268" s="15">
        <v>3254508</v>
      </c>
      <c r="B268" s="15" t="s">
        <v>37</v>
      </c>
      <c r="C268" s="15" t="s">
        <v>38</v>
      </c>
      <c r="D268" s="15" t="s">
        <v>85</v>
      </c>
      <c r="E268" s="15" t="s">
        <v>86</v>
      </c>
      <c r="F268" s="15" t="s">
        <v>41</v>
      </c>
      <c r="G268" s="15" t="s">
        <v>147</v>
      </c>
      <c r="H268" s="15" t="s">
        <v>76</v>
      </c>
      <c r="I268" s="15" t="s">
        <v>77</v>
      </c>
      <c r="J268" s="15" t="s">
        <v>88</v>
      </c>
      <c r="K268" s="15" t="s">
        <v>89</v>
      </c>
      <c r="L268" s="16" t="s">
        <v>90</v>
      </c>
      <c r="M268" s="15" t="s">
        <v>48</v>
      </c>
      <c r="N268" s="17">
        <v>455263739084</v>
      </c>
      <c r="O268" s="15">
        <v>19877424</v>
      </c>
      <c r="P268" s="18" t="s">
        <v>102</v>
      </c>
      <c r="Q268" s="18">
        <v>3</v>
      </c>
      <c r="R268" s="18">
        <v>0.13200000000000001</v>
      </c>
      <c r="S268" s="15">
        <v>7.7880000000000003</v>
      </c>
      <c r="T268" s="16">
        <v>45824</v>
      </c>
      <c r="U268" s="19">
        <v>45883</v>
      </c>
      <c r="V268" s="16">
        <v>45824</v>
      </c>
      <c r="W268" s="16">
        <v>45826</v>
      </c>
      <c r="X268" s="57">
        <f t="shared" ref="X268:X421" si="11">W268-1</f>
        <v>45825</v>
      </c>
      <c r="Y268" s="63">
        <v>45832</v>
      </c>
      <c r="Z268" s="67">
        <v>45861</v>
      </c>
      <c r="AA268" s="71">
        <f t="shared" ref="AA268:AA421" si="12">Z268+13</f>
        <v>45874</v>
      </c>
      <c r="AB268" s="20">
        <f t="shared" ref="AB268:AB421" si="13">AA268-U268</f>
        <v>-9</v>
      </c>
      <c r="AC268" s="20" t="s">
        <v>50</v>
      </c>
      <c r="AD268" s="21" t="s">
        <v>51</v>
      </c>
      <c r="AE268" s="21"/>
      <c r="AF268" s="22" t="s">
        <v>52</v>
      </c>
      <c r="AG268" s="23" t="s">
        <v>53</v>
      </c>
      <c r="AH268" s="24"/>
      <c r="AN268" s="24"/>
    </row>
    <row r="269" spans="1:42" ht="12.75">
      <c r="A269" s="15">
        <v>3254508</v>
      </c>
      <c r="B269" s="15" t="s">
        <v>37</v>
      </c>
      <c r="C269" s="15" t="s">
        <v>38</v>
      </c>
      <c r="D269" s="15" t="s">
        <v>85</v>
      </c>
      <c r="E269" s="15" t="s">
        <v>86</v>
      </c>
      <c r="F269" s="15" t="s">
        <v>41</v>
      </c>
      <c r="G269" s="15" t="s">
        <v>147</v>
      </c>
      <c r="H269" s="15" t="s">
        <v>76</v>
      </c>
      <c r="I269" s="15" t="s">
        <v>77</v>
      </c>
      <c r="J269" s="15" t="s">
        <v>88</v>
      </c>
      <c r="K269" s="15" t="s">
        <v>89</v>
      </c>
      <c r="L269" s="16" t="s">
        <v>90</v>
      </c>
      <c r="M269" s="15" t="s">
        <v>48</v>
      </c>
      <c r="N269" s="17">
        <v>455263920586</v>
      </c>
      <c r="O269" s="15">
        <v>19878381</v>
      </c>
      <c r="P269" s="18" t="s">
        <v>109</v>
      </c>
      <c r="Q269" s="18">
        <v>6</v>
      </c>
      <c r="R269" s="18">
        <v>0.26400000000000001</v>
      </c>
      <c r="S269" s="15">
        <v>20.562999999999999</v>
      </c>
      <c r="T269" s="16">
        <v>45824</v>
      </c>
      <c r="U269" s="19">
        <v>45883</v>
      </c>
      <c r="V269" s="16">
        <v>45824</v>
      </c>
      <c r="W269" s="16">
        <v>45826</v>
      </c>
      <c r="X269" s="57">
        <f t="shared" si="11"/>
        <v>45825</v>
      </c>
      <c r="Y269" s="63">
        <v>45832</v>
      </c>
      <c r="Z269" s="67">
        <v>45861</v>
      </c>
      <c r="AA269" s="71">
        <f t="shared" si="12"/>
        <v>45874</v>
      </c>
      <c r="AB269" s="20">
        <f t="shared" si="13"/>
        <v>-9</v>
      </c>
      <c r="AC269" s="20" t="s">
        <v>50</v>
      </c>
      <c r="AD269" s="21" t="s">
        <v>51</v>
      </c>
      <c r="AE269" s="21"/>
      <c r="AF269" s="22" t="s">
        <v>52</v>
      </c>
      <c r="AG269" s="23" t="s">
        <v>53</v>
      </c>
      <c r="AH269" s="24"/>
      <c r="AN269" s="24"/>
    </row>
    <row r="270" spans="1:42" ht="12.75">
      <c r="A270" s="15">
        <v>3254508</v>
      </c>
      <c r="B270" s="15" t="s">
        <v>37</v>
      </c>
      <c r="C270" s="15" t="s">
        <v>38</v>
      </c>
      <c r="D270" s="15" t="s">
        <v>85</v>
      </c>
      <c r="E270" s="15" t="s">
        <v>86</v>
      </c>
      <c r="F270" s="15" t="s">
        <v>41</v>
      </c>
      <c r="G270" s="15" t="s">
        <v>147</v>
      </c>
      <c r="H270" s="15" t="s">
        <v>76</v>
      </c>
      <c r="I270" s="15" t="s">
        <v>77</v>
      </c>
      <c r="J270" s="15" t="s">
        <v>88</v>
      </c>
      <c r="K270" s="15" t="s">
        <v>89</v>
      </c>
      <c r="L270" s="16" t="s">
        <v>90</v>
      </c>
      <c r="M270" s="15" t="s">
        <v>48</v>
      </c>
      <c r="N270" s="17">
        <v>455264408885</v>
      </c>
      <c r="O270" s="15">
        <v>19878107</v>
      </c>
      <c r="P270" s="18" t="s">
        <v>103</v>
      </c>
      <c r="Q270" s="18">
        <v>3</v>
      </c>
      <c r="R270" s="18">
        <v>0.13200000000000001</v>
      </c>
      <c r="S270" s="15">
        <v>9.8849999999999998</v>
      </c>
      <c r="T270" s="16">
        <v>45824</v>
      </c>
      <c r="U270" s="19">
        <v>45883</v>
      </c>
      <c r="V270" s="16">
        <v>45824</v>
      </c>
      <c r="W270" s="16">
        <v>45826</v>
      </c>
      <c r="X270" s="57">
        <f t="shared" si="11"/>
        <v>45825</v>
      </c>
      <c r="Y270" s="63">
        <v>45832</v>
      </c>
      <c r="Z270" s="67">
        <v>45861</v>
      </c>
      <c r="AA270" s="71">
        <f t="shared" si="12"/>
        <v>45874</v>
      </c>
      <c r="AB270" s="20">
        <f t="shared" si="13"/>
        <v>-9</v>
      </c>
      <c r="AC270" s="20" t="s">
        <v>50</v>
      </c>
      <c r="AD270" s="21" t="s">
        <v>51</v>
      </c>
      <c r="AE270" s="21"/>
      <c r="AF270" s="22" t="s">
        <v>52</v>
      </c>
      <c r="AG270" s="23" t="s">
        <v>53</v>
      </c>
      <c r="AH270" s="24"/>
      <c r="AN270" s="24"/>
    </row>
    <row r="271" spans="1:42" ht="12.75">
      <c r="A271" s="15">
        <v>3254508</v>
      </c>
      <c r="B271" s="15" t="s">
        <v>37</v>
      </c>
      <c r="C271" s="15" t="s">
        <v>38</v>
      </c>
      <c r="D271" s="15" t="s">
        <v>85</v>
      </c>
      <c r="E271" s="15" t="s">
        <v>86</v>
      </c>
      <c r="F271" s="15" t="s">
        <v>41</v>
      </c>
      <c r="G271" s="15" t="s">
        <v>147</v>
      </c>
      <c r="H271" s="15" t="s">
        <v>76</v>
      </c>
      <c r="I271" s="15" t="s">
        <v>77</v>
      </c>
      <c r="J271" s="15" t="s">
        <v>88</v>
      </c>
      <c r="K271" s="15" t="s">
        <v>46</v>
      </c>
      <c r="L271" s="16" t="s">
        <v>57</v>
      </c>
      <c r="M271" s="15" t="s">
        <v>48</v>
      </c>
      <c r="N271" s="17">
        <v>452347858422</v>
      </c>
      <c r="O271" s="15">
        <v>19877095</v>
      </c>
      <c r="P271" s="18" t="s">
        <v>123</v>
      </c>
      <c r="Q271" s="18">
        <v>1</v>
      </c>
      <c r="R271" s="18">
        <v>0.04</v>
      </c>
      <c r="S271" s="15">
        <v>5.8680000000000003</v>
      </c>
      <c r="T271" s="16">
        <v>45824</v>
      </c>
      <c r="U271" s="19">
        <v>45883</v>
      </c>
      <c r="V271" s="16">
        <v>45824</v>
      </c>
      <c r="W271" s="16">
        <v>45826</v>
      </c>
      <c r="X271" s="57">
        <f t="shared" si="11"/>
        <v>45825</v>
      </c>
      <c r="Y271" s="63">
        <v>45832</v>
      </c>
      <c r="Z271" s="67">
        <v>45861</v>
      </c>
      <c r="AA271" s="71">
        <f t="shared" si="12"/>
        <v>45874</v>
      </c>
      <c r="AB271" s="20">
        <f t="shared" si="13"/>
        <v>-9</v>
      </c>
      <c r="AC271" s="20" t="s">
        <v>50</v>
      </c>
      <c r="AD271" s="21" t="s">
        <v>51</v>
      </c>
      <c r="AE271" s="21"/>
      <c r="AF271" s="22" t="s">
        <v>52</v>
      </c>
      <c r="AG271" s="23" t="s">
        <v>53</v>
      </c>
      <c r="AH271" s="24"/>
      <c r="AN271" s="24"/>
    </row>
    <row r="272" spans="1:42" ht="12.75">
      <c r="A272" s="15">
        <v>3254508</v>
      </c>
      <c r="B272" s="15" t="s">
        <v>37</v>
      </c>
      <c r="C272" s="15" t="s">
        <v>38</v>
      </c>
      <c r="D272" s="15" t="s">
        <v>85</v>
      </c>
      <c r="E272" s="15" t="s">
        <v>86</v>
      </c>
      <c r="F272" s="15" t="s">
        <v>41</v>
      </c>
      <c r="G272" s="15" t="s">
        <v>147</v>
      </c>
      <c r="H272" s="15" t="s">
        <v>76</v>
      </c>
      <c r="I272" s="15" t="s">
        <v>77</v>
      </c>
      <c r="J272" s="15" t="s">
        <v>88</v>
      </c>
      <c r="K272" s="15" t="s">
        <v>60</v>
      </c>
      <c r="L272" s="16" t="s">
        <v>61</v>
      </c>
      <c r="M272" s="15" t="s">
        <v>48</v>
      </c>
      <c r="N272" s="17">
        <v>454703725465</v>
      </c>
      <c r="O272" s="15">
        <v>19911862</v>
      </c>
      <c r="P272" s="18" t="s">
        <v>148</v>
      </c>
      <c r="Q272" s="18">
        <v>5</v>
      </c>
      <c r="R272" s="18">
        <v>0.39500000000000002</v>
      </c>
      <c r="S272" s="15">
        <v>53.487000000000002</v>
      </c>
      <c r="T272" s="16">
        <v>45824</v>
      </c>
      <c r="U272" s="19">
        <v>45883</v>
      </c>
      <c r="V272" s="16">
        <v>45824</v>
      </c>
      <c r="W272" s="16">
        <v>45826</v>
      </c>
      <c r="X272" s="57">
        <f t="shared" si="11"/>
        <v>45825</v>
      </c>
      <c r="Y272" s="63">
        <v>45832</v>
      </c>
      <c r="Z272" s="67">
        <v>45861</v>
      </c>
      <c r="AA272" s="71">
        <f t="shared" si="12"/>
        <v>45874</v>
      </c>
      <c r="AB272" s="20">
        <f t="shared" si="13"/>
        <v>-9</v>
      </c>
      <c r="AC272" s="20" t="s">
        <v>50</v>
      </c>
      <c r="AD272" s="21" t="s">
        <v>51</v>
      </c>
      <c r="AE272" s="21"/>
      <c r="AF272" s="22" t="s">
        <v>52</v>
      </c>
      <c r="AG272" s="23" t="s">
        <v>53</v>
      </c>
      <c r="AH272" s="24"/>
      <c r="AN272" s="24"/>
    </row>
    <row r="273" spans="1:40" ht="12.75">
      <c r="A273" s="15">
        <v>3254508</v>
      </c>
      <c r="B273" s="15" t="s">
        <v>37</v>
      </c>
      <c r="C273" s="15" t="s">
        <v>38</v>
      </c>
      <c r="D273" s="15" t="s">
        <v>85</v>
      </c>
      <c r="E273" s="15" t="s">
        <v>86</v>
      </c>
      <c r="F273" s="15" t="s">
        <v>41</v>
      </c>
      <c r="G273" s="15" t="s">
        <v>147</v>
      </c>
      <c r="H273" s="15" t="s">
        <v>76</v>
      </c>
      <c r="I273" s="15" t="s">
        <v>77</v>
      </c>
      <c r="J273" s="15" t="s">
        <v>88</v>
      </c>
      <c r="K273" s="15" t="s">
        <v>60</v>
      </c>
      <c r="L273" s="16" t="s">
        <v>61</v>
      </c>
      <c r="M273" s="15" t="s">
        <v>48</v>
      </c>
      <c r="N273" s="17">
        <v>454703726031</v>
      </c>
      <c r="O273" s="15">
        <v>19911951</v>
      </c>
      <c r="P273" s="18" t="s">
        <v>149</v>
      </c>
      <c r="Q273" s="18">
        <v>3</v>
      </c>
      <c r="R273" s="18">
        <v>0.158</v>
      </c>
      <c r="S273" s="15">
        <v>12.385</v>
      </c>
      <c r="T273" s="16">
        <v>45824</v>
      </c>
      <c r="U273" s="19">
        <v>45883</v>
      </c>
      <c r="V273" s="16">
        <v>45824</v>
      </c>
      <c r="W273" s="16">
        <v>45826</v>
      </c>
      <c r="X273" s="57">
        <f t="shared" si="11"/>
        <v>45825</v>
      </c>
      <c r="Y273" s="63">
        <v>45832</v>
      </c>
      <c r="Z273" s="67">
        <v>45861</v>
      </c>
      <c r="AA273" s="71">
        <f t="shared" si="12"/>
        <v>45874</v>
      </c>
      <c r="AB273" s="20">
        <f t="shared" si="13"/>
        <v>-9</v>
      </c>
      <c r="AC273" s="20" t="s">
        <v>50</v>
      </c>
      <c r="AD273" s="21" t="s">
        <v>51</v>
      </c>
      <c r="AE273" s="21"/>
      <c r="AF273" s="22" t="s">
        <v>52</v>
      </c>
      <c r="AG273" s="23" t="s">
        <v>53</v>
      </c>
      <c r="AH273" s="24"/>
      <c r="AN273" s="24"/>
    </row>
    <row r="274" spans="1:40" ht="12.75">
      <c r="A274" s="15">
        <v>3254508</v>
      </c>
      <c r="B274" s="15" t="s">
        <v>37</v>
      </c>
      <c r="C274" s="15" t="s">
        <v>38</v>
      </c>
      <c r="D274" s="15" t="s">
        <v>85</v>
      </c>
      <c r="E274" s="15" t="s">
        <v>86</v>
      </c>
      <c r="F274" s="15" t="s">
        <v>41</v>
      </c>
      <c r="G274" s="15" t="s">
        <v>147</v>
      </c>
      <c r="H274" s="15" t="s">
        <v>76</v>
      </c>
      <c r="I274" s="15" t="s">
        <v>77</v>
      </c>
      <c r="J274" s="15" t="s">
        <v>88</v>
      </c>
      <c r="K274" s="15" t="s">
        <v>60</v>
      </c>
      <c r="L274" s="16" t="s">
        <v>61</v>
      </c>
      <c r="M274" s="15" t="s">
        <v>48</v>
      </c>
      <c r="N274" s="17">
        <v>454704211021</v>
      </c>
      <c r="O274" s="15">
        <v>19911845</v>
      </c>
      <c r="P274" s="18" t="s">
        <v>148</v>
      </c>
      <c r="Q274" s="18">
        <v>5</v>
      </c>
      <c r="R274" s="18">
        <v>0.35499999999999998</v>
      </c>
      <c r="S274" s="15">
        <v>41.402000000000001</v>
      </c>
      <c r="T274" s="16">
        <v>45824</v>
      </c>
      <c r="U274" s="19">
        <v>45883</v>
      </c>
      <c r="V274" s="16">
        <v>45824</v>
      </c>
      <c r="W274" s="16">
        <v>45826</v>
      </c>
      <c r="X274" s="57">
        <f t="shared" si="11"/>
        <v>45825</v>
      </c>
      <c r="Y274" s="63">
        <v>45832</v>
      </c>
      <c r="Z274" s="67">
        <v>45861</v>
      </c>
      <c r="AA274" s="71">
        <f t="shared" si="12"/>
        <v>45874</v>
      </c>
      <c r="AB274" s="20">
        <f t="shared" si="13"/>
        <v>-9</v>
      </c>
      <c r="AC274" s="20" t="s">
        <v>50</v>
      </c>
      <c r="AD274" s="21" t="s">
        <v>51</v>
      </c>
      <c r="AE274" s="21"/>
      <c r="AF274" s="22" t="s">
        <v>52</v>
      </c>
      <c r="AG274" s="23" t="s">
        <v>53</v>
      </c>
      <c r="AH274" s="24"/>
      <c r="AN274" s="24"/>
    </row>
    <row r="275" spans="1:40" ht="12.75">
      <c r="A275" s="15">
        <v>3254508</v>
      </c>
      <c r="B275" s="15" t="s">
        <v>37</v>
      </c>
      <c r="C275" s="15" t="s">
        <v>38</v>
      </c>
      <c r="D275" s="15" t="s">
        <v>85</v>
      </c>
      <c r="E275" s="15" t="s">
        <v>86</v>
      </c>
      <c r="F275" s="15" t="s">
        <v>41</v>
      </c>
      <c r="G275" s="15" t="s">
        <v>147</v>
      </c>
      <c r="H275" s="15" t="s">
        <v>76</v>
      </c>
      <c r="I275" s="15" t="s">
        <v>77</v>
      </c>
      <c r="J275" s="15" t="s">
        <v>88</v>
      </c>
      <c r="K275" s="15" t="s">
        <v>60</v>
      </c>
      <c r="L275" s="16" t="s">
        <v>61</v>
      </c>
      <c r="M275" s="15" t="s">
        <v>48</v>
      </c>
      <c r="N275" s="17">
        <v>454705023730</v>
      </c>
      <c r="O275" s="15">
        <v>19911878</v>
      </c>
      <c r="P275" s="18" t="s">
        <v>148</v>
      </c>
      <c r="Q275" s="18">
        <v>5</v>
      </c>
      <c r="R275" s="18">
        <v>0.35499999999999998</v>
      </c>
      <c r="S275" s="15">
        <v>43.491999999999997</v>
      </c>
      <c r="T275" s="16">
        <v>45824</v>
      </c>
      <c r="U275" s="19">
        <v>45883</v>
      </c>
      <c r="V275" s="16">
        <v>45824</v>
      </c>
      <c r="W275" s="16">
        <v>45826</v>
      </c>
      <c r="X275" s="57">
        <f t="shared" si="11"/>
        <v>45825</v>
      </c>
      <c r="Y275" s="63">
        <v>45832</v>
      </c>
      <c r="Z275" s="67">
        <v>45861</v>
      </c>
      <c r="AA275" s="71">
        <f t="shared" si="12"/>
        <v>45874</v>
      </c>
      <c r="AB275" s="20">
        <f t="shared" si="13"/>
        <v>-9</v>
      </c>
      <c r="AC275" s="20" t="s">
        <v>50</v>
      </c>
      <c r="AD275" s="21" t="s">
        <v>51</v>
      </c>
      <c r="AE275" s="21"/>
      <c r="AF275" s="22" t="s">
        <v>52</v>
      </c>
      <c r="AG275" s="23" t="s">
        <v>53</v>
      </c>
      <c r="AH275" s="24"/>
      <c r="AN275" s="24"/>
    </row>
    <row r="276" spans="1:40" ht="12.75">
      <c r="A276" s="15">
        <v>3254508</v>
      </c>
      <c r="B276" s="15" t="s">
        <v>37</v>
      </c>
      <c r="C276" s="15" t="s">
        <v>38</v>
      </c>
      <c r="D276" s="15" t="s">
        <v>85</v>
      </c>
      <c r="E276" s="15" t="s">
        <v>86</v>
      </c>
      <c r="F276" s="15" t="s">
        <v>41</v>
      </c>
      <c r="G276" s="15" t="s">
        <v>147</v>
      </c>
      <c r="H276" s="15" t="s">
        <v>76</v>
      </c>
      <c r="I276" s="15" t="s">
        <v>77</v>
      </c>
      <c r="J276" s="15" t="s">
        <v>88</v>
      </c>
      <c r="K276" s="15" t="s">
        <v>60</v>
      </c>
      <c r="L276" s="16" t="s">
        <v>61</v>
      </c>
      <c r="M276" s="15" t="s">
        <v>48</v>
      </c>
      <c r="N276" s="17">
        <v>454705502633</v>
      </c>
      <c r="O276" s="15">
        <v>19911967</v>
      </c>
      <c r="P276" s="18" t="s">
        <v>149</v>
      </c>
      <c r="Q276" s="18">
        <v>3</v>
      </c>
      <c r="R276" s="18">
        <v>0.19700000000000001</v>
      </c>
      <c r="S276" s="15">
        <v>17.733000000000001</v>
      </c>
      <c r="T276" s="16">
        <v>45824</v>
      </c>
      <c r="U276" s="19">
        <v>45883</v>
      </c>
      <c r="V276" s="16">
        <v>45824</v>
      </c>
      <c r="W276" s="16">
        <v>45826</v>
      </c>
      <c r="X276" s="57">
        <f t="shared" si="11"/>
        <v>45825</v>
      </c>
      <c r="Y276" s="63">
        <v>45832</v>
      </c>
      <c r="Z276" s="67">
        <v>45861</v>
      </c>
      <c r="AA276" s="71">
        <f t="shared" si="12"/>
        <v>45874</v>
      </c>
      <c r="AB276" s="20">
        <f t="shared" si="13"/>
        <v>-9</v>
      </c>
      <c r="AC276" s="20" t="s">
        <v>50</v>
      </c>
      <c r="AD276" s="21" t="s">
        <v>51</v>
      </c>
      <c r="AE276" s="21"/>
      <c r="AF276" s="22" t="s">
        <v>52</v>
      </c>
      <c r="AG276" s="23" t="s">
        <v>53</v>
      </c>
      <c r="AH276" s="24"/>
      <c r="AN276" s="24"/>
    </row>
    <row r="277" spans="1:40" ht="12.75">
      <c r="A277" s="15">
        <v>3254508</v>
      </c>
      <c r="B277" s="15" t="s">
        <v>37</v>
      </c>
      <c r="C277" s="15" t="s">
        <v>38</v>
      </c>
      <c r="D277" s="15" t="s">
        <v>85</v>
      </c>
      <c r="E277" s="15" t="s">
        <v>86</v>
      </c>
      <c r="F277" s="15" t="s">
        <v>41</v>
      </c>
      <c r="G277" s="15" t="s">
        <v>147</v>
      </c>
      <c r="H277" s="15" t="s">
        <v>76</v>
      </c>
      <c r="I277" s="15" t="s">
        <v>77</v>
      </c>
      <c r="J277" s="15" t="s">
        <v>88</v>
      </c>
      <c r="K277" s="15" t="s">
        <v>60</v>
      </c>
      <c r="L277" s="16" t="s">
        <v>61</v>
      </c>
      <c r="M277" s="15" t="s">
        <v>48</v>
      </c>
      <c r="N277" s="17">
        <v>454705691334</v>
      </c>
      <c r="O277" s="15">
        <v>19911975</v>
      </c>
      <c r="P277" s="18" t="s">
        <v>83</v>
      </c>
      <c r="Q277" s="18">
        <v>2</v>
      </c>
      <c r="R277" s="18">
        <v>0.158</v>
      </c>
      <c r="S277" s="15">
        <v>20.928000000000001</v>
      </c>
      <c r="T277" s="16">
        <v>45824</v>
      </c>
      <c r="U277" s="19">
        <v>45883</v>
      </c>
      <c r="V277" s="16">
        <v>45824</v>
      </c>
      <c r="W277" s="16">
        <v>45826</v>
      </c>
      <c r="X277" s="57">
        <f t="shared" si="11"/>
        <v>45825</v>
      </c>
      <c r="Y277" s="63">
        <v>45832</v>
      </c>
      <c r="Z277" s="67">
        <v>45861</v>
      </c>
      <c r="AA277" s="71">
        <f t="shared" si="12"/>
        <v>45874</v>
      </c>
      <c r="AB277" s="20">
        <f t="shared" si="13"/>
        <v>-9</v>
      </c>
      <c r="AC277" s="20" t="s">
        <v>50</v>
      </c>
      <c r="AD277" s="21" t="s">
        <v>51</v>
      </c>
      <c r="AE277" s="21"/>
      <c r="AF277" s="22" t="s">
        <v>52</v>
      </c>
      <c r="AG277" s="23" t="s">
        <v>53</v>
      </c>
      <c r="AH277" s="24"/>
      <c r="AN277" s="24"/>
    </row>
    <row r="278" spans="1:40" ht="12.75">
      <c r="A278" s="15">
        <v>3254508</v>
      </c>
      <c r="B278" s="15" t="s">
        <v>37</v>
      </c>
      <c r="C278" s="15" t="s">
        <v>38</v>
      </c>
      <c r="D278" s="15" t="s">
        <v>85</v>
      </c>
      <c r="E278" s="15" t="s">
        <v>86</v>
      </c>
      <c r="F278" s="15" t="s">
        <v>41</v>
      </c>
      <c r="G278" s="15" t="s">
        <v>147</v>
      </c>
      <c r="H278" s="15" t="s">
        <v>76</v>
      </c>
      <c r="I278" s="15" t="s">
        <v>77</v>
      </c>
      <c r="J278" s="15" t="s">
        <v>88</v>
      </c>
      <c r="K278" s="15" t="s">
        <v>60</v>
      </c>
      <c r="L278" s="16" t="s">
        <v>61</v>
      </c>
      <c r="M278" s="15" t="s">
        <v>48</v>
      </c>
      <c r="N278" s="17">
        <v>454706023813</v>
      </c>
      <c r="O278" s="15">
        <v>19912128</v>
      </c>
      <c r="P278" s="18" t="s">
        <v>150</v>
      </c>
      <c r="Q278" s="18">
        <v>2</v>
      </c>
      <c r="R278" s="18">
        <v>0.11799999999999999</v>
      </c>
      <c r="S278" s="15">
        <v>17.236000000000001</v>
      </c>
      <c r="T278" s="16">
        <v>45824</v>
      </c>
      <c r="U278" s="19">
        <v>45883</v>
      </c>
      <c r="V278" s="16">
        <v>45824</v>
      </c>
      <c r="W278" s="16">
        <v>45826</v>
      </c>
      <c r="X278" s="57">
        <f t="shared" si="11"/>
        <v>45825</v>
      </c>
      <c r="Y278" s="63">
        <v>45832</v>
      </c>
      <c r="Z278" s="67">
        <v>45861</v>
      </c>
      <c r="AA278" s="71">
        <f t="shared" si="12"/>
        <v>45874</v>
      </c>
      <c r="AB278" s="20">
        <f t="shared" si="13"/>
        <v>-9</v>
      </c>
      <c r="AC278" s="20" t="s">
        <v>50</v>
      </c>
      <c r="AD278" s="21" t="s">
        <v>51</v>
      </c>
      <c r="AE278" s="21"/>
      <c r="AF278" s="22" t="s">
        <v>52</v>
      </c>
      <c r="AG278" s="23" t="s">
        <v>53</v>
      </c>
      <c r="AH278" s="24"/>
      <c r="AN278" s="24"/>
    </row>
    <row r="279" spans="1:40" ht="12.75">
      <c r="A279" s="15">
        <v>3254508</v>
      </c>
      <c r="B279" s="15" t="s">
        <v>37</v>
      </c>
      <c r="C279" s="15" t="s">
        <v>38</v>
      </c>
      <c r="D279" s="15" t="s">
        <v>85</v>
      </c>
      <c r="E279" s="15" t="s">
        <v>86</v>
      </c>
      <c r="F279" s="15" t="s">
        <v>41</v>
      </c>
      <c r="G279" s="15" t="s">
        <v>147</v>
      </c>
      <c r="H279" s="15" t="s">
        <v>76</v>
      </c>
      <c r="I279" s="15" t="s">
        <v>77</v>
      </c>
      <c r="J279" s="15" t="s">
        <v>88</v>
      </c>
      <c r="K279" s="15" t="s">
        <v>60</v>
      </c>
      <c r="L279" s="16" t="s">
        <v>61</v>
      </c>
      <c r="M279" s="15" t="s">
        <v>48</v>
      </c>
      <c r="N279" s="17">
        <v>454706080383</v>
      </c>
      <c r="O279" s="15">
        <v>19912833</v>
      </c>
      <c r="P279" s="18" t="s">
        <v>151</v>
      </c>
      <c r="Q279" s="18">
        <v>10</v>
      </c>
      <c r="R279" s="18">
        <v>0.67100000000000004</v>
      </c>
      <c r="S279" s="15">
        <v>87.441000000000003</v>
      </c>
      <c r="T279" s="16">
        <v>45824</v>
      </c>
      <c r="U279" s="19">
        <v>45883</v>
      </c>
      <c r="V279" s="16">
        <v>45824</v>
      </c>
      <c r="W279" s="16">
        <v>45826</v>
      </c>
      <c r="X279" s="57">
        <f t="shared" si="11"/>
        <v>45825</v>
      </c>
      <c r="Y279" s="63">
        <v>45832</v>
      </c>
      <c r="Z279" s="67">
        <v>45861</v>
      </c>
      <c r="AA279" s="71">
        <f t="shared" si="12"/>
        <v>45874</v>
      </c>
      <c r="AB279" s="20">
        <f t="shared" si="13"/>
        <v>-9</v>
      </c>
      <c r="AC279" s="20" t="s">
        <v>50</v>
      </c>
      <c r="AD279" s="21" t="s">
        <v>51</v>
      </c>
      <c r="AE279" s="21"/>
      <c r="AF279" s="22" t="s">
        <v>52</v>
      </c>
      <c r="AG279" s="23" t="s">
        <v>53</v>
      </c>
      <c r="AH279" s="24"/>
      <c r="AN279" s="24"/>
    </row>
    <row r="280" spans="1:40" ht="12.75">
      <c r="A280" s="15">
        <v>3254508</v>
      </c>
      <c r="B280" s="15" t="s">
        <v>37</v>
      </c>
      <c r="C280" s="15" t="s">
        <v>38</v>
      </c>
      <c r="D280" s="15" t="s">
        <v>85</v>
      </c>
      <c r="E280" s="15" t="s">
        <v>86</v>
      </c>
      <c r="F280" s="15" t="s">
        <v>41</v>
      </c>
      <c r="G280" s="15" t="s">
        <v>147</v>
      </c>
      <c r="H280" s="15" t="s">
        <v>76</v>
      </c>
      <c r="I280" s="15" t="s">
        <v>77</v>
      </c>
      <c r="J280" s="15" t="s">
        <v>88</v>
      </c>
      <c r="K280" s="15" t="s">
        <v>60</v>
      </c>
      <c r="L280" s="16" t="s">
        <v>61</v>
      </c>
      <c r="M280" s="15" t="s">
        <v>48</v>
      </c>
      <c r="N280" s="17">
        <v>454706121015</v>
      </c>
      <c r="O280" s="15">
        <v>19912083</v>
      </c>
      <c r="P280" s="18" t="s">
        <v>150</v>
      </c>
      <c r="Q280" s="18">
        <v>2</v>
      </c>
      <c r="R280" s="18">
        <v>0.11799999999999999</v>
      </c>
      <c r="S280" s="15">
        <v>14.717000000000001</v>
      </c>
      <c r="T280" s="16">
        <v>45824</v>
      </c>
      <c r="U280" s="19">
        <v>45883</v>
      </c>
      <c r="V280" s="16">
        <v>45824</v>
      </c>
      <c r="W280" s="16">
        <v>45826</v>
      </c>
      <c r="X280" s="57">
        <f t="shared" si="11"/>
        <v>45825</v>
      </c>
      <c r="Y280" s="63">
        <v>45832</v>
      </c>
      <c r="Z280" s="67">
        <v>45861</v>
      </c>
      <c r="AA280" s="71">
        <f t="shared" si="12"/>
        <v>45874</v>
      </c>
      <c r="AB280" s="20">
        <f t="shared" si="13"/>
        <v>-9</v>
      </c>
      <c r="AC280" s="20" t="s">
        <v>50</v>
      </c>
      <c r="AD280" s="21" t="s">
        <v>51</v>
      </c>
      <c r="AE280" s="21"/>
      <c r="AF280" s="22" t="s">
        <v>52</v>
      </c>
      <c r="AG280" s="23" t="s">
        <v>53</v>
      </c>
      <c r="AH280" s="24"/>
      <c r="AN280" s="24"/>
    </row>
    <row r="281" spans="1:40" ht="12.75">
      <c r="A281" s="15">
        <v>3254508</v>
      </c>
      <c r="B281" s="15" t="s">
        <v>37</v>
      </c>
      <c r="C281" s="15" t="s">
        <v>38</v>
      </c>
      <c r="D281" s="15" t="s">
        <v>85</v>
      </c>
      <c r="E281" s="15" t="s">
        <v>86</v>
      </c>
      <c r="F281" s="15" t="s">
        <v>41</v>
      </c>
      <c r="G281" s="15" t="s">
        <v>147</v>
      </c>
      <c r="H281" s="15" t="s">
        <v>76</v>
      </c>
      <c r="I281" s="15" t="s">
        <v>77</v>
      </c>
      <c r="J281" s="15" t="s">
        <v>88</v>
      </c>
      <c r="K281" s="15" t="s">
        <v>60</v>
      </c>
      <c r="L281" s="16" t="s">
        <v>61</v>
      </c>
      <c r="M281" s="15" t="s">
        <v>48</v>
      </c>
      <c r="N281" s="17">
        <v>454706405931</v>
      </c>
      <c r="O281" s="15">
        <v>19913413</v>
      </c>
      <c r="P281" s="18" t="s">
        <v>148</v>
      </c>
      <c r="Q281" s="18">
        <v>11</v>
      </c>
      <c r="R281" s="18">
        <v>0.86899999999999999</v>
      </c>
      <c r="S281" s="15">
        <v>132.91900000000001</v>
      </c>
      <c r="T281" s="16">
        <v>45824</v>
      </c>
      <c r="U281" s="19">
        <v>45883</v>
      </c>
      <c r="V281" s="16">
        <v>45824</v>
      </c>
      <c r="W281" s="16">
        <v>45826</v>
      </c>
      <c r="X281" s="57">
        <f t="shared" si="11"/>
        <v>45825</v>
      </c>
      <c r="Y281" s="63">
        <v>45832</v>
      </c>
      <c r="Z281" s="67">
        <v>45861</v>
      </c>
      <c r="AA281" s="71">
        <f t="shared" si="12"/>
        <v>45874</v>
      </c>
      <c r="AB281" s="20">
        <f t="shared" si="13"/>
        <v>-9</v>
      </c>
      <c r="AC281" s="20" t="s">
        <v>50</v>
      </c>
      <c r="AD281" s="21" t="s">
        <v>51</v>
      </c>
      <c r="AE281" s="21"/>
      <c r="AF281" s="22" t="s">
        <v>52</v>
      </c>
      <c r="AG281" s="23" t="s">
        <v>53</v>
      </c>
      <c r="AH281" s="24"/>
      <c r="AN281" s="24"/>
    </row>
    <row r="282" spans="1:40" ht="12.75">
      <c r="A282" s="15">
        <v>3254508</v>
      </c>
      <c r="B282" s="15" t="s">
        <v>37</v>
      </c>
      <c r="C282" s="15" t="s">
        <v>38</v>
      </c>
      <c r="D282" s="15" t="s">
        <v>85</v>
      </c>
      <c r="E282" s="15" t="s">
        <v>86</v>
      </c>
      <c r="F282" s="15" t="s">
        <v>41</v>
      </c>
      <c r="G282" s="15" t="s">
        <v>147</v>
      </c>
      <c r="H282" s="15" t="s">
        <v>76</v>
      </c>
      <c r="I282" s="15" t="s">
        <v>77</v>
      </c>
      <c r="J282" s="15" t="s">
        <v>88</v>
      </c>
      <c r="K282" s="15" t="s">
        <v>60</v>
      </c>
      <c r="L282" s="16" t="s">
        <v>61</v>
      </c>
      <c r="M282" s="15" t="s">
        <v>48</v>
      </c>
      <c r="N282" s="17">
        <v>454706712546</v>
      </c>
      <c r="O282" s="15">
        <v>19913277</v>
      </c>
      <c r="P282" s="18" t="s">
        <v>152</v>
      </c>
      <c r="Q282" s="18">
        <v>9</v>
      </c>
      <c r="R282" s="18">
        <v>0.67400000000000004</v>
      </c>
      <c r="S282" s="15">
        <v>101.09</v>
      </c>
      <c r="T282" s="16">
        <v>45824</v>
      </c>
      <c r="U282" s="19">
        <v>45883</v>
      </c>
      <c r="V282" s="16">
        <v>45824</v>
      </c>
      <c r="W282" s="16">
        <v>45826</v>
      </c>
      <c r="X282" s="57">
        <f t="shared" si="11"/>
        <v>45825</v>
      </c>
      <c r="Y282" s="63">
        <v>45832</v>
      </c>
      <c r="Z282" s="67">
        <v>45861</v>
      </c>
      <c r="AA282" s="71">
        <f t="shared" si="12"/>
        <v>45874</v>
      </c>
      <c r="AB282" s="20">
        <f t="shared" si="13"/>
        <v>-9</v>
      </c>
      <c r="AC282" s="20" t="s">
        <v>50</v>
      </c>
      <c r="AD282" s="21" t="s">
        <v>51</v>
      </c>
      <c r="AE282" s="21"/>
      <c r="AF282" s="22" t="s">
        <v>52</v>
      </c>
      <c r="AG282" s="23" t="s">
        <v>53</v>
      </c>
      <c r="AH282" s="24"/>
      <c r="AN282" s="24"/>
    </row>
    <row r="283" spans="1:40" ht="12.75">
      <c r="A283" s="15">
        <v>3254508</v>
      </c>
      <c r="B283" s="15" t="s">
        <v>37</v>
      </c>
      <c r="C283" s="15" t="s">
        <v>38</v>
      </c>
      <c r="D283" s="15" t="s">
        <v>85</v>
      </c>
      <c r="E283" s="15" t="s">
        <v>86</v>
      </c>
      <c r="F283" s="15" t="s">
        <v>41</v>
      </c>
      <c r="G283" s="15" t="s">
        <v>147</v>
      </c>
      <c r="H283" s="15" t="s">
        <v>76</v>
      </c>
      <c r="I283" s="15" t="s">
        <v>77</v>
      </c>
      <c r="J283" s="15" t="s">
        <v>88</v>
      </c>
      <c r="K283" s="15" t="s">
        <v>60</v>
      </c>
      <c r="L283" s="16" t="s">
        <v>61</v>
      </c>
      <c r="M283" s="15" t="s">
        <v>48</v>
      </c>
      <c r="N283" s="17">
        <v>454706949394</v>
      </c>
      <c r="O283" s="15">
        <v>19913431</v>
      </c>
      <c r="P283" s="18" t="s">
        <v>148</v>
      </c>
      <c r="Q283" s="18">
        <v>6</v>
      </c>
      <c r="R283" s="18">
        <v>0.47399999999999998</v>
      </c>
      <c r="S283" s="15">
        <v>71.025000000000006</v>
      </c>
      <c r="T283" s="16">
        <v>45824</v>
      </c>
      <c r="U283" s="19">
        <v>45883</v>
      </c>
      <c r="V283" s="16">
        <v>45824</v>
      </c>
      <c r="W283" s="16">
        <v>45826</v>
      </c>
      <c r="X283" s="57">
        <f t="shared" si="11"/>
        <v>45825</v>
      </c>
      <c r="Y283" s="63">
        <v>45832</v>
      </c>
      <c r="Z283" s="67">
        <v>45861</v>
      </c>
      <c r="AA283" s="71">
        <f t="shared" si="12"/>
        <v>45874</v>
      </c>
      <c r="AB283" s="20">
        <f t="shared" si="13"/>
        <v>-9</v>
      </c>
      <c r="AC283" s="20" t="s">
        <v>50</v>
      </c>
      <c r="AD283" s="21" t="s">
        <v>51</v>
      </c>
      <c r="AE283" s="21"/>
      <c r="AF283" s="22" t="s">
        <v>52</v>
      </c>
      <c r="AG283" s="23" t="s">
        <v>53</v>
      </c>
      <c r="AH283" s="24"/>
      <c r="AN283" s="24"/>
    </row>
    <row r="284" spans="1:40" ht="12.75">
      <c r="A284" s="15">
        <v>3254508</v>
      </c>
      <c r="B284" s="15" t="s">
        <v>37</v>
      </c>
      <c r="C284" s="15" t="s">
        <v>38</v>
      </c>
      <c r="D284" s="15" t="s">
        <v>85</v>
      </c>
      <c r="E284" s="15" t="s">
        <v>86</v>
      </c>
      <c r="F284" s="15" t="s">
        <v>41</v>
      </c>
      <c r="G284" s="15" t="s">
        <v>147</v>
      </c>
      <c r="H284" s="15" t="s">
        <v>76</v>
      </c>
      <c r="I284" s="15" t="s">
        <v>77</v>
      </c>
      <c r="J284" s="15" t="s">
        <v>88</v>
      </c>
      <c r="K284" s="15" t="s">
        <v>60</v>
      </c>
      <c r="L284" s="16" t="s">
        <v>61</v>
      </c>
      <c r="M284" s="15" t="s">
        <v>48</v>
      </c>
      <c r="N284" s="17">
        <v>454707107149</v>
      </c>
      <c r="O284" s="15">
        <v>19913463</v>
      </c>
      <c r="P284" s="18" t="s">
        <v>153</v>
      </c>
      <c r="Q284" s="18">
        <v>4</v>
      </c>
      <c r="R284" s="18">
        <v>0.316</v>
      </c>
      <c r="S284" s="15">
        <v>35.936</v>
      </c>
      <c r="T284" s="16">
        <v>45824</v>
      </c>
      <c r="U284" s="19">
        <v>45883</v>
      </c>
      <c r="V284" s="16">
        <v>45824</v>
      </c>
      <c r="W284" s="16">
        <v>45826</v>
      </c>
      <c r="X284" s="57">
        <f t="shared" si="11"/>
        <v>45825</v>
      </c>
      <c r="Y284" s="63">
        <v>45832</v>
      </c>
      <c r="Z284" s="67">
        <v>45861</v>
      </c>
      <c r="AA284" s="71">
        <f t="shared" si="12"/>
        <v>45874</v>
      </c>
      <c r="AB284" s="20">
        <f t="shared" si="13"/>
        <v>-9</v>
      </c>
      <c r="AC284" s="20" t="s">
        <v>50</v>
      </c>
      <c r="AD284" s="21" t="s">
        <v>51</v>
      </c>
      <c r="AE284" s="21"/>
      <c r="AF284" s="22" t="s">
        <v>52</v>
      </c>
      <c r="AG284" s="23" t="s">
        <v>53</v>
      </c>
      <c r="AH284" s="24"/>
      <c r="AN284" s="24"/>
    </row>
    <row r="285" spans="1:40" ht="12.75">
      <c r="A285" s="15">
        <v>3254508</v>
      </c>
      <c r="B285" s="15" t="s">
        <v>37</v>
      </c>
      <c r="C285" s="15" t="s">
        <v>38</v>
      </c>
      <c r="D285" s="15" t="s">
        <v>85</v>
      </c>
      <c r="E285" s="15" t="s">
        <v>86</v>
      </c>
      <c r="F285" s="15" t="s">
        <v>41</v>
      </c>
      <c r="G285" s="15" t="s">
        <v>147</v>
      </c>
      <c r="H285" s="15" t="s">
        <v>76</v>
      </c>
      <c r="I285" s="15" t="s">
        <v>77</v>
      </c>
      <c r="J285" s="15" t="s">
        <v>88</v>
      </c>
      <c r="K285" s="15" t="s">
        <v>60</v>
      </c>
      <c r="L285" s="16" t="s">
        <v>61</v>
      </c>
      <c r="M285" s="15" t="s">
        <v>48</v>
      </c>
      <c r="N285" s="17">
        <v>454707657000</v>
      </c>
      <c r="O285" s="15">
        <v>19913514</v>
      </c>
      <c r="P285" s="18" t="s">
        <v>150</v>
      </c>
      <c r="Q285" s="18">
        <v>6</v>
      </c>
      <c r="R285" s="18">
        <v>0.39500000000000002</v>
      </c>
      <c r="S285" s="15">
        <v>60.972000000000001</v>
      </c>
      <c r="T285" s="16">
        <v>45824</v>
      </c>
      <c r="U285" s="19">
        <v>45883</v>
      </c>
      <c r="V285" s="16">
        <v>45824</v>
      </c>
      <c r="W285" s="16">
        <v>45826</v>
      </c>
      <c r="X285" s="57">
        <f t="shared" si="11"/>
        <v>45825</v>
      </c>
      <c r="Y285" s="63">
        <v>45832</v>
      </c>
      <c r="Z285" s="67">
        <v>45861</v>
      </c>
      <c r="AA285" s="71">
        <f t="shared" si="12"/>
        <v>45874</v>
      </c>
      <c r="AB285" s="20">
        <f t="shared" si="13"/>
        <v>-9</v>
      </c>
      <c r="AC285" s="20" t="s">
        <v>50</v>
      </c>
      <c r="AD285" s="21" t="s">
        <v>51</v>
      </c>
      <c r="AE285" s="21"/>
      <c r="AF285" s="22" t="s">
        <v>52</v>
      </c>
      <c r="AG285" s="23" t="s">
        <v>53</v>
      </c>
      <c r="AH285" s="24"/>
      <c r="AN285" s="24"/>
    </row>
    <row r="286" spans="1:40" ht="12.75">
      <c r="A286" s="15">
        <v>3254508</v>
      </c>
      <c r="B286" s="15" t="s">
        <v>37</v>
      </c>
      <c r="C286" s="15" t="s">
        <v>38</v>
      </c>
      <c r="D286" s="15" t="s">
        <v>85</v>
      </c>
      <c r="E286" s="15" t="s">
        <v>86</v>
      </c>
      <c r="F286" s="15" t="s">
        <v>41</v>
      </c>
      <c r="G286" s="15" t="s">
        <v>147</v>
      </c>
      <c r="H286" s="15" t="s">
        <v>76</v>
      </c>
      <c r="I286" s="15" t="s">
        <v>77</v>
      </c>
      <c r="J286" s="15" t="s">
        <v>88</v>
      </c>
      <c r="K286" s="15" t="s">
        <v>60</v>
      </c>
      <c r="L286" s="16" t="s">
        <v>61</v>
      </c>
      <c r="M286" s="15" t="s">
        <v>48</v>
      </c>
      <c r="N286" s="17">
        <v>454707704516</v>
      </c>
      <c r="O286" s="15">
        <v>19913502</v>
      </c>
      <c r="P286" s="18" t="s">
        <v>150</v>
      </c>
      <c r="Q286" s="18">
        <v>7</v>
      </c>
      <c r="R286" s="18">
        <v>0.47399999999999998</v>
      </c>
      <c r="S286" s="15">
        <v>81.849000000000004</v>
      </c>
      <c r="T286" s="16">
        <v>45824</v>
      </c>
      <c r="U286" s="19">
        <v>45883</v>
      </c>
      <c r="V286" s="16">
        <v>45824</v>
      </c>
      <c r="W286" s="16">
        <v>45826</v>
      </c>
      <c r="X286" s="57">
        <f t="shared" si="11"/>
        <v>45825</v>
      </c>
      <c r="Y286" s="63">
        <v>45832</v>
      </c>
      <c r="Z286" s="67">
        <v>45861</v>
      </c>
      <c r="AA286" s="71">
        <f t="shared" si="12"/>
        <v>45874</v>
      </c>
      <c r="AB286" s="20">
        <f t="shared" si="13"/>
        <v>-9</v>
      </c>
      <c r="AC286" s="20" t="s">
        <v>50</v>
      </c>
      <c r="AD286" s="21" t="s">
        <v>51</v>
      </c>
      <c r="AE286" s="21"/>
      <c r="AF286" s="22" t="s">
        <v>52</v>
      </c>
      <c r="AG286" s="23" t="s">
        <v>53</v>
      </c>
      <c r="AH286" s="24"/>
      <c r="AN286" s="24"/>
    </row>
    <row r="287" spans="1:40" ht="12.75">
      <c r="A287" s="15">
        <v>3254508</v>
      </c>
      <c r="B287" s="15" t="s">
        <v>37</v>
      </c>
      <c r="C287" s="15" t="s">
        <v>38</v>
      </c>
      <c r="D287" s="15" t="s">
        <v>85</v>
      </c>
      <c r="E287" s="15" t="s">
        <v>86</v>
      </c>
      <c r="F287" s="15" t="s">
        <v>41</v>
      </c>
      <c r="G287" s="15" t="s">
        <v>147</v>
      </c>
      <c r="H287" s="15" t="s">
        <v>76</v>
      </c>
      <c r="I287" s="15" t="s">
        <v>77</v>
      </c>
      <c r="J287" s="15" t="s">
        <v>88</v>
      </c>
      <c r="K287" s="15" t="s">
        <v>60</v>
      </c>
      <c r="L287" s="16" t="s">
        <v>61</v>
      </c>
      <c r="M287" s="15" t="s">
        <v>48</v>
      </c>
      <c r="N287" s="17">
        <v>454707967199</v>
      </c>
      <c r="O287" s="15">
        <v>19918362</v>
      </c>
      <c r="P287" s="18" t="s">
        <v>151</v>
      </c>
      <c r="Q287" s="18">
        <v>7</v>
      </c>
      <c r="R287" s="18">
        <v>0.434</v>
      </c>
      <c r="S287" s="15">
        <v>56.03</v>
      </c>
      <c r="T287" s="16">
        <v>45824</v>
      </c>
      <c r="U287" s="19">
        <v>45883</v>
      </c>
      <c r="V287" s="16">
        <v>45824</v>
      </c>
      <c r="W287" s="16">
        <v>45826</v>
      </c>
      <c r="X287" s="57">
        <f t="shared" si="11"/>
        <v>45825</v>
      </c>
      <c r="Y287" s="63">
        <v>45832</v>
      </c>
      <c r="Z287" s="67">
        <v>45861</v>
      </c>
      <c r="AA287" s="71">
        <f t="shared" si="12"/>
        <v>45874</v>
      </c>
      <c r="AB287" s="20">
        <f t="shared" si="13"/>
        <v>-9</v>
      </c>
      <c r="AC287" s="20" t="s">
        <v>50</v>
      </c>
      <c r="AD287" s="21" t="s">
        <v>51</v>
      </c>
      <c r="AE287" s="21"/>
      <c r="AF287" s="22" t="s">
        <v>52</v>
      </c>
      <c r="AG287" s="23" t="s">
        <v>53</v>
      </c>
      <c r="AH287" s="24"/>
      <c r="AN287" s="24"/>
    </row>
    <row r="288" spans="1:40" ht="12.75">
      <c r="A288" s="15">
        <v>3254508</v>
      </c>
      <c r="B288" s="15" t="s">
        <v>37</v>
      </c>
      <c r="C288" s="15" t="s">
        <v>38</v>
      </c>
      <c r="D288" s="15" t="s">
        <v>85</v>
      </c>
      <c r="E288" s="15" t="s">
        <v>86</v>
      </c>
      <c r="F288" s="15" t="s">
        <v>41</v>
      </c>
      <c r="G288" s="15" t="s">
        <v>147</v>
      </c>
      <c r="H288" s="15" t="s">
        <v>76</v>
      </c>
      <c r="I288" s="15" t="s">
        <v>77</v>
      </c>
      <c r="J288" s="15" t="s">
        <v>88</v>
      </c>
      <c r="K288" s="15" t="s">
        <v>60</v>
      </c>
      <c r="L288" s="16" t="s">
        <v>61</v>
      </c>
      <c r="M288" s="15" t="s">
        <v>48</v>
      </c>
      <c r="N288" s="17">
        <v>454708168021</v>
      </c>
      <c r="O288" s="15">
        <v>19918384</v>
      </c>
      <c r="P288" s="18" t="s">
        <v>151</v>
      </c>
      <c r="Q288" s="18">
        <v>6</v>
      </c>
      <c r="R288" s="18">
        <v>0.39500000000000002</v>
      </c>
      <c r="S288" s="15">
        <v>44.475999999999999</v>
      </c>
      <c r="T288" s="16">
        <v>45824</v>
      </c>
      <c r="U288" s="19">
        <v>45883</v>
      </c>
      <c r="V288" s="16">
        <v>45824</v>
      </c>
      <c r="W288" s="16">
        <v>45826</v>
      </c>
      <c r="X288" s="57">
        <f t="shared" si="11"/>
        <v>45825</v>
      </c>
      <c r="Y288" s="63">
        <v>45832</v>
      </c>
      <c r="Z288" s="67">
        <v>45861</v>
      </c>
      <c r="AA288" s="71">
        <f t="shared" si="12"/>
        <v>45874</v>
      </c>
      <c r="AB288" s="20">
        <f t="shared" si="13"/>
        <v>-9</v>
      </c>
      <c r="AC288" s="20" t="s">
        <v>50</v>
      </c>
      <c r="AD288" s="21" t="s">
        <v>51</v>
      </c>
      <c r="AE288" s="21"/>
      <c r="AF288" s="22" t="s">
        <v>52</v>
      </c>
      <c r="AG288" s="23" t="s">
        <v>53</v>
      </c>
      <c r="AH288" s="24"/>
      <c r="AN288" s="24"/>
    </row>
    <row r="289" spans="1:40" ht="12.75">
      <c r="A289" s="15">
        <v>3254508</v>
      </c>
      <c r="B289" s="15" t="s">
        <v>37</v>
      </c>
      <c r="C289" s="15" t="s">
        <v>38</v>
      </c>
      <c r="D289" s="15" t="s">
        <v>85</v>
      </c>
      <c r="E289" s="15" t="s">
        <v>86</v>
      </c>
      <c r="F289" s="15" t="s">
        <v>41</v>
      </c>
      <c r="G289" s="15" t="s">
        <v>147</v>
      </c>
      <c r="H289" s="15" t="s">
        <v>76</v>
      </c>
      <c r="I289" s="15" t="s">
        <v>77</v>
      </c>
      <c r="J289" s="15" t="s">
        <v>88</v>
      </c>
      <c r="K289" s="15" t="s">
        <v>60</v>
      </c>
      <c r="L289" s="16" t="s">
        <v>61</v>
      </c>
      <c r="M289" s="15" t="s">
        <v>48</v>
      </c>
      <c r="N289" s="17">
        <v>454708616885</v>
      </c>
      <c r="O289" s="15">
        <v>19918474</v>
      </c>
      <c r="P289" s="18" t="s">
        <v>152</v>
      </c>
      <c r="Q289" s="18">
        <v>4</v>
      </c>
      <c r="R289" s="18">
        <v>0.23699999999999999</v>
      </c>
      <c r="S289" s="15">
        <v>26.556000000000001</v>
      </c>
      <c r="T289" s="16">
        <v>45824</v>
      </c>
      <c r="U289" s="19">
        <v>45883</v>
      </c>
      <c r="V289" s="16">
        <v>45824</v>
      </c>
      <c r="W289" s="16">
        <v>45826</v>
      </c>
      <c r="X289" s="57">
        <f t="shared" si="11"/>
        <v>45825</v>
      </c>
      <c r="Y289" s="63">
        <v>45832</v>
      </c>
      <c r="Z289" s="67">
        <v>45861</v>
      </c>
      <c r="AA289" s="71">
        <f t="shared" si="12"/>
        <v>45874</v>
      </c>
      <c r="AB289" s="20">
        <f t="shared" si="13"/>
        <v>-9</v>
      </c>
      <c r="AC289" s="20" t="s">
        <v>50</v>
      </c>
      <c r="AD289" s="21" t="s">
        <v>51</v>
      </c>
      <c r="AE289" s="21"/>
      <c r="AF289" s="22" t="s">
        <v>52</v>
      </c>
      <c r="AG289" s="23" t="s">
        <v>53</v>
      </c>
      <c r="AH289" s="24"/>
      <c r="AN289" s="24"/>
    </row>
    <row r="290" spans="1:40" ht="12.75">
      <c r="A290" s="15">
        <v>3254508</v>
      </c>
      <c r="B290" s="15" t="s">
        <v>37</v>
      </c>
      <c r="C290" s="15" t="s">
        <v>38</v>
      </c>
      <c r="D290" s="15" t="s">
        <v>85</v>
      </c>
      <c r="E290" s="15" t="s">
        <v>86</v>
      </c>
      <c r="F290" s="15" t="s">
        <v>41</v>
      </c>
      <c r="G290" s="15" t="s">
        <v>147</v>
      </c>
      <c r="H290" s="15" t="s">
        <v>76</v>
      </c>
      <c r="I290" s="15" t="s">
        <v>77</v>
      </c>
      <c r="J290" s="15" t="s">
        <v>88</v>
      </c>
      <c r="K290" s="15" t="s">
        <v>60</v>
      </c>
      <c r="L290" s="16" t="s">
        <v>61</v>
      </c>
      <c r="M290" s="15" t="s">
        <v>48</v>
      </c>
      <c r="N290" s="17">
        <v>454708617020</v>
      </c>
      <c r="O290" s="15">
        <v>19918434</v>
      </c>
      <c r="P290" s="18" t="s">
        <v>154</v>
      </c>
      <c r="Q290" s="18">
        <v>3</v>
      </c>
      <c r="R290" s="18">
        <v>0.19800000000000001</v>
      </c>
      <c r="S290" s="15">
        <v>27.09</v>
      </c>
      <c r="T290" s="16">
        <v>45824</v>
      </c>
      <c r="U290" s="19">
        <v>45883</v>
      </c>
      <c r="V290" s="16">
        <v>45824</v>
      </c>
      <c r="W290" s="16">
        <v>45826</v>
      </c>
      <c r="X290" s="57">
        <f t="shared" si="11"/>
        <v>45825</v>
      </c>
      <c r="Y290" s="63">
        <v>45832</v>
      </c>
      <c r="Z290" s="67">
        <v>45861</v>
      </c>
      <c r="AA290" s="71">
        <f t="shared" si="12"/>
        <v>45874</v>
      </c>
      <c r="AB290" s="20">
        <f t="shared" si="13"/>
        <v>-9</v>
      </c>
      <c r="AC290" s="20" t="s">
        <v>50</v>
      </c>
      <c r="AD290" s="21" t="s">
        <v>51</v>
      </c>
      <c r="AE290" s="21"/>
      <c r="AF290" s="22" t="s">
        <v>52</v>
      </c>
      <c r="AG290" s="23" t="s">
        <v>53</v>
      </c>
      <c r="AH290" s="24"/>
      <c r="AN290" s="24"/>
    </row>
    <row r="291" spans="1:40" ht="12.75">
      <c r="A291" s="15">
        <v>3254508</v>
      </c>
      <c r="B291" s="15" t="s">
        <v>37</v>
      </c>
      <c r="C291" s="15" t="s">
        <v>38</v>
      </c>
      <c r="D291" s="15" t="s">
        <v>85</v>
      </c>
      <c r="E291" s="15" t="s">
        <v>86</v>
      </c>
      <c r="F291" s="15" t="s">
        <v>41</v>
      </c>
      <c r="G291" s="15" t="s">
        <v>147</v>
      </c>
      <c r="H291" s="15" t="s">
        <v>76</v>
      </c>
      <c r="I291" s="15" t="s">
        <v>77</v>
      </c>
      <c r="J291" s="15" t="s">
        <v>88</v>
      </c>
      <c r="K291" s="15" t="s">
        <v>60</v>
      </c>
      <c r="L291" s="16" t="s">
        <v>61</v>
      </c>
      <c r="M291" s="15" t="s">
        <v>48</v>
      </c>
      <c r="N291" s="17">
        <v>454708657110</v>
      </c>
      <c r="O291" s="15">
        <v>19918549</v>
      </c>
      <c r="P291" s="18" t="s">
        <v>153</v>
      </c>
      <c r="Q291" s="18">
        <v>2</v>
      </c>
      <c r="R291" s="18">
        <v>0.11799999999999999</v>
      </c>
      <c r="S291" s="15">
        <v>12.189</v>
      </c>
      <c r="T291" s="16">
        <v>45824</v>
      </c>
      <c r="U291" s="19">
        <v>45883</v>
      </c>
      <c r="V291" s="16">
        <v>45824</v>
      </c>
      <c r="W291" s="16">
        <v>45826</v>
      </c>
      <c r="X291" s="57">
        <f t="shared" si="11"/>
        <v>45825</v>
      </c>
      <c r="Y291" s="63">
        <v>45832</v>
      </c>
      <c r="Z291" s="67">
        <v>45861</v>
      </c>
      <c r="AA291" s="71">
        <f t="shared" si="12"/>
        <v>45874</v>
      </c>
      <c r="AB291" s="20">
        <f t="shared" si="13"/>
        <v>-9</v>
      </c>
      <c r="AC291" s="20" t="s">
        <v>50</v>
      </c>
      <c r="AD291" s="21" t="s">
        <v>51</v>
      </c>
      <c r="AE291" s="21"/>
      <c r="AF291" s="22" t="s">
        <v>52</v>
      </c>
      <c r="AG291" s="23" t="s">
        <v>53</v>
      </c>
      <c r="AH291" s="24"/>
      <c r="AN291" s="24"/>
    </row>
    <row r="292" spans="1:40" ht="12.75">
      <c r="A292" s="15">
        <v>3254508</v>
      </c>
      <c r="B292" s="15" t="s">
        <v>37</v>
      </c>
      <c r="C292" s="15" t="s">
        <v>38</v>
      </c>
      <c r="D292" s="15" t="s">
        <v>85</v>
      </c>
      <c r="E292" s="15" t="s">
        <v>86</v>
      </c>
      <c r="F292" s="15" t="s">
        <v>41</v>
      </c>
      <c r="G292" s="15" t="s">
        <v>147</v>
      </c>
      <c r="H292" s="15" t="s">
        <v>76</v>
      </c>
      <c r="I292" s="15" t="s">
        <v>77</v>
      </c>
      <c r="J292" s="15" t="s">
        <v>88</v>
      </c>
      <c r="K292" s="15" t="s">
        <v>60</v>
      </c>
      <c r="L292" s="16" t="s">
        <v>61</v>
      </c>
      <c r="M292" s="15" t="s">
        <v>48</v>
      </c>
      <c r="N292" s="17">
        <v>454708773563</v>
      </c>
      <c r="O292" s="15">
        <v>19918537</v>
      </c>
      <c r="P292" s="18" t="s">
        <v>153</v>
      </c>
      <c r="Q292" s="18">
        <v>2</v>
      </c>
      <c r="R292" s="18">
        <v>0.11799999999999999</v>
      </c>
      <c r="S292" s="15">
        <v>15.327999999999999</v>
      </c>
      <c r="T292" s="16">
        <v>45824</v>
      </c>
      <c r="U292" s="19">
        <v>45883</v>
      </c>
      <c r="V292" s="16">
        <v>45824</v>
      </c>
      <c r="W292" s="16">
        <v>45826</v>
      </c>
      <c r="X292" s="57">
        <f t="shared" si="11"/>
        <v>45825</v>
      </c>
      <c r="Y292" s="63">
        <v>45832</v>
      </c>
      <c r="Z292" s="67">
        <v>45861</v>
      </c>
      <c r="AA292" s="71">
        <f t="shared" si="12"/>
        <v>45874</v>
      </c>
      <c r="AB292" s="20">
        <f t="shared" si="13"/>
        <v>-9</v>
      </c>
      <c r="AC292" s="20" t="s">
        <v>50</v>
      </c>
      <c r="AD292" s="21" t="s">
        <v>51</v>
      </c>
      <c r="AE292" s="21"/>
      <c r="AF292" s="22" t="s">
        <v>52</v>
      </c>
      <c r="AG292" s="23" t="s">
        <v>53</v>
      </c>
      <c r="AH292" s="24"/>
      <c r="AN292" s="24"/>
    </row>
    <row r="293" spans="1:40" ht="12.75">
      <c r="A293" s="15">
        <v>3254508</v>
      </c>
      <c r="B293" s="15" t="s">
        <v>37</v>
      </c>
      <c r="C293" s="15" t="s">
        <v>38</v>
      </c>
      <c r="D293" s="15" t="s">
        <v>85</v>
      </c>
      <c r="E293" s="15" t="s">
        <v>86</v>
      </c>
      <c r="F293" s="15" t="s">
        <v>41</v>
      </c>
      <c r="G293" s="15" t="s">
        <v>147</v>
      </c>
      <c r="H293" s="15" t="s">
        <v>76</v>
      </c>
      <c r="I293" s="15" t="s">
        <v>77</v>
      </c>
      <c r="J293" s="15" t="s">
        <v>88</v>
      </c>
      <c r="K293" s="15" t="s">
        <v>60</v>
      </c>
      <c r="L293" s="16" t="s">
        <v>61</v>
      </c>
      <c r="M293" s="15" t="s">
        <v>48</v>
      </c>
      <c r="N293" s="17">
        <v>454708903460</v>
      </c>
      <c r="O293" s="15">
        <v>19918559</v>
      </c>
      <c r="P293" s="18" t="s">
        <v>149</v>
      </c>
      <c r="Q293" s="18">
        <v>4</v>
      </c>
      <c r="R293" s="18">
        <v>0.27600000000000002</v>
      </c>
      <c r="S293" s="15">
        <v>23.88</v>
      </c>
      <c r="T293" s="16">
        <v>45824</v>
      </c>
      <c r="U293" s="19">
        <v>45883</v>
      </c>
      <c r="V293" s="16">
        <v>45824</v>
      </c>
      <c r="W293" s="16">
        <v>45826</v>
      </c>
      <c r="X293" s="57">
        <f t="shared" si="11"/>
        <v>45825</v>
      </c>
      <c r="Y293" s="63">
        <v>45832</v>
      </c>
      <c r="Z293" s="67">
        <v>45861</v>
      </c>
      <c r="AA293" s="71">
        <f t="shared" si="12"/>
        <v>45874</v>
      </c>
      <c r="AB293" s="20">
        <f t="shared" si="13"/>
        <v>-9</v>
      </c>
      <c r="AC293" s="20" t="s">
        <v>50</v>
      </c>
      <c r="AD293" s="21" t="s">
        <v>51</v>
      </c>
      <c r="AE293" s="21"/>
      <c r="AF293" s="22" t="s">
        <v>52</v>
      </c>
      <c r="AG293" s="23" t="s">
        <v>53</v>
      </c>
      <c r="AH293" s="24"/>
      <c r="AN293" s="24"/>
    </row>
    <row r="294" spans="1:40" ht="12.75">
      <c r="A294" s="15">
        <v>3254508</v>
      </c>
      <c r="B294" s="15" t="s">
        <v>37</v>
      </c>
      <c r="C294" s="15" t="s">
        <v>38</v>
      </c>
      <c r="D294" s="15" t="s">
        <v>85</v>
      </c>
      <c r="E294" s="15" t="s">
        <v>86</v>
      </c>
      <c r="F294" s="15" t="s">
        <v>41</v>
      </c>
      <c r="G294" s="15" t="s">
        <v>147</v>
      </c>
      <c r="H294" s="15" t="s">
        <v>76</v>
      </c>
      <c r="I294" s="15" t="s">
        <v>77</v>
      </c>
      <c r="J294" s="15" t="s">
        <v>88</v>
      </c>
      <c r="K294" s="15" t="s">
        <v>60</v>
      </c>
      <c r="L294" s="16" t="s">
        <v>61</v>
      </c>
      <c r="M294" s="15" t="s">
        <v>48</v>
      </c>
      <c r="N294" s="17">
        <v>454709130141</v>
      </c>
      <c r="O294" s="15">
        <v>19918612</v>
      </c>
      <c r="P294" s="18" t="s">
        <v>150</v>
      </c>
      <c r="Q294" s="18">
        <v>4</v>
      </c>
      <c r="R294" s="18">
        <v>0.27600000000000002</v>
      </c>
      <c r="S294" s="15">
        <v>31.698</v>
      </c>
      <c r="T294" s="16">
        <v>45824</v>
      </c>
      <c r="U294" s="19">
        <v>45883</v>
      </c>
      <c r="V294" s="16">
        <v>45824</v>
      </c>
      <c r="W294" s="16">
        <v>45826</v>
      </c>
      <c r="X294" s="57">
        <f t="shared" si="11"/>
        <v>45825</v>
      </c>
      <c r="Y294" s="63">
        <v>45832</v>
      </c>
      <c r="Z294" s="67">
        <v>45861</v>
      </c>
      <c r="AA294" s="71">
        <f t="shared" si="12"/>
        <v>45874</v>
      </c>
      <c r="AB294" s="20">
        <f t="shared" si="13"/>
        <v>-9</v>
      </c>
      <c r="AC294" s="20" t="s">
        <v>50</v>
      </c>
      <c r="AD294" s="21" t="s">
        <v>51</v>
      </c>
      <c r="AE294" s="21"/>
      <c r="AF294" s="22" t="s">
        <v>52</v>
      </c>
      <c r="AG294" s="23" t="s">
        <v>53</v>
      </c>
      <c r="AH294" s="24"/>
      <c r="AN294" s="24"/>
    </row>
    <row r="295" spans="1:40" ht="12.75">
      <c r="A295" s="15">
        <v>3254508</v>
      </c>
      <c r="B295" s="15" t="s">
        <v>37</v>
      </c>
      <c r="C295" s="15" t="s">
        <v>38</v>
      </c>
      <c r="D295" s="15" t="s">
        <v>85</v>
      </c>
      <c r="E295" s="15" t="s">
        <v>86</v>
      </c>
      <c r="F295" s="15" t="s">
        <v>41</v>
      </c>
      <c r="G295" s="15" t="s">
        <v>147</v>
      </c>
      <c r="H295" s="15" t="s">
        <v>76</v>
      </c>
      <c r="I295" s="15" t="s">
        <v>77</v>
      </c>
      <c r="J295" s="15" t="s">
        <v>88</v>
      </c>
      <c r="K295" s="15" t="s">
        <v>60</v>
      </c>
      <c r="L295" s="16" t="s">
        <v>61</v>
      </c>
      <c r="M295" s="15" t="s">
        <v>48</v>
      </c>
      <c r="N295" s="17">
        <v>454709285841</v>
      </c>
      <c r="O295" s="15">
        <v>19918585</v>
      </c>
      <c r="P295" s="18" t="s">
        <v>149</v>
      </c>
      <c r="Q295" s="18">
        <v>3</v>
      </c>
      <c r="R295" s="18">
        <v>0.19700000000000001</v>
      </c>
      <c r="S295" s="15">
        <v>16.25</v>
      </c>
      <c r="T295" s="16">
        <v>45824</v>
      </c>
      <c r="U295" s="19">
        <v>45883</v>
      </c>
      <c r="V295" s="16">
        <v>45824</v>
      </c>
      <c r="W295" s="16">
        <v>45826</v>
      </c>
      <c r="X295" s="57">
        <f t="shared" si="11"/>
        <v>45825</v>
      </c>
      <c r="Y295" s="63">
        <v>45832</v>
      </c>
      <c r="Z295" s="67">
        <v>45861</v>
      </c>
      <c r="AA295" s="71">
        <f t="shared" si="12"/>
        <v>45874</v>
      </c>
      <c r="AB295" s="20">
        <f t="shared" si="13"/>
        <v>-9</v>
      </c>
      <c r="AC295" s="20" t="s">
        <v>50</v>
      </c>
      <c r="AD295" s="21" t="s">
        <v>51</v>
      </c>
      <c r="AE295" s="21"/>
      <c r="AF295" s="22" t="s">
        <v>52</v>
      </c>
      <c r="AG295" s="23" t="s">
        <v>53</v>
      </c>
      <c r="AH295" s="24"/>
      <c r="AN295" s="24"/>
    </row>
    <row r="296" spans="1:40" ht="12.75">
      <c r="A296" s="15">
        <v>3254508</v>
      </c>
      <c r="B296" s="15" t="s">
        <v>37</v>
      </c>
      <c r="C296" s="15" t="s">
        <v>38</v>
      </c>
      <c r="D296" s="15" t="s">
        <v>85</v>
      </c>
      <c r="E296" s="15" t="s">
        <v>86</v>
      </c>
      <c r="F296" s="15" t="s">
        <v>41</v>
      </c>
      <c r="G296" s="15" t="s">
        <v>147</v>
      </c>
      <c r="H296" s="15" t="s">
        <v>76</v>
      </c>
      <c r="I296" s="15" t="s">
        <v>77</v>
      </c>
      <c r="J296" s="15" t="s">
        <v>88</v>
      </c>
      <c r="K296" s="15" t="s">
        <v>60</v>
      </c>
      <c r="L296" s="16" t="s">
        <v>61</v>
      </c>
      <c r="M296" s="15" t="s">
        <v>48</v>
      </c>
      <c r="N296" s="17">
        <v>454709307367</v>
      </c>
      <c r="O296" s="15">
        <v>19918638</v>
      </c>
      <c r="P296" s="18" t="s">
        <v>155</v>
      </c>
      <c r="Q296" s="18">
        <v>2</v>
      </c>
      <c r="R296" s="18">
        <v>0.11799999999999999</v>
      </c>
      <c r="S296" s="15">
        <v>13.340999999999999</v>
      </c>
      <c r="T296" s="16">
        <v>45824</v>
      </c>
      <c r="U296" s="19">
        <v>45883</v>
      </c>
      <c r="V296" s="16">
        <v>45824</v>
      </c>
      <c r="W296" s="16">
        <v>45826</v>
      </c>
      <c r="X296" s="57">
        <f t="shared" si="11"/>
        <v>45825</v>
      </c>
      <c r="Y296" s="63">
        <v>45832</v>
      </c>
      <c r="Z296" s="67">
        <v>45861</v>
      </c>
      <c r="AA296" s="71">
        <f t="shared" si="12"/>
        <v>45874</v>
      </c>
      <c r="AB296" s="20">
        <f t="shared" si="13"/>
        <v>-9</v>
      </c>
      <c r="AC296" s="20" t="s">
        <v>50</v>
      </c>
      <c r="AD296" s="21" t="s">
        <v>51</v>
      </c>
      <c r="AE296" s="21"/>
      <c r="AF296" s="22" t="s">
        <v>52</v>
      </c>
      <c r="AG296" s="23" t="s">
        <v>53</v>
      </c>
      <c r="AH296" s="24"/>
      <c r="AN296" s="24"/>
    </row>
    <row r="297" spans="1:40" ht="12.75">
      <c r="A297" s="15">
        <v>3254508</v>
      </c>
      <c r="B297" s="15" t="s">
        <v>37</v>
      </c>
      <c r="C297" s="15" t="s">
        <v>38</v>
      </c>
      <c r="D297" s="15" t="s">
        <v>85</v>
      </c>
      <c r="E297" s="15" t="s">
        <v>86</v>
      </c>
      <c r="F297" s="15" t="s">
        <v>41</v>
      </c>
      <c r="G297" s="15" t="s">
        <v>147</v>
      </c>
      <c r="H297" s="15" t="s">
        <v>76</v>
      </c>
      <c r="I297" s="15" t="s">
        <v>77</v>
      </c>
      <c r="J297" s="15" t="s">
        <v>88</v>
      </c>
      <c r="K297" s="15" t="s">
        <v>60</v>
      </c>
      <c r="L297" s="16" t="s">
        <v>61</v>
      </c>
      <c r="M297" s="15" t="s">
        <v>48</v>
      </c>
      <c r="N297" s="17">
        <v>454709477054</v>
      </c>
      <c r="O297" s="15">
        <v>19918654</v>
      </c>
      <c r="P297" s="18" t="s">
        <v>156</v>
      </c>
      <c r="Q297" s="18">
        <v>3</v>
      </c>
      <c r="R297" s="18">
        <v>0.158</v>
      </c>
      <c r="S297" s="15">
        <v>21.785</v>
      </c>
      <c r="T297" s="16">
        <v>45824</v>
      </c>
      <c r="U297" s="19">
        <v>45883</v>
      </c>
      <c r="V297" s="16">
        <v>45824</v>
      </c>
      <c r="W297" s="16">
        <v>45826</v>
      </c>
      <c r="X297" s="57">
        <f t="shared" si="11"/>
        <v>45825</v>
      </c>
      <c r="Y297" s="63">
        <v>45832</v>
      </c>
      <c r="Z297" s="67">
        <v>45861</v>
      </c>
      <c r="AA297" s="71">
        <f t="shared" si="12"/>
        <v>45874</v>
      </c>
      <c r="AB297" s="20">
        <f t="shared" si="13"/>
        <v>-9</v>
      </c>
      <c r="AC297" s="20" t="s">
        <v>50</v>
      </c>
      <c r="AD297" s="21" t="s">
        <v>51</v>
      </c>
      <c r="AE297" s="21"/>
      <c r="AF297" s="22" t="s">
        <v>52</v>
      </c>
      <c r="AG297" s="23" t="s">
        <v>53</v>
      </c>
      <c r="AH297" s="24"/>
      <c r="AN297" s="24"/>
    </row>
    <row r="298" spans="1:40" ht="12.75">
      <c r="A298" s="15">
        <v>3254508</v>
      </c>
      <c r="B298" s="15" t="s">
        <v>37</v>
      </c>
      <c r="C298" s="15" t="s">
        <v>38</v>
      </c>
      <c r="D298" s="15" t="s">
        <v>85</v>
      </c>
      <c r="E298" s="15" t="s">
        <v>86</v>
      </c>
      <c r="F298" s="15" t="s">
        <v>41</v>
      </c>
      <c r="G298" s="15" t="s">
        <v>147</v>
      </c>
      <c r="H298" s="15" t="s">
        <v>76</v>
      </c>
      <c r="I298" s="15" t="s">
        <v>77</v>
      </c>
      <c r="J298" s="15" t="s">
        <v>88</v>
      </c>
      <c r="K298" s="15" t="s">
        <v>60</v>
      </c>
      <c r="L298" s="16" t="s">
        <v>61</v>
      </c>
      <c r="M298" s="15" t="s">
        <v>48</v>
      </c>
      <c r="N298" s="17">
        <v>454709781645</v>
      </c>
      <c r="O298" s="15">
        <v>19918778</v>
      </c>
      <c r="P298" s="18" t="s">
        <v>151</v>
      </c>
      <c r="Q298" s="18">
        <v>13</v>
      </c>
      <c r="R298" s="18">
        <v>0.90800000000000003</v>
      </c>
      <c r="S298" s="15">
        <v>128.64599999999999</v>
      </c>
      <c r="T298" s="16">
        <v>45824</v>
      </c>
      <c r="U298" s="19">
        <v>45883</v>
      </c>
      <c r="V298" s="16">
        <v>45824</v>
      </c>
      <c r="W298" s="16">
        <v>45826</v>
      </c>
      <c r="X298" s="57">
        <f t="shared" si="11"/>
        <v>45825</v>
      </c>
      <c r="Y298" s="63">
        <v>45832</v>
      </c>
      <c r="Z298" s="67">
        <v>45861</v>
      </c>
      <c r="AA298" s="71">
        <f t="shared" si="12"/>
        <v>45874</v>
      </c>
      <c r="AB298" s="20">
        <f t="shared" si="13"/>
        <v>-9</v>
      </c>
      <c r="AC298" s="20" t="s">
        <v>50</v>
      </c>
      <c r="AD298" s="21" t="s">
        <v>51</v>
      </c>
      <c r="AE298" s="21"/>
      <c r="AF298" s="22" t="s">
        <v>52</v>
      </c>
      <c r="AG298" s="23" t="s">
        <v>53</v>
      </c>
      <c r="AH298" s="24"/>
      <c r="AN298" s="24"/>
    </row>
    <row r="299" spans="1:40" ht="12.75">
      <c r="A299" s="15">
        <v>3254508</v>
      </c>
      <c r="B299" s="15" t="s">
        <v>37</v>
      </c>
      <c r="C299" s="15" t="s">
        <v>38</v>
      </c>
      <c r="D299" s="15" t="s">
        <v>85</v>
      </c>
      <c r="E299" s="15" t="s">
        <v>86</v>
      </c>
      <c r="F299" s="15" t="s">
        <v>41</v>
      </c>
      <c r="G299" s="15" t="s">
        <v>147</v>
      </c>
      <c r="H299" s="15" t="s">
        <v>76</v>
      </c>
      <c r="I299" s="15" t="s">
        <v>77</v>
      </c>
      <c r="J299" s="15" t="s">
        <v>88</v>
      </c>
      <c r="K299" s="15" t="s">
        <v>60</v>
      </c>
      <c r="L299" s="16" t="s">
        <v>61</v>
      </c>
      <c r="M299" s="15" t="s">
        <v>48</v>
      </c>
      <c r="N299" s="17">
        <v>454709782023</v>
      </c>
      <c r="O299" s="15">
        <v>19918920</v>
      </c>
      <c r="P299" s="18" t="s">
        <v>152</v>
      </c>
      <c r="Q299" s="18">
        <v>8</v>
      </c>
      <c r="R299" s="18">
        <v>0.59199999999999997</v>
      </c>
      <c r="S299" s="15">
        <v>84.045000000000002</v>
      </c>
      <c r="T299" s="16">
        <v>45824</v>
      </c>
      <c r="U299" s="19">
        <v>45883</v>
      </c>
      <c r="V299" s="16">
        <v>45824</v>
      </c>
      <c r="W299" s="16">
        <v>45826</v>
      </c>
      <c r="X299" s="57">
        <f t="shared" si="11"/>
        <v>45825</v>
      </c>
      <c r="Y299" s="63">
        <v>45832</v>
      </c>
      <c r="Z299" s="67">
        <v>45861</v>
      </c>
      <c r="AA299" s="71">
        <f t="shared" si="12"/>
        <v>45874</v>
      </c>
      <c r="AB299" s="20">
        <f t="shared" si="13"/>
        <v>-9</v>
      </c>
      <c r="AC299" s="20" t="s">
        <v>50</v>
      </c>
      <c r="AD299" s="21" t="s">
        <v>51</v>
      </c>
      <c r="AE299" s="21"/>
      <c r="AF299" s="22" t="s">
        <v>52</v>
      </c>
      <c r="AG299" s="23" t="s">
        <v>53</v>
      </c>
      <c r="AH299" s="24"/>
      <c r="AN299" s="24"/>
    </row>
    <row r="300" spans="1:40" ht="12.75">
      <c r="A300" s="15">
        <v>3254508</v>
      </c>
      <c r="B300" s="15" t="s">
        <v>37</v>
      </c>
      <c r="C300" s="15" t="s">
        <v>38</v>
      </c>
      <c r="D300" s="15" t="s">
        <v>85</v>
      </c>
      <c r="E300" s="15" t="s">
        <v>86</v>
      </c>
      <c r="F300" s="15" t="s">
        <v>41</v>
      </c>
      <c r="G300" s="15" t="s">
        <v>147</v>
      </c>
      <c r="H300" s="15" t="s">
        <v>76</v>
      </c>
      <c r="I300" s="15" t="s">
        <v>77</v>
      </c>
      <c r="J300" s="15" t="s">
        <v>88</v>
      </c>
      <c r="K300" s="15" t="s">
        <v>60</v>
      </c>
      <c r="L300" s="16" t="s">
        <v>61</v>
      </c>
      <c r="M300" s="15" t="s">
        <v>48</v>
      </c>
      <c r="N300" s="17">
        <v>454710211186</v>
      </c>
      <c r="O300" s="15">
        <v>19919209</v>
      </c>
      <c r="P300" s="18" t="s">
        <v>153</v>
      </c>
      <c r="Q300" s="18">
        <v>7</v>
      </c>
      <c r="R300" s="18">
        <v>0.47399999999999998</v>
      </c>
      <c r="S300" s="15">
        <v>62.688000000000002</v>
      </c>
      <c r="T300" s="16">
        <v>45824</v>
      </c>
      <c r="U300" s="19">
        <v>45883</v>
      </c>
      <c r="V300" s="16">
        <v>45824</v>
      </c>
      <c r="W300" s="16">
        <v>45826</v>
      </c>
      <c r="X300" s="57">
        <f t="shared" si="11"/>
        <v>45825</v>
      </c>
      <c r="Y300" s="63">
        <v>45832</v>
      </c>
      <c r="Z300" s="67">
        <v>45861</v>
      </c>
      <c r="AA300" s="71">
        <f t="shared" si="12"/>
        <v>45874</v>
      </c>
      <c r="AB300" s="20">
        <f t="shared" si="13"/>
        <v>-9</v>
      </c>
      <c r="AC300" s="20" t="s">
        <v>50</v>
      </c>
      <c r="AD300" s="21" t="s">
        <v>51</v>
      </c>
      <c r="AE300" s="21"/>
      <c r="AF300" s="22" t="s">
        <v>52</v>
      </c>
      <c r="AG300" s="23" t="s">
        <v>53</v>
      </c>
      <c r="AH300" s="24"/>
      <c r="AN300" s="24"/>
    </row>
    <row r="301" spans="1:40" ht="12.75">
      <c r="A301" s="15">
        <v>3254508</v>
      </c>
      <c r="B301" s="15" t="s">
        <v>37</v>
      </c>
      <c r="C301" s="15" t="s">
        <v>38</v>
      </c>
      <c r="D301" s="15" t="s">
        <v>85</v>
      </c>
      <c r="E301" s="15" t="s">
        <v>86</v>
      </c>
      <c r="F301" s="15" t="s">
        <v>41</v>
      </c>
      <c r="G301" s="15" t="s">
        <v>147</v>
      </c>
      <c r="H301" s="15" t="s">
        <v>76</v>
      </c>
      <c r="I301" s="15" t="s">
        <v>77</v>
      </c>
      <c r="J301" s="15" t="s">
        <v>88</v>
      </c>
      <c r="K301" s="15" t="s">
        <v>60</v>
      </c>
      <c r="L301" s="16" t="s">
        <v>61</v>
      </c>
      <c r="M301" s="15" t="s">
        <v>48</v>
      </c>
      <c r="N301" s="17">
        <v>454710569610</v>
      </c>
      <c r="O301" s="15">
        <v>19919241</v>
      </c>
      <c r="P301" s="18" t="s">
        <v>153</v>
      </c>
      <c r="Q301" s="18">
        <v>3</v>
      </c>
      <c r="R301" s="18">
        <v>0.23699999999999999</v>
      </c>
      <c r="S301" s="15">
        <v>25.298999999999999</v>
      </c>
      <c r="T301" s="16">
        <v>45824</v>
      </c>
      <c r="U301" s="19">
        <v>45883</v>
      </c>
      <c r="V301" s="16">
        <v>45824</v>
      </c>
      <c r="W301" s="16">
        <v>45826</v>
      </c>
      <c r="X301" s="57">
        <f t="shared" si="11"/>
        <v>45825</v>
      </c>
      <c r="Y301" s="63">
        <v>45832</v>
      </c>
      <c r="Z301" s="67">
        <v>45861</v>
      </c>
      <c r="AA301" s="71">
        <f t="shared" si="12"/>
        <v>45874</v>
      </c>
      <c r="AB301" s="20">
        <f t="shared" si="13"/>
        <v>-9</v>
      </c>
      <c r="AC301" s="20" t="s">
        <v>50</v>
      </c>
      <c r="AD301" s="21" t="s">
        <v>51</v>
      </c>
      <c r="AE301" s="21"/>
      <c r="AF301" s="22" t="s">
        <v>52</v>
      </c>
      <c r="AG301" s="23" t="s">
        <v>53</v>
      </c>
      <c r="AH301" s="24"/>
      <c r="AN301" s="24"/>
    </row>
    <row r="302" spans="1:40" ht="12.75">
      <c r="A302" s="15">
        <v>3254508</v>
      </c>
      <c r="B302" s="15" t="s">
        <v>37</v>
      </c>
      <c r="C302" s="15" t="s">
        <v>38</v>
      </c>
      <c r="D302" s="15" t="s">
        <v>85</v>
      </c>
      <c r="E302" s="15" t="s">
        <v>86</v>
      </c>
      <c r="F302" s="15" t="s">
        <v>41</v>
      </c>
      <c r="G302" s="15" t="s">
        <v>147</v>
      </c>
      <c r="H302" s="15" t="s">
        <v>76</v>
      </c>
      <c r="I302" s="15" t="s">
        <v>77</v>
      </c>
      <c r="J302" s="15" t="s">
        <v>88</v>
      </c>
      <c r="K302" s="15" t="s">
        <v>60</v>
      </c>
      <c r="L302" s="16" t="s">
        <v>61</v>
      </c>
      <c r="M302" s="15" t="s">
        <v>48</v>
      </c>
      <c r="N302" s="17">
        <v>454710569927</v>
      </c>
      <c r="O302" s="15">
        <v>19919259</v>
      </c>
      <c r="P302" s="18" t="s">
        <v>149</v>
      </c>
      <c r="Q302" s="18">
        <v>12</v>
      </c>
      <c r="R302" s="18">
        <v>0.94799999999999995</v>
      </c>
      <c r="S302" s="15">
        <v>95.786000000000001</v>
      </c>
      <c r="T302" s="16">
        <v>45824</v>
      </c>
      <c r="U302" s="19">
        <v>45883</v>
      </c>
      <c r="V302" s="16">
        <v>45824</v>
      </c>
      <c r="W302" s="16">
        <v>45826</v>
      </c>
      <c r="X302" s="57">
        <f t="shared" si="11"/>
        <v>45825</v>
      </c>
      <c r="Y302" s="63">
        <v>45832</v>
      </c>
      <c r="Z302" s="67">
        <v>45861</v>
      </c>
      <c r="AA302" s="71">
        <f t="shared" si="12"/>
        <v>45874</v>
      </c>
      <c r="AB302" s="20">
        <f t="shared" si="13"/>
        <v>-9</v>
      </c>
      <c r="AC302" s="20" t="s">
        <v>50</v>
      </c>
      <c r="AD302" s="21" t="s">
        <v>51</v>
      </c>
      <c r="AE302" s="21"/>
      <c r="AF302" s="22" t="s">
        <v>52</v>
      </c>
      <c r="AG302" s="23" t="s">
        <v>53</v>
      </c>
      <c r="AH302" s="24"/>
      <c r="AN302" s="24"/>
    </row>
    <row r="303" spans="1:40" ht="12.75">
      <c r="A303" s="15">
        <v>3254508</v>
      </c>
      <c r="B303" s="15" t="s">
        <v>37</v>
      </c>
      <c r="C303" s="15" t="s">
        <v>38</v>
      </c>
      <c r="D303" s="15" t="s">
        <v>85</v>
      </c>
      <c r="E303" s="15" t="s">
        <v>86</v>
      </c>
      <c r="F303" s="15" t="s">
        <v>41</v>
      </c>
      <c r="G303" s="15" t="s">
        <v>147</v>
      </c>
      <c r="H303" s="15" t="s">
        <v>76</v>
      </c>
      <c r="I303" s="15" t="s">
        <v>77</v>
      </c>
      <c r="J303" s="15" t="s">
        <v>88</v>
      </c>
      <c r="K303" s="15" t="s">
        <v>60</v>
      </c>
      <c r="L303" s="16" t="s">
        <v>61</v>
      </c>
      <c r="M303" s="15" t="s">
        <v>48</v>
      </c>
      <c r="N303" s="17">
        <v>454710728906</v>
      </c>
      <c r="O303" s="15">
        <v>19919281</v>
      </c>
      <c r="P303" s="18" t="s">
        <v>149</v>
      </c>
      <c r="Q303" s="18">
        <v>9</v>
      </c>
      <c r="R303" s="18">
        <v>0.67100000000000004</v>
      </c>
      <c r="S303" s="15">
        <v>62.689</v>
      </c>
      <c r="T303" s="16">
        <v>45824</v>
      </c>
      <c r="U303" s="19">
        <v>45883</v>
      </c>
      <c r="V303" s="16">
        <v>45824</v>
      </c>
      <c r="W303" s="16">
        <v>45826</v>
      </c>
      <c r="X303" s="57">
        <f t="shared" si="11"/>
        <v>45825</v>
      </c>
      <c r="Y303" s="63">
        <v>45832</v>
      </c>
      <c r="Z303" s="67">
        <v>45861</v>
      </c>
      <c r="AA303" s="71">
        <f t="shared" si="12"/>
        <v>45874</v>
      </c>
      <c r="AB303" s="20">
        <f t="shared" si="13"/>
        <v>-9</v>
      </c>
      <c r="AC303" s="20" t="s">
        <v>50</v>
      </c>
      <c r="AD303" s="21" t="s">
        <v>51</v>
      </c>
      <c r="AE303" s="21"/>
      <c r="AF303" s="22" t="s">
        <v>52</v>
      </c>
      <c r="AG303" s="23" t="s">
        <v>53</v>
      </c>
      <c r="AH303" s="24"/>
      <c r="AN303" s="24"/>
    </row>
    <row r="304" spans="1:40" ht="12.75">
      <c r="A304" s="15">
        <v>3254508</v>
      </c>
      <c r="B304" s="15" t="s">
        <v>37</v>
      </c>
      <c r="C304" s="15" t="s">
        <v>38</v>
      </c>
      <c r="D304" s="15" t="s">
        <v>85</v>
      </c>
      <c r="E304" s="15" t="s">
        <v>86</v>
      </c>
      <c r="F304" s="15" t="s">
        <v>41</v>
      </c>
      <c r="G304" s="15" t="s">
        <v>147</v>
      </c>
      <c r="H304" s="15" t="s">
        <v>76</v>
      </c>
      <c r="I304" s="15" t="s">
        <v>77</v>
      </c>
      <c r="J304" s="15" t="s">
        <v>88</v>
      </c>
      <c r="K304" s="15" t="s">
        <v>60</v>
      </c>
      <c r="L304" s="16" t="s">
        <v>61</v>
      </c>
      <c r="M304" s="15" t="s">
        <v>48</v>
      </c>
      <c r="N304" s="17">
        <v>454711375758</v>
      </c>
      <c r="O304" s="15">
        <v>19919305</v>
      </c>
      <c r="P304" s="18" t="s">
        <v>149</v>
      </c>
      <c r="Q304" s="18">
        <v>9</v>
      </c>
      <c r="R304" s="18">
        <v>0.67100000000000004</v>
      </c>
      <c r="S304" s="15">
        <v>65.876999999999995</v>
      </c>
      <c r="T304" s="16">
        <v>45824</v>
      </c>
      <c r="U304" s="19">
        <v>45883</v>
      </c>
      <c r="V304" s="16">
        <v>45824</v>
      </c>
      <c r="W304" s="16">
        <v>45826</v>
      </c>
      <c r="X304" s="57">
        <f t="shared" si="11"/>
        <v>45825</v>
      </c>
      <c r="Y304" s="63">
        <v>45832</v>
      </c>
      <c r="Z304" s="67">
        <v>45861</v>
      </c>
      <c r="AA304" s="71">
        <f t="shared" si="12"/>
        <v>45874</v>
      </c>
      <c r="AB304" s="20">
        <f t="shared" si="13"/>
        <v>-9</v>
      </c>
      <c r="AC304" s="20" t="s">
        <v>50</v>
      </c>
      <c r="AD304" s="21" t="s">
        <v>51</v>
      </c>
      <c r="AE304" s="21"/>
      <c r="AF304" s="22" t="s">
        <v>52</v>
      </c>
      <c r="AG304" s="23" t="s">
        <v>53</v>
      </c>
      <c r="AH304" s="24"/>
      <c r="AN304" s="24"/>
    </row>
    <row r="305" spans="1:40" ht="12.75">
      <c r="A305" s="15">
        <v>3254508</v>
      </c>
      <c r="B305" s="15" t="s">
        <v>37</v>
      </c>
      <c r="C305" s="15" t="s">
        <v>38</v>
      </c>
      <c r="D305" s="15" t="s">
        <v>85</v>
      </c>
      <c r="E305" s="15" t="s">
        <v>86</v>
      </c>
      <c r="F305" s="15" t="s">
        <v>41</v>
      </c>
      <c r="G305" s="15" t="s">
        <v>147</v>
      </c>
      <c r="H305" s="15" t="s">
        <v>76</v>
      </c>
      <c r="I305" s="15" t="s">
        <v>77</v>
      </c>
      <c r="J305" s="15" t="s">
        <v>88</v>
      </c>
      <c r="K305" s="15" t="s">
        <v>60</v>
      </c>
      <c r="L305" s="16" t="s">
        <v>61</v>
      </c>
      <c r="M305" s="15" t="s">
        <v>48</v>
      </c>
      <c r="N305" s="17">
        <v>454714025577</v>
      </c>
      <c r="O305" s="15">
        <v>19920272</v>
      </c>
      <c r="P305" s="18" t="s">
        <v>157</v>
      </c>
      <c r="Q305" s="18">
        <v>12</v>
      </c>
      <c r="R305" s="18">
        <v>0.82899999999999996</v>
      </c>
      <c r="S305" s="15">
        <v>106.758</v>
      </c>
      <c r="T305" s="16">
        <v>45824</v>
      </c>
      <c r="U305" s="19">
        <v>45883</v>
      </c>
      <c r="V305" s="16">
        <v>45824</v>
      </c>
      <c r="W305" s="16">
        <v>45826</v>
      </c>
      <c r="X305" s="57">
        <f t="shared" si="11"/>
        <v>45825</v>
      </c>
      <c r="Y305" s="63">
        <v>45832</v>
      </c>
      <c r="Z305" s="67">
        <v>45861</v>
      </c>
      <c r="AA305" s="71">
        <f t="shared" si="12"/>
        <v>45874</v>
      </c>
      <c r="AB305" s="20">
        <f t="shared" si="13"/>
        <v>-9</v>
      </c>
      <c r="AC305" s="20" t="s">
        <v>50</v>
      </c>
      <c r="AD305" s="21" t="s">
        <v>51</v>
      </c>
      <c r="AE305" s="21"/>
      <c r="AF305" s="22" t="s">
        <v>52</v>
      </c>
      <c r="AG305" s="23" t="s">
        <v>53</v>
      </c>
      <c r="AH305" s="24"/>
      <c r="AN305" s="24"/>
    </row>
    <row r="306" spans="1:40" ht="12.75">
      <c r="A306" s="15">
        <v>3254508</v>
      </c>
      <c r="B306" s="15" t="s">
        <v>37</v>
      </c>
      <c r="C306" s="15" t="s">
        <v>38</v>
      </c>
      <c r="D306" s="15" t="s">
        <v>85</v>
      </c>
      <c r="E306" s="15" t="s">
        <v>86</v>
      </c>
      <c r="F306" s="15" t="s">
        <v>41</v>
      </c>
      <c r="G306" s="15" t="s">
        <v>147</v>
      </c>
      <c r="H306" s="15" t="s">
        <v>76</v>
      </c>
      <c r="I306" s="15" t="s">
        <v>77</v>
      </c>
      <c r="J306" s="15" t="s">
        <v>88</v>
      </c>
      <c r="K306" s="15" t="s">
        <v>60</v>
      </c>
      <c r="L306" s="16" t="s">
        <v>61</v>
      </c>
      <c r="M306" s="15" t="s">
        <v>48</v>
      </c>
      <c r="N306" s="17">
        <v>454714622428</v>
      </c>
      <c r="O306" s="15">
        <v>19920327</v>
      </c>
      <c r="P306" s="18" t="s">
        <v>153</v>
      </c>
      <c r="Q306" s="18">
        <v>2</v>
      </c>
      <c r="R306" s="18">
        <v>0.11799999999999999</v>
      </c>
      <c r="S306" s="15">
        <v>11.808999999999999</v>
      </c>
      <c r="T306" s="16">
        <v>45824</v>
      </c>
      <c r="U306" s="19">
        <v>45883</v>
      </c>
      <c r="V306" s="16">
        <v>45824</v>
      </c>
      <c r="W306" s="16">
        <v>45826</v>
      </c>
      <c r="X306" s="57">
        <f t="shared" si="11"/>
        <v>45825</v>
      </c>
      <c r="Y306" s="63">
        <v>45832</v>
      </c>
      <c r="Z306" s="67">
        <v>45861</v>
      </c>
      <c r="AA306" s="71">
        <f t="shared" si="12"/>
        <v>45874</v>
      </c>
      <c r="AB306" s="20">
        <f t="shared" si="13"/>
        <v>-9</v>
      </c>
      <c r="AC306" s="20" t="s">
        <v>50</v>
      </c>
      <c r="AD306" s="21" t="s">
        <v>51</v>
      </c>
      <c r="AE306" s="21"/>
      <c r="AF306" s="22" t="s">
        <v>52</v>
      </c>
      <c r="AG306" s="23" t="s">
        <v>53</v>
      </c>
      <c r="AH306" s="24"/>
      <c r="AN306" s="24"/>
    </row>
    <row r="307" spans="1:40" ht="12.75">
      <c r="A307" s="15">
        <v>3254508</v>
      </c>
      <c r="B307" s="15" t="s">
        <v>37</v>
      </c>
      <c r="C307" s="15" t="s">
        <v>38</v>
      </c>
      <c r="D307" s="15" t="s">
        <v>85</v>
      </c>
      <c r="E307" s="15" t="s">
        <v>86</v>
      </c>
      <c r="F307" s="15" t="s">
        <v>41</v>
      </c>
      <c r="G307" s="15" t="s">
        <v>147</v>
      </c>
      <c r="H307" s="15" t="s">
        <v>76</v>
      </c>
      <c r="I307" s="15" t="s">
        <v>77</v>
      </c>
      <c r="J307" s="15" t="s">
        <v>88</v>
      </c>
      <c r="K307" s="15" t="s">
        <v>60</v>
      </c>
      <c r="L307" s="16" t="s">
        <v>61</v>
      </c>
      <c r="M307" s="15" t="s">
        <v>48</v>
      </c>
      <c r="N307" s="17">
        <v>454714661923</v>
      </c>
      <c r="O307" s="15">
        <v>19920296</v>
      </c>
      <c r="P307" s="18" t="s">
        <v>152</v>
      </c>
      <c r="Q307" s="18">
        <v>3</v>
      </c>
      <c r="R307" s="18">
        <v>0.19700000000000001</v>
      </c>
      <c r="S307" s="15">
        <v>23.134</v>
      </c>
      <c r="T307" s="16">
        <v>45824</v>
      </c>
      <c r="U307" s="19">
        <v>45883</v>
      </c>
      <c r="V307" s="16">
        <v>45824</v>
      </c>
      <c r="W307" s="16">
        <v>45826</v>
      </c>
      <c r="X307" s="57">
        <f t="shared" si="11"/>
        <v>45825</v>
      </c>
      <c r="Y307" s="63">
        <v>45832</v>
      </c>
      <c r="Z307" s="67">
        <v>45861</v>
      </c>
      <c r="AA307" s="71">
        <f t="shared" si="12"/>
        <v>45874</v>
      </c>
      <c r="AB307" s="20">
        <f t="shared" si="13"/>
        <v>-9</v>
      </c>
      <c r="AC307" s="20" t="s">
        <v>50</v>
      </c>
      <c r="AD307" s="21" t="s">
        <v>51</v>
      </c>
      <c r="AE307" s="21"/>
      <c r="AF307" s="22" t="s">
        <v>52</v>
      </c>
      <c r="AG307" s="23" t="s">
        <v>53</v>
      </c>
      <c r="AH307" s="24"/>
      <c r="AN307" s="24"/>
    </row>
    <row r="308" spans="1:40" ht="12.75">
      <c r="A308" s="15">
        <v>3254508</v>
      </c>
      <c r="B308" s="15" t="s">
        <v>37</v>
      </c>
      <c r="C308" s="15" t="s">
        <v>38</v>
      </c>
      <c r="D308" s="15" t="s">
        <v>85</v>
      </c>
      <c r="E308" s="15" t="s">
        <v>86</v>
      </c>
      <c r="F308" s="15" t="s">
        <v>41</v>
      </c>
      <c r="G308" s="15" t="s">
        <v>147</v>
      </c>
      <c r="H308" s="15" t="s">
        <v>76</v>
      </c>
      <c r="I308" s="15" t="s">
        <v>77</v>
      </c>
      <c r="J308" s="15" t="s">
        <v>88</v>
      </c>
      <c r="K308" s="15" t="s">
        <v>60</v>
      </c>
      <c r="L308" s="16" t="s">
        <v>61</v>
      </c>
      <c r="M308" s="15" t="s">
        <v>48</v>
      </c>
      <c r="N308" s="17">
        <v>454714789370</v>
      </c>
      <c r="O308" s="15">
        <v>19920309</v>
      </c>
      <c r="P308" s="18" t="s">
        <v>148</v>
      </c>
      <c r="Q308" s="18">
        <v>9</v>
      </c>
      <c r="R308" s="18">
        <v>0.63200000000000001</v>
      </c>
      <c r="S308" s="15">
        <v>96.388000000000005</v>
      </c>
      <c r="T308" s="16">
        <v>45824</v>
      </c>
      <c r="U308" s="19">
        <v>45883</v>
      </c>
      <c r="V308" s="16">
        <v>45824</v>
      </c>
      <c r="W308" s="16">
        <v>45826</v>
      </c>
      <c r="X308" s="57">
        <f t="shared" si="11"/>
        <v>45825</v>
      </c>
      <c r="Y308" s="63">
        <v>45832</v>
      </c>
      <c r="Z308" s="67">
        <v>45861</v>
      </c>
      <c r="AA308" s="71">
        <f t="shared" si="12"/>
        <v>45874</v>
      </c>
      <c r="AB308" s="20">
        <f t="shared" si="13"/>
        <v>-9</v>
      </c>
      <c r="AC308" s="20" t="s">
        <v>50</v>
      </c>
      <c r="AD308" s="21" t="s">
        <v>51</v>
      </c>
      <c r="AE308" s="21"/>
      <c r="AF308" s="22" t="s">
        <v>52</v>
      </c>
      <c r="AG308" s="23" t="s">
        <v>53</v>
      </c>
      <c r="AH308" s="24"/>
      <c r="AN308" s="24"/>
    </row>
    <row r="309" spans="1:40" ht="12.75">
      <c r="A309" s="15">
        <v>3254508</v>
      </c>
      <c r="B309" s="15" t="s">
        <v>37</v>
      </c>
      <c r="C309" s="15" t="s">
        <v>38</v>
      </c>
      <c r="D309" s="15" t="s">
        <v>85</v>
      </c>
      <c r="E309" s="15" t="s">
        <v>86</v>
      </c>
      <c r="F309" s="15" t="s">
        <v>41</v>
      </c>
      <c r="G309" s="15" t="s">
        <v>147</v>
      </c>
      <c r="H309" s="15" t="s">
        <v>76</v>
      </c>
      <c r="I309" s="15" t="s">
        <v>77</v>
      </c>
      <c r="J309" s="15" t="s">
        <v>88</v>
      </c>
      <c r="K309" s="15" t="s">
        <v>60</v>
      </c>
      <c r="L309" s="16" t="s">
        <v>61</v>
      </c>
      <c r="M309" s="15" t="s">
        <v>48</v>
      </c>
      <c r="N309" s="17">
        <v>454714960542</v>
      </c>
      <c r="O309" s="15">
        <v>19920323</v>
      </c>
      <c r="P309" s="18" t="s">
        <v>153</v>
      </c>
      <c r="Q309" s="18">
        <v>1</v>
      </c>
      <c r="R309" s="18">
        <v>7.9000000000000001E-2</v>
      </c>
      <c r="S309" s="15">
        <v>8.8230000000000004</v>
      </c>
      <c r="T309" s="16">
        <v>45824</v>
      </c>
      <c r="U309" s="19">
        <v>45883</v>
      </c>
      <c r="V309" s="16">
        <v>45824</v>
      </c>
      <c r="W309" s="16">
        <v>45826</v>
      </c>
      <c r="X309" s="57">
        <f t="shared" si="11"/>
        <v>45825</v>
      </c>
      <c r="Y309" s="63">
        <v>45832</v>
      </c>
      <c r="Z309" s="67">
        <v>45861</v>
      </c>
      <c r="AA309" s="71">
        <f t="shared" si="12"/>
        <v>45874</v>
      </c>
      <c r="AB309" s="20">
        <f t="shared" si="13"/>
        <v>-9</v>
      </c>
      <c r="AC309" s="20" t="s">
        <v>50</v>
      </c>
      <c r="AD309" s="21" t="s">
        <v>51</v>
      </c>
      <c r="AE309" s="21"/>
      <c r="AF309" s="22" t="s">
        <v>52</v>
      </c>
      <c r="AG309" s="23" t="s">
        <v>53</v>
      </c>
      <c r="AH309" s="24"/>
      <c r="AN309" s="24"/>
    </row>
    <row r="310" spans="1:40" ht="12.75">
      <c r="A310" s="15">
        <v>3254508</v>
      </c>
      <c r="B310" s="15" t="s">
        <v>37</v>
      </c>
      <c r="C310" s="15" t="s">
        <v>38</v>
      </c>
      <c r="D310" s="15" t="s">
        <v>85</v>
      </c>
      <c r="E310" s="15" t="s">
        <v>86</v>
      </c>
      <c r="F310" s="15" t="s">
        <v>41</v>
      </c>
      <c r="G310" s="15" t="s">
        <v>147</v>
      </c>
      <c r="H310" s="15" t="s">
        <v>76</v>
      </c>
      <c r="I310" s="15" t="s">
        <v>77</v>
      </c>
      <c r="J310" s="15" t="s">
        <v>88</v>
      </c>
      <c r="K310" s="15" t="s">
        <v>60</v>
      </c>
      <c r="L310" s="16" t="s">
        <v>61</v>
      </c>
      <c r="M310" s="15" t="s">
        <v>48</v>
      </c>
      <c r="N310" s="17">
        <v>454714967164</v>
      </c>
      <c r="O310" s="15">
        <v>19920331</v>
      </c>
      <c r="P310" s="18" t="s">
        <v>149</v>
      </c>
      <c r="Q310" s="18">
        <v>3</v>
      </c>
      <c r="R310" s="18">
        <v>0.19700000000000001</v>
      </c>
      <c r="S310" s="15">
        <v>15.613</v>
      </c>
      <c r="T310" s="16">
        <v>45824</v>
      </c>
      <c r="U310" s="19">
        <v>45883</v>
      </c>
      <c r="V310" s="16">
        <v>45824</v>
      </c>
      <c r="W310" s="16">
        <v>45826</v>
      </c>
      <c r="X310" s="57">
        <f t="shared" si="11"/>
        <v>45825</v>
      </c>
      <c r="Y310" s="63">
        <v>45832</v>
      </c>
      <c r="Z310" s="67">
        <v>45861</v>
      </c>
      <c r="AA310" s="71">
        <f t="shared" si="12"/>
        <v>45874</v>
      </c>
      <c r="AB310" s="20">
        <f t="shared" si="13"/>
        <v>-9</v>
      </c>
      <c r="AC310" s="20" t="s">
        <v>50</v>
      </c>
      <c r="AD310" s="21" t="s">
        <v>51</v>
      </c>
      <c r="AE310" s="21"/>
      <c r="AF310" s="22" t="s">
        <v>52</v>
      </c>
      <c r="AG310" s="23" t="s">
        <v>53</v>
      </c>
      <c r="AH310" s="24"/>
      <c r="AN310" s="24"/>
    </row>
    <row r="311" spans="1:40" ht="12.75">
      <c r="A311" s="15">
        <v>3254508</v>
      </c>
      <c r="B311" s="15" t="s">
        <v>37</v>
      </c>
      <c r="C311" s="15" t="s">
        <v>38</v>
      </c>
      <c r="D311" s="15" t="s">
        <v>85</v>
      </c>
      <c r="E311" s="15" t="s">
        <v>86</v>
      </c>
      <c r="F311" s="15" t="s">
        <v>41</v>
      </c>
      <c r="G311" s="15" t="s">
        <v>147</v>
      </c>
      <c r="H311" s="15" t="s">
        <v>76</v>
      </c>
      <c r="I311" s="15" t="s">
        <v>77</v>
      </c>
      <c r="J311" s="15" t="s">
        <v>88</v>
      </c>
      <c r="K311" s="15" t="s">
        <v>60</v>
      </c>
      <c r="L311" s="16" t="s">
        <v>61</v>
      </c>
      <c r="M311" s="15" t="s">
        <v>48</v>
      </c>
      <c r="N311" s="17">
        <v>454715072465</v>
      </c>
      <c r="O311" s="15">
        <v>19920345</v>
      </c>
      <c r="P311" s="18" t="s">
        <v>150</v>
      </c>
      <c r="Q311" s="18">
        <v>3</v>
      </c>
      <c r="R311" s="18">
        <v>0.158</v>
      </c>
      <c r="S311" s="15">
        <v>20.204000000000001</v>
      </c>
      <c r="T311" s="16">
        <v>45824</v>
      </c>
      <c r="U311" s="19">
        <v>45883</v>
      </c>
      <c r="V311" s="16">
        <v>45824</v>
      </c>
      <c r="W311" s="16">
        <v>45826</v>
      </c>
      <c r="X311" s="57">
        <f t="shared" si="11"/>
        <v>45825</v>
      </c>
      <c r="Y311" s="63">
        <v>45832</v>
      </c>
      <c r="Z311" s="67">
        <v>45861</v>
      </c>
      <c r="AA311" s="71">
        <f t="shared" si="12"/>
        <v>45874</v>
      </c>
      <c r="AB311" s="20">
        <f t="shared" si="13"/>
        <v>-9</v>
      </c>
      <c r="AC311" s="20" t="s">
        <v>50</v>
      </c>
      <c r="AD311" s="21" t="s">
        <v>51</v>
      </c>
      <c r="AE311" s="21"/>
      <c r="AF311" s="22" t="s">
        <v>52</v>
      </c>
      <c r="AG311" s="23" t="s">
        <v>53</v>
      </c>
      <c r="AH311" s="24"/>
      <c r="AN311" s="24"/>
    </row>
    <row r="312" spans="1:40" ht="12.75">
      <c r="A312" s="15">
        <v>3254508</v>
      </c>
      <c r="B312" s="15" t="s">
        <v>37</v>
      </c>
      <c r="C312" s="15" t="s">
        <v>38</v>
      </c>
      <c r="D312" s="15" t="s">
        <v>85</v>
      </c>
      <c r="E312" s="15" t="s">
        <v>86</v>
      </c>
      <c r="F312" s="15" t="s">
        <v>41</v>
      </c>
      <c r="G312" s="15" t="s">
        <v>147</v>
      </c>
      <c r="H312" s="15" t="s">
        <v>76</v>
      </c>
      <c r="I312" s="15" t="s">
        <v>77</v>
      </c>
      <c r="J312" s="15" t="s">
        <v>88</v>
      </c>
      <c r="K312" s="15" t="s">
        <v>60</v>
      </c>
      <c r="L312" s="16" t="s">
        <v>61</v>
      </c>
      <c r="M312" s="15" t="s">
        <v>48</v>
      </c>
      <c r="N312" s="17">
        <v>454715264989</v>
      </c>
      <c r="O312" s="15">
        <v>19920351</v>
      </c>
      <c r="P312" s="18" t="s">
        <v>150</v>
      </c>
      <c r="Q312" s="18">
        <v>1</v>
      </c>
      <c r="R312" s="18">
        <v>7.9000000000000001E-2</v>
      </c>
      <c r="S312" s="15">
        <v>10.845000000000001</v>
      </c>
      <c r="T312" s="16">
        <v>45824</v>
      </c>
      <c r="U312" s="19">
        <v>45883</v>
      </c>
      <c r="V312" s="16">
        <v>45824</v>
      </c>
      <c r="W312" s="16">
        <v>45826</v>
      </c>
      <c r="X312" s="57">
        <f t="shared" si="11"/>
        <v>45825</v>
      </c>
      <c r="Y312" s="63">
        <v>45832</v>
      </c>
      <c r="Z312" s="67">
        <v>45861</v>
      </c>
      <c r="AA312" s="71">
        <f t="shared" si="12"/>
        <v>45874</v>
      </c>
      <c r="AB312" s="20">
        <f t="shared" si="13"/>
        <v>-9</v>
      </c>
      <c r="AC312" s="20" t="s">
        <v>50</v>
      </c>
      <c r="AD312" s="21" t="s">
        <v>51</v>
      </c>
      <c r="AE312" s="21"/>
      <c r="AF312" s="22" t="s">
        <v>52</v>
      </c>
      <c r="AG312" s="23" t="s">
        <v>53</v>
      </c>
      <c r="AH312" s="24"/>
      <c r="AN312" s="24"/>
    </row>
    <row r="313" spans="1:40" ht="12.75">
      <c r="A313" s="15">
        <v>3254508</v>
      </c>
      <c r="B313" s="15" t="s">
        <v>37</v>
      </c>
      <c r="C313" s="15" t="s">
        <v>38</v>
      </c>
      <c r="D313" s="15" t="s">
        <v>85</v>
      </c>
      <c r="E313" s="15" t="s">
        <v>86</v>
      </c>
      <c r="F313" s="15" t="s">
        <v>41</v>
      </c>
      <c r="G313" s="15" t="s">
        <v>147</v>
      </c>
      <c r="H313" s="15" t="s">
        <v>76</v>
      </c>
      <c r="I313" s="15" t="s">
        <v>77</v>
      </c>
      <c r="J313" s="15" t="s">
        <v>88</v>
      </c>
      <c r="K313" s="15" t="s">
        <v>60</v>
      </c>
      <c r="L313" s="16" t="s">
        <v>61</v>
      </c>
      <c r="M313" s="15" t="s">
        <v>48</v>
      </c>
      <c r="N313" s="17">
        <v>454715350749</v>
      </c>
      <c r="O313" s="15">
        <v>19920359</v>
      </c>
      <c r="P313" s="18" t="s">
        <v>155</v>
      </c>
      <c r="Q313" s="18">
        <v>1</v>
      </c>
      <c r="R313" s="18">
        <v>7.9000000000000001E-2</v>
      </c>
      <c r="S313" s="15">
        <v>9.859</v>
      </c>
      <c r="T313" s="16">
        <v>45824</v>
      </c>
      <c r="U313" s="19">
        <v>45883</v>
      </c>
      <c r="V313" s="16">
        <v>45824</v>
      </c>
      <c r="W313" s="16">
        <v>45826</v>
      </c>
      <c r="X313" s="57">
        <f t="shared" si="11"/>
        <v>45825</v>
      </c>
      <c r="Y313" s="63">
        <v>45832</v>
      </c>
      <c r="Z313" s="67">
        <v>45861</v>
      </c>
      <c r="AA313" s="71">
        <f t="shared" si="12"/>
        <v>45874</v>
      </c>
      <c r="AB313" s="20">
        <f t="shared" si="13"/>
        <v>-9</v>
      </c>
      <c r="AC313" s="20" t="s">
        <v>50</v>
      </c>
      <c r="AD313" s="21" t="s">
        <v>51</v>
      </c>
      <c r="AE313" s="21"/>
      <c r="AF313" s="22" t="s">
        <v>52</v>
      </c>
      <c r="AG313" s="23" t="s">
        <v>53</v>
      </c>
      <c r="AH313" s="24"/>
      <c r="AN313" s="24"/>
    </row>
    <row r="314" spans="1:40" ht="12.75">
      <c r="A314" s="15">
        <v>3254508</v>
      </c>
      <c r="B314" s="15" t="s">
        <v>37</v>
      </c>
      <c r="C314" s="15" t="s">
        <v>38</v>
      </c>
      <c r="D314" s="15" t="s">
        <v>85</v>
      </c>
      <c r="E314" s="15" t="s">
        <v>86</v>
      </c>
      <c r="F314" s="15" t="s">
        <v>41</v>
      </c>
      <c r="G314" s="15" t="s">
        <v>147</v>
      </c>
      <c r="H314" s="15" t="s">
        <v>76</v>
      </c>
      <c r="I314" s="15" t="s">
        <v>77</v>
      </c>
      <c r="J314" s="15" t="s">
        <v>88</v>
      </c>
      <c r="K314" s="15" t="s">
        <v>60</v>
      </c>
      <c r="L314" s="16" t="s">
        <v>61</v>
      </c>
      <c r="M314" s="15" t="s">
        <v>48</v>
      </c>
      <c r="N314" s="17">
        <v>454715529553</v>
      </c>
      <c r="O314" s="15">
        <v>19920368</v>
      </c>
      <c r="P314" s="18" t="s">
        <v>157</v>
      </c>
      <c r="Q314" s="18">
        <v>21</v>
      </c>
      <c r="R314" s="18">
        <v>1.58</v>
      </c>
      <c r="S314" s="15">
        <v>215.35</v>
      </c>
      <c r="T314" s="16">
        <v>45824</v>
      </c>
      <c r="U314" s="19">
        <v>45883</v>
      </c>
      <c r="V314" s="16">
        <v>45824</v>
      </c>
      <c r="W314" s="16">
        <v>45826</v>
      </c>
      <c r="X314" s="57">
        <f t="shared" si="11"/>
        <v>45825</v>
      </c>
      <c r="Y314" s="63">
        <v>45832</v>
      </c>
      <c r="Z314" s="67">
        <v>45861</v>
      </c>
      <c r="AA314" s="71">
        <f t="shared" si="12"/>
        <v>45874</v>
      </c>
      <c r="AB314" s="20">
        <f t="shared" si="13"/>
        <v>-9</v>
      </c>
      <c r="AC314" s="20" t="s">
        <v>50</v>
      </c>
      <c r="AD314" s="21" t="s">
        <v>51</v>
      </c>
      <c r="AE314" s="21"/>
      <c r="AF314" s="22" t="s">
        <v>52</v>
      </c>
      <c r="AG314" s="23" t="s">
        <v>53</v>
      </c>
      <c r="AH314" s="24"/>
      <c r="AN314" s="24"/>
    </row>
    <row r="315" spans="1:40" ht="12.75">
      <c r="A315" s="15">
        <v>3254508</v>
      </c>
      <c r="B315" s="15" t="s">
        <v>37</v>
      </c>
      <c r="C315" s="15" t="s">
        <v>38</v>
      </c>
      <c r="D315" s="15" t="s">
        <v>85</v>
      </c>
      <c r="E315" s="15" t="s">
        <v>86</v>
      </c>
      <c r="F315" s="15" t="s">
        <v>41</v>
      </c>
      <c r="G315" s="15" t="s">
        <v>147</v>
      </c>
      <c r="H315" s="15" t="s">
        <v>76</v>
      </c>
      <c r="I315" s="15" t="s">
        <v>77</v>
      </c>
      <c r="J315" s="15" t="s">
        <v>88</v>
      </c>
      <c r="K315" s="15" t="s">
        <v>60</v>
      </c>
      <c r="L315" s="16" t="s">
        <v>61</v>
      </c>
      <c r="M315" s="15" t="s">
        <v>48</v>
      </c>
      <c r="N315" s="17">
        <v>454715880007</v>
      </c>
      <c r="O315" s="15">
        <v>19920486</v>
      </c>
      <c r="P315" s="18" t="s">
        <v>148</v>
      </c>
      <c r="Q315" s="18">
        <v>8</v>
      </c>
      <c r="R315" s="18">
        <v>0.55300000000000005</v>
      </c>
      <c r="S315" s="15">
        <v>86.557000000000002</v>
      </c>
      <c r="T315" s="16">
        <v>45824</v>
      </c>
      <c r="U315" s="19">
        <v>45883</v>
      </c>
      <c r="V315" s="16">
        <v>45824</v>
      </c>
      <c r="W315" s="16">
        <v>45826</v>
      </c>
      <c r="X315" s="57">
        <f t="shared" si="11"/>
        <v>45825</v>
      </c>
      <c r="Y315" s="63">
        <v>45832</v>
      </c>
      <c r="Z315" s="67">
        <v>45861</v>
      </c>
      <c r="AA315" s="71">
        <f t="shared" si="12"/>
        <v>45874</v>
      </c>
      <c r="AB315" s="20">
        <f t="shared" si="13"/>
        <v>-9</v>
      </c>
      <c r="AC315" s="20" t="s">
        <v>50</v>
      </c>
      <c r="AD315" s="21" t="s">
        <v>51</v>
      </c>
      <c r="AE315" s="21"/>
      <c r="AF315" s="22" t="s">
        <v>52</v>
      </c>
      <c r="AG315" s="23" t="s">
        <v>53</v>
      </c>
      <c r="AH315" s="24"/>
      <c r="AN315" s="24"/>
    </row>
    <row r="316" spans="1:40" ht="12.75">
      <c r="A316" s="15">
        <v>3254508</v>
      </c>
      <c r="B316" s="15" t="s">
        <v>37</v>
      </c>
      <c r="C316" s="15" t="s">
        <v>38</v>
      </c>
      <c r="D316" s="15" t="s">
        <v>85</v>
      </c>
      <c r="E316" s="15" t="s">
        <v>86</v>
      </c>
      <c r="F316" s="15" t="s">
        <v>41</v>
      </c>
      <c r="G316" s="15" t="s">
        <v>147</v>
      </c>
      <c r="H316" s="15" t="s">
        <v>76</v>
      </c>
      <c r="I316" s="15" t="s">
        <v>77</v>
      </c>
      <c r="J316" s="15" t="s">
        <v>88</v>
      </c>
      <c r="K316" s="15" t="s">
        <v>60</v>
      </c>
      <c r="L316" s="16" t="s">
        <v>61</v>
      </c>
      <c r="M316" s="15" t="s">
        <v>48</v>
      </c>
      <c r="N316" s="17">
        <v>454715944362</v>
      </c>
      <c r="O316" s="15">
        <v>19920468</v>
      </c>
      <c r="P316" s="18" t="s">
        <v>148</v>
      </c>
      <c r="Q316" s="18">
        <v>8</v>
      </c>
      <c r="R316" s="18">
        <v>0.55300000000000005</v>
      </c>
      <c r="S316" s="15">
        <v>86.902000000000001</v>
      </c>
      <c r="T316" s="16">
        <v>45824</v>
      </c>
      <c r="U316" s="19">
        <v>45883</v>
      </c>
      <c r="V316" s="16">
        <v>45824</v>
      </c>
      <c r="W316" s="16">
        <v>45826</v>
      </c>
      <c r="X316" s="57">
        <f t="shared" si="11"/>
        <v>45825</v>
      </c>
      <c r="Y316" s="63">
        <v>45832</v>
      </c>
      <c r="Z316" s="67">
        <v>45861</v>
      </c>
      <c r="AA316" s="71">
        <f t="shared" si="12"/>
        <v>45874</v>
      </c>
      <c r="AB316" s="20">
        <f t="shared" si="13"/>
        <v>-9</v>
      </c>
      <c r="AC316" s="20" t="s">
        <v>50</v>
      </c>
      <c r="AD316" s="21" t="s">
        <v>51</v>
      </c>
      <c r="AE316" s="21"/>
      <c r="AF316" s="22" t="s">
        <v>52</v>
      </c>
      <c r="AG316" s="23" t="s">
        <v>53</v>
      </c>
      <c r="AH316" s="24"/>
      <c r="AN316" s="24"/>
    </row>
    <row r="317" spans="1:40" ht="12.75">
      <c r="A317" s="15">
        <v>3254508</v>
      </c>
      <c r="B317" s="15" t="s">
        <v>37</v>
      </c>
      <c r="C317" s="15" t="s">
        <v>38</v>
      </c>
      <c r="D317" s="15" t="s">
        <v>85</v>
      </c>
      <c r="E317" s="15" t="s">
        <v>86</v>
      </c>
      <c r="F317" s="15" t="s">
        <v>41</v>
      </c>
      <c r="G317" s="15" t="s">
        <v>147</v>
      </c>
      <c r="H317" s="15" t="s">
        <v>76</v>
      </c>
      <c r="I317" s="15" t="s">
        <v>77</v>
      </c>
      <c r="J317" s="15" t="s">
        <v>88</v>
      </c>
      <c r="K317" s="15" t="s">
        <v>60</v>
      </c>
      <c r="L317" s="16" t="s">
        <v>61</v>
      </c>
      <c r="M317" s="15" t="s">
        <v>48</v>
      </c>
      <c r="N317" s="17">
        <v>454716220598</v>
      </c>
      <c r="O317" s="15">
        <v>19920517</v>
      </c>
      <c r="P317" s="18" t="s">
        <v>153</v>
      </c>
      <c r="Q317" s="18">
        <v>4</v>
      </c>
      <c r="R317" s="18">
        <v>0.27600000000000002</v>
      </c>
      <c r="S317" s="15">
        <v>30.452000000000002</v>
      </c>
      <c r="T317" s="16">
        <v>45824</v>
      </c>
      <c r="U317" s="19">
        <v>45883</v>
      </c>
      <c r="V317" s="16">
        <v>45824</v>
      </c>
      <c r="W317" s="16">
        <v>45826</v>
      </c>
      <c r="X317" s="57">
        <f t="shared" si="11"/>
        <v>45825</v>
      </c>
      <c r="Y317" s="63">
        <v>45832</v>
      </c>
      <c r="Z317" s="67">
        <v>45861</v>
      </c>
      <c r="AA317" s="71">
        <f t="shared" si="12"/>
        <v>45874</v>
      </c>
      <c r="AB317" s="20">
        <f t="shared" si="13"/>
        <v>-9</v>
      </c>
      <c r="AC317" s="20" t="s">
        <v>50</v>
      </c>
      <c r="AD317" s="21" t="s">
        <v>51</v>
      </c>
      <c r="AE317" s="21"/>
      <c r="AF317" s="22" t="s">
        <v>52</v>
      </c>
      <c r="AG317" s="23" t="s">
        <v>53</v>
      </c>
      <c r="AH317" s="24"/>
      <c r="AN317" s="24"/>
    </row>
    <row r="318" spans="1:40" ht="12.75">
      <c r="A318" s="15">
        <v>3254508</v>
      </c>
      <c r="B318" s="15" t="s">
        <v>37</v>
      </c>
      <c r="C318" s="15" t="s">
        <v>38</v>
      </c>
      <c r="D318" s="15" t="s">
        <v>85</v>
      </c>
      <c r="E318" s="15" t="s">
        <v>86</v>
      </c>
      <c r="F318" s="15" t="s">
        <v>41</v>
      </c>
      <c r="G318" s="15" t="s">
        <v>147</v>
      </c>
      <c r="H318" s="15" t="s">
        <v>76</v>
      </c>
      <c r="I318" s="15" t="s">
        <v>77</v>
      </c>
      <c r="J318" s="15" t="s">
        <v>88</v>
      </c>
      <c r="K318" s="15" t="s">
        <v>60</v>
      </c>
      <c r="L318" s="16" t="s">
        <v>61</v>
      </c>
      <c r="M318" s="15" t="s">
        <v>48</v>
      </c>
      <c r="N318" s="17">
        <v>454716420390</v>
      </c>
      <c r="O318" s="15">
        <v>19920529</v>
      </c>
      <c r="P318" s="18" t="s">
        <v>149</v>
      </c>
      <c r="Q318" s="18">
        <v>7</v>
      </c>
      <c r="R318" s="18">
        <v>0.47399999999999998</v>
      </c>
      <c r="S318" s="15">
        <v>49.911000000000001</v>
      </c>
      <c r="T318" s="16">
        <v>45824</v>
      </c>
      <c r="U318" s="19">
        <v>45883</v>
      </c>
      <c r="V318" s="16">
        <v>45824</v>
      </c>
      <c r="W318" s="16">
        <v>45826</v>
      </c>
      <c r="X318" s="57">
        <f t="shared" si="11"/>
        <v>45825</v>
      </c>
      <c r="Y318" s="63">
        <v>45832</v>
      </c>
      <c r="Z318" s="67">
        <v>45861</v>
      </c>
      <c r="AA318" s="71">
        <f t="shared" si="12"/>
        <v>45874</v>
      </c>
      <c r="AB318" s="20">
        <f t="shared" si="13"/>
        <v>-9</v>
      </c>
      <c r="AC318" s="20" t="s">
        <v>50</v>
      </c>
      <c r="AD318" s="21" t="s">
        <v>51</v>
      </c>
      <c r="AE318" s="21"/>
      <c r="AF318" s="22" t="s">
        <v>52</v>
      </c>
      <c r="AG318" s="23" t="s">
        <v>53</v>
      </c>
      <c r="AH318" s="24"/>
      <c r="AN318" s="24"/>
    </row>
    <row r="319" spans="1:40" ht="12.75">
      <c r="A319" s="15">
        <v>3254508</v>
      </c>
      <c r="B319" s="15" t="s">
        <v>37</v>
      </c>
      <c r="C319" s="15" t="s">
        <v>38</v>
      </c>
      <c r="D319" s="15" t="s">
        <v>85</v>
      </c>
      <c r="E319" s="15" t="s">
        <v>86</v>
      </c>
      <c r="F319" s="15" t="s">
        <v>41</v>
      </c>
      <c r="G319" s="15" t="s">
        <v>147</v>
      </c>
      <c r="H319" s="15" t="s">
        <v>76</v>
      </c>
      <c r="I319" s="15" t="s">
        <v>77</v>
      </c>
      <c r="J319" s="15" t="s">
        <v>88</v>
      </c>
      <c r="K319" s="15" t="s">
        <v>60</v>
      </c>
      <c r="L319" s="16" t="s">
        <v>61</v>
      </c>
      <c r="M319" s="15" t="s">
        <v>48</v>
      </c>
      <c r="N319" s="17">
        <v>454716539002</v>
      </c>
      <c r="O319" s="15">
        <v>19920541</v>
      </c>
      <c r="P319" s="18" t="s">
        <v>149</v>
      </c>
      <c r="Q319" s="18">
        <v>6</v>
      </c>
      <c r="R319" s="18">
        <v>0.434</v>
      </c>
      <c r="S319" s="15">
        <v>43.959000000000003</v>
      </c>
      <c r="T319" s="16">
        <v>45824</v>
      </c>
      <c r="U319" s="19">
        <v>45883</v>
      </c>
      <c r="V319" s="16">
        <v>45824</v>
      </c>
      <c r="W319" s="16">
        <v>45826</v>
      </c>
      <c r="X319" s="57">
        <f t="shared" si="11"/>
        <v>45825</v>
      </c>
      <c r="Y319" s="63">
        <v>45832</v>
      </c>
      <c r="Z319" s="67">
        <v>45861</v>
      </c>
      <c r="AA319" s="71">
        <f t="shared" si="12"/>
        <v>45874</v>
      </c>
      <c r="AB319" s="20">
        <f t="shared" si="13"/>
        <v>-9</v>
      </c>
      <c r="AC319" s="20" t="s">
        <v>50</v>
      </c>
      <c r="AD319" s="21" t="s">
        <v>51</v>
      </c>
      <c r="AE319" s="21"/>
      <c r="AF319" s="22" t="s">
        <v>52</v>
      </c>
      <c r="AG319" s="23" t="s">
        <v>53</v>
      </c>
      <c r="AH319" s="24"/>
      <c r="AN319" s="24"/>
    </row>
    <row r="320" spans="1:40" ht="12.75">
      <c r="A320" s="15">
        <v>3254508</v>
      </c>
      <c r="B320" s="15" t="s">
        <v>37</v>
      </c>
      <c r="C320" s="15" t="s">
        <v>38</v>
      </c>
      <c r="D320" s="15" t="s">
        <v>85</v>
      </c>
      <c r="E320" s="15" t="s">
        <v>86</v>
      </c>
      <c r="F320" s="15" t="s">
        <v>41</v>
      </c>
      <c r="G320" s="15" t="s">
        <v>147</v>
      </c>
      <c r="H320" s="15" t="s">
        <v>76</v>
      </c>
      <c r="I320" s="15" t="s">
        <v>77</v>
      </c>
      <c r="J320" s="15" t="s">
        <v>88</v>
      </c>
      <c r="K320" s="15" t="s">
        <v>60</v>
      </c>
      <c r="L320" s="16" t="s">
        <v>61</v>
      </c>
      <c r="M320" s="15" t="s">
        <v>48</v>
      </c>
      <c r="N320" s="17">
        <v>454716985952</v>
      </c>
      <c r="O320" s="15">
        <v>19920587</v>
      </c>
      <c r="P320" s="18" t="s">
        <v>155</v>
      </c>
      <c r="Q320" s="18">
        <v>3</v>
      </c>
      <c r="R320" s="18">
        <v>0.19700000000000001</v>
      </c>
      <c r="S320" s="15">
        <v>29.829000000000001</v>
      </c>
      <c r="T320" s="16">
        <v>45824</v>
      </c>
      <c r="U320" s="19">
        <v>45883</v>
      </c>
      <c r="V320" s="16">
        <v>45824</v>
      </c>
      <c r="W320" s="16">
        <v>45826</v>
      </c>
      <c r="X320" s="57">
        <f t="shared" si="11"/>
        <v>45825</v>
      </c>
      <c r="Y320" s="63">
        <v>45832</v>
      </c>
      <c r="Z320" s="67">
        <v>45861</v>
      </c>
      <c r="AA320" s="71">
        <f t="shared" si="12"/>
        <v>45874</v>
      </c>
      <c r="AB320" s="20">
        <f t="shared" si="13"/>
        <v>-9</v>
      </c>
      <c r="AC320" s="20" t="s">
        <v>50</v>
      </c>
      <c r="AD320" s="21" t="s">
        <v>51</v>
      </c>
      <c r="AE320" s="21"/>
      <c r="AF320" s="22" t="s">
        <v>52</v>
      </c>
      <c r="AG320" s="23" t="s">
        <v>53</v>
      </c>
      <c r="AH320" s="24"/>
      <c r="AN320" s="24"/>
    </row>
    <row r="321" spans="1:40" ht="12.75">
      <c r="A321" s="15">
        <v>3254508</v>
      </c>
      <c r="B321" s="15" t="s">
        <v>37</v>
      </c>
      <c r="C321" s="15" t="s">
        <v>38</v>
      </c>
      <c r="D321" s="15" t="s">
        <v>85</v>
      </c>
      <c r="E321" s="15" t="s">
        <v>86</v>
      </c>
      <c r="F321" s="15" t="s">
        <v>41</v>
      </c>
      <c r="G321" s="15" t="s">
        <v>147</v>
      </c>
      <c r="H321" s="15" t="s">
        <v>76</v>
      </c>
      <c r="I321" s="15" t="s">
        <v>77</v>
      </c>
      <c r="J321" s="15" t="s">
        <v>88</v>
      </c>
      <c r="K321" s="15" t="s">
        <v>60</v>
      </c>
      <c r="L321" s="16" t="s">
        <v>61</v>
      </c>
      <c r="M321" s="15" t="s">
        <v>48</v>
      </c>
      <c r="N321" s="17">
        <v>454719838375</v>
      </c>
      <c r="O321" s="15">
        <v>19924393</v>
      </c>
      <c r="P321" s="18" t="s">
        <v>150</v>
      </c>
      <c r="Q321" s="18">
        <v>10</v>
      </c>
      <c r="R321" s="18">
        <v>0.79</v>
      </c>
      <c r="S321" s="15">
        <v>127.663</v>
      </c>
      <c r="T321" s="16">
        <v>45824</v>
      </c>
      <c r="U321" s="19">
        <v>45883</v>
      </c>
      <c r="V321" s="16">
        <v>45824</v>
      </c>
      <c r="W321" s="16">
        <v>45826</v>
      </c>
      <c r="X321" s="57">
        <f t="shared" si="11"/>
        <v>45825</v>
      </c>
      <c r="Y321" s="63">
        <v>45832</v>
      </c>
      <c r="Z321" s="67">
        <v>45861</v>
      </c>
      <c r="AA321" s="71">
        <f t="shared" si="12"/>
        <v>45874</v>
      </c>
      <c r="AB321" s="20">
        <f t="shared" si="13"/>
        <v>-9</v>
      </c>
      <c r="AC321" s="20" t="s">
        <v>50</v>
      </c>
      <c r="AD321" s="21" t="s">
        <v>51</v>
      </c>
      <c r="AE321" s="21"/>
      <c r="AF321" s="22" t="s">
        <v>52</v>
      </c>
      <c r="AG321" s="23" t="s">
        <v>53</v>
      </c>
      <c r="AH321" s="24"/>
      <c r="AN321" s="24"/>
    </row>
    <row r="322" spans="1:40" ht="12.75">
      <c r="A322" s="15">
        <v>3254508</v>
      </c>
      <c r="B322" s="15" t="s">
        <v>37</v>
      </c>
      <c r="C322" s="15" t="s">
        <v>38</v>
      </c>
      <c r="D322" s="15" t="s">
        <v>85</v>
      </c>
      <c r="E322" s="15" t="s">
        <v>86</v>
      </c>
      <c r="F322" s="15" t="s">
        <v>41</v>
      </c>
      <c r="G322" s="15" t="s">
        <v>147</v>
      </c>
      <c r="H322" s="15" t="s">
        <v>76</v>
      </c>
      <c r="I322" s="15" t="s">
        <v>77</v>
      </c>
      <c r="J322" s="15" t="s">
        <v>88</v>
      </c>
      <c r="K322" s="15" t="s">
        <v>60</v>
      </c>
      <c r="L322" s="16" t="s">
        <v>61</v>
      </c>
      <c r="M322" s="15" t="s">
        <v>48</v>
      </c>
      <c r="N322" s="17">
        <v>454719838790</v>
      </c>
      <c r="O322" s="15">
        <v>19924426</v>
      </c>
      <c r="P322" s="18" t="s">
        <v>150</v>
      </c>
      <c r="Q322" s="18">
        <v>4</v>
      </c>
      <c r="R322" s="18">
        <v>0.316</v>
      </c>
      <c r="S322" s="15">
        <v>45.777999999999999</v>
      </c>
      <c r="T322" s="16">
        <v>45824</v>
      </c>
      <c r="U322" s="19">
        <v>45883</v>
      </c>
      <c r="V322" s="16">
        <v>45824</v>
      </c>
      <c r="W322" s="16">
        <v>45826</v>
      </c>
      <c r="X322" s="57">
        <f t="shared" si="11"/>
        <v>45825</v>
      </c>
      <c r="Y322" s="63">
        <v>45832</v>
      </c>
      <c r="Z322" s="67">
        <v>45861</v>
      </c>
      <c r="AA322" s="71">
        <f t="shared" si="12"/>
        <v>45874</v>
      </c>
      <c r="AB322" s="20">
        <f t="shared" si="13"/>
        <v>-9</v>
      </c>
      <c r="AC322" s="20" t="s">
        <v>50</v>
      </c>
      <c r="AD322" s="21" t="s">
        <v>51</v>
      </c>
      <c r="AE322" s="21"/>
      <c r="AF322" s="22" t="s">
        <v>52</v>
      </c>
      <c r="AG322" s="23" t="s">
        <v>53</v>
      </c>
      <c r="AH322" s="24"/>
      <c r="AN322" s="24"/>
    </row>
    <row r="323" spans="1:40" ht="12.75">
      <c r="A323" s="15">
        <v>3254508</v>
      </c>
      <c r="B323" s="15" t="s">
        <v>37</v>
      </c>
      <c r="C323" s="15" t="s">
        <v>38</v>
      </c>
      <c r="D323" s="15" t="s">
        <v>85</v>
      </c>
      <c r="E323" s="15" t="s">
        <v>86</v>
      </c>
      <c r="F323" s="15" t="s">
        <v>41</v>
      </c>
      <c r="G323" s="15" t="s">
        <v>147</v>
      </c>
      <c r="H323" s="15" t="s">
        <v>76</v>
      </c>
      <c r="I323" s="15" t="s">
        <v>77</v>
      </c>
      <c r="J323" s="15" t="s">
        <v>88</v>
      </c>
      <c r="K323" s="15" t="s">
        <v>60</v>
      </c>
      <c r="L323" s="16" t="s">
        <v>61</v>
      </c>
      <c r="M323" s="15" t="s">
        <v>48</v>
      </c>
      <c r="N323" s="17">
        <v>454720839532</v>
      </c>
      <c r="O323" s="15">
        <v>19924453</v>
      </c>
      <c r="P323" s="18" t="s">
        <v>150</v>
      </c>
      <c r="Q323" s="18">
        <v>6</v>
      </c>
      <c r="R323" s="18">
        <v>0.434</v>
      </c>
      <c r="S323" s="15">
        <v>73.108000000000004</v>
      </c>
      <c r="T323" s="16">
        <v>45824</v>
      </c>
      <c r="U323" s="19">
        <v>45883</v>
      </c>
      <c r="V323" s="16">
        <v>45824</v>
      </c>
      <c r="W323" s="16">
        <v>45826</v>
      </c>
      <c r="X323" s="57">
        <f t="shared" si="11"/>
        <v>45825</v>
      </c>
      <c r="Y323" s="63">
        <v>45832</v>
      </c>
      <c r="Z323" s="67">
        <v>45861</v>
      </c>
      <c r="AA323" s="71">
        <f t="shared" si="12"/>
        <v>45874</v>
      </c>
      <c r="AB323" s="20">
        <f t="shared" si="13"/>
        <v>-9</v>
      </c>
      <c r="AC323" s="20" t="s">
        <v>50</v>
      </c>
      <c r="AD323" s="21" t="s">
        <v>51</v>
      </c>
      <c r="AE323" s="21"/>
      <c r="AF323" s="22" t="s">
        <v>52</v>
      </c>
      <c r="AG323" s="23" t="s">
        <v>53</v>
      </c>
      <c r="AH323" s="24"/>
      <c r="AN323" s="24"/>
    </row>
    <row r="324" spans="1:40" ht="12.75">
      <c r="A324" s="15">
        <v>3254508</v>
      </c>
      <c r="B324" s="15" t="s">
        <v>37</v>
      </c>
      <c r="C324" s="15" t="s">
        <v>38</v>
      </c>
      <c r="D324" s="15" t="s">
        <v>85</v>
      </c>
      <c r="E324" s="15" t="s">
        <v>86</v>
      </c>
      <c r="F324" s="15" t="s">
        <v>41</v>
      </c>
      <c r="G324" s="15" t="s">
        <v>147</v>
      </c>
      <c r="H324" s="15" t="s">
        <v>76</v>
      </c>
      <c r="I324" s="15" t="s">
        <v>77</v>
      </c>
      <c r="J324" s="15" t="s">
        <v>88</v>
      </c>
      <c r="K324" s="15" t="s">
        <v>60</v>
      </c>
      <c r="L324" s="16" t="s">
        <v>61</v>
      </c>
      <c r="M324" s="15" t="s">
        <v>48</v>
      </c>
      <c r="N324" s="17">
        <v>454720922371</v>
      </c>
      <c r="O324" s="15">
        <v>19924501</v>
      </c>
      <c r="P324" s="18" t="s">
        <v>156</v>
      </c>
      <c r="Q324" s="18">
        <v>7</v>
      </c>
      <c r="R324" s="18">
        <v>0.55300000000000005</v>
      </c>
      <c r="S324" s="15">
        <v>92.179000000000002</v>
      </c>
      <c r="T324" s="16">
        <v>45824</v>
      </c>
      <c r="U324" s="19">
        <v>45883</v>
      </c>
      <c r="V324" s="16">
        <v>45824</v>
      </c>
      <c r="W324" s="16">
        <v>45826</v>
      </c>
      <c r="X324" s="57">
        <f t="shared" si="11"/>
        <v>45825</v>
      </c>
      <c r="Y324" s="63">
        <v>45832</v>
      </c>
      <c r="Z324" s="67">
        <v>45861</v>
      </c>
      <c r="AA324" s="71">
        <f t="shared" si="12"/>
        <v>45874</v>
      </c>
      <c r="AB324" s="20">
        <f t="shared" si="13"/>
        <v>-9</v>
      </c>
      <c r="AC324" s="20" t="s">
        <v>50</v>
      </c>
      <c r="AD324" s="21" t="s">
        <v>51</v>
      </c>
      <c r="AE324" s="21"/>
      <c r="AF324" s="22" t="s">
        <v>52</v>
      </c>
      <c r="AG324" s="23" t="s">
        <v>53</v>
      </c>
      <c r="AH324" s="24"/>
      <c r="AN324" s="24"/>
    </row>
    <row r="325" spans="1:40" ht="12.75">
      <c r="A325" s="15">
        <v>3254508</v>
      </c>
      <c r="B325" s="15" t="s">
        <v>37</v>
      </c>
      <c r="C325" s="15" t="s">
        <v>38</v>
      </c>
      <c r="D325" s="15" t="s">
        <v>85</v>
      </c>
      <c r="E325" s="15" t="s">
        <v>86</v>
      </c>
      <c r="F325" s="15" t="s">
        <v>41</v>
      </c>
      <c r="G325" s="15" t="s">
        <v>147</v>
      </c>
      <c r="H325" s="15" t="s">
        <v>76</v>
      </c>
      <c r="I325" s="15" t="s">
        <v>77</v>
      </c>
      <c r="J325" s="15" t="s">
        <v>88</v>
      </c>
      <c r="K325" s="15" t="s">
        <v>60</v>
      </c>
      <c r="L325" s="16" t="s">
        <v>61</v>
      </c>
      <c r="M325" s="15" t="s">
        <v>48</v>
      </c>
      <c r="N325" s="17">
        <v>454721233456</v>
      </c>
      <c r="O325" s="15">
        <v>19924482</v>
      </c>
      <c r="P325" s="18" t="s">
        <v>155</v>
      </c>
      <c r="Q325" s="18">
        <v>5</v>
      </c>
      <c r="R325" s="18">
        <v>0.35499999999999998</v>
      </c>
      <c r="S325" s="15">
        <v>54.091999999999999</v>
      </c>
      <c r="T325" s="16">
        <v>45824</v>
      </c>
      <c r="U325" s="19">
        <v>45883</v>
      </c>
      <c r="V325" s="16">
        <v>45824</v>
      </c>
      <c r="W325" s="16">
        <v>45826</v>
      </c>
      <c r="X325" s="57">
        <f t="shared" si="11"/>
        <v>45825</v>
      </c>
      <c r="Y325" s="63">
        <v>45832</v>
      </c>
      <c r="Z325" s="67">
        <v>45861</v>
      </c>
      <c r="AA325" s="71">
        <f t="shared" si="12"/>
        <v>45874</v>
      </c>
      <c r="AB325" s="20">
        <f t="shared" si="13"/>
        <v>-9</v>
      </c>
      <c r="AC325" s="20" t="s">
        <v>50</v>
      </c>
      <c r="AD325" s="21" t="s">
        <v>51</v>
      </c>
      <c r="AE325" s="21"/>
      <c r="AF325" s="22" t="s">
        <v>52</v>
      </c>
      <c r="AG325" s="23" t="s">
        <v>53</v>
      </c>
      <c r="AH325" s="24"/>
      <c r="AN325" s="24"/>
    </row>
    <row r="326" spans="1:40" ht="12.75">
      <c r="A326" s="15">
        <v>3254508</v>
      </c>
      <c r="B326" s="15" t="s">
        <v>37</v>
      </c>
      <c r="C326" s="15" t="s">
        <v>38</v>
      </c>
      <c r="D326" s="15" t="s">
        <v>85</v>
      </c>
      <c r="E326" s="15" t="s">
        <v>86</v>
      </c>
      <c r="F326" s="15" t="s">
        <v>41</v>
      </c>
      <c r="G326" s="15" t="s">
        <v>147</v>
      </c>
      <c r="H326" s="15" t="s">
        <v>76</v>
      </c>
      <c r="I326" s="15" t="s">
        <v>77</v>
      </c>
      <c r="J326" s="15" t="s">
        <v>88</v>
      </c>
      <c r="K326" s="15" t="s">
        <v>60</v>
      </c>
      <c r="L326" s="16" t="s">
        <v>61</v>
      </c>
      <c r="M326" s="15" t="s">
        <v>48</v>
      </c>
      <c r="N326" s="17">
        <v>454722313774</v>
      </c>
      <c r="O326" s="15">
        <v>91018402</v>
      </c>
      <c r="P326" s="18" t="s">
        <v>158</v>
      </c>
      <c r="Q326" s="18">
        <v>4</v>
      </c>
      <c r="R326" s="18">
        <v>0.19800000000000001</v>
      </c>
      <c r="S326" s="15">
        <v>20.25</v>
      </c>
      <c r="T326" s="16">
        <v>45824</v>
      </c>
      <c r="U326" s="19">
        <v>45888</v>
      </c>
      <c r="V326" s="16">
        <v>45824</v>
      </c>
      <c r="W326" s="16">
        <v>45826</v>
      </c>
      <c r="X326" s="57">
        <f t="shared" si="11"/>
        <v>45825</v>
      </c>
      <c r="Y326" s="63">
        <v>45832</v>
      </c>
      <c r="Z326" s="67">
        <v>45861</v>
      </c>
      <c r="AA326" s="71">
        <f t="shared" si="12"/>
        <v>45874</v>
      </c>
      <c r="AB326" s="20">
        <f t="shared" si="13"/>
        <v>-14</v>
      </c>
      <c r="AC326" s="20" t="s">
        <v>50</v>
      </c>
      <c r="AD326" s="21" t="s">
        <v>51</v>
      </c>
      <c r="AE326" s="21"/>
      <c r="AF326" s="22" t="s">
        <v>52</v>
      </c>
      <c r="AG326" s="23" t="s">
        <v>53</v>
      </c>
      <c r="AH326" s="24"/>
      <c r="AN326" s="24"/>
    </row>
    <row r="327" spans="1:40" ht="12.75">
      <c r="A327" s="15">
        <v>3254508</v>
      </c>
      <c r="B327" s="15" t="s">
        <v>37</v>
      </c>
      <c r="C327" s="15" t="s">
        <v>38</v>
      </c>
      <c r="D327" s="15" t="s">
        <v>85</v>
      </c>
      <c r="E327" s="15" t="s">
        <v>86</v>
      </c>
      <c r="F327" s="15" t="s">
        <v>41</v>
      </c>
      <c r="G327" s="15" t="s">
        <v>147</v>
      </c>
      <c r="H327" s="15" t="s">
        <v>76</v>
      </c>
      <c r="I327" s="15" t="s">
        <v>77</v>
      </c>
      <c r="J327" s="15" t="s">
        <v>88</v>
      </c>
      <c r="K327" s="15" t="s">
        <v>60</v>
      </c>
      <c r="L327" s="16" t="s">
        <v>61</v>
      </c>
      <c r="M327" s="15" t="s">
        <v>48</v>
      </c>
      <c r="N327" s="17">
        <v>454722738479</v>
      </c>
      <c r="O327" s="15">
        <v>91018329</v>
      </c>
      <c r="P327" s="18" t="s">
        <v>158</v>
      </c>
      <c r="Q327" s="18">
        <v>9</v>
      </c>
      <c r="R327" s="18">
        <v>0.63400000000000001</v>
      </c>
      <c r="S327" s="15">
        <v>73.739999999999995</v>
      </c>
      <c r="T327" s="16">
        <v>45824</v>
      </c>
      <c r="U327" s="19">
        <v>45888</v>
      </c>
      <c r="V327" s="16">
        <v>45824</v>
      </c>
      <c r="W327" s="16">
        <v>45826</v>
      </c>
      <c r="X327" s="57">
        <f t="shared" si="11"/>
        <v>45825</v>
      </c>
      <c r="Y327" s="63">
        <v>45832</v>
      </c>
      <c r="Z327" s="67">
        <v>45861</v>
      </c>
      <c r="AA327" s="71">
        <f t="shared" si="12"/>
        <v>45874</v>
      </c>
      <c r="AB327" s="20">
        <f t="shared" si="13"/>
        <v>-14</v>
      </c>
      <c r="AC327" s="20" t="s">
        <v>50</v>
      </c>
      <c r="AD327" s="21" t="s">
        <v>51</v>
      </c>
      <c r="AE327" s="21"/>
      <c r="AF327" s="22" t="s">
        <v>52</v>
      </c>
      <c r="AG327" s="23" t="s">
        <v>53</v>
      </c>
      <c r="AH327" s="24"/>
      <c r="AN327" s="24"/>
    </row>
    <row r="328" spans="1:40" ht="12.75">
      <c r="A328" s="15">
        <v>3254508</v>
      </c>
      <c r="B328" s="15" t="s">
        <v>37</v>
      </c>
      <c r="C328" s="15" t="s">
        <v>38</v>
      </c>
      <c r="D328" s="15" t="s">
        <v>85</v>
      </c>
      <c r="E328" s="15" t="s">
        <v>86</v>
      </c>
      <c r="F328" s="15" t="s">
        <v>41</v>
      </c>
      <c r="G328" s="15" t="s">
        <v>147</v>
      </c>
      <c r="H328" s="15" t="s">
        <v>76</v>
      </c>
      <c r="I328" s="15" t="s">
        <v>77</v>
      </c>
      <c r="J328" s="15" t="s">
        <v>88</v>
      </c>
      <c r="K328" s="15" t="s">
        <v>60</v>
      </c>
      <c r="L328" s="16" t="s">
        <v>61</v>
      </c>
      <c r="M328" s="15" t="s">
        <v>48</v>
      </c>
      <c r="N328" s="17">
        <v>454722776959</v>
      </c>
      <c r="O328" s="15">
        <v>91018462</v>
      </c>
      <c r="P328" s="18" t="s">
        <v>62</v>
      </c>
      <c r="Q328" s="18">
        <v>6</v>
      </c>
      <c r="R328" s="18">
        <v>0.436</v>
      </c>
      <c r="S328" s="15">
        <v>43.49</v>
      </c>
      <c r="T328" s="16">
        <v>45824</v>
      </c>
      <c r="U328" s="19">
        <v>45888</v>
      </c>
      <c r="V328" s="16">
        <v>45824</v>
      </c>
      <c r="W328" s="16">
        <v>45826</v>
      </c>
      <c r="X328" s="57">
        <f t="shared" si="11"/>
        <v>45825</v>
      </c>
      <c r="Y328" s="63">
        <v>45832</v>
      </c>
      <c r="Z328" s="67">
        <v>45861</v>
      </c>
      <c r="AA328" s="71">
        <f t="shared" si="12"/>
        <v>45874</v>
      </c>
      <c r="AB328" s="20">
        <f t="shared" si="13"/>
        <v>-14</v>
      </c>
      <c r="AC328" s="20" t="s">
        <v>50</v>
      </c>
      <c r="AD328" s="21" t="s">
        <v>51</v>
      </c>
      <c r="AE328" s="21"/>
      <c r="AF328" s="22" t="s">
        <v>52</v>
      </c>
      <c r="AG328" s="23" t="s">
        <v>53</v>
      </c>
      <c r="AH328" s="24"/>
      <c r="AN328" s="24"/>
    </row>
    <row r="329" spans="1:40" ht="12.75">
      <c r="A329" s="15">
        <v>3254508</v>
      </c>
      <c r="B329" s="15" t="s">
        <v>37</v>
      </c>
      <c r="C329" s="15" t="s">
        <v>38</v>
      </c>
      <c r="D329" s="15" t="s">
        <v>85</v>
      </c>
      <c r="E329" s="15" t="s">
        <v>86</v>
      </c>
      <c r="F329" s="15" t="s">
        <v>41</v>
      </c>
      <c r="G329" s="15" t="s">
        <v>147</v>
      </c>
      <c r="H329" s="15" t="s">
        <v>76</v>
      </c>
      <c r="I329" s="15" t="s">
        <v>77</v>
      </c>
      <c r="J329" s="15" t="s">
        <v>88</v>
      </c>
      <c r="K329" s="15" t="s">
        <v>60</v>
      </c>
      <c r="L329" s="16" t="s">
        <v>61</v>
      </c>
      <c r="M329" s="15" t="s">
        <v>48</v>
      </c>
      <c r="N329" s="17">
        <v>454723020703</v>
      </c>
      <c r="O329" s="15">
        <v>91018408</v>
      </c>
      <c r="P329" s="18" t="s">
        <v>62</v>
      </c>
      <c r="Q329" s="18">
        <v>3</v>
      </c>
      <c r="R329" s="18">
        <v>0.159</v>
      </c>
      <c r="S329" s="15">
        <v>13.97</v>
      </c>
      <c r="T329" s="16">
        <v>45824</v>
      </c>
      <c r="U329" s="19">
        <v>45888</v>
      </c>
      <c r="V329" s="16">
        <v>45824</v>
      </c>
      <c r="W329" s="16">
        <v>45826</v>
      </c>
      <c r="X329" s="57">
        <f t="shared" si="11"/>
        <v>45825</v>
      </c>
      <c r="Y329" s="63">
        <v>45832</v>
      </c>
      <c r="Z329" s="67">
        <v>45861</v>
      </c>
      <c r="AA329" s="71">
        <f t="shared" si="12"/>
        <v>45874</v>
      </c>
      <c r="AB329" s="20">
        <f t="shared" si="13"/>
        <v>-14</v>
      </c>
      <c r="AC329" s="20" t="s">
        <v>50</v>
      </c>
      <c r="AD329" s="21" t="s">
        <v>51</v>
      </c>
      <c r="AE329" s="21"/>
      <c r="AF329" s="22" t="s">
        <v>52</v>
      </c>
      <c r="AG329" s="23" t="s">
        <v>53</v>
      </c>
      <c r="AH329" s="24"/>
      <c r="AN329" s="24"/>
    </row>
    <row r="330" spans="1:40" ht="12.75">
      <c r="A330" s="15">
        <v>3254508</v>
      </c>
      <c r="B330" s="15" t="s">
        <v>37</v>
      </c>
      <c r="C330" s="15" t="s">
        <v>38</v>
      </c>
      <c r="D330" s="15" t="s">
        <v>85</v>
      </c>
      <c r="E330" s="15" t="s">
        <v>86</v>
      </c>
      <c r="F330" s="15" t="s">
        <v>41</v>
      </c>
      <c r="G330" s="15" t="s">
        <v>147</v>
      </c>
      <c r="H330" s="15" t="s">
        <v>76</v>
      </c>
      <c r="I330" s="15" t="s">
        <v>77</v>
      </c>
      <c r="J330" s="15" t="s">
        <v>88</v>
      </c>
      <c r="K330" s="15" t="s">
        <v>60</v>
      </c>
      <c r="L330" s="16" t="s">
        <v>61</v>
      </c>
      <c r="M330" s="15" t="s">
        <v>48</v>
      </c>
      <c r="N330" s="17">
        <v>454723057272</v>
      </c>
      <c r="O330" s="15">
        <v>91018606</v>
      </c>
      <c r="P330" s="18" t="s">
        <v>62</v>
      </c>
      <c r="Q330" s="18">
        <v>6</v>
      </c>
      <c r="R330" s="18">
        <v>0.39700000000000002</v>
      </c>
      <c r="S330" s="15">
        <v>47.97</v>
      </c>
      <c r="T330" s="16">
        <v>45824</v>
      </c>
      <c r="U330" s="19">
        <v>45888</v>
      </c>
      <c r="V330" s="16">
        <v>45824</v>
      </c>
      <c r="W330" s="16">
        <v>45826</v>
      </c>
      <c r="X330" s="57">
        <f t="shared" si="11"/>
        <v>45825</v>
      </c>
      <c r="Y330" s="63">
        <v>45832</v>
      </c>
      <c r="Z330" s="67">
        <v>45861</v>
      </c>
      <c r="AA330" s="71">
        <f t="shared" si="12"/>
        <v>45874</v>
      </c>
      <c r="AB330" s="20">
        <f t="shared" si="13"/>
        <v>-14</v>
      </c>
      <c r="AC330" s="20" t="s">
        <v>50</v>
      </c>
      <c r="AD330" s="21" t="s">
        <v>51</v>
      </c>
      <c r="AE330" s="21"/>
      <c r="AF330" s="22" t="s">
        <v>52</v>
      </c>
      <c r="AG330" s="23" t="s">
        <v>53</v>
      </c>
      <c r="AH330" s="24"/>
      <c r="AN330" s="24"/>
    </row>
    <row r="331" spans="1:40" ht="12.75">
      <c r="A331" s="15">
        <v>3254508</v>
      </c>
      <c r="B331" s="15" t="s">
        <v>37</v>
      </c>
      <c r="C331" s="15" t="s">
        <v>38</v>
      </c>
      <c r="D331" s="15" t="s">
        <v>85</v>
      </c>
      <c r="E331" s="15" t="s">
        <v>86</v>
      </c>
      <c r="F331" s="15" t="s">
        <v>41</v>
      </c>
      <c r="G331" s="15" t="s">
        <v>147</v>
      </c>
      <c r="H331" s="15" t="s">
        <v>76</v>
      </c>
      <c r="I331" s="15" t="s">
        <v>77</v>
      </c>
      <c r="J331" s="15" t="s">
        <v>88</v>
      </c>
      <c r="K331" s="15" t="s">
        <v>60</v>
      </c>
      <c r="L331" s="16" t="s">
        <v>61</v>
      </c>
      <c r="M331" s="15" t="s">
        <v>48</v>
      </c>
      <c r="N331" s="17">
        <v>454723175180</v>
      </c>
      <c r="O331" s="15">
        <v>91018501</v>
      </c>
      <c r="P331" s="18" t="s">
        <v>62</v>
      </c>
      <c r="Q331" s="18">
        <v>2</v>
      </c>
      <c r="R331" s="18">
        <v>0.11899999999999999</v>
      </c>
      <c r="S331" s="15">
        <v>11.13</v>
      </c>
      <c r="T331" s="16">
        <v>45824</v>
      </c>
      <c r="U331" s="19">
        <v>45888</v>
      </c>
      <c r="V331" s="16">
        <v>45824</v>
      </c>
      <c r="W331" s="16">
        <v>45826</v>
      </c>
      <c r="X331" s="57">
        <f t="shared" si="11"/>
        <v>45825</v>
      </c>
      <c r="Y331" s="63">
        <v>45832</v>
      </c>
      <c r="Z331" s="67">
        <v>45861</v>
      </c>
      <c r="AA331" s="71">
        <f t="shared" si="12"/>
        <v>45874</v>
      </c>
      <c r="AB331" s="20">
        <f t="shared" si="13"/>
        <v>-14</v>
      </c>
      <c r="AC331" s="20" t="s">
        <v>50</v>
      </c>
      <c r="AD331" s="21" t="s">
        <v>51</v>
      </c>
      <c r="AE331" s="21"/>
      <c r="AF331" s="22" t="s">
        <v>52</v>
      </c>
      <c r="AG331" s="23" t="s">
        <v>53</v>
      </c>
      <c r="AH331" s="24"/>
      <c r="AN331" s="24"/>
    </row>
    <row r="332" spans="1:40" ht="12.75">
      <c r="A332" s="15">
        <v>3254508</v>
      </c>
      <c r="B332" s="15" t="s">
        <v>37</v>
      </c>
      <c r="C332" s="15" t="s">
        <v>38</v>
      </c>
      <c r="D332" s="15" t="s">
        <v>85</v>
      </c>
      <c r="E332" s="15" t="s">
        <v>86</v>
      </c>
      <c r="F332" s="15" t="s">
        <v>41</v>
      </c>
      <c r="G332" s="15" t="s">
        <v>147</v>
      </c>
      <c r="H332" s="15" t="s">
        <v>76</v>
      </c>
      <c r="I332" s="15" t="s">
        <v>77</v>
      </c>
      <c r="J332" s="15" t="s">
        <v>88</v>
      </c>
      <c r="K332" s="15" t="s">
        <v>60</v>
      </c>
      <c r="L332" s="16" t="s">
        <v>61</v>
      </c>
      <c r="M332" s="15" t="s">
        <v>48</v>
      </c>
      <c r="N332" s="17">
        <v>454723268762</v>
      </c>
      <c r="O332" s="15">
        <v>91018828</v>
      </c>
      <c r="P332" s="18" t="s">
        <v>159</v>
      </c>
      <c r="Q332" s="18">
        <v>15</v>
      </c>
      <c r="R332" s="18">
        <v>1.1850000000000001</v>
      </c>
      <c r="S332" s="15">
        <v>128.21100000000001</v>
      </c>
      <c r="T332" s="16">
        <v>45824</v>
      </c>
      <c r="U332" s="19">
        <v>45888</v>
      </c>
      <c r="V332" s="16">
        <v>45824</v>
      </c>
      <c r="W332" s="16">
        <v>45826</v>
      </c>
      <c r="X332" s="57">
        <f t="shared" si="11"/>
        <v>45825</v>
      </c>
      <c r="Y332" s="63">
        <v>45832</v>
      </c>
      <c r="Z332" s="67">
        <v>45861</v>
      </c>
      <c r="AA332" s="71">
        <f t="shared" si="12"/>
        <v>45874</v>
      </c>
      <c r="AB332" s="20">
        <f t="shared" si="13"/>
        <v>-14</v>
      </c>
      <c r="AC332" s="20" t="s">
        <v>50</v>
      </c>
      <c r="AD332" s="21" t="s">
        <v>51</v>
      </c>
      <c r="AE332" s="21"/>
      <c r="AF332" s="22" t="s">
        <v>52</v>
      </c>
      <c r="AG332" s="23" t="s">
        <v>53</v>
      </c>
      <c r="AH332" s="24"/>
      <c r="AN332" s="24"/>
    </row>
    <row r="333" spans="1:40" ht="12.75">
      <c r="A333" s="15">
        <v>3254508</v>
      </c>
      <c r="B333" s="15" t="s">
        <v>37</v>
      </c>
      <c r="C333" s="15" t="s">
        <v>38</v>
      </c>
      <c r="D333" s="15" t="s">
        <v>85</v>
      </c>
      <c r="E333" s="15" t="s">
        <v>86</v>
      </c>
      <c r="F333" s="15" t="s">
        <v>41</v>
      </c>
      <c r="G333" s="15" t="s">
        <v>147</v>
      </c>
      <c r="H333" s="15" t="s">
        <v>76</v>
      </c>
      <c r="I333" s="15" t="s">
        <v>77</v>
      </c>
      <c r="J333" s="15" t="s">
        <v>88</v>
      </c>
      <c r="K333" s="15" t="s">
        <v>60</v>
      </c>
      <c r="L333" s="16" t="s">
        <v>61</v>
      </c>
      <c r="M333" s="15" t="s">
        <v>48</v>
      </c>
      <c r="N333" s="17">
        <v>454723365495</v>
      </c>
      <c r="O333" s="15">
        <v>91018901</v>
      </c>
      <c r="P333" s="18" t="s">
        <v>160</v>
      </c>
      <c r="Q333" s="18">
        <v>6</v>
      </c>
      <c r="R333" s="18">
        <v>0.436</v>
      </c>
      <c r="S333" s="15">
        <v>40.33</v>
      </c>
      <c r="T333" s="16">
        <v>45824</v>
      </c>
      <c r="U333" s="19">
        <v>45888</v>
      </c>
      <c r="V333" s="16">
        <v>45824</v>
      </c>
      <c r="W333" s="16">
        <v>45826</v>
      </c>
      <c r="X333" s="57">
        <f t="shared" si="11"/>
        <v>45825</v>
      </c>
      <c r="Y333" s="63">
        <v>45832</v>
      </c>
      <c r="Z333" s="67">
        <v>45861</v>
      </c>
      <c r="AA333" s="71">
        <f t="shared" si="12"/>
        <v>45874</v>
      </c>
      <c r="AB333" s="20">
        <f t="shared" si="13"/>
        <v>-14</v>
      </c>
      <c r="AC333" s="20" t="s">
        <v>50</v>
      </c>
      <c r="AD333" s="21" t="s">
        <v>51</v>
      </c>
      <c r="AE333" s="21"/>
      <c r="AF333" s="22" t="s">
        <v>52</v>
      </c>
      <c r="AG333" s="23" t="s">
        <v>53</v>
      </c>
      <c r="AH333" s="24"/>
      <c r="AN333" s="24"/>
    </row>
    <row r="334" spans="1:40" ht="12.75">
      <c r="A334" s="15">
        <v>3254508</v>
      </c>
      <c r="B334" s="15" t="s">
        <v>37</v>
      </c>
      <c r="C334" s="15" t="s">
        <v>38</v>
      </c>
      <c r="D334" s="15" t="s">
        <v>85</v>
      </c>
      <c r="E334" s="15" t="s">
        <v>86</v>
      </c>
      <c r="F334" s="15" t="s">
        <v>41</v>
      </c>
      <c r="G334" s="15" t="s">
        <v>147</v>
      </c>
      <c r="H334" s="15" t="s">
        <v>76</v>
      </c>
      <c r="I334" s="15" t="s">
        <v>77</v>
      </c>
      <c r="J334" s="15" t="s">
        <v>88</v>
      </c>
      <c r="K334" s="15" t="s">
        <v>60</v>
      </c>
      <c r="L334" s="16" t="s">
        <v>61</v>
      </c>
      <c r="M334" s="15" t="s">
        <v>48</v>
      </c>
      <c r="N334" s="17">
        <v>454723855655</v>
      </c>
      <c r="O334" s="15">
        <v>91018918</v>
      </c>
      <c r="P334" s="18" t="s">
        <v>161</v>
      </c>
      <c r="Q334" s="18">
        <v>5</v>
      </c>
      <c r="R334" s="18">
        <v>0.23699999999999999</v>
      </c>
      <c r="S334" s="15">
        <v>20.364999999999998</v>
      </c>
      <c r="T334" s="16">
        <v>45824</v>
      </c>
      <c r="U334" s="19">
        <v>45888</v>
      </c>
      <c r="V334" s="16">
        <v>45824</v>
      </c>
      <c r="W334" s="16">
        <v>45826</v>
      </c>
      <c r="X334" s="57">
        <f t="shared" si="11"/>
        <v>45825</v>
      </c>
      <c r="Y334" s="63">
        <v>45832</v>
      </c>
      <c r="Z334" s="67">
        <v>45861</v>
      </c>
      <c r="AA334" s="71">
        <f t="shared" si="12"/>
        <v>45874</v>
      </c>
      <c r="AB334" s="20">
        <f t="shared" si="13"/>
        <v>-14</v>
      </c>
      <c r="AC334" s="20" t="s">
        <v>50</v>
      </c>
      <c r="AD334" s="21" t="s">
        <v>51</v>
      </c>
      <c r="AE334" s="21"/>
      <c r="AF334" s="22" t="s">
        <v>52</v>
      </c>
      <c r="AG334" s="23" t="s">
        <v>53</v>
      </c>
      <c r="AH334" s="24"/>
      <c r="AN334" s="24"/>
    </row>
    <row r="335" spans="1:40" ht="12.75">
      <c r="A335" s="15">
        <v>3254508</v>
      </c>
      <c r="B335" s="15" t="s">
        <v>37</v>
      </c>
      <c r="C335" s="15" t="s">
        <v>38</v>
      </c>
      <c r="D335" s="15" t="s">
        <v>85</v>
      </c>
      <c r="E335" s="15" t="s">
        <v>86</v>
      </c>
      <c r="F335" s="15" t="s">
        <v>41</v>
      </c>
      <c r="G335" s="15" t="s">
        <v>147</v>
      </c>
      <c r="H335" s="15" t="s">
        <v>76</v>
      </c>
      <c r="I335" s="15" t="s">
        <v>77</v>
      </c>
      <c r="J335" s="15" t="s">
        <v>88</v>
      </c>
      <c r="K335" s="15" t="s">
        <v>60</v>
      </c>
      <c r="L335" s="16" t="s">
        <v>61</v>
      </c>
      <c r="M335" s="15" t="s">
        <v>48</v>
      </c>
      <c r="N335" s="17">
        <v>454724077022</v>
      </c>
      <c r="O335" s="15">
        <v>91018960</v>
      </c>
      <c r="P335" s="18" t="s">
        <v>161</v>
      </c>
      <c r="Q335" s="18">
        <v>6</v>
      </c>
      <c r="R335" s="18">
        <v>0.39500000000000002</v>
      </c>
      <c r="S335" s="15">
        <v>44.572000000000003</v>
      </c>
      <c r="T335" s="16">
        <v>45824</v>
      </c>
      <c r="U335" s="19">
        <v>45888</v>
      </c>
      <c r="V335" s="16">
        <v>45824</v>
      </c>
      <c r="W335" s="16">
        <v>45826</v>
      </c>
      <c r="X335" s="57">
        <f t="shared" si="11"/>
        <v>45825</v>
      </c>
      <c r="Y335" s="63">
        <v>45832</v>
      </c>
      <c r="Z335" s="67">
        <v>45861</v>
      </c>
      <c r="AA335" s="71">
        <f t="shared" si="12"/>
        <v>45874</v>
      </c>
      <c r="AB335" s="20">
        <f t="shared" si="13"/>
        <v>-14</v>
      </c>
      <c r="AC335" s="20" t="s">
        <v>50</v>
      </c>
      <c r="AD335" s="21" t="s">
        <v>51</v>
      </c>
      <c r="AE335" s="21"/>
      <c r="AF335" s="22" t="s">
        <v>52</v>
      </c>
      <c r="AG335" s="23" t="s">
        <v>53</v>
      </c>
      <c r="AH335" s="24"/>
      <c r="AN335" s="24"/>
    </row>
    <row r="336" spans="1:40" ht="12.75">
      <c r="A336" s="15">
        <v>3254508</v>
      </c>
      <c r="B336" s="15" t="s">
        <v>37</v>
      </c>
      <c r="C336" s="15" t="s">
        <v>38</v>
      </c>
      <c r="D336" s="15" t="s">
        <v>85</v>
      </c>
      <c r="E336" s="15" t="s">
        <v>86</v>
      </c>
      <c r="F336" s="15" t="s">
        <v>41</v>
      </c>
      <c r="G336" s="15" t="s">
        <v>147</v>
      </c>
      <c r="H336" s="15" t="s">
        <v>76</v>
      </c>
      <c r="I336" s="15" t="s">
        <v>77</v>
      </c>
      <c r="J336" s="15" t="s">
        <v>88</v>
      </c>
      <c r="K336" s="15" t="s">
        <v>60</v>
      </c>
      <c r="L336" s="16" t="s">
        <v>61</v>
      </c>
      <c r="M336" s="15" t="s">
        <v>48</v>
      </c>
      <c r="N336" s="17">
        <v>454724077099</v>
      </c>
      <c r="O336" s="15">
        <v>91018961</v>
      </c>
      <c r="P336" s="18" t="s">
        <v>160</v>
      </c>
      <c r="Q336" s="18">
        <v>29</v>
      </c>
      <c r="R336" s="18">
        <v>2.2509999999999999</v>
      </c>
      <c r="S336" s="15">
        <v>243.61099999999999</v>
      </c>
      <c r="T336" s="16">
        <v>45824</v>
      </c>
      <c r="U336" s="19">
        <v>45888</v>
      </c>
      <c r="V336" s="16">
        <v>45824</v>
      </c>
      <c r="W336" s="16">
        <v>45826</v>
      </c>
      <c r="X336" s="57">
        <f t="shared" si="11"/>
        <v>45825</v>
      </c>
      <c r="Y336" s="63">
        <v>45832</v>
      </c>
      <c r="Z336" s="67">
        <v>45861</v>
      </c>
      <c r="AA336" s="71">
        <f t="shared" si="12"/>
        <v>45874</v>
      </c>
      <c r="AB336" s="20">
        <f t="shared" si="13"/>
        <v>-14</v>
      </c>
      <c r="AC336" s="20" t="s">
        <v>50</v>
      </c>
      <c r="AD336" s="21" t="s">
        <v>51</v>
      </c>
      <c r="AE336" s="21"/>
      <c r="AF336" s="22" t="s">
        <v>52</v>
      </c>
      <c r="AG336" s="23" t="s">
        <v>53</v>
      </c>
      <c r="AH336" s="24"/>
      <c r="AN336" s="24"/>
    </row>
    <row r="337" spans="1:40" ht="12.75">
      <c r="A337" s="15">
        <v>3254508</v>
      </c>
      <c r="B337" s="15" t="s">
        <v>37</v>
      </c>
      <c r="C337" s="15" t="s">
        <v>38</v>
      </c>
      <c r="D337" s="15" t="s">
        <v>85</v>
      </c>
      <c r="E337" s="15" t="s">
        <v>86</v>
      </c>
      <c r="F337" s="15" t="s">
        <v>41</v>
      </c>
      <c r="G337" s="15" t="s">
        <v>147</v>
      </c>
      <c r="H337" s="15" t="s">
        <v>76</v>
      </c>
      <c r="I337" s="15" t="s">
        <v>77</v>
      </c>
      <c r="J337" s="15" t="s">
        <v>88</v>
      </c>
      <c r="K337" s="15" t="s">
        <v>60</v>
      </c>
      <c r="L337" s="16" t="s">
        <v>61</v>
      </c>
      <c r="M337" s="15" t="s">
        <v>48</v>
      </c>
      <c r="N337" s="17">
        <v>454724615265</v>
      </c>
      <c r="O337" s="15">
        <v>91019037</v>
      </c>
      <c r="P337" s="18" t="s">
        <v>159</v>
      </c>
      <c r="Q337" s="18">
        <v>5</v>
      </c>
      <c r="R337" s="18">
        <v>0.316</v>
      </c>
      <c r="S337" s="15">
        <v>24.443000000000001</v>
      </c>
      <c r="T337" s="16">
        <v>45824</v>
      </c>
      <c r="U337" s="19">
        <v>45888</v>
      </c>
      <c r="V337" s="16">
        <v>45824</v>
      </c>
      <c r="W337" s="16">
        <v>45826</v>
      </c>
      <c r="X337" s="57">
        <f t="shared" si="11"/>
        <v>45825</v>
      </c>
      <c r="Y337" s="63">
        <v>45832</v>
      </c>
      <c r="Z337" s="67">
        <v>45861</v>
      </c>
      <c r="AA337" s="71">
        <f t="shared" si="12"/>
        <v>45874</v>
      </c>
      <c r="AB337" s="20">
        <f t="shared" si="13"/>
        <v>-14</v>
      </c>
      <c r="AC337" s="20" t="s">
        <v>50</v>
      </c>
      <c r="AD337" s="21" t="s">
        <v>51</v>
      </c>
      <c r="AE337" s="21"/>
      <c r="AF337" s="22" t="s">
        <v>52</v>
      </c>
      <c r="AG337" s="23" t="s">
        <v>53</v>
      </c>
      <c r="AH337" s="24"/>
      <c r="AN337" s="24"/>
    </row>
    <row r="338" spans="1:40" ht="12.75">
      <c r="A338" s="15">
        <v>3254508</v>
      </c>
      <c r="B338" s="15" t="s">
        <v>37</v>
      </c>
      <c r="C338" s="15" t="s">
        <v>38</v>
      </c>
      <c r="D338" s="15" t="s">
        <v>85</v>
      </c>
      <c r="E338" s="15" t="s">
        <v>86</v>
      </c>
      <c r="F338" s="15" t="s">
        <v>41</v>
      </c>
      <c r="G338" s="15" t="s">
        <v>147</v>
      </c>
      <c r="H338" s="15" t="s">
        <v>76</v>
      </c>
      <c r="I338" s="15" t="s">
        <v>77</v>
      </c>
      <c r="J338" s="15" t="s">
        <v>88</v>
      </c>
      <c r="K338" s="15" t="s">
        <v>60</v>
      </c>
      <c r="L338" s="16" t="s">
        <v>61</v>
      </c>
      <c r="M338" s="15" t="s">
        <v>48</v>
      </c>
      <c r="N338" s="17">
        <v>454724642367</v>
      </c>
      <c r="O338" s="15">
        <v>91018987</v>
      </c>
      <c r="P338" s="18" t="s">
        <v>159</v>
      </c>
      <c r="Q338" s="18">
        <v>5</v>
      </c>
      <c r="R338" s="18">
        <v>0.39500000000000002</v>
      </c>
      <c r="S338" s="15">
        <v>35.722999999999999</v>
      </c>
      <c r="T338" s="16">
        <v>45824</v>
      </c>
      <c r="U338" s="19">
        <v>45888</v>
      </c>
      <c r="V338" s="16">
        <v>45824</v>
      </c>
      <c r="W338" s="16">
        <v>45826</v>
      </c>
      <c r="X338" s="57">
        <f t="shared" si="11"/>
        <v>45825</v>
      </c>
      <c r="Y338" s="63">
        <v>45832</v>
      </c>
      <c r="Z338" s="67">
        <v>45861</v>
      </c>
      <c r="AA338" s="71">
        <f t="shared" si="12"/>
        <v>45874</v>
      </c>
      <c r="AB338" s="20">
        <f t="shared" si="13"/>
        <v>-14</v>
      </c>
      <c r="AC338" s="20" t="s">
        <v>50</v>
      </c>
      <c r="AD338" s="21" t="s">
        <v>51</v>
      </c>
      <c r="AE338" s="21"/>
      <c r="AF338" s="22" t="s">
        <v>52</v>
      </c>
      <c r="AG338" s="23" t="s">
        <v>53</v>
      </c>
      <c r="AH338" s="24"/>
      <c r="AN338" s="24"/>
    </row>
    <row r="339" spans="1:40" ht="12.75">
      <c r="A339" s="15">
        <v>3254508</v>
      </c>
      <c r="B339" s="15" t="s">
        <v>37</v>
      </c>
      <c r="C339" s="15" t="s">
        <v>38</v>
      </c>
      <c r="D339" s="15" t="s">
        <v>85</v>
      </c>
      <c r="E339" s="15" t="s">
        <v>86</v>
      </c>
      <c r="F339" s="15" t="s">
        <v>41</v>
      </c>
      <c r="G339" s="15" t="s">
        <v>147</v>
      </c>
      <c r="H339" s="15" t="s">
        <v>76</v>
      </c>
      <c r="I339" s="15" t="s">
        <v>77</v>
      </c>
      <c r="J339" s="15" t="s">
        <v>88</v>
      </c>
      <c r="K339" s="15" t="s">
        <v>60</v>
      </c>
      <c r="L339" s="16" t="s">
        <v>61</v>
      </c>
      <c r="M339" s="15" t="s">
        <v>48</v>
      </c>
      <c r="N339" s="17">
        <v>454724758343</v>
      </c>
      <c r="O339" s="15">
        <v>91019091</v>
      </c>
      <c r="P339" s="18" t="s">
        <v>162</v>
      </c>
      <c r="Q339" s="18">
        <v>5</v>
      </c>
      <c r="R339" s="18">
        <v>0.27600000000000002</v>
      </c>
      <c r="S339" s="15">
        <v>20.167000000000002</v>
      </c>
      <c r="T339" s="16">
        <v>45824</v>
      </c>
      <c r="U339" s="19">
        <v>45888</v>
      </c>
      <c r="V339" s="16">
        <v>45824</v>
      </c>
      <c r="W339" s="16">
        <v>45826</v>
      </c>
      <c r="X339" s="57">
        <f t="shared" si="11"/>
        <v>45825</v>
      </c>
      <c r="Y339" s="63">
        <v>45832</v>
      </c>
      <c r="Z339" s="67">
        <v>45861</v>
      </c>
      <c r="AA339" s="71">
        <f t="shared" si="12"/>
        <v>45874</v>
      </c>
      <c r="AB339" s="20">
        <f t="shared" si="13"/>
        <v>-14</v>
      </c>
      <c r="AC339" s="20" t="s">
        <v>50</v>
      </c>
      <c r="AD339" s="21" t="s">
        <v>51</v>
      </c>
      <c r="AE339" s="21"/>
      <c r="AF339" s="22" t="s">
        <v>52</v>
      </c>
      <c r="AG339" s="23" t="s">
        <v>53</v>
      </c>
      <c r="AH339" s="24"/>
      <c r="AN339" s="24"/>
    </row>
    <row r="340" spans="1:40" ht="12.75">
      <c r="A340" s="15">
        <v>3254508</v>
      </c>
      <c r="B340" s="15" t="s">
        <v>37</v>
      </c>
      <c r="C340" s="15" t="s">
        <v>38</v>
      </c>
      <c r="D340" s="15" t="s">
        <v>85</v>
      </c>
      <c r="E340" s="15" t="s">
        <v>86</v>
      </c>
      <c r="F340" s="15" t="s">
        <v>41</v>
      </c>
      <c r="G340" s="15" t="s">
        <v>147</v>
      </c>
      <c r="H340" s="15" t="s">
        <v>76</v>
      </c>
      <c r="I340" s="15" t="s">
        <v>77</v>
      </c>
      <c r="J340" s="15" t="s">
        <v>88</v>
      </c>
      <c r="K340" s="15" t="s">
        <v>60</v>
      </c>
      <c r="L340" s="16" t="s">
        <v>61</v>
      </c>
      <c r="M340" s="15" t="s">
        <v>48</v>
      </c>
      <c r="N340" s="17">
        <v>454724803920</v>
      </c>
      <c r="O340" s="15">
        <v>91019028</v>
      </c>
      <c r="P340" s="18" t="s">
        <v>160</v>
      </c>
      <c r="Q340" s="18">
        <v>9</v>
      </c>
      <c r="R340" s="18">
        <v>0.67100000000000004</v>
      </c>
      <c r="S340" s="15">
        <v>64.885999999999996</v>
      </c>
      <c r="T340" s="16">
        <v>45824</v>
      </c>
      <c r="U340" s="19">
        <v>45888</v>
      </c>
      <c r="V340" s="16">
        <v>45824</v>
      </c>
      <c r="W340" s="16">
        <v>45826</v>
      </c>
      <c r="X340" s="57">
        <f t="shared" si="11"/>
        <v>45825</v>
      </c>
      <c r="Y340" s="63">
        <v>45832</v>
      </c>
      <c r="Z340" s="67">
        <v>45861</v>
      </c>
      <c r="AA340" s="71">
        <f t="shared" si="12"/>
        <v>45874</v>
      </c>
      <c r="AB340" s="20">
        <f t="shared" si="13"/>
        <v>-14</v>
      </c>
      <c r="AC340" s="20" t="s">
        <v>50</v>
      </c>
      <c r="AD340" s="21" t="s">
        <v>51</v>
      </c>
      <c r="AE340" s="21"/>
      <c r="AF340" s="22" t="s">
        <v>52</v>
      </c>
      <c r="AG340" s="23" t="s">
        <v>53</v>
      </c>
      <c r="AH340" s="24"/>
      <c r="AN340" s="24"/>
    </row>
    <row r="341" spans="1:40" ht="12.75">
      <c r="A341" s="15">
        <v>3254508</v>
      </c>
      <c r="B341" s="15" t="s">
        <v>37</v>
      </c>
      <c r="C341" s="15" t="s">
        <v>38</v>
      </c>
      <c r="D341" s="15" t="s">
        <v>85</v>
      </c>
      <c r="E341" s="15" t="s">
        <v>86</v>
      </c>
      <c r="F341" s="15" t="s">
        <v>41</v>
      </c>
      <c r="G341" s="15" t="s">
        <v>147</v>
      </c>
      <c r="H341" s="15" t="s">
        <v>76</v>
      </c>
      <c r="I341" s="15" t="s">
        <v>77</v>
      </c>
      <c r="J341" s="15" t="s">
        <v>88</v>
      </c>
      <c r="K341" s="15" t="s">
        <v>60</v>
      </c>
      <c r="L341" s="16" t="s">
        <v>61</v>
      </c>
      <c r="M341" s="15" t="s">
        <v>48</v>
      </c>
      <c r="N341" s="17">
        <v>454725048506</v>
      </c>
      <c r="O341" s="15">
        <v>91019041</v>
      </c>
      <c r="P341" s="18" t="s">
        <v>160</v>
      </c>
      <c r="Q341" s="18">
        <v>18</v>
      </c>
      <c r="R341" s="18">
        <v>1.4279999999999999</v>
      </c>
      <c r="S341" s="15">
        <v>149.72</v>
      </c>
      <c r="T341" s="16">
        <v>45824</v>
      </c>
      <c r="U341" s="19">
        <v>45888</v>
      </c>
      <c r="V341" s="16">
        <v>45824</v>
      </c>
      <c r="W341" s="16">
        <v>45826</v>
      </c>
      <c r="X341" s="57">
        <f t="shared" si="11"/>
        <v>45825</v>
      </c>
      <c r="Y341" s="63">
        <v>45832</v>
      </c>
      <c r="Z341" s="67">
        <v>45861</v>
      </c>
      <c r="AA341" s="71">
        <f t="shared" si="12"/>
        <v>45874</v>
      </c>
      <c r="AB341" s="20">
        <f t="shared" si="13"/>
        <v>-14</v>
      </c>
      <c r="AC341" s="20" t="s">
        <v>50</v>
      </c>
      <c r="AD341" s="21" t="s">
        <v>51</v>
      </c>
      <c r="AE341" s="21"/>
      <c r="AF341" s="22" t="s">
        <v>52</v>
      </c>
      <c r="AG341" s="23" t="s">
        <v>53</v>
      </c>
      <c r="AH341" s="24"/>
      <c r="AN341" s="24"/>
    </row>
    <row r="342" spans="1:40" ht="12.75">
      <c r="A342" s="15">
        <v>3254508</v>
      </c>
      <c r="B342" s="15" t="s">
        <v>37</v>
      </c>
      <c r="C342" s="15" t="s">
        <v>38</v>
      </c>
      <c r="D342" s="15" t="s">
        <v>85</v>
      </c>
      <c r="E342" s="15" t="s">
        <v>86</v>
      </c>
      <c r="F342" s="15" t="s">
        <v>41</v>
      </c>
      <c r="G342" s="15" t="s">
        <v>147</v>
      </c>
      <c r="H342" s="15" t="s">
        <v>76</v>
      </c>
      <c r="I342" s="15" t="s">
        <v>77</v>
      </c>
      <c r="J342" s="15" t="s">
        <v>88</v>
      </c>
      <c r="K342" s="15" t="s">
        <v>60</v>
      </c>
      <c r="L342" s="16" t="s">
        <v>61</v>
      </c>
      <c r="M342" s="15" t="s">
        <v>48</v>
      </c>
      <c r="N342" s="17">
        <v>454725071476</v>
      </c>
      <c r="O342" s="15">
        <v>91019056</v>
      </c>
      <c r="P342" s="18" t="s">
        <v>159</v>
      </c>
      <c r="Q342" s="18">
        <v>14</v>
      </c>
      <c r="R342" s="18">
        <v>1.1060000000000001</v>
      </c>
      <c r="S342" s="15">
        <v>113.41500000000001</v>
      </c>
      <c r="T342" s="16">
        <v>45824</v>
      </c>
      <c r="U342" s="19">
        <v>45888</v>
      </c>
      <c r="V342" s="16">
        <v>45824</v>
      </c>
      <c r="W342" s="16">
        <v>45826</v>
      </c>
      <c r="X342" s="57">
        <f t="shared" si="11"/>
        <v>45825</v>
      </c>
      <c r="Y342" s="63">
        <v>45832</v>
      </c>
      <c r="Z342" s="67">
        <v>45861</v>
      </c>
      <c r="AA342" s="71">
        <f t="shared" si="12"/>
        <v>45874</v>
      </c>
      <c r="AB342" s="20">
        <f t="shared" si="13"/>
        <v>-14</v>
      </c>
      <c r="AC342" s="20" t="s">
        <v>50</v>
      </c>
      <c r="AD342" s="21" t="s">
        <v>51</v>
      </c>
      <c r="AE342" s="21"/>
      <c r="AF342" s="22" t="s">
        <v>52</v>
      </c>
      <c r="AG342" s="23" t="s">
        <v>53</v>
      </c>
      <c r="AH342" s="24"/>
      <c r="AN342" s="24"/>
    </row>
    <row r="343" spans="1:40" ht="12.75">
      <c r="A343" s="15">
        <v>3254508</v>
      </c>
      <c r="B343" s="15" t="s">
        <v>37</v>
      </c>
      <c r="C343" s="15" t="s">
        <v>38</v>
      </c>
      <c r="D343" s="15" t="s">
        <v>85</v>
      </c>
      <c r="E343" s="15" t="s">
        <v>86</v>
      </c>
      <c r="F343" s="15" t="s">
        <v>41</v>
      </c>
      <c r="G343" s="15" t="s">
        <v>147</v>
      </c>
      <c r="H343" s="15" t="s">
        <v>76</v>
      </c>
      <c r="I343" s="15" t="s">
        <v>77</v>
      </c>
      <c r="J343" s="15" t="s">
        <v>88</v>
      </c>
      <c r="K343" s="15" t="s">
        <v>60</v>
      </c>
      <c r="L343" s="16" t="s">
        <v>61</v>
      </c>
      <c r="M343" s="15" t="s">
        <v>48</v>
      </c>
      <c r="N343" s="17">
        <v>454725479476</v>
      </c>
      <c r="O343" s="15">
        <v>91019208</v>
      </c>
      <c r="P343" s="18" t="s">
        <v>162</v>
      </c>
      <c r="Q343" s="18">
        <v>2</v>
      </c>
      <c r="R343" s="18">
        <v>7.9000000000000001E-2</v>
      </c>
      <c r="S343" s="15">
        <v>4.5140000000000002</v>
      </c>
      <c r="T343" s="16">
        <v>45824</v>
      </c>
      <c r="U343" s="19">
        <v>45888</v>
      </c>
      <c r="V343" s="16">
        <v>45824</v>
      </c>
      <c r="W343" s="16">
        <v>45826</v>
      </c>
      <c r="X343" s="57">
        <f t="shared" si="11"/>
        <v>45825</v>
      </c>
      <c r="Y343" s="63">
        <v>45832</v>
      </c>
      <c r="Z343" s="67">
        <v>45861</v>
      </c>
      <c r="AA343" s="71">
        <f t="shared" si="12"/>
        <v>45874</v>
      </c>
      <c r="AB343" s="20">
        <f t="shared" si="13"/>
        <v>-14</v>
      </c>
      <c r="AC343" s="20" t="s">
        <v>50</v>
      </c>
      <c r="AD343" s="21" t="s">
        <v>51</v>
      </c>
      <c r="AE343" s="21"/>
      <c r="AF343" s="22" t="s">
        <v>52</v>
      </c>
      <c r="AG343" s="23" t="s">
        <v>53</v>
      </c>
      <c r="AH343" s="24"/>
      <c r="AN343" s="24"/>
    </row>
    <row r="344" spans="1:40" ht="12.75">
      <c r="A344" s="15">
        <v>3254508</v>
      </c>
      <c r="B344" s="15" t="s">
        <v>37</v>
      </c>
      <c r="C344" s="15" t="s">
        <v>38</v>
      </c>
      <c r="D344" s="15" t="s">
        <v>85</v>
      </c>
      <c r="E344" s="15" t="s">
        <v>86</v>
      </c>
      <c r="F344" s="15" t="s">
        <v>41</v>
      </c>
      <c r="G344" s="15" t="s">
        <v>147</v>
      </c>
      <c r="H344" s="15" t="s">
        <v>76</v>
      </c>
      <c r="I344" s="15" t="s">
        <v>77</v>
      </c>
      <c r="J344" s="15" t="s">
        <v>88</v>
      </c>
      <c r="K344" s="15" t="s">
        <v>60</v>
      </c>
      <c r="L344" s="16" t="s">
        <v>61</v>
      </c>
      <c r="M344" s="15" t="s">
        <v>48</v>
      </c>
      <c r="N344" s="17">
        <v>454725529445</v>
      </c>
      <c r="O344" s="15">
        <v>91019190</v>
      </c>
      <c r="P344" s="18" t="s">
        <v>162</v>
      </c>
      <c r="Q344" s="18">
        <v>2</v>
      </c>
      <c r="R344" s="18">
        <v>0.11799999999999999</v>
      </c>
      <c r="S344" s="15">
        <v>5.4950000000000001</v>
      </c>
      <c r="T344" s="16">
        <v>45824</v>
      </c>
      <c r="U344" s="19">
        <v>45888</v>
      </c>
      <c r="V344" s="16">
        <v>45824</v>
      </c>
      <c r="W344" s="16">
        <v>45826</v>
      </c>
      <c r="X344" s="57">
        <f t="shared" si="11"/>
        <v>45825</v>
      </c>
      <c r="Y344" s="63">
        <v>45832</v>
      </c>
      <c r="Z344" s="67">
        <v>45861</v>
      </c>
      <c r="AA344" s="71">
        <f t="shared" si="12"/>
        <v>45874</v>
      </c>
      <c r="AB344" s="20">
        <f t="shared" si="13"/>
        <v>-14</v>
      </c>
      <c r="AC344" s="20" t="s">
        <v>50</v>
      </c>
      <c r="AD344" s="21" t="s">
        <v>51</v>
      </c>
      <c r="AE344" s="21"/>
      <c r="AF344" s="22" t="s">
        <v>52</v>
      </c>
      <c r="AG344" s="23" t="s">
        <v>53</v>
      </c>
      <c r="AH344" s="24"/>
      <c r="AN344" s="24"/>
    </row>
    <row r="345" spans="1:40" ht="12.75">
      <c r="A345" s="15">
        <v>3254508</v>
      </c>
      <c r="B345" s="15" t="s">
        <v>37</v>
      </c>
      <c r="C345" s="15" t="s">
        <v>38</v>
      </c>
      <c r="D345" s="15" t="s">
        <v>85</v>
      </c>
      <c r="E345" s="15" t="s">
        <v>86</v>
      </c>
      <c r="F345" s="15" t="s">
        <v>41</v>
      </c>
      <c r="G345" s="15" t="s">
        <v>147</v>
      </c>
      <c r="H345" s="15" t="s">
        <v>76</v>
      </c>
      <c r="I345" s="15" t="s">
        <v>77</v>
      </c>
      <c r="J345" s="15" t="s">
        <v>88</v>
      </c>
      <c r="K345" s="15" t="s">
        <v>60</v>
      </c>
      <c r="L345" s="16" t="s">
        <v>61</v>
      </c>
      <c r="M345" s="15" t="s">
        <v>48</v>
      </c>
      <c r="N345" s="17">
        <v>454725656610</v>
      </c>
      <c r="O345" s="15">
        <v>91019224</v>
      </c>
      <c r="P345" s="18" t="s">
        <v>162</v>
      </c>
      <c r="Q345" s="18">
        <v>2</v>
      </c>
      <c r="R345" s="18">
        <v>0.11799999999999999</v>
      </c>
      <c r="S345" s="15">
        <v>7.9809999999999999</v>
      </c>
      <c r="T345" s="16">
        <v>45824</v>
      </c>
      <c r="U345" s="19">
        <v>45888</v>
      </c>
      <c r="V345" s="16">
        <v>45824</v>
      </c>
      <c r="W345" s="16">
        <v>45826</v>
      </c>
      <c r="X345" s="57">
        <f t="shared" si="11"/>
        <v>45825</v>
      </c>
      <c r="Y345" s="63">
        <v>45832</v>
      </c>
      <c r="Z345" s="67">
        <v>45861</v>
      </c>
      <c r="AA345" s="71">
        <f t="shared" si="12"/>
        <v>45874</v>
      </c>
      <c r="AB345" s="20">
        <f t="shared" si="13"/>
        <v>-14</v>
      </c>
      <c r="AC345" s="20" t="s">
        <v>50</v>
      </c>
      <c r="AD345" s="21" t="s">
        <v>51</v>
      </c>
      <c r="AE345" s="21"/>
      <c r="AF345" s="22" t="s">
        <v>52</v>
      </c>
      <c r="AG345" s="23" t="s">
        <v>53</v>
      </c>
      <c r="AH345" s="24"/>
      <c r="AN345" s="24"/>
    </row>
    <row r="346" spans="1:40" ht="12.75">
      <c r="A346" s="15">
        <v>3254508</v>
      </c>
      <c r="B346" s="15" t="s">
        <v>37</v>
      </c>
      <c r="C346" s="15" t="s">
        <v>38</v>
      </c>
      <c r="D346" s="15" t="s">
        <v>85</v>
      </c>
      <c r="E346" s="15" t="s">
        <v>86</v>
      </c>
      <c r="F346" s="15" t="s">
        <v>41</v>
      </c>
      <c r="G346" s="15" t="s">
        <v>147</v>
      </c>
      <c r="H346" s="15" t="s">
        <v>76</v>
      </c>
      <c r="I346" s="15" t="s">
        <v>77</v>
      </c>
      <c r="J346" s="15" t="s">
        <v>88</v>
      </c>
      <c r="K346" s="15" t="s">
        <v>60</v>
      </c>
      <c r="L346" s="16" t="s">
        <v>61</v>
      </c>
      <c r="M346" s="15" t="s">
        <v>48</v>
      </c>
      <c r="N346" s="17">
        <v>454725757512</v>
      </c>
      <c r="O346" s="15">
        <v>91019235</v>
      </c>
      <c r="P346" s="18" t="s">
        <v>163</v>
      </c>
      <c r="Q346" s="18">
        <v>5</v>
      </c>
      <c r="R346" s="18">
        <v>0.316</v>
      </c>
      <c r="S346" s="15">
        <v>48.902000000000001</v>
      </c>
      <c r="T346" s="16">
        <v>45824</v>
      </c>
      <c r="U346" s="19">
        <v>45888</v>
      </c>
      <c r="V346" s="16">
        <v>45824</v>
      </c>
      <c r="W346" s="16">
        <v>45826</v>
      </c>
      <c r="X346" s="57">
        <f t="shared" si="11"/>
        <v>45825</v>
      </c>
      <c r="Y346" s="63">
        <v>45832</v>
      </c>
      <c r="Z346" s="67">
        <v>45861</v>
      </c>
      <c r="AA346" s="71">
        <f t="shared" si="12"/>
        <v>45874</v>
      </c>
      <c r="AB346" s="20">
        <f t="shared" si="13"/>
        <v>-14</v>
      </c>
      <c r="AC346" s="20" t="s">
        <v>50</v>
      </c>
      <c r="AD346" s="21" t="s">
        <v>51</v>
      </c>
      <c r="AE346" s="21"/>
      <c r="AF346" s="22" t="s">
        <v>52</v>
      </c>
      <c r="AG346" s="23" t="s">
        <v>53</v>
      </c>
      <c r="AH346" s="24"/>
      <c r="AN346" s="24"/>
    </row>
    <row r="347" spans="1:40" ht="12.75">
      <c r="A347" s="15">
        <v>3254508</v>
      </c>
      <c r="B347" s="15" t="s">
        <v>37</v>
      </c>
      <c r="C347" s="15" t="s">
        <v>38</v>
      </c>
      <c r="D347" s="15" t="s">
        <v>85</v>
      </c>
      <c r="E347" s="15" t="s">
        <v>86</v>
      </c>
      <c r="F347" s="15" t="s">
        <v>41</v>
      </c>
      <c r="G347" s="15" t="s">
        <v>147</v>
      </c>
      <c r="H347" s="15" t="s">
        <v>76</v>
      </c>
      <c r="I347" s="15" t="s">
        <v>77</v>
      </c>
      <c r="J347" s="15" t="s">
        <v>88</v>
      </c>
      <c r="K347" s="15" t="s">
        <v>60</v>
      </c>
      <c r="L347" s="16" t="s">
        <v>61</v>
      </c>
      <c r="M347" s="15" t="s">
        <v>48</v>
      </c>
      <c r="N347" s="17">
        <v>454725863744</v>
      </c>
      <c r="O347" s="15">
        <v>91019242</v>
      </c>
      <c r="P347" s="18" t="s">
        <v>163</v>
      </c>
      <c r="Q347" s="18">
        <v>2</v>
      </c>
      <c r="R347" s="18">
        <v>7.9000000000000001E-2</v>
      </c>
      <c r="S347" s="15">
        <v>13.1</v>
      </c>
      <c r="T347" s="16">
        <v>45824</v>
      </c>
      <c r="U347" s="19">
        <v>45888</v>
      </c>
      <c r="V347" s="16">
        <v>45824</v>
      </c>
      <c r="W347" s="16">
        <v>45826</v>
      </c>
      <c r="X347" s="57">
        <f t="shared" si="11"/>
        <v>45825</v>
      </c>
      <c r="Y347" s="63">
        <v>45832</v>
      </c>
      <c r="Z347" s="67">
        <v>45861</v>
      </c>
      <c r="AA347" s="71">
        <f t="shared" si="12"/>
        <v>45874</v>
      </c>
      <c r="AB347" s="20">
        <f t="shared" si="13"/>
        <v>-14</v>
      </c>
      <c r="AC347" s="20" t="s">
        <v>50</v>
      </c>
      <c r="AD347" s="21" t="s">
        <v>51</v>
      </c>
      <c r="AE347" s="21"/>
      <c r="AF347" s="22" t="s">
        <v>52</v>
      </c>
      <c r="AG347" s="23" t="s">
        <v>53</v>
      </c>
      <c r="AH347" s="24"/>
      <c r="AN347" s="24"/>
    </row>
    <row r="348" spans="1:40" ht="12.75">
      <c r="A348" s="15">
        <v>3254508</v>
      </c>
      <c r="B348" s="15" t="s">
        <v>37</v>
      </c>
      <c r="C348" s="15" t="s">
        <v>38</v>
      </c>
      <c r="D348" s="15" t="s">
        <v>85</v>
      </c>
      <c r="E348" s="15" t="s">
        <v>86</v>
      </c>
      <c r="F348" s="15" t="s">
        <v>41</v>
      </c>
      <c r="G348" s="15" t="s">
        <v>147</v>
      </c>
      <c r="H348" s="15" t="s">
        <v>76</v>
      </c>
      <c r="I348" s="15" t="s">
        <v>77</v>
      </c>
      <c r="J348" s="15" t="s">
        <v>88</v>
      </c>
      <c r="K348" s="15" t="s">
        <v>60</v>
      </c>
      <c r="L348" s="16" t="s">
        <v>61</v>
      </c>
      <c r="M348" s="15" t="s">
        <v>48</v>
      </c>
      <c r="N348" s="17">
        <v>454725864133</v>
      </c>
      <c r="O348" s="15">
        <v>91019333</v>
      </c>
      <c r="P348" s="18" t="s">
        <v>162</v>
      </c>
      <c r="Q348" s="18">
        <v>4</v>
      </c>
      <c r="R348" s="18">
        <v>0.27600000000000002</v>
      </c>
      <c r="S348" s="15">
        <v>16.829999999999998</v>
      </c>
      <c r="T348" s="16">
        <v>45824</v>
      </c>
      <c r="U348" s="19">
        <v>45888</v>
      </c>
      <c r="V348" s="16">
        <v>45824</v>
      </c>
      <c r="W348" s="16">
        <v>45826</v>
      </c>
      <c r="X348" s="57">
        <f t="shared" si="11"/>
        <v>45825</v>
      </c>
      <c r="Y348" s="63">
        <v>45832</v>
      </c>
      <c r="Z348" s="67">
        <v>45861</v>
      </c>
      <c r="AA348" s="71">
        <f t="shared" si="12"/>
        <v>45874</v>
      </c>
      <c r="AB348" s="20">
        <f t="shared" si="13"/>
        <v>-14</v>
      </c>
      <c r="AC348" s="20" t="s">
        <v>50</v>
      </c>
      <c r="AD348" s="21" t="s">
        <v>51</v>
      </c>
      <c r="AE348" s="21"/>
      <c r="AF348" s="22" t="s">
        <v>52</v>
      </c>
      <c r="AG348" s="23" t="s">
        <v>53</v>
      </c>
      <c r="AH348" s="24"/>
      <c r="AN348" s="24"/>
    </row>
    <row r="349" spans="1:40" ht="12.75">
      <c r="A349" s="15">
        <v>3254508</v>
      </c>
      <c r="B349" s="15" t="s">
        <v>37</v>
      </c>
      <c r="C349" s="15" t="s">
        <v>38</v>
      </c>
      <c r="D349" s="15" t="s">
        <v>85</v>
      </c>
      <c r="E349" s="15" t="s">
        <v>86</v>
      </c>
      <c r="F349" s="15" t="s">
        <v>41</v>
      </c>
      <c r="G349" s="15" t="s">
        <v>147</v>
      </c>
      <c r="H349" s="15" t="s">
        <v>76</v>
      </c>
      <c r="I349" s="15" t="s">
        <v>77</v>
      </c>
      <c r="J349" s="15" t="s">
        <v>88</v>
      </c>
      <c r="K349" s="15" t="s">
        <v>60</v>
      </c>
      <c r="L349" s="16" t="s">
        <v>61</v>
      </c>
      <c r="M349" s="15" t="s">
        <v>48</v>
      </c>
      <c r="N349" s="17">
        <v>454725919857</v>
      </c>
      <c r="O349" s="15">
        <v>91019338</v>
      </c>
      <c r="P349" s="18" t="s">
        <v>162</v>
      </c>
      <c r="Q349" s="18">
        <v>5</v>
      </c>
      <c r="R349" s="18">
        <v>0.35499999999999998</v>
      </c>
      <c r="S349" s="15">
        <v>24.841000000000001</v>
      </c>
      <c r="T349" s="16">
        <v>45824</v>
      </c>
      <c r="U349" s="19">
        <v>45888</v>
      </c>
      <c r="V349" s="16">
        <v>45824</v>
      </c>
      <c r="W349" s="16">
        <v>45826</v>
      </c>
      <c r="X349" s="57">
        <f t="shared" si="11"/>
        <v>45825</v>
      </c>
      <c r="Y349" s="63">
        <v>45832</v>
      </c>
      <c r="Z349" s="67">
        <v>45861</v>
      </c>
      <c r="AA349" s="71">
        <f t="shared" si="12"/>
        <v>45874</v>
      </c>
      <c r="AB349" s="20">
        <f t="shared" si="13"/>
        <v>-14</v>
      </c>
      <c r="AC349" s="20" t="s">
        <v>50</v>
      </c>
      <c r="AD349" s="21" t="s">
        <v>51</v>
      </c>
      <c r="AE349" s="21"/>
      <c r="AF349" s="22" t="s">
        <v>52</v>
      </c>
      <c r="AG349" s="23" t="s">
        <v>53</v>
      </c>
      <c r="AH349" s="24"/>
      <c r="AN349" s="24"/>
    </row>
    <row r="350" spans="1:40" ht="12.75">
      <c r="A350" s="15">
        <v>3254508</v>
      </c>
      <c r="B350" s="15" t="s">
        <v>37</v>
      </c>
      <c r="C350" s="15" t="s">
        <v>38</v>
      </c>
      <c r="D350" s="15" t="s">
        <v>85</v>
      </c>
      <c r="E350" s="15" t="s">
        <v>86</v>
      </c>
      <c r="F350" s="15" t="s">
        <v>41</v>
      </c>
      <c r="G350" s="15" t="s">
        <v>147</v>
      </c>
      <c r="H350" s="15" t="s">
        <v>76</v>
      </c>
      <c r="I350" s="15" t="s">
        <v>77</v>
      </c>
      <c r="J350" s="15" t="s">
        <v>88</v>
      </c>
      <c r="K350" s="15" t="s">
        <v>60</v>
      </c>
      <c r="L350" s="16" t="s">
        <v>124</v>
      </c>
      <c r="M350" s="15" t="s">
        <v>48</v>
      </c>
      <c r="N350" s="17">
        <v>454770292169</v>
      </c>
      <c r="O350" s="15">
        <v>19936234</v>
      </c>
      <c r="P350" s="18" t="s">
        <v>164</v>
      </c>
      <c r="Q350" s="18">
        <v>3</v>
      </c>
      <c r="R350" s="18">
        <v>0.23799999999999999</v>
      </c>
      <c r="S350" s="15">
        <v>25.31</v>
      </c>
      <c r="T350" s="16">
        <v>45824</v>
      </c>
      <c r="U350" s="19">
        <v>45883</v>
      </c>
      <c r="V350" s="16">
        <v>45824</v>
      </c>
      <c r="W350" s="16">
        <v>45826</v>
      </c>
      <c r="X350" s="57">
        <f t="shared" si="11"/>
        <v>45825</v>
      </c>
      <c r="Y350" s="63">
        <v>45832</v>
      </c>
      <c r="Z350" s="67">
        <v>45861</v>
      </c>
      <c r="AA350" s="71">
        <f t="shared" si="12"/>
        <v>45874</v>
      </c>
      <c r="AB350" s="20">
        <f t="shared" si="13"/>
        <v>-9</v>
      </c>
      <c r="AC350" s="20" t="s">
        <v>50</v>
      </c>
      <c r="AD350" s="21" t="s">
        <v>51</v>
      </c>
      <c r="AE350" s="21"/>
      <c r="AF350" s="22" t="s">
        <v>52</v>
      </c>
      <c r="AG350" s="23" t="s">
        <v>53</v>
      </c>
      <c r="AH350" s="24"/>
      <c r="AN350" s="24"/>
    </row>
    <row r="351" spans="1:40" ht="12.75">
      <c r="A351" s="15">
        <v>3254508</v>
      </c>
      <c r="B351" s="15" t="s">
        <v>37</v>
      </c>
      <c r="C351" s="15" t="s">
        <v>38</v>
      </c>
      <c r="D351" s="15" t="s">
        <v>85</v>
      </c>
      <c r="E351" s="15" t="s">
        <v>86</v>
      </c>
      <c r="F351" s="15" t="s">
        <v>41</v>
      </c>
      <c r="G351" s="15" t="s">
        <v>147</v>
      </c>
      <c r="H351" s="15" t="s">
        <v>76</v>
      </c>
      <c r="I351" s="15" t="s">
        <v>77</v>
      </c>
      <c r="J351" s="15" t="s">
        <v>88</v>
      </c>
      <c r="K351" s="15" t="s">
        <v>60</v>
      </c>
      <c r="L351" s="16" t="s">
        <v>124</v>
      </c>
      <c r="M351" s="15" t="s">
        <v>48</v>
      </c>
      <c r="N351" s="17">
        <v>454776741148</v>
      </c>
      <c r="O351" s="15">
        <v>19936208</v>
      </c>
      <c r="P351" s="18" t="s">
        <v>164</v>
      </c>
      <c r="Q351" s="18">
        <v>3</v>
      </c>
      <c r="R351" s="18">
        <v>0.23799999999999999</v>
      </c>
      <c r="S351" s="15">
        <v>28.77</v>
      </c>
      <c r="T351" s="16">
        <v>45824</v>
      </c>
      <c r="U351" s="19">
        <v>45883</v>
      </c>
      <c r="V351" s="16">
        <v>45824</v>
      </c>
      <c r="W351" s="16">
        <v>45826</v>
      </c>
      <c r="X351" s="57">
        <f t="shared" si="11"/>
        <v>45825</v>
      </c>
      <c r="Y351" s="63">
        <v>45832</v>
      </c>
      <c r="Z351" s="67">
        <v>45861</v>
      </c>
      <c r="AA351" s="71">
        <f t="shared" si="12"/>
        <v>45874</v>
      </c>
      <c r="AB351" s="20">
        <f t="shared" si="13"/>
        <v>-9</v>
      </c>
      <c r="AC351" s="20" t="s">
        <v>50</v>
      </c>
      <c r="AD351" s="21" t="s">
        <v>51</v>
      </c>
      <c r="AE351" s="21"/>
      <c r="AF351" s="22" t="s">
        <v>52</v>
      </c>
      <c r="AG351" s="23" t="s">
        <v>53</v>
      </c>
      <c r="AH351" s="24"/>
      <c r="AN351" s="24"/>
    </row>
    <row r="352" spans="1:40" ht="12.75">
      <c r="A352" s="15">
        <v>3254508</v>
      </c>
      <c r="B352" s="15" t="s">
        <v>37</v>
      </c>
      <c r="C352" s="15" t="s">
        <v>38</v>
      </c>
      <c r="D352" s="15" t="s">
        <v>85</v>
      </c>
      <c r="E352" s="15" t="s">
        <v>86</v>
      </c>
      <c r="F352" s="15" t="s">
        <v>41</v>
      </c>
      <c r="G352" s="15" t="s">
        <v>147</v>
      </c>
      <c r="H352" s="15" t="s">
        <v>76</v>
      </c>
      <c r="I352" s="15" t="s">
        <v>77</v>
      </c>
      <c r="J352" s="15" t="s">
        <v>88</v>
      </c>
      <c r="K352" s="15" t="s">
        <v>60</v>
      </c>
      <c r="L352" s="16" t="s">
        <v>124</v>
      </c>
      <c r="M352" s="15" t="s">
        <v>48</v>
      </c>
      <c r="N352" s="17">
        <v>454776741208</v>
      </c>
      <c r="O352" s="15">
        <v>19940790</v>
      </c>
      <c r="P352" s="18" t="s">
        <v>165</v>
      </c>
      <c r="Q352" s="18">
        <v>1</v>
      </c>
      <c r="R352" s="18">
        <v>7.9000000000000001E-2</v>
      </c>
      <c r="S352" s="15">
        <v>10.67</v>
      </c>
      <c r="T352" s="16">
        <v>45824</v>
      </c>
      <c r="U352" s="19">
        <v>45883</v>
      </c>
      <c r="V352" s="16">
        <v>45824</v>
      </c>
      <c r="W352" s="16">
        <v>45826</v>
      </c>
      <c r="X352" s="57">
        <f t="shared" si="11"/>
        <v>45825</v>
      </c>
      <c r="Y352" s="63">
        <v>45832</v>
      </c>
      <c r="Z352" s="67">
        <v>45861</v>
      </c>
      <c r="AA352" s="71">
        <f t="shared" si="12"/>
        <v>45874</v>
      </c>
      <c r="AB352" s="20">
        <f t="shared" si="13"/>
        <v>-9</v>
      </c>
      <c r="AC352" s="20" t="s">
        <v>50</v>
      </c>
      <c r="AD352" s="21" t="s">
        <v>51</v>
      </c>
      <c r="AE352" s="21"/>
      <c r="AF352" s="22" t="s">
        <v>52</v>
      </c>
      <c r="AG352" s="23" t="s">
        <v>53</v>
      </c>
      <c r="AH352" s="24"/>
      <c r="AN352" s="24"/>
    </row>
    <row r="353" spans="1:40" ht="12.75">
      <c r="A353" s="15">
        <v>3254508</v>
      </c>
      <c r="B353" s="15" t="s">
        <v>37</v>
      </c>
      <c r="C353" s="15" t="s">
        <v>38</v>
      </c>
      <c r="D353" s="15" t="s">
        <v>85</v>
      </c>
      <c r="E353" s="15" t="s">
        <v>86</v>
      </c>
      <c r="F353" s="15" t="s">
        <v>41</v>
      </c>
      <c r="G353" s="15" t="s">
        <v>147</v>
      </c>
      <c r="H353" s="15" t="s">
        <v>76</v>
      </c>
      <c r="I353" s="15" t="s">
        <v>77</v>
      </c>
      <c r="J353" s="15" t="s">
        <v>88</v>
      </c>
      <c r="K353" s="15" t="s">
        <v>60</v>
      </c>
      <c r="L353" s="16" t="s">
        <v>124</v>
      </c>
      <c r="M353" s="15" t="s">
        <v>48</v>
      </c>
      <c r="N353" s="17">
        <v>454776867307</v>
      </c>
      <c r="O353" s="15">
        <v>19927212</v>
      </c>
      <c r="P353" s="18" t="s">
        <v>165</v>
      </c>
      <c r="Q353" s="18">
        <v>1</v>
      </c>
      <c r="R353" s="18">
        <v>7.9000000000000001E-2</v>
      </c>
      <c r="S353" s="15">
        <v>10.029999999999999</v>
      </c>
      <c r="T353" s="16">
        <v>45824</v>
      </c>
      <c r="U353" s="19">
        <v>45883</v>
      </c>
      <c r="V353" s="16">
        <v>45824</v>
      </c>
      <c r="W353" s="16">
        <v>45826</v>
      </c>
      <c r="X353" s="57">
        <f t="shared" si="11"/>
        <v>45825</v>
      </c>
      <c r="Y353" s="63">
        <v>45832</v>
      </c>
      <c r="Z353" s="67">
        <v>45861</v>
      </c>
      <c r="AA353" s="71">
        <f t="shared" si="12"/>
        <v>45874</v>
      </c>
      <c r="AB353" s="20">
        <f t="shared" si="13"/>
        <v>-9</v>
      </c>
      <c r="AC353" s="20" t="s">
        <v>50</v>
      </c>
      <c r="AD353" s="21" t="s">
        <v>51</v>
      </c>
      <c r="AE353" s="21"/>
      <c r="AF353" s="22" t="s">
        <v>52</v>
      </c>
      <c r="AG353" s="23" t="s">
        <v>53</v>
      </c>
      <c r="AH353" s="24"/>
      <c r="AN353" s="24"/>
    </row>
    <row r="354" spans="1:40" ht="12.75">
      <c r="A354" s="15">
        <v>3254508</v>
      </c>
      <c r="B354" s="15" t="s">
        <v>37</v>
      </c>
      <c r="C354" s="15" t="s">
        <v>38</v>
      </c>
      <c r="D354" s="15" t="s">
        <v>85</v>
      </c>
      <c r="E354" s="15" t="s">
        <v>86</v>
      </c>
      <c r="F354" s="15" t="s">
        <v>41</v>
      </c>
      <c r="G354" s="15" t="s">
        <v>147</v>
      </c>
      <c r="H354" s="15" t="s">
        <v>76</v>
      </c>
      <c r="I354" s="15" t="s">
        <v>77</v>
      </c>
      <c r="J354" s="15" t="s">
        <v>88</v>
      </c>
      <c r="K354" s="15" t="s">
        <v>60</v>
      </c>
      <c r="L354" s="16" t="s">
        <v>124</v>
      </c>
      <c r="M354" s="15" t="s">
        <v>48</v>
      </c>
      <c r="N354" s="17">
        <v>454777443457</v>
      </c>
      <c r="O354" s="15">
        <v>19927350</v>
      </c>
      <c r="P354" s="18" t="s">
        <v>166</v>
      </c>
      <c r="Q354" s="18">
        <v>4</v>
      </c>
      <c r="R354" s="18">
        <v>0.27800000000000002</v>
      </c>
      <c r="S354" s="15">
        <v>44.89</v>
      </c>
      <c r="T354" s="16">
        <v>45824</v>
      </c>
      <c r="U354" s="19">
        <v>45883</v>
      </c>
      <c r="V354" s="16">
        <v>45824</v>
      </c>
      <c r="W354" s="16">
        <v>45826</v>
      </c>
      <c r="X354" s="57">
        <f t="shared" si="11"/>
        <v>45825</v>
      </c>
      <c r="Y354" s="63">
        <v>45832</v>
      </c>
      <c r="Z354" s="67">
        <v>45861</v>
      </c>
      <c r="AA354" s="71">
        <f t="shared" si="12"/>
        <v>45874</v>
      </c>
      <c r="AB354" s="20">
        <f t="shared" si="13"/>
        <v>-9</v>
      </c>
      <c r="AC354" s="20" t="s">
        <v>50</v>
      </c>
      <c r="AD354" s="21" t="s">
        <v>51</v>
      </c>
      <c r="AE354" s="21"/>
      <c r="AF354" s="22" t="s">
        <v>52</v>
      </c>
      <c r="AG354" s="23" t="s">
        <v>53</v>
      </c>
      <c r="AH354" s="24"/>
      <c r="AN354" s="24"/>
    </row>
    <row r="355" spans="1:40" ht="12.75">
      <c r="A355" s="15">
        <v>3254508</v>
      </c>
      <c r="B355" s="15" t="s">
        <v>37</v>
      </c>
      <c r="C355" s="15" t="s">
        <v>38</v>
      </c>
      <c r="D355" s="15" t="s">
        <v>85</v>
      </c>
      <c r="E355" s="15" t="s">
        <v>86</v>
      </c>
      <c r="F355" s="15" t="s">
        <v>41</v>
      </c>
      <c r="G355" s="15" t="s">
        <v>147</v>
      </c>
      <c r="H355" s="15" t="s">
        <v>76</v>
      </c>
      <c r="I355" s="15" t="s">
        <v>77</v>
      </c>
      <c r="J355" s="15" t="s">
        <v>88</v>
      </c>
      <c r="K355" s="15" t="s">
        <v>60</v>
      </c>
      <c r="L355" s="16" t="s">
        <v>124</v>
      </c>
      <c r="M355" s="15" t="s">
        <v>48</v>
      </c>
      <c r="N355" s="17">
        <v>454777445244</v>
      </c>
      <c r="O355" s="15">
        <v>19927252</v>
      </c>
      <c r="P355" s="18" t="s">
        <v>165</v>
      </c>
      <c r="Q355" s="18">
        <v>1</v>
      </c>
      <c r="R355" s="18">
        <v>7.9000000000000001E-2</v>
      </c>
      <c r="S355" s="15">
        <v>12.05</v>
      </c>
      <c r="T355" s="16">
        <v>45824</v>
      </c>
      <c r="U355" s="19">
        <v>45883</v>
      </c>
      <c r="V355" s="16">
        <v>45824</v>
      </c>
      <c r="W355" s="16">
        <v>45826</v>
      </c>
      <c r="X355" s="57">
        <f t="shared" si="11"/>
        <v>45825</v>
      </c>
      <c r="Y355" s="63">
        <v>45832</v>
      </c>
      <c r="Z355" s="67">
        <v>45861</v>
      </c>
      <c r="AA355" s="71">
        <f t="shared" si="12"/>
        <v>45874</v>
      </c>
      <c r="AB355" s="20">
        <f t="shared" si="13"/>
        <v>-9</v>
      </c>
      <c r="AC355" s="20" t="s">
        <v>50</v>
      </c>
      <c r="AD355" s="21" t="s">
        <v>51</v>
      </c>
      <c r="AE355" s="21"/>
      <c r="AF355" s="22" t="s">
        <v>52</v>
      </c>
      <c r="AG355" s="23" t="s">
        <v>53</v>
      </c>
      <c r="AH355" s="24"/>
      <c r="AN355" s="24"/>
    </row>
    <row r="356" spans="1:40" ht="12.75">
      <c r="A356" s="15">
        <v>3254508</v>
      </c>
      <c r="B356" s="15" t="s">
        <v>37</v>
      </c>
      <c r="C356" s="15" t="s">
        <v>38</v>
      </c>
      <c r="D356" s="15" t="s">
        <v>85</v>
      </c>
      <c r="E356" s="15" t="s">
        <v>86</v>
      </c>
      <c r="F356" s="15" t="s">
        <v>41</v>
      </c>
      <c r="G356" s="15" t="s">
        <v>147</v>
      </c>
      <c r="H356" s="15" t="s">
        <v>76</v>
      </c>
      <c r="I356" s="15" t="s">
        <v>77</v>
      </c>
      <c r="J356" s="15" t="s">
        <v>88</v>
      </c>
      <c r="K356" s="15" t="s">
        <v>60</v>
      </c>
      <c r="L356" s="16" t="s">
        <v>124</v>
      </c>
      <c r="M356" s="15" t="s">
        <v>48</v>
      </c>
      <c r="N356" s="17">
        <v>454777445314</v>
      </c>
      <c r="O356" s="15">
        <v>19936171</v>
      </c>
      <c r="P356" s="18" t="s">
        <v>166</v>
      </c>
      <c r="Q356" s="18">
        <v>3</v>
      </c>
      <c r="R356" s="18">
        <v>0.23799999999999999</v>
      </c>
      <c r="S356" s="15">
        <v>33.020000000000003</v>
      </c>
      <c r="T356" s="16">
        <v>45824</v>
      </c>
      <c r="U356" s="19">
        <v>45883</v>
      </c>
      <c r="V356" s="16">
        <v>45824</v>
      </c>
      <c r="W356" s="16">
        <v>45826</v>
      </c>
      <c r="X356" s="57">
        <f t="shared" si="11"/>
        <v>45825</v>
      </c>
      <c r="Y356" s="63">
        <v>45832</v>
      </c>
      <c r="Z356" s="67">
        <v>45861</v>
      </c>
      <c r="AA356" s="71">
        <f t="shared" si="12"/>
        <v>45874</v>
      </c>
      <c r="AB356" s="20">
        <f t="shared" si="13"/>
        <v>-9</v>
      </c>
      <c r="AC356" s="20" t="s">
        <v>50</v>
      </c>
      <c r="AD356" s="21" t="s">
        <v>51</v>
      </c>
      <c r="AE356" s="21"/>
      <c r="AF356" s="22" t="s">
        <v>52</v>
      </c>
      <c r="AG356" s="23" t="s">
        <v>53</v>
      </c>
      <c r="AH356" s="24"/>
      <c r="AN356" s="24"/>
    </row>
    <row r="357" spans="1:40" ht="12.75">
      <c r="A357" s="15">
        <v>3254508</v>
      </c>
      <c r="B357" s="15" t="s">
        <v>37</v>
      </c>
      <c r="C357" s="15" t="s">
        <v>38</v>
      </c>
      <c r="D357" s="15" t="s">
        <v>85</v>
      </c>
      <c r="E357" s="15" t="s">
        <v>86</v>
      </c>
      <c r="F357" s="15" t="s">
        <v>41</v>
      </c>
      <c r="G357" s="15" t="s">
        <v>147</v>
      </c>
      <c r="H357" s="15" t="s">
        <v>76</v>
      </c>
      <c r="I357" s="15" t="s">
        <v>77</v>
      </c>
      <c r="J357" s="15" t="s">
        <v>88</v>
      </c>
      <c r="K357" s="15" t="s">
        <v>60</v>
      </c>
      <c r="L357" s="16" t="s">
        <v>65</v>
      </c>
      <c r="M357" s="15" t="s">
        <v>48</v>
      </c>
      <c r="N357" s="17">
        <v>452907207315</v>
      </c>
      <c r="O357" s="15">
        <v>19939403</v>
      </c>
      <c r="P357" s="18" t="s">
        <v>145</v>
      </c>
      <c r="Q357" s="18">
        <v>1</v>
      </c>
      <c r="R357" s="18">
        <v>7.9000000000000001E-2</v>
      </c>
      <c r="S357" s="15">
        <v>8.7880000000000003</v>
      </c>
      <c r="T357" s="16">
        <v>45824</v>
      </c>
      <c r="U357" s="19">
        <v>45883</v>
      </c>
      <c r="V357" s="16">
        <v>45824</v>
      </c>
      <c r="W357" s="16">
        <v>45826</v>
      </c>
      <c r="X357" s="57">
        <f t="shared" si="11"/>
        <v>45825</v>
      </c>
      <c r="Y357" s="63">
        <v>45832</v>
      </c>
      <c r="Z357" s="67">
        <v>45861</v>
      </c>
      <c r="AA357" s="71">
        <f t="shared" si="12"/>
        <v>45874</v>
      </c>
      <c r="AB357" s="20">
        <f t="shared" si="13"/>
        <v>-9</v>
      </c>
      <c r="AC357" s="20" t="s">
        <v>50</v>
      </c>
      <c r="AD357" s="21" t="s">
        <v>51</v>
      </c>
      <c r="AE357" s="21"/>
      <c r="AF357" s="22" t="s">
        <v>52</v>
      </c>
      <c r="AG357" s="23" t="s">
        <v>53</v>
      </c>
      <c r="AH357" s="24"/>
      <c r="AN357" s="24"/>
    </row>
    <row r="358" spans="1:40" ht="12.75">
      <c r="A358" s="15">
        <v>3254508</v>
      </c>
      <c r="B358" s="15" t="s">
        <v>37</v>
      </c>
      <c r="C358" s="15" t="s">
        <v>38</v>
      </c>
      <c r="D358" s="15" t="s">
        <v>85</v>
      </c>
      <c r="E358" s="15" t="s">
        <v>86</v>
      </c>
      <c r="F358" s="15" t="s">
        <v>41</v>
      </c>
      <c r="G358" s="15" t="s">
        <v>147</v>
      </c>
      <c r="H358" s="15" t="s">
        <v>76</v>
      </c>
      <c r="I358" s="15" t="s">
        <v>77</v>
      </c>
      <c r="J358" s="15" t="s">
        <v>88</v>
      </c>
      <c r="K358" s="15" t="s">
        <v>60</v>
      </c>
      <c r="L358" s="16" t="s">
        <v>65</v>
      </c>
      <c r="M358" s="15" t="s">
        <v>48</v>
      </c>
      <c r="N358" s="17">
        <v>452907209433</v>
      </c>
      <c r="O358" s="15">
        <v>19939664</v>
      </c>
      <c r="P358" s="18" t="s">
        <v>67</v>
      </c>
      <c r="Q358" s="18">
        <v>9</v>
      </c>
      <c r="R358" s="18">
        <v>0.71099999999999997</v>
      </c>
      <c r="S358" s="15">
        <v>125.505</v>
      </c>
      <c r="T358" s="16">
        <v>45824</v>
      </c>
      <c r="U358" s="19">
        <v>45883</v>
      </c>
      <c r="V358" s="16">
        <v>45824</v>
      </c>
      <c r="W358" s="16">
        <v>45826</v>
      </c>
      <c r="X358" s="57">
        <f t="shared" si="11"/>
        <v>45825</v>
      </c>
      <c r="Y358" s="63">
        <v>45832</v>
      </c>
      <c r="Z358" s="67">
        <v>45861</v>
      </c>
      <c r="AA358" s="71">
        <f t="shared" si="12"/>
        <v>45874</v>
      </c>
      <c r="AB358" s="20">
        <f t="shared" si="13"/>
        <v>-9</v>
      </c>
      <c r="AC358" s="20" t="s">
        <v>50</v>
      </c>
      <c r="AD358" s="21" t="s">
        <v>51</v>
      </c>
      <c r="AE358" s="21"/>
      <c r="AF358" s="22" t="s">
        <v>52</v>
      </c>
      <c r="AG358" s="23" t="s">
        <v>53</v>
      </c>
      <c r="AH358" s="24"/>
      <c r="AN358" s="24"/>
    </row>
    <row r="359" spans="1:40" ht="12.75">
      <c r="A359" s="15">
        <v>3254508</v>
      </c>
      <c r="B359" s="15" t="s">
        <v>37</v>
      </c>
      <c r="C359" s="15" t="s">
        <v>38</v>
      </c>
      <c r="D359" s="15" t="s">
        <v>85</v>
      </c>
      <c r="E359" s="15" t="s">
        <v>86</v>
      </c>
      <c r="F359" s="15" t="s">
        <v>41</v>
      </c>
      <c r="G359" s="15" t="s">
        <v>147</v>
      </c>
      <c r="H359" s="15" t="s">
        <v>76</v>
      </c>
      <c r="I359" s="15" t="s">
        <v>77</v>
      </c>
      <c r="J359" s="15" t="s">
        <v>88</v>
      </c>
      <c r="K359" s="15" t="s">
        <v>60</v>
      </c>
      <c r="L359" s="16" t="s">
        <v>65</v>
      </c>
      <c r="M359" s="15" t="s">
        <v>48</v>
      </c>
      <c r="N359" s="17">
        <v>452907289795</v>
      </c>
      <c r="O359" s="15">
        <v>19925418</v>
      </c>
      <c r="P359" s="18" t="s">
        <v>66</v>
      </c>
      <c r="Q359" s="18">
        <v>1</v>
      </c>
      <c r="R359" s="18">
        <v>3.9E-2</v>
      </c>
      <c r="S359" s="15">
        <v>1.6379999999999999</v>
      </c>
      <c r="T359" s="16">
        <v>45824</v>
      </c>
      <c r="U359" s="19">
        <v>45883</v>
      </c>
      <c r="V359" s="16">
        <v>45824</v>
      </c>
      <c r="W359" s="16">
        <v>45826</v>
      </c>
      <c r="X359" s="57">
        <f t="shared" si="11"/>
        <v>45825</v>
      </c>
      <c r="Y359" s="63">
        <v>45832</v>
      </c>
      <c r="Z359" s="67">
        <v>45861</v>
      </c>
      <c r="AA359" s="71">
        <f t="shared" si="12"/>
        <v>45874</v>
      </c>
      <c r="AB359" s="20">
        <f t="shared" si="13"/>
        <v>-9</v>
      </c>
      <c r="AC359" s="20" t="s">
        <v>50</v>
      </c>
      <c r="AD359" s="21" t="s">
        <v>51</v>
      </c>
      <c r="AE359" s="21"/>
      <c r="AF359" s="22" t="s">
        <v>52</v>
      </c>
      <c r="AG359" s="23" t="s">
        <v>53</v>
      </c>
      <c r="AH359" s="24"/>
      <c r="AN359" s="24"/>
    </row>
    <row r="360" spans="1:40" ht="12.75">
      <c r="A360" s="15">
        <v>3254508</v>
      </c>
      <c r="B360" s="15" t="s">
        <v>37</v>
      </c>
      <c r="C360" s="15" t="s">
        <v>38</v>
      </c>
      <c r="D360" s="15" t="s">
        <v>85</v>
      </c>
      <c r="E360" s="15" t="s">
        <v>86</v>
      </c>
      <c r="F360" s="15" t="s">
        <v>41</v>
      </c>
      <c r="G360" s="15" t="s">
        <v>147</v>
      </c>
      <c r="H360" s="15" t="s">
        <v>76</v>
      </c>
      <c r="I360" s="15" t="s">
        <v>77</v>
      </c>
      <c r="J360" s="15" t="s">
        <v>88</v>
      </c>
      <c r="K360" s="15" t="s">
        <v>60</v>
      </c>
      <c r="L360" s="16" t="s">
        <v>65</v>
      </c>
      <c r="M360" s="15" t="s">
        <v>48</v>
      </c>
      <c r="N360" s="17">
        <v>452910674494</v>
      </c>
      <c r="O360" s="15">
        <v>19939445</v>
      </c>
      <c r="P360" s="18" t="s">
        <v>139</v>
      </c>
      <c r="Q360" s="18">
        <v>5</v>
      </c>
      <c r="R360" s="18">
        <v>0.39500000000000002</v>
      </c>
      <c r="S360" s="15">
        <v>70.06</v>
      </c>
      <c r="T360" s="16">
        <v>45824</v>
      </c>
      <c r="U360" s="19">
        <v>45883</v>
      </c>
      <c r="V360" s="16">
        <v>45824</v>
      </c>
      <c r="W360" s="16">
        <v>45826</v>
      </c>
      <c r="X360" s="57">
        <f t="shared" si="11"/>
        <v>45825</v>
      </c>
      <c r="Y360" s="63">
        <v>45832</v>
      </c>
      <c r="Z360" s="67">
        <v>45861</v>
      </c>
      <c r="AA360" s="71">
        <f t="shared" si="12"/>
        <v>45874</v>
      </c>
      <c r="AB360" s="20">
        <f t="shared" si="13"/>
        <v>-9</v>
      </c>
      <c r="AC360" s="20" t="s">
        <v>50</v>
      </c>
      <c r="AD360" s="21" t="s">
        <v>51</v>
      </c>
      <c r="AE360" s="21"/>
      <c r="AF360" s="22" t="s">
        <v>52</v>
      </c>
      <c r="AG360" s="23" t="s">
        <v>53</v>
      </c>
      <c r="AH360" s="24"/>
      <c r="AN360" s="24"/>
    </row>
    <row r="361" spans="1:40" ht="12.75">
      <c r="A361" s="15">
        <v>3254508</v>
      </c>
      <c r="B361" s="15" t="s">
        <v>37</v>
      </c>
      <c r="C361" s="15" t="s">
        <v>38</v>
      </c>
      <c r="D361" s="15" t="s">
        <v>85</v>
      </c>
      <c r="E361" s="15" t="s">
        <v>86</v>
      </c>
      <c r="F361" s="15" t="s">
        <v>41</v>
      </c>
      <c r="G361" s="15" t="s">
        <v>147</v>
      </c>
      <c r="H361" s="15" t="s">
        <v>76</v>
      </c>
      <c r="I361" s="15" t="s">
        <v>77</v>
      </c>
      <c r="J361" s="15" t="s">
        <v>88</v>
      </c>
      <c r="K361" s="15" t="s">
        <v>60</v>
      </c>
      <c r="L361" s="16" t="s">
        <v>65</v>
      </c>
      <c r="M361" s="15" t="s">
        <v>48</v>
      </c>
      <c r="N361" s="17">
        <v>452914344646</v>
      </c>
      <c r="O361" s="15">
        <v>19939843</v>
      </c>
      <c r="P361" s="18" t="s">
        <v>145</v>
      </c>
      <c r="Q361" s="18">
        <v>8</v>
      </c>
      <c r="R361" s="18">
        <v>0.63200000000000001</v>
      </c>
      <c r="S361" s="15">
        <v>93.912999999999997</v>
      </c>
      <c r="T361" s="16">
        <v>45824</v>
      </c>
      <c r="U361" s="19">
        <v>45883</v>
      </c>
      <c r="V361" s="16">
        <v>45824</v>
      </c>
      <c r="W361" s="16">
        <v>45826</v>
      </c>
      <c r="X361" s="57">
        <f t="shared" si="11"/>
        <v>45825</v>
      </c>
      <c r="Y361" s="63">
        <v>45832</v>
      </c>
      <c r="Z361" s="67">
        <v>45861</v>
      </c>
      <c r="AA361" s="71">
        <f t="shared" si="12"/>
        <v>45874</v>
      </c>
      <c r="AB361" s="20">
        <f t="shared" si="13"/>
        <v>-9</v>
      </c>
      <c r="AC361" s="20" t="s">
        <v>50</v>
      </c>
      <c r="AD361" s="21" t="s">
        <v>51</v>
      </c>
      <c r="AE361" s="21"/>
      <c r="AF361" s="22" t="s">
        <v>52</v>
      </c>
      <c r="AG361" s="23" t="s">
        <v>53</v>
      </c>
      <c r="AH361" s="24"/>
      <c r="AN361" s="24"/>
    </row>
    <row r="362" spans="1:40" ht="12.75">
      <c r="A362" s="15">
        <v>3254508</v>
      </c>
      <c r="B362" s="15" t="s">
        <v>37</v>
      </c>
      <c r="C362" s="15" t="s">
        <v>38</v>
      </c>
      <c r="D362" s="15" t="s">
        <v>85</v>
      </c>
      <c r="E362" s="15" t="s">
        <v>86</v>
      </c>
      <c r="F362" s="15" t="s">
        <v>41</v>
      </c>
      <c r="G362" s="15" t="s">
        <v>147</v>
      </c>
      <c r="H362" s="15" t="s">
        <v>76</v>
      </c>
      <c r="I362" s="15" t="s">
        <v>77</v>
      </c>
      <c r="J362" s="15" t="s">
        <v>88</v>
      </c>
      <c r="K362" s="15" t="s">
        <v>60</v>
      </c>
      <c r="L362" s="16" t="s">
        <v>65</v>
      </c>
      <c r="M362" s="15" t="s">
        <v>48</v>
      </c>
      <c r="N362" s="17">
        <v>452914765943</v>
      </c>
      <c r="O362" s="15">
        <v>19939735</v>
      </c>
      <c r="P362" s="18" t="s">
        <v>138</v>
      </c>
      <c r="Q362" s="18">
        <v>9</v>
      </c>
      <c r="R362" s="18">
        <v>0.71099999999999997</v>
      </c>
      <c r="S362" s="15">
        <v>120.45099999999999</v>
      </c>
      <c r="T362" s="16">
        <v>45824</v>
      </c>
      <c r="U362" s="19">
        <v>45883</v>
      </c>
      <c r="V362" s="16">
        <v>45824</v>
      </c>
      <c r="W362" s="16">
        <v>45826</v>
      </c>
      <c r="X362" s="57">
        <f t="shared" si="11"/>
        <v>45825</v>
      </c>
      <c r="Y362" s="63">
        <v>45832</v>
      </c>
      <c r="Z362" s="67">
        <v>45861</v>
      </c>
      <c r="AA362" s="71">
        <f t="shared" si="12"/>
        <v>45874</v>
      </c>
      <c r="AB362" s="20">
        <f t="shared" si="13"/>
        <v>-9</v>
      </c>
      <c r="AC362" s="20" t="s">
        <v>50</v>
      </c>
      <c r="AD362" s="21" t="s">
        <v>51</v>
      </c>
      <c r="AE362" s="21"/>
      <c r="AF362" s="22" t="s">
        <v>52</v>
      </c>
      <c r="AG362" s="23" t="s">
        <v>53</v>
      </c>
      <c r="AH362" s="24"/>
      <c r="AN362" s="24"/>
    </row>
    <row r="363" spans="1:40" ht="12.75">
      <c r="A363" s="15">
        <v>3254508</v>
      </c>
      <c r="B363" s="15" t="s">
        <v>37</v>
      </c>
      <c r="C363" s="15" t="s">
        <v>38</v>
      </c>
      <c r="D363" s="15" t="s">
        <v>85</v>
      </c>
      <c r="E363" s="15" t="s">
        <v>86</v>
      </c>
      <c r="F363" s="15" t="s">
        <v>41</v>
      </c>
      <c r="G363" s="15" t="s">
        <v>147</v>
      </c>
      <c r="H363" s="15" t="s">
        <v>76</v>
      </c>
      <c r="I363" s="15" t="s">
        <v>77</v>
      </c>
      <c r="J363" s="15" t="s">
        <v>88</v>
      </c>
      <c r="K363" s="15" t="s">
        <v>60</v>
      </c>
      <c r="L363" s="16" t="s">
        <v>65</v>
      </c>
      <c r="M363" s="15" t="s">
        <v>48</v>
      </c>
      <c r="N363" s="17">
        <v>454980124369</v>
      </c>
      <c r="O363" s="15">
        <v>19896672</v>
      </c>
      <c r="P363" s="18" t="s">
        <v>144</v>
      </c>
      <c r="Q363" s="18">
        <v>1</v>
      </c>
      <c r="R363" s="18">
        <v>7.9000000000000001E-2</v>
      </c>
      <c r="S363" s="15">
        <v>10.882</v>
      </c>
      <c r="T363" s="16">
        <v>45824</v>
      </c>
      <c r="U363" s="19">
        <v>45883</v>
      </c>
      <c r="V363" s="16">
        <v>45824</v>
      </c>
      <c r="W363" s="16">
        <v>45826</v>
      </c>
      <c r="X363" s="57">
        <f t="shared" si="11"/>
        <v>45825</v>
      </c>
      <c r="Y363" s="63">
        <v>45832</v>
      </c>
      <c r="Z363" s="67">
        <v>45861</v>
      </c>
      <c r="AA363" s="71">
        <f t="shared" si="12"/>
        <v>45874</v>
      </c>
      <c r="AB363" s="20">
        <f t="shared" si="13"/>
        <v>-9</v>
      </c>
      <c r="AC363" s="20" t="s">
        <v>50</v>
      </c>
      <c r="AD363" s="21" t="s">
        <v>51</v>
      </c>
      <c r="AE363" s="21"/>
      <c r="AF363" s="22" t="s">
        <v>52</v>
      </c>
      <c r="AG363" s="23" t="s">
        <v>53</v>
      </c>
      <c r="AH363" s="24"/>
      <c r="AN363" s="24"/>
    </row>
    <row r="364" spans="1:40" ht="12.75">
      <c r="A364" s="15">
        <v>3254508</v>
      </c>
      <c r="B364" s="15" t="s">
        <v>37</v>
      </c>
      <c r="C364" s="15" t="s">
        <v>38</v>
      </c>
      <c r="D364" s="15" t="s">
        <v>85</v>
      </c>
      <c r="E364" s="15" t="s">
        <v>86</v>
      </c>
      <c r="F364" s="15" t="s">
        <v>41</v>
      </c>
      <c r="G364" s="15" t="s">
        <v>147</v>
      </c>
      <c r="H364" s="15" t="s">
        <v>76</v>
      </c>
      <c r="I364" s="15" t="s">
        <v>77</v>
      </c>
      <c r="J364" s="15" t="s">
        <v>88</v>
      </c>
      <c r="K364" s="15" t="s">
        <v>60</v>
      </c>
      <c r="L364" s="16" t="s">
        <v>65</v>
      </c>
      <c r="M364" s="15" t="s">
        <v>48</v>
      </c>
      <c r="N364" s="17">
        <v>454984993809</v>
      </c>
      <c r="O364" s="15">
        <v>19896697</v>
      </c>
      <c r="P364" s="18" t="s">
        <v>144</v>
      </c>
      <c r="Q364" s="18">
        <v>3</v>
      </c>
      <c r="R364" s="18">
        <v>0.23699999999999999</v>
      </c>
      <c r="S364" s="15">
        <v>31.954000000000001</v>
      </c>
      <c r="T364" s="16">
        <v>45824</v>
      </c>
      <c r="U364" s="19">
        <v>45883</v>
      </c>
      <c r="V364" s="16">
        <v>45824</v>
      </c>
      <c r="W364" s="16">
        <v>45826</v>
      </c>
      <c r="X364" s="57">
        <f t="shared" si="11"/>
        <v>45825</v>
      </c>
      <c r="Y364" s="63">
        <v>45832</v>
      </c>
      <c r="Z364" s="67">
        <v>45861</v>
      </c>
      <c r="AA364" s="71">
        <f t="shared" si="12"/>
        <v>45874</v>
      </c>
      <c r="AB364" s="20">
        <f t="shared" si="13"/>
        <v>-9</v>
      </c>
      <c r="AC364" s="20" t="s">
        <v>50</v>
      </c>
      <c r="AD364" s="21" t="s">
        <v>51</v>
      </c>
      <c r="AE364" s="21"/>
      <c r="AF364" s="22" t="s">
        <v>52</v>
      </c>
      <c r="AG364" s="23" t="s">
        <v>53</v>
      </c>
      <c r="AH364" s="24"/>
      <c r="AN364" s="24"/>
    </row>
    <row r="365" spans="1:40" ht="12.75">
      <c r="A365" s="15">
        <v>3254508</v>
      </c>
      <c r="B365" s="15" t="s">
        <v>37</v>
      </c>
      <c r="C365" s="15" t="s">
        <v>38</v>
      </c>
      <c r="D365" s="15" t="s">
        <v>85</v>
      </c>
      <c r="E365" s="15" t="s">
        <v>86</v>
      </c>
      <c r="F365" s="15" t="s">
        <v>41</v>
      </c>
      <c r="G365" s="15" t="s">
        <v>147</v>
      </c>
      <c r="H365" s="15" t="s">
        <v>76</v>
      </c>
      <c r="I365" s="15" t="s">
        <v>77</v>
      </c>
      <c r="J365" s="15" t="s">
        <v>88</v>
      </c>
      <c r="K365" s="15" t="s">
        <v>60</v>
      </c>
      <c r="L365" s="16" t="s">
        <v>82</v>
      </c>
      <c r="M365" s="15" t="s">
        <v>48</v>
      </c>
      <c r="N365" s="17">
        <v>454700184543</v>
      </c>
      <c r="O365" s="15">
        <v>19910666</v>
      </c>
      <c r="P365" s="18" t="s">
        <v>167</v>
      </c>
      <c r="Q365" s="18">
        <v>4</v>
      </c>
      <c r="R365" s="18">
        <v>0.27600000000000002</v>
      </c>
      <c r="S365" s="15">
        <v>28.501999999999999</v>
      </c>
      <c r="T365" s="16">
        <v>45824</v>
      </c>
      <c r="U365" s="19">
        <v>45883</v>
      </c>
      <c r="V365" s="16">
        <v>45824</v>
      </c>
      <c r="W365" s="16">
        <v>45826</v>
      </c>
      <c r="X365" s="57">
        <f t="shared" si="11"/>
        <v>45825</v>
      </c>
      <c r="Y365" s="63">
        <v>45832</v>
      </c>
      <c r="Z365" s="67">
        <v>45861</v>
      </c>
      <c r="AA365" s="71">
        <f t="shared" si="12"/>
        <v>45874</v>
      </c>
      <c r="AB365" s="20">
        <f t="shared" si="13"/>
        <v>-9</v>
      </c>
      <c r="AC365" s="20" t="s">
        <v>50</v>
      </c>
      <c r="AD365" s="21" t="s">
        <v>51</v>
      </c>
      <c r="AE365" s="21"/>
      <c r="AF365" s="22" t="s">
        <v>52</v>
      </c>
      <c r="AG365" s="23" t="s">
        <v>53</v>
      </c>
      <c r="AH365" s="24"/>
      <c r="AN365" s="24"/>
    </row>
    <row r="366" spans="1:40" ht="12.75">
      <c r="A366" s="15">
        <v>3254508</v>
      </c>
      <c r="B366" s="15" t="s">
        <v>37</v>
      </c>
      <c r="C366" s="15" t="s">
        <v>38</v>
      </c>
      <c r="D366" s="15" t="s">
        <v>85</v>
      </c>
      <c r="E366" s="15" t="s">
        <v>86</v>
      </c>
      <c r="F366" s="15" t="s">
        <v>41</v>
      </c>
      <c r="G366" s="15" t="s">
        <v>147</v>
      </c>
      <c r="H366" s="15" t="s">
        <v>76</v>
      </c>
      <c r="I366" s="15" t="s">
        <v>77</v>
      </c>
      <c r="J366" s="15" t="s">
        <v>88</v>
      </c>
      <c r="K366" s="15" t="s">
        <v>60</v>
      </c>
      <c r="L366" s="16" t="s">
        <v>82</v>
      </c>
      <c r="M366" s="15" t="s">
        <v>48</v>
      </c>
      <c r="N366" s="17">
        <v>454701118584</v>
      </c>
      <c r="O366" s="15">
        <v>19910576</v>
      </c>
      <c r="P366" s="18" t="s">
        <v>168</v>
      </c>
      <c r="Q366" s="18">
        <v>7</v>
      </c>
      <c r="R366" s="18">
        <v>0.51300000000000001</v>
      </c>
      <c r="S366" s="15">
        <v>69.652000000000001</v>
      </c>
      <c r="T366" s="16">
        <v>45824</v>
      </c>
      <c r="U366" s="19">
        <v>45883</v>
      </c>
      <c r="V366" s="16">
        <v>45824</v>
      </c>
      <c r="W366" s="16">
        <v>45826</v>
      </c>
      <c r="X366" s="57">
        <f t="shared" si="11"/>
        <v>45825</v>
      </c>
      <c r="Y366" s="63">
        <v>45832</v>
      </c>
      <c r="Z366" s="67">
        <v>45861</v>
      </c>
      <c r="AA366" s="71">
        <f t="shared" si="12"/>
        <v>45874</v>
      </c>
      <c r="AB366" s="20">
        <f t="shared" si="13"/>
        <v>-9</v>
      </c>
      <c r="AC366" s="20" t="s">
        <v>50</v>
      </c>
      <c r="AD366" s="21" t="s">
        <v>51</v>
      </c>
      <c r="AE366" s="21"/>
      <c r="AF366" s="22" t="s">
        <v>52</v>
      </c>
      <c r="AG366" s="23" t="s">
        <v>53</v>
      </c>
      <c r="AH366" s="24"/>
      <c r="AN366" s="24"/>
    </row>
    <row r="367" spans="1:40" ht="12.75">
      <c r="A367" s="15">
        <v>3254508</v>
      </c>
      <c r="B367" s="15" t="s">
        <v>37</v>
      </c>
      <c r="C367" s="15" t="s">
        <v>38</v>
      </c>
      <c r="D367" s="15" t="s">
        <v>85</v>
      </c>
      <c r="E367" s="15" t="s">
        <v>86</v>
      </c>
      <c r="F367" s="15" t="s">
        <v>41</v>
      </c>
      <c r="G367" s="15" t="s">
        <v>147</v>
      </c>
      <c r="H367" s="15" t="s">
        <v>76</v>
      </c>
      <c r="I367" s="15" t="s">
        <v>77</v>
      </c>
      <c r="J367" s="15" t="s">
        <v>88</v>
      </c>
      <c r="K367" s="15" t="s">
        <v>60</v>
      </c>
      <c r="L367" s="16" t="s">
        <v>82</v>
      </c>
      <c r="M367" s="15" t="s">
        <v>48</v>
      </c>
      <c r="N367" s="17">
        <v>454701898077</v>
      </c>
      <c r="O367" s="15">
        <v>19910605</v>
      </c>
      <c r="P367" s="18" t="s">
        <v>168</v>
      </c>
      <c r="Q367" s="18">
        <v>5</v>
      </c>
      <c r="R367" s="18">
        <v>0.27600000000000002</v>
      </c>
      <c r="S367" s="15">
        <v>29.954000000000001</v>
      </c>
      <c r="T367" s="16">
        <v>45824</v>
      </c>
      <c r="U367" s="19">
        <v>45883</v>
      </c>
      <c r="V367" s="16">
        <v>45824</v>
      </c>
      <c r="W367" s="16">
        <v>45826</v>
      </c>
      <c r="X367" s="57">
        <f t="shared" si="11"/>
        <v>45825</v>
      </c>
      <c r="Y367" s="63">
        <v>45832</v>
      </c>
      <c r="Z367" s="67">
        <v>45861</v>
      </c>
      <c r="AA367" s="71">
        <f t="shared" si="12"/>
        <v>45874</v>
      </c>
      <c r="AB367" s="20">
        <f t="shared" si="13"/>
        <v>-9</v>
      </c>
      <c r="AC367" s="20" t="s">
        <v>50</v>
      </c>
      <c r="AD367" s="21" t="s">
        <v>51</v>
      </c>
      <c r="AE367" s="21"/>
      <c r="AF367" s="22" t="s">
        <v>52</v>
      </c>
      <c r="AG367" s="23" t="s">
        <v>53</v>
      </c>
      <c r="AH367" s="24"/>
      <c r="AN367" s="24"/>
    </row>
    <row r="368" spans="1:40" ht="12.75">
      <c r="A368" s="15">
        <v>3254508</v>
      </c>
      <c r="B368" s="15" t="s">
        <v>37</v>
      </c>
      <c r="C368" s="15" t="s">
        <v>38</v>
      </c>
      <c r="D368" s="15" t="s">
        <v>85</v>
      </c>
      <c r="E368" s="15" t="s">
        <v>86</v>
      </c>
      <c r="F368" s="15" t="s">
        <v>41</v>
      </c>
      <c r="G368" s="15" t="s">
        <v>147</v>
      </c>
      <c r="H368" s="15" t="s">
        <v>76</v>
      </c>
      <c r="I368" s="15" t="s">
        <v>77</v>
      </c>
      <c r="J368" s="15" t="s">
        <v>88</v>
      </c>
      <c r="K368" s="15" t="s">
        <v>60</v>
      </c>
      <c r="L368" s="16" t="s">
        <v>82</v>
      </c>
      <c r="M368" s="15" t="s">
        <v>48</v>
      </c>
      <c r="N368" s="17">
        <v>454701899241</v>
      </c>
      <c r="O368" s="15">
        <v>19910832</v>
      </c>
      <c r="P368" s="18" t="s">
        <v>169</v>
      </c>
      <c r="Q368" s="18">
        <v>5</v>
      </c>
      <c r="R368" s="18">
        <v>0.35499999999999998</v>
      </c>
      <c r="S368" s="15">
        <v>49.962000000000003</v>
      </c>
      <c r="T368" s="16">
        <v>45824</v>
      </c>
      <c r="U368" s="19">
        <v>45883</v>
      </c>
      <c r="V368" s="16">
        <v>45824</v>
      </c>
      <c r="W368" s="16">
        <v>45826</v>
      </c>
      <c r="X368" s="57">
        <f t="shared" si="11"/>
        <v>45825</v>
      </c>
      <c r="Y368" s="63">
        <v>45832</v>
      </c>
      <c r="Z368" s="67">
        <v>45861</v>
      </c>
      <c r="AA368" s="71">
        <f t="shared" si="12"/>
        <v>45874</v>
      </c>
      <c r="AB368" s="20">
        <f t="shared" si="13"/>
        <v>-9</v>
      </c>
      <c r="AC368" s="20" t="s">
        <v>50</v>
      </c>
      <c r="AD368" s="21" t="s">
        <v>51</v>
      </c>
      <c r="AE368" s="21"/>
      <c r="AF368" s="22" t="s">
        <v>52</v>
      </c>
      <c r="AG368" s="23" t="s">
        <v>53</v>
      </c>
      <c r="AH368" s="24"/>
      <c r="AN368" s="24"/>
    </row>
    <row r="369" spans="1:40" ht="12.75">
      <c r="A369" s="15">
        <v>3254508</v>
      </c>
      <c r="B369" s="15" t="s">
        <v>37</v>
      </c>
      <c r="C369" s="15" t="s">
        <v>38</v>
      </c>
      <c r="D369" s="15" t="s">
        <v>85</v>
      </c>
      <c r="E369" s="15" t="s">
        <v>86</v>
      </c>
      <c r="F369" s="15" t="s">
        <v>41</v>
      </c>
      <c r="G369" s="15" t="s">
        <v>147</v>
      </c>
      <c r="H369" s="15" t="s">
        <v>76</v>
      </c>
      <c r="I369" s="15" t="s">
        <v>77</v>
      </c>
      <c r="J369" s="15" t="s">
        <v>88</v>
      </c>
      <c r="K369" s="15" t="s">
        <v>60</v>
      </c>
      <c r="L369" s="16" t="s">
        <v>82</v>
      </c>
      <c r="M369" s="15" t="s">
        <v>48</v>
      </c>
      <c r="N369" s="17">
        <v>454702650660</v>
      </c>
      <c r="O369" s="15">
        <v>19910987</v>
      </c>
      <c r="P369" s="18" t="s">
        <v>170</v>
      </c>
      <c r="Q369" s="18">
        <v>5</v>
      </c>
      <c r="R369" s="18">
        <v>0.316</v>
      </c>
      <c r="S369" s="15">
        <v>27.946000000000002</v>
      </c>
      <c r="T369" s="16">
        <v>45824</v>
      </c>
      <c r="U369" s="19">
        <v>45883</v>
      </c>
      <c r="V369" s="16">
        <v>45824</v>
      </c>
      <c r="W369" s="16">
        <v>45826</v>
      </c>
      <c r="X369" s="57">
        <f t="shared" si="11"/>
        <v>45825</v>
      </c>
      <c r="Y369" s="63">
        <v>45832</v>
      </c>
      <c r="Z369" s="67">
        <v>45861</v>
      </c>
      <c r="AA369" s="71">
        <f t="shared" si="12"/>
        <v>45874</v>
      </c>
      <c r="AB369" s="20">
        <f t="shared" si="13"/>
        <v>-9</v>
      </c>
      <c r="AC369" s="20" t="s">
        <v>50</v>
      </c>
      <c r="AD369" s="21" t="s">
        <v>51</v>
      </c>
      <c r="AE369" s="21"/>
      <c r="AF369" s="22" t="s">
        <v>52</v>
      </c>
      <c r="AG369" s="23" t="s">
        <v>53</v>
      </c>
      <c r="AH369" s="24"/>
      <c r="AN369" s="24"/>
    </row>
    <row r="370" spans="1:40" ht="12.75">
      <c r="A370" s="15">
        <v>3254508</v>
      </c>
      <c r="B370" s="15" t="s">
        <v>37</v>
      </c>
      <c r="C370" s="15" t="s">
        <v>38</v>
      </c>
      <c r="D370" s="15" t="s">
        <v>85</v>
      </c>
      <c r="E370" s="15" t="s">
        <v>86</v>
      </c>
      <c r="F370" s="15" t="s">
        <v>41</v>
      </c>
      <c r="G370" s="15" t="s">
        <v>147</v>
      </c>
      <c r="H370" s="15" t="s">
        <v>76</v>
      </c>
      <c r="I370" s="15" t="s">
        <v>77</v>
      </c>
      <c r="J370" s="15" t="s">
        <v>88</v>
      </c>
      <c r="K370" s="15" t="s">
        <v>60</v>
      </c>
      <c r="L370" s="16" t="s">
        <v>82</v>
      </c>
      <c r="M370" s="15" t="s">
        <v>48</v>
      </c>
      <c r="N370" s="17">
        <v>454702745689</v>
      </c>
      <c r="O370" s="15">
        <v>19910879</v>
      </c>
      <c r="P370" s="18" t="s">
        <v>169</v>
      </c>
      <c r="Q370" s="18">
        <v>4</v>
      </c>
      <c r="R370" s="18">
        <v>0.27600000000000002</v>
      </c>
      <c r="S370" s="15">
        <v>35.795000000000002</v>
      </c>
      <c r="T370" s="16">
        <v>45824</v>
      </c>
      <c r="U370" s="19">
        <v>45883</v>
      </c>
      <c r="V370" s="16">
        <v>45824</v>
      </c>
      <c r="W370" s="16">
        <v>45826</v>
      </c>
      <c r="X370" s="57">
        <f t="shared" si="11"/>
        <v>45825</v>
      </c>
      <c r="Y370" s="63">
        <v>45832</v>
      </c>
      <c r="Z370" s="67">
        <v>45861</v>
      </c>
      <c r="AA370" s="71">
        <f t="shared" si="12"/>
        <v>45874</v>
      </c>
      <c r="AB370" s="20">
        <f t="shared" si="13"/>
        <v>-9</v>
      </c>
      <c r="AC370" s="20" t="s">
        <v>50</v>
      </c>
      <c r="AD370" s="21" t="s">
        <v>51</v>
      </c>
      <c r="AE370" s="21"/>
      <c r="AF370" s="22" t="s">
        <v>52</v>
      </c>
      <c r="AG370" s="23" t="s">
        <v>53</v>
      </c>
      <c r="AH370" s="24"/>
      <c r="AN370" s="24"/>
    </row>
    <row r="371" spans="1:40" ht="12.75">
      <c r="A371" s="15">
        <v>3254508</v>
      </c>
      <c r="B371" s="15" t="s">
        <v>37</v>
      </c>
      <c r="C371" s="15" t="s">
        <v>38</v>
      </c>
      <c r="D371" s="15" t="s">
        <v>85</v>
      </c>
      <c r="E371" s="15" t="s">
        <v>86</v>
      </c>
      <c r="F371" s="15" t="s">
        <v>41</v>
      </c>
      <c r="G371" s="15" t="s">
        <v>147</v>
      </c>
      <c r="H371" s="15" t="s">
        <v>76</v>
      </c>
      <c r="I371" s="15" t="s">
        <v>77</v>
      </c>
      <c r="J371" s="15" t="s">
        <v>88</v>
      </c>
      <c r="K371" s="15" t="s">
        <v>60</v>
      </c>
      <c r="L371" s="16" t="s">
        <v>82</v>
      </c>
      <c r="M371" s="15" t="s">
        <v>48</v>
      </c>
      <c r="N371" s="17">
        <v>454703022457</v>
      </c>
      <c r="O371" s="15">
        <v>19911053</v>
      </c>
      <c r="P371" s="18" t="s">
        <v>168</v>
      </c>
      <c r="Q371" s="18">
        <v>10</v>
      </c>
      <c r="R371" s="18">
        <v>0.71099999999999997</v>
      </c>
      <c r="S371" s="15">
        <v>99.135999999999996</v>
      </c>
      <c r="T371" s="16">
        <v>45824</v>
      </c>
      <c r="U371" s="19">
        <v>45883</v>
      </c>
      <c r="V371" s="16">
        <v>45824</v>
      </c>
      <c r="W371" s="16">
        <v>45826</v>
      </c>
      <c r="X371" s="57">
        <f t="shared" si="11"/>
        <v>45825</v>
      </c>
      <c r="Y371" s="63">
        <v>45832</v>
      </c>
      <c r="Z371" s="67">
        <v>45861</v>
      </c>
      <c r="AA371" s="71">
        <f t="shared" si="12"/>
        <v>45874</v>
      </c>
      <c r="AB371" s="20">
        <f t="shared" si="13"/>
        <v>-9</v>
      </c>
      <c r="AC371" s="20" t="s">
        <v>50</v>
      </c>
      <c r="AD371" s="21" t="s">
        <v>51</v>
      </c>
      <c r="AE371" s="21"/>
      <c r="AF371" s="22" t="s">
        <v>52</v>
      </c>
      <c r="AG371" s="23" t="s">
        <v>53</v>
      </c>
      <c r="AH371" s="24"/>
      <c r="AN371" s="24"/>
    </row>
    <row r="372" spans="1:40" ht="12.75">
      <c r="A372" s="15">
        <v>3254508</v>
      </c>
      <c r="B372" s="15" t="s">
        <v>37</v>
      </c>
      <c r="C372" s="15" t="s">
        <v>38</v>
      </c>
      <c r="D372" s="15" t="s">
        <v>85</v>
      </c>
      <c r="E372" s="15" t="s">
        <v>86</v>
      </c>
      <c r="F372" s="15" t="s">
        <v>41</v>
      </c>
      <c r="G372" s="15" t="s">
        <v>147</v>
      </c>
      <c r="H372" s="15" t="s">
        <v>76</v>
      </c>
      <c r="I372" s="15" t="s">
        <v>77</v>
      </c>
      <c r="J372" s="15" t="s">
        <v>88</v>
      </c>
      <c r="K372" s="15" t="s">
        <v>60</v>
      </c>
      <c r="L372" s="16" t="s">
        <v>82</v>
      </c>
      <c r="M372" s="15" t="s">
        <v>48</v>
      </c>
      <c r="N372" s="17">
        <v>454703722960</v>
      </c>
      <c r="O372" s="15">
        <v>19911110</v>
      </c>
      <c r="P372" s="18" t="s">
        <v>168</v>
      </c>
      <c r="Q372" s="18">
        <v>13</v>
      </c>
      <c r="R372" s="18">
        <v>0.94799999999999995</v>
      </c>
      <c r="S372" s="15">
        <v>132.41</v>
      </c>
      <c r="T372" s="16">
        <v>45824</v>
      </c>
      <c r="U372" s="19">
        <v>45883</v>
      </c>
      <c r="V372" s="16">
        <v>45824</v>
      </c>
      <c r="W372" s="16">
        <v>45826</v>
      </c>
      <c r="X372" s="57">
        <f t="shared" si="11"/>
        <v>45825</v>
      </c>
      <c r="Y372" s="63">
        <v>45832</v>
      </c>
      <c r="Z372" s="67">
        <v>45861</v>
      </c>
      <c r="AA372" s="71">
        <f t="shared" si="12"/>
        <v>45874</v>
      </c>
      <c r="AB372" s="20">
        <f t="shared" si="13"/>
        <v>-9</v>
      </c>
      <c r="AC372" s="20" t="s">
        <v>50</v>
      </c>
      <c r="AD372" s="21" t="s">
        <v>51</v>
      </c>
      <c r="AE372" s="21"/>
      <c r="AF372" s="22" t="s">
        <v>52</v>
      </c>
      <c r="AG372" s="23" t="s">
        <v>53</v>
      </c>
      <c r="AH372" s="24"/>
      <c r="AN372" s="24"/>
    </row>
    <row r="373" spans="1:40" ht="12.75">
      <c r="A373" s="15">
        <v>3254508</v>
      </c>
      <c r="B373" s="15" t="s">
        <v>37</v>
      </c>
      <c r="C373" s="15" t="s">
        <v>38</v>
      </c>
      <c r="D373" s="15" t="s">
        <v>85</v>
      </c>
      <c r="E373" s="15" t="s">
        <v>86</v>
      </c>
      <c r="F373" s="15" t="s">
        <v>41</v>
      </c>
      <c r="G373" s="15" t="s">
        <v>147</v>
      </c>
      <c r="H373" s="15" t="s">
        <v>76</v>
      </c>
      <c r="I373" s="15" t="s">
        <v>77</v>
      </c>
      <c r="J373" s="15" t="s">
        <v>88</v>
      </c>
      <c r="K373" s="15" t="s">
        <v>60</v>
      </c>
      <c r="L373" s="16" t="s">
        <v>82</v>
      </c>
      <c r="M373" s="15" t="s">
        <v>48</v>
      </c>
      <c r="N373" s="17">
        <v>454703992680</v>
      </c>
      <c r="O373" s="15">
        <v>19911259</v>
      </c>
      <c r="P373" s="18" t="s">
        <v>167</v>
      </c>
      <c r="Q373" s="18">
        <v>7</v>
      </c>
      <c r="R373" s="18">
        <v>0.47399999999999998</v>
      </c>
      <c r="S373" s="15">
        <v>54.56</v>
      </c>
      <c r="T373" s="16">
        <v>45824</v>
      </c>
      <c r="U373" s="19">
        <v>45883</v>
      </c>
      <c r="V373" s="16">
        <v>45824</v>
      </c>
      <c r="W373" s="16">
        <v>45826</v>
      </c>
      <c r="X373" s="57">
        <f t="shared" si="11"/>
        <v>45825</v>
      </c>
      <c r="Y373" s="63">
        <v>45832</v>
      </c>
      <c r="Z373" s="67">
        <v>45861</v>
      </c>
      <c r="AA373" s="71">
        <f t="shared" si="12"/>
        <v>45874</v>
      </c>
      <c r="AB373" s="20">
        <f t="shared" si="13"/>
        <v>-9</v>
      </c>
      <c r="AC373" s="20" t="s">
        <v>50</v>
      </c>
      <c r="AD373" s="21" t="s">
        <v>51</v>
      </c>
      <c r="AE373" s="21"/>
      <c r="AF373" s="22" t="s">
        <v>52</v>
      </c>
      <c r="AG373" s="23" t="s">
        <v>53</v>
      </c>
      <c r="AH373" s="24"/>
      <c r="AN373" s="24"/>
    </row>
    <row r="374" spans="1:40" ht="12.75">
      <c r="A374" s="15">
        <v>3254508</v>
      </c>
      <c r="B374" s="15" t="s">
        <v>37</v>
      </c>
      <c r="C374" s="15" t="s">
        <v>38</v>
      </c>
      <c r="D374" s="15" t="s">
        <v>85</v>
      </c>
      <c r="E374" s="15" t="s">
        <v>86</v>
      </c>
      <c r="F374" s="15" t="s">
        <v>41</v>
      </c>
      <c r="G374" s="15" t="s">
        <v>147</v>
      </c>
      <c r="H374" s="15" t="s">
        <v>76</v>
      </c>
      <c r="I374" s="15" t="s">
        <v>77</v>
      </c>
      <c r="J374" s="15" t="s">
        <v>88</v>
      </c>
      <c r="K374" s="15" t="s">
        <v>60</v>
      </c>
      <c r="L374" s="16" t="s">
        <v>82</v>
      </c>
      <c r="M374" s="15" t="s">
        <v>48</v>
      </c>
      <c r="N374" s="17">
        <v>454704210198</v>
      </c>
      <c r="O374" s="15">
        <v>19911317</v>
      </c>
      <c r="P374" s="18" t="s">
        <v>83</v>
      </c>
      <c r="Q374" s="18">
        <v>6</v>
      </c>
      <c r="R374" s="18">
        <v>0.434</v>
      </c>
      <c r="S374" s="15">
        <v>58.66</v>
      </c>
      <c r="T374" s="16">
        <v>45824</v>
      </c>
      <c r="U374" s="19">
        <v>45883</v>
      </c>
      <c r="V374" s="16">
        <v>45824</v>
      </c>
      <c r="W374" s="16">
        <v>45826</v>
      </c>
      <c r="X374" s="57">
        <f t="shared" si="11"/>
        <v>45825</v>
      </c>
      <c r="Y374" s="63">
        <v>45832</v>
      </c>
      <c r="Z374" s="67">
        <v>45861</v>
      </c>
      <c r="AA374" s="71">
        <f t="shared" si="12"/>
        <v>45874</v>
      </c>
      <c r="AB374" s="20">
        <f t="shared" si="13"/>
        <v>-9</v>
      </c>
      <c r="AC374" s="20" t="s">
        <v>50</v>
      </c>
      <c r="AD374" s="21" t="s">
        <v>51</v>
      </c>
      <c r="AE374" s="21"/>
      <c r="AF374" s="22" t="s">
        <v>52</v>
      </c>
      <c r="AG374" s="23" t="s">
        <v>53</v>
      </c>
      <c r="AH374" s="24"/>
      <c r="AN374" s="24"/>
    </row>
    <row r="375" spans="1:40" ht="12.75">
      <c r="A375" s="15">
        <v>3254508</v>
      </c>
      <c r="B375" s="15" t="s">
        <v>37</v>
      </c>
      <c r="C375" s="15" t="s">
        <v>38</v>
      </c>
      <c r="D375" s="15" t="s">
        <v>85</v>
      </c>
      <c r="E375" s="15" t="s">
        <v>86</v>
      </c>
      <c r="F375" s="15" t="s">
        <v>41</v>
      </c>
      <c r="G375" s="15" t="s">
        <v>147</v>
      </c>
      <c r="H375" s="15" t="s">
        <v>76</v>
      </c>
      <c r="I375" s="15" t="s">
        <v>77</v>
      </c>
      <c r="J375" s="15" t="s">
        <v>88</v>
      </c>
      <c r="K375" s="15" t="s">
        <v>60</v>
      </c>
      <c r="L375" s="16" t="s">
        <v>82</v>
      </c>
      <c r="M375" s="15" t="s">
        <v>48</v>
      </c>
      <c r="N375" s="17">
        <v>454711350541</v>
      </c>
      <c r="O375" s="15">
        <v>19919974</v>
      </c>
      <c r="P375" s="18" t="s">
        <v>171</v>
      </c>
      <c r="Q375" s="18">
        <v>4</v>
      </c>
      <c r="R375" s="18">
        <v>0.27600000000000002</v>
      </c>
      <c r="S375" s="15">
        <v>21.507000000000001</v>
      </c>
      <c r="T375" s="16">
        <v>45824</v>
      </c>
      <c r="U375" s="19">
        <v>45883</v>
      </c>
      <c r="V375" s="16">
        <v>45824</v>
      </c>
      <c r="W375" s="16">
        <v>45826</v>
      </c>
      <c r="X375" s="57">
        <f t="shared" si="11"/>
        <v>45825</v>
      </c>
      <c r="Y375" s="63">
        <v>45832</v>
      </c>
      <c r="Z375" s="67">
        <v>45861</v>
      </c>
      <c r="AA375" s="71">
        <f t="shared" si="12"/>
        <v>45874</v>
      </c>
      <c r="AB375" s="20">
        <f t="shared" si="13"/>
        <v>-9</v>
      </c>
      <c r="AC375" s="20" t="s">
        <v>50</v>
      </c>
      <c r="AD375" s="21" t="s">
        <v>51</v>
      </c>
      <c r="AE375" s="21"/>
      <c r="AF375" s="22" t="s">
        <v>52</v>
      </c>
      <c r="AG375" s="23" t="s">
        <v>53</v>
      </c>
      <c r="AH375" s="24"/>
      <c r="AN375" s="24"/>
    </row>
    <row r="376" spans="1:40" ht="12.75">
      <c r="A376" s="15">
        <v>3254508</v>
      </c>
      <c r="B376" s="15" t="s">
        <v>37</v>
      </c>
      <c r="C376" s="15" t="s">
        <v>38</v>
      </c>
      <c r="D376" s="15" t="s">
        <v>85</v>
      </c>
      <c r="E376" s="15" t="s">
        <v>86</v>
      </c>
      <c r="F376" s="15" t="s">
        <v>41</v>
      </c>
      <c r="G376" s="15" t="s">
        <v>147</v>
      </c>
      <c r="H376" s="15" t="s">
        <v>76</v>
      </c>
      <c r="I376" s="15" t="s">
        <v>77</v>
      </c>
      <c r="J376" s="15" t="s">
        <v>88</v>
      </c>
      <c r="K376" s="15" t="s">
        <v>60</v>
      </c>
      <c r="L376" s="16" t="s">
        <v>82</v>
      </c>
      <c r="M376" s="15" t="s">
        <v>48</v>
      </c>
      <c r="N376" s="17">
        <v>454711488388</v>
      </c>
      <c r="O376" s="15">
        <v>19919960</v>
      </c>
      <c r="P376" s="18" t="s">
        <v>154</v>
      </c>
      <c r="Q376" s="18">
        <v>7</v>
      </c>
      <c r="R376" s="18">
        <v>0.436</v>
      </c>
      <c r="S376" s="15">
        <v>57.61</v>
      </c>
      <c r="T376" s="16">
        <v>45824</v>
      </c>
      <c r="U376" s="19">
        <v>45883</v>
      </c>
      <c r="V376" s="16">
        <v>45824</v>
      </c>
      <c r="W376" s="16">
        <v>45826</v>
      </c>
      <c r="X376" s="57">
        <f t="shared" si="11"/>
        <v>45825</v>
      </c>
      <c r="Y376" s="63">
        <v>45832</v>
      </c>
      <c r="Z376" s="67">
        <v>45861</v>
      </c>
      <c r="AA376" s="71">
        <f t="shared" si="12"/>
        <v>45874</v>
      </c>
      <c r="AB376" s="20">
        <f t="shared" si="13"/>
        <v>-9</v>
      </c>
      <c r="AC376" s="20" t="s">
        <v>50</v>
      </c>
      <c r="AD376" s="21" t="s">
        <v>51</v>
      </c>
      <c r="AE376" s="21"/>
      <c r="AF376" s="22" t="s">
        <v>52</v>
      </c>
      <c r="AG376" s="23" t="s">
        <v>53</v>
      </c>
      <c r="AH376" s="24"/>
      <c r="AN376" s="24"/>
    </row>
    <row r="377" spans="1:40" ht="12.75">
      <c r="A377" s="15">
        <v>3254508</v>
      </c>
      <c r="B377" s="15" t="s">
        <v>37</v>
      </c>
      <c r="C377" s="15" t="s">
        <v>38</v>
      </c>
      <c r="D377" s="15" t="s">
        <v>85</v>
      </c>
      <c r="E377" s="15" t="s">
        <v>86</v>
      </c>
      <c r="F377" s="15" t="s">
        <v>41</v>
      </c>
      <c r="G377" s="15" t="s">
        <v>147</v>
      </c>
      <c r="H377" s="15" t="s">
        <v>76</v>
      </c>
      <c r="I377" s="15" t="s">
        <v>77</v>
      </c>
      <c r="J377" s="15" t="s">
        <v>88</v>
      </c>
      <c r="K377" s="15" t="s">
        <v>60</v>
      </c>
      <c r="L377" s="16" t="s">
        <v>82</v>
      </c>
      <c r="M377" s="15" t="s">
        <v>48</v>
      </c>
      <c r="N377" s="17">
        <v>454711982979</v>
      </c>
      <c r="O377" s="15">
        <v>19920044</v>
      </c>
      <c r="P377" s="18" t="s">
        <v>171</v>
      </c>
      <c r="Q377" s="18">
        <v>8</v>
      </c>
      <c r="R377" s="18">
        <v>0.63200000000000001</v>
      </c>
      <c r="S377" s="15">
        <v>61.884</v>
      </c>
      <c r="T377" s="16">
        <v>45824</v>
      </c>
      <c r="U377" s="19">
        <v>45883</v>
      </c>
      <c r="V377" s="16">
        <v>45824</v>
      </c>
      <c r="W377" s="16">
        <v>45826</v>
      </c>
      <c r="X377" s="57">
        <f t="shared" si="11"/>
        <v>45825</v>
      </c>
      <c r="Y377" s="63">
        <v>45832</v>
      </c>
      <c r="Z377" s="67">
        <v>45861</v>
      </c>
      <c r="AA377" s="71">
        <f t="shared" si="12"/>
        <v>45874</v>
      </c>
      <c r="AB377" s="20">
        <f t="shared" si="13"/>
        <v>-9</v>
      </c>
      <c r="AC377" s="20" t="s">
        <v>50</v>
      </c>
      <c r="AD377" s="21" t="s">
        <v>51</v>
      </c>
      <c r="AE377" s="21"/>
      <c r="AF377" s="22" t="s">
        <v>52</v>
      </c>
      <c r="AG377" s="23" t="s">
        <v>53</v>
      </c>
      <c r="AH377" s="24"/>
      <c r="AN377" s="24"/>
    </row>
    <row r="378" spans="1:40" ht="12.75">
      <c r="A378" s="15">
        <v>3254508</v>
      </c>
      <c r="B378" s="15" t="s">
        <v>37</v>
      </c>
      <c r="C378" s="15" t="s">
        <v>38</v>
      </c>
      <c r="D378" s="15" t="s">
        <v>85</v>
      </c>
      <c r="E378" s="15" t="s">
        <v>86</v>
      </c>
      <c r="F378" s="15" t="s">
        <v>41</v>
      </c>
      <c r="G378" s="15" t="s">
        <v>147</v>
      </c>
      <c r="H378" s="15" t="s">
        <v>76</v>
      </c>
      <c r="I378" s="15" t="s">
        <v>77</v>
      </c>
      <c r="J378" s="15" t="s">
        <v>88</v>
      </c>
      <c r="K378" s="15" t="s">
        <v>60</v>
      </c>
      <c r="L378" s="16" t="s">
        <v>82</v>
      </c>
      <c r="M378" s="15" t="s">
        <v>48</v>
      </c>
      <c r="N378" s="17">
        <v>454712171432</v>
      </c>
      <c r="O378" s="15">
        <v>19919987</v>
      </c>
      <c r="P378" s="18" t="s">
        <v>169</v>
      </c>
      <c r="Q378" s="18">
        <v>5</v>
      </c>
      <c r="R378" s="18">
        <v>0.19700000000000001</v>
      </c>
      <c r="S378" s="15">
        <v>21.173999999999999</v>
      </c>
      <c r="T378" s="16">
        <v>45824</v>
      </c>
      <c r="U378" s="19">
        <v>45883</v>
      </c>
      <c r="V378" s="16">
        <v>45824</v>
      </c>
      <c r="W378" s="16">
        <v>45826</v>
      </c>
      <c r="X378" s="57">
        <f t="shared" si="11"/>
        <v>45825</v>
      </c>
      <c r="Y378" s="63">
        <v>45832</v>
      </c>
      <c r="Z378" s="67">
        <v>45861</v>
      </c>
      <c r="AA378" s="71">
        <f t="shared" si="12"/>
        <v>45874</v>
      </c>
      <c r="AB378" s="20">
        <f t="shared" si="13"/>
        <v>-9</v>
      </c>
      <c r="AC378" s="20" t="s">
        <v>50</v>
      </c>
      <c r="AD378" s="21" t="s">
        <v>51</v>
      </c>
      <c r="AE378" s="21"/>
      <c r="AF378" s="22" t="s">
        <v>52</v>
      </c>
      <c r="AG378" s="23" t="s">
        <v>53</v>
      </c>
      <c r="AH378" s="24"/>
      <c r="AN378" s="24"/>
    </row>
    <row r="379" spans="1:40" ht="12.75">
      <c r="A379" s="15">
        <v>3254508</v>
      </c>
      <c r="B379" s="15" t="s">
        <v>37</v>
      </c>
      <c r="C379" s="15" t="s">
        <v>38</v>
      </c>
      <c r="D379" s="15" t="s">
        <v>85</v>
      </c>
      <c r="E379" s="15" t="s">
        <v>86</v>
      </c>
      <c r="F379" s="15" t="s">
        <v>41</v>
      </c>
      <c r="G379" s="15" t="s">
        <v>147</v>
      </c>
      <c r="H379" s="15" t="s">
        <v>76</v>
      </c>
      <c r="I379" s="15" t="s">
        <v>77</v>
      </c>
      <c r="J379" s="15" t="s">
        <v>88</v>
      </c>
      <c r="K379" s="15" t="s">
        <v>60</v>
      </c>
      <c r="L379" s="16" t="s">
        <v>82</v>
      </c>
      <c r="M379" s="15" t="s">
        <v>48</v>
      </c>
      <c r="N379" s="17">
        <v>454712183469</v>
      </c>
      <c r="O379" s="15">
        <v>19919981</v>
      </c>
      <c r="P379" s="18" t="s">
        <v>169</v>
      </c>
      <c r="Q379" s="18">
        <v>5</v>
      </c>
      <c r="R379" s="18">
        <v>0.27600000000000002</v>
      </c>
      <c r="S379" s="15">
        <v>30.888999999999999</v>
      </c>
      <c r="T379" s="16">
        <v>45824</v>
      </c>
      <c r="U379" s="19">
        <v>45883</v>
      </c>
      <c r="V379" s="16">
        <v>45824</v>
      </c>
      <c r="W379" s="16">
        <v>45826</v>
      </c>
      <c r="X379" s="57">
        <f t="shared" si="11"/>
        <v>45825</v>
      </c>
      <c r="Y379" s="63">
        <v>45832</v>
      </c>
      <c r="Z379" s="67">
        <v>45861</v>
      </c>
      <c r="AA379" s="71">
        <f t="shared" si="12"/>
        <v>45874</v>
      </c>
      <c r="AB379" s="20">
        <f t="shared" si="13"/>
        <v>-9</v>
      </c>
      <c r="AC379" s="20" t="s">
        <v>50</v>
      </c>
      <c r="AD379" s="21" t="s">
        <v>51</v>
      </c>
      <c r="AE379" s="21"/>
      <c r="AF379" s="22" t="s">
        <v>52</v>
      </c>
      <c r="AG379" s="23" t="s">
        <v>53</v>
      </c>
      <c r="AH379" s="24"/>
      <c r="AN379" s="24"/>
    </row>
    <row r="380" spans="1:40" ht="12.75">
      <c r="A380" s="15">
        <v>3254508</v>
      </c>
      <c r="B380" s="15" t="s">
        <v>37</v>
      </c>
      <c r="C380" s="15" t="s">
        <v>38</v>
      </c>
      <c r="D380" s="15" t="s">
        <v>85</v>
      </c>
      <c r="E380" s="15" t="s">
        <v>86</v>
      </c>
      <c r="F380" s="15" t="s">
        <v>41</v>
      </c>
      <c r="G380" s="15" t="s">
        <v>147</v>
      </c>
      <c r="H380" s="15" t="s">
        <v>76</v>
      </c>
      <c r="I380" s="15" t="s">
        <v>77</v>
      </c>
      <c r="J380" s="15" t="s">
        <v>88</v>
      </c>
      <c r="K380" s="15" t="s">
        <v>60</v>
      </c>
      <c r="L380" s="16" t="s">
        <v>82</v>
      </c>
      <c r="M380" s="15" t="s">
        <v>48</v>
      </c>
      <c r="N380" s="17">
        <v>454712197828</v>
      </c>
      <c r="O380" s="15">
        <v>19920005</v>
      </c>
      <c r="P380" s="18" t="s">
        <v>168</v>
      </c>
      <c r="Q380" s="18">
        <v>6</v>
      </c>
      <c r="R380" s="18">
        <v>0.47399999999999998</v>
      </c>
      <c r="S380" s="15">
        <v>53.177</v>
      </c>
      <c r="T380" s="16">
        <v>45824</v>
      </c>
      <c r="U380" s="19">
        <v>45883</v>
      </c>
      <c r="V380" s="16">
        <v>45824</v>
      </c>
      <c r="W380" s="16">
        <v>45826</v>
      </c>
      <c r="X380" s="57">
        <f t="shared" si="11"/>
        <v>45825</v>
      </c>
      <c r="Y380" s="63">
        <v>45832</v>
      </c>
      <c r="Z380" s="67">
        <v>45861</v>
      </c>
      <c r="AA380" s="71">
        <f t="shared" si="12"/>
        <v>45874</v>
      </c>
      <c r="AB380" s="20">
        <f t="shared" si="13"/>
        <v>-9</v>
      </c>
      <c r="AC380" s="20" t="s">
        <v>50</v>
      </c>
      <c r="AD380" s="21" t="s">
        <v>51</v>
      </c>
      <c r="AE380" s="21"/>
      <c r="AF380" s="22" t="s">
        <v>52</v>
      </c>
      <c r="AG380" s="23" t="s">
        <v>53</v>
      </c>
      <c r="AH380" s="24"/>
      <c r="AN380" s="24"/>
    </row>
    <row r="381" spans="1:40" ht="12.75">
      <c r="A381" s="15">
        <v>3254508</v>
      </c>
      <c r="B381" s="15" t="s">
        <v>37</v>
      </c>
      <c r="C381" s="15" t="s">
        <v>38</v>
      </c>
      <c r="D381" s="15" t="s">
        <v>85</v>
      </c>
      <c r="E381" s="15" t="s">
        <v>86</v>
      </c>
      <c r="F381" s="15" t="s">
        <v>41</v>
      </c>
      <c r="G381" s="15" t="s">
        <v>147</v>
      </c>
      <c r="H381" s="15" t="s">
        <v>76</v>
      </c>
      <c r="I381" s="15" t="s">
        <v>77</v>
      </c>
      <c r="J381" s="15" t="s">
        <v>88</v>
      </c>
      <c r="K381" s="15" t="s">
        <v>60</v>
      </c>
      <c r="L381" s="16" t="s">
        <v>82</v>
      </c>
      <c r="M381" s="15" t="s">
        <v>48</v>
      </c>
      <c r="N381" s="17">
        <v>454712198075</v>
      </c>
      <c r="O381" s="15">
        <v>19920021</v>
      </c>
      <c r="P381" s="18" t="s">
        <v>172</v>
      </c>
      <c r="Q381" s="18">
        <v>5</v>
      </c>
      <c r="R381" s="18">
        <v>0.316</v>
      </c>
      <c r="S381" s="15">
        <v>37.634999999999998</v>
      </c>
      <c r="T381" s="16">
        <v>45824</v>
      </c>
      <c r="U381" s="19">
        <v>45883</v>
      </c>
      <c r="V381" s="16">
        <v>45824</v>
      </c>
      <c r="W381" s="16">
        <v>45826</v>
      </c>
      <c r="X381" s="57">
        <f t="shared" si="11"/>
        <v>45825</v>
      </c>
      <c r="Y381" s="63">
        <v>45832</v>
      </c>
      <c r="Z381" s="67">
        <v>45861</v>
      </c>
      <c r="AA381" s="71">
        <f t="shared" si="12"/>
        <v>45874</v>
      </c>
      <c r="AB381" s="20">
        <f t="shared" si="13"/>
        <v>-9</v>
      </c>
      <c r="AC381" s="20" t="s">
        <v>50</v>
      </c>
      <c r="AD381" s="21" t="s">
        <v>51</v>
      </c>
      <c r="AE381" s="21"/>
      <c r="AF381" s="22" t="s">
        <v>52</v>
      </c>
      <c r="AG381" s="23" t="s">
        <v>53</v>
      </c>
      <c r="AH381" s="24"/>
      <c r="AN381" s="24"/>
    </row>
    <row r="382" spans="1:40" ht="12.75">
      <c r="A382" s="15">
        <v>3254508</v>
      </c>
      <c r="B382" s="15" t="s">
        <v>37</v>
      </c>
      <c r="C382" s="15" t="s">
        <v>38</v>
      </c>
      <c r="D382" s="15" t="s">
        <v>85</v>
      </c>
      <c r="E382" s="15" t="s">
        <v>86</v>
      </c>
      <c r="F382" s="15" t="s">
        <v>41</v>
      </c>
      <c r="G382" s="15" t="s">
        <v>147</v>
      </c>
      <c r="H382" s="15" t="s">
        <v>76</v>
      </c>
      <c r="I382" s="15" t="s">
        <v>77</v>
      </c>
      <c r="J382" s="15" t="s">
        <v>88</v>
      </c>
      <c r="K382" s="15" t="s">
        <v>60</v>
      </c>
      <c r="L382" s="16" t="s">
        <v>82</v>
      </c>
      <c r="M382" s="15" t="s">
        <v>48</v>
      </c>
      <c r="N382" s="17">
        <v>454712670472</v>
      </c>
      <c r="O382" s="15">
        <v>19920029</v>
      </c>
      <c r="P382" s="18" t="s">
        <v>83</v>
      </c>
      <c r="Q382" s="18">
        <v>3</v>
      </c>
      <c r="R382" s="18">
        <v>0.158</v>
      </c>
      <c r="S382" s="15">
        <v>18.576000000000001</v>
      </c>
      <c r="T382" s="16">
        <v>45824</v>
      </c>
      <c r="U382" s="19">
        <v>45883</v>
      </c>
      <c r="V382" s="16">
        <v>45824</v>
      </c>
      <c r="W382" s="16">
        <v>45826</v>
      </c>
      <c r="X382" s="57">
        <f t="shared" si="11"/>
        <v>45825</v>
      </c>
      <c r="Y382" s="63">
        <v>45832</v>
      </c>
      <c r="Z382" s="67">
        <v>45861</v>
      </c>
      <c r="AA382" s="71">
        <f t="shared" si="12"/>
        <v>45874</v>
      </c>
      <c r="AB382" s="20">
        <f t="shared" si="13"/>
        <v>-9</v>
      </c>
      <c r="AC382" s="20" t="s">
        <v>50</v>
      </c>
      <c r="AD382" s="21" t="s">
        <v>51</v>
      </c>
      <c r="AE382" s="21"/>
      <c r="AF382" s="22" t="s">
        <v>52</v>
      </c>
      <c r="AG382" s="23" t="s">
        <v>53</v>
      </c>
      <c r="AH382" s="24"/>
      <c r="AN382" s="24"/>
    </row>
    <row r="383" spans="1:40" ht="12.75">
      <c r="A383" s="15">
        <v>3254508</v>
      </c>
      <c r="B383" s="15" t="s">
        <v>37</v>
      </c>
      <c r="C383" s="15" t="s">
        <v>38</v>
      </c>
      <c r="D383" s="15" t="s">
        <v>85</v>
      </c>
      <c r="E383" s="15" t="s">
        <v>86</v>
      </c>
      <c r="F383" s="15" t="s">
        <v>41</v>
      </c>
      <c r="G383" s="15" t="s">
        <v>147</v>
      </c>
      <c r="H383" s="15" t="s">
        <v>76</v>
      </c>
      <c r="I383" s="15" t="s">
        <v>77</v>
      </c>
      <c r="J383" s="15" t="s">
        <v>88</v>
      </c>
      <c r="K383" s="15" t="s">
        <v>60</v>
      </c>
      <c r="L383" s="16" t="s">
        <v>82</v>
      </c>
      <c r="M383" s="15" t="s">
        <v>48</v>
      </c>
      <c r="N383" s="17">
        <v>454712851437</v>
      </c>
      <c r="O383" s="15">
        <v>19920060</v>
      </c>
      <c r="P383" s="18" t="s">
        <v>169</v>
      </c>
      <c r="Q383" s="18">
        <v>4</v>
      </c>
      <c r="R383" s="18">
        <v>0.27600000000000002</v>
      </c>
      <c r="S383" s="15">
        <v>30.254999999999999</v>
      </c>
      <c r="T383" s="16">
        <v>45824</v>
      </c>
      <c r="U383" s="19">
        <v>45883</v>
      </c>
      <c r="V383" s="16">
        <v>45824</v>
      </c>
      <c r="W383" s="16">
        <v>45826</v>
      </c>
      <c r="X383" s="57">
        <f t="shared" si="11"/>
        <v>45825</v>
      </c>
      <c r="Y383" s="63">
        <v>45832</v>
      </c>
      <c r="Z383" s="67">
        <v>45861</v>
      </c>
      <c r="AA383" s="71">
        <f t="shared" si="12"/>
        <v>45874</v>
      </c>
      <c r="AB383" s="20">
        <f t="shared" si="13"/>
        <v>-9</v>
      </c>
      <c r="AC383" s="20" t="s">
        <v>50</v>
      </c>
      <c r="AD383" s="21" t="s">
        <v>51</v>
      </c>
      <c r="AE383" s="21"/>
      <c r="AF383" s="22" t="s">
        <v>52</v>
      </c>
      <c r="AG383" s="23" t="s">
        <v>53</v>
      </c>
      <c r="AH383" s="24"/>
      <c r="AN383" s="24"/>
    </row>
    <row r="384" spans="1:40" ht="12.75">
      <c r="A384" s="15">
        <v>3254508</v>
      </c>
      <c r="B384" s="15" t="s">
        <v>37</v>
      </c>
      <c r="C384" s="15" t="s">
        <v>38</v>
      </c>
      <c r="D384" s="15" t="s">
        <v>85</v>
      </c>
      <c r="E384" s="15" t="s">
        <v>86</v>
      </c>
      <c r="F384" s="15" t="s">
        <v>41</v>
      </c>
      <c r="G384" s="15" t="s">
        <v>147</v>
      </c>
      <c r="H384" s="15" t="s">
        <v>76</v>
      </c>
      <c r="I384" s="15" t="s">
        <v>77</v>
      </c>
      <c r="J384" s="15" t="s">
        <v>88</v>
      </c>
      <c r="K384" s="15" t="s">
        <v>60</v>
      </c>
      <c r="L384" s="16" t="s">
        <v>82</v>
      </c>
      <c r="M384" s="15" t="s">
        <v>48</v>
      </c>
      <c r="N384" s="17">
        <v>454713043181</v>
      </c>
      <c r="O384" s="15">
        <v>19920073</v>
      </c>
      <c r="P384" s="18" t="s">
        <v>170</v>
      </c>
      <c r="Q384" s="18">
        <v>3</v>
      </c>
      <c r="R384" s="18">
        <v>0.158</v>
      </c>
      <c r="S384" s="15">
        <v>15.41</v>
      </c>
      <c r="T384" s="16">
        <v>45824</v>
      </c>
      <c r="U384" s="19">
        <v>45883</v>
      </c>
      <c r="V384" s="16">
        <v>45824</v>
      </c>
      <c r="W384" s="16">
        <v>45826</v>
      </c>
      <c r="X384" s="57">
        <f t="shared" si="11"/>
        <v>45825</v>
      </c>
      <c r="Y384" s="63">
        <v>45832</v>
      </c>
      <c r="Z384" s="67">
        <v>45861</v>
      </c>
      <c r="AA384" s="71">
        <f t="shared" si="12"/>
        <v>45874</v>
      </c>
      <c r="AB384" s="20">
        <f t="shared" si="13"/>
        <v>-9</v>
      </c>
      <c r="AC384" s="20" t="s">
        <v>50</v>
      </c>
      <c r="AD384" s="21" t="s">
        <v>51</v>
      </c>
      <c r="AE384" s="21"/>
      <c r="AF384" s="22" t="s">
        <v>52</v>
      </c>
      <c r="AG384" s="23" t="s">
        <v>53</v>
      </c>
      <c r="AH384" s="24"/>
      <c r="AN384" s="24"/>
    </row>
    <row r="385" spans="1:40" ht="12.75">
      <c r="A385" s="15">
        <v>3254508</v>
      </c>
      <c r="B385" s="15" t="s">
        <v>37</v>
      </c>
      <c r="C385" s="15" t="s">
        <v>38</v>
      </c>
      <c r="D385" s="15" t="s">
        <v>85</v>
      </c>
      <c r="E385" s="15" t="s">
        <v>86</v>
      </c>
      <c r="F385" s="15" t="s">
        <v>41</v>
      </c>
      <c r="G385" s="15" t="s">
        <v>147</v>
      </c>
      <c r="H385" s="15" t="s">
        <v>76</v>
      </c>
      <c r="I385" s="15" t="s">
        <v>77</v>
      </c>
      <c r="J385" s="15" t="s">
        <v>88</v>
      </c>
      <c r="K385" s="15" t="s">
        <v>60</v>
      </c>
      <c r="L385" s="16" t="s">
        <v>82</v>
      </c>
      <c r="M385" s="15" t="s">
        <v>48</v>
      </c>
      <c r="N385" s="17">
        <v>454713073528</v>
      </c>
      <c r="O385" s="15">
        <v>19920096</v>
      </c>
      <c r="P385" s="18" t="s">
        <v>168</v>
      </c>
      <c r="Q385" s="18">
        <v>15</v>
      </c>
      <c r="R385" s="18">
        <v>1.145</v>
      </c>
      <c r="S385" s="15">
        <v>161.30799999999999</v>
      </c>
      <c r="T385" s="16">
        <v>45824</v>
      </c>
      <c r="U385" s="19">
        <v>45883</v>
      </c>
      <c r="V385" s="16">
        <v>45824</v>
      </c>
      <c r="W385" s="16">
        <v>45826</v>
      </c>
      <c r="X385" s="57">
        <f t="shared" si="11"/>
        <v>45825</v>
      </c>
      <c r="Y385" s="63">
        <v>45832</v>
      </c>
      <c r="Z385" s="67">
        <v>45861</v>
      </c>
      <c r="AA385" s="71">
        <f t="shared" si="12"/>
        <v>45874</v>
      </c>
      <c r="AB385" s="20">
        <f t="shared" si="13"/>
        <v>-9</v>
      </c>
      <c r="AC385" s="20" t="s">
        <v>50</v>
      </c>
      <c r="AD385" s="21" t="s">
        <v>51</v>
      </c>
      <c r="AE385" s="21"/>
      <c r="AF385" s="22" t="s">
        <v>52</v>
      </c>
      <c r="AG385" s="23" t="s">
        <v>53</v>
      </c>
      <c r="AH385" s="24"/>
      <c r="AN385" s="24"/>
    </row>
    <row r="386" spans="1:40" ht="12.75">
      <c r="A386" s="15">
        <v>3254508</v>
      </c>
      <c r="B386" s="15" t="s">
        <v>37</v>
      </c>
      <c r="C386" s="15" t="s">
        <v>38</v>
      </c>
      <c r="D386" s="15" t="s">
        <v>85</v>
      </c>
      <c r="E386" s="15" t="s">
        <v>86</v>
      </c>
      <c r="F386" s="15" t="s">
        <v>41</v>
      </c>
      <c r="G386" s="15" t="s">
        <v>147</v>
      </c>
      <c r="H386" s="15" t="s">
        <v>76</v>
      </c>
      <c r="I386" s="15" t="s">
        <v>77</v>
      </c>
      <c r="J386" s="15" t="s">
        <v>88</v>
      </c>
      <c r="K386" s="15" t="s">
        <v>60</v>
      </c>
      <c r="L386" s="16" t="s">
        <v>82</v>
      </c>
      <c r="M386" s="15" t="s">
        <v>48</v>
      </c>
      <c r="N386" s="17">
        <v>454713416339</v>
      </c>
      <c r="O386" s="15">
        <v>19920180</v>
      </c>
      <c r="P386" s="18" t="s">
        <v>83</v>
      </c>
      <c r="Q386" s="18">
        <v>7</v>
      </c>
      <c r="R386" s="18">
        <v>0.51300000000000001</v>
      </c>
      <c r="S386" s="15">
        <v>78.593000000000004</v>
      </c>
      <c r="T386" s="16">
        <v>45824</v>
      </c>
      <c r="U386" s="19">
        <v>45883</v>
      </c>
      <c r="V386" s="16">
        <v>45824</v>
      </c>
      <c r="W386" s="16">
        <v>45826</v>
      </c>
      <c r="X386" s="57">
        <f t="shared" si="11"/>
        <v>45825</v>
      </c>
      <c r="Y386" s="63">
        <v>45832</v>
      </c>
      <c r="Z386" s="67">
        <v>45861</v>
      </c>
      <c r="AA386" s="71">
        <f t="shared" si="12"/>
        <v>45874</v>
      </c>
      <c r="AB386" s="20">
        <f t="shared" si="13"/>
        <v>-9</v>
      </c>
      <c r="AC386" s="20" t="s">
        <v>50</v>
      </c>
      <c r="AD386" s="21" t="s">
        <v>51</v>
      </c>
      <c r="AE386" s="21"/>
      <c r="AF386" s="22" t="s">
        <v>52</v>
      </c>
      <c r="AG386" s="23" t="s">
        <v>53</v>
      </c>
      <c r="AH386" s="24"/>
      <c r="AN386" s="24"/>
    </row>
    <row r="387" spans="1:40" ht="12.75">
      <c r="A387" s="15">
        <v>3254508</v>
      </c>
      <c r="B387" s="15" t="s">
        <v>37</v>
      </c>
      <c r="C387" s="15" t="s">
        <v>38</v>
      </c>
      <c r="D387" s="15" t="s">
        <v>85</v>
      </c>
      <c r="E387" s="15" t="s">
        <v>86</v>
      </c>
      <c r="F387" s="15" t="s">
        <v>41</v>
      </c>
      <c r="G387" s="15" t="s">
        <v>147</v>
      </c>
      <c r="H387" s="15" t="s">
        <v>76</v>
      </c>
      <c r="I387" s="15" t="s">
        <v>77</v>
      </c>
      <c r="J387" s="15" t="s">
        <v>88</v>
      </c>
      <c r="K387" s="15" t="s">
        <v>60</v>
      </c>
      <c r="L387" s="16" t="s">
        <v>82</v>
      </c>
      <c r="M387" s="15" t="s">
        <v>48</v>
      </c>
      <c r="N387" s="17">
        <v>454713717867</v>
      </c>
      <c r="O387" s="15">
        <v>19920157</v>
      </c>
      <c r="P387" s="18" t="s">
        <v>83</v>
      </c>
      <c r="Q387" s="18">
        <v>7</v>
      </c>
      <c r="R387" s="18">
        <v>0.47399999999999998</v>
      </c>
      <c r="S387" s="15">
        <v>71.504000000000005</v>
      </c>
      <c r="T387" s="16">
        <v>45824</v>
      </c>
      <c r="U387" s="19">
        <v>45883</v>
      </c>
      <c r="V387" s="16">
        <v>45824</v>
      </c>
      <c r="W387" s="16">
        <v>45826</v>
      </c>
      <c r="X387" s="57">
        <f t="shared" si="11"/>
        <v>45825</v>
      </c>
      <c r="Y387" s="63">
        <v>45832</v>
      </c>
      <c r="Z387" s="67">
        <v>45861</v>
      </c>
      <c r="AA387" s="71">
        <f t="shared" si="12"/>
        <v>45874</v>
      </c>
      <c r="AB387" s="20">
        <f t="shared" si="13"/>
        <v>-9</v>
      </c>
      <c r="AC387" s="20" t="s">
        <v>50</v>
      </c>
      <c r="AD387" s="21" t="s">
        <v>51</v>
      </c>
      <c r="AE387" s="21"/>
      <c r="AF387" s="22" t="s">
        <v>52</v>
      </c>
      <c r="AG387" s="23" t="s">
        <v>53</v>
      </c>
      <c r="AH387" s="24"/>
      <c r="AN387" s="24"/>
    </row>
    <row r="388" spans="1:40" ht="12.75">
      <c r="A388" s="15">
        <v>3254508</v>
      </c>
      <c r="B388" s="15" t="s">
        <v>37</v>
      </c>
      <c r="C388" s="15" t="s">
        <v>38</v>
      </c>
      <c r="D388" s="15" t="s">
        <v>85</v>
      </c>
      <c r="E388" s="15" t="s">
        <v>86</v>
      </c>
      <c r="F388" s="15" t="s">
        <v>41</v>
      </c>
      <c r="G388" s="15" t="s">
        <v>147</v>
      </c>
      <c r="H388" s="15" t="s">
        <v>76</v>
      </c>
      <c r="I388" s="15" t="s">
        <v>77</v>
      </c>
      <c r="J388" s="15" t="s">
        <v>88</v>
      </c>
      <c r="K388" s="15" t="s">
        <v>60</v>
      </c>
      <c r="L388" s="16" t="s">
        <v>82</v>
      </c>
      <c r="M388" s="15" t="s">
        <v>48</v>
      </c>
      <c r="N388" s="17">
        <v>454717637878</v>
      </c>
      <c r="O388" s="15">
        <v>19923422</v>
      </c>
      <c r="P388" s="18" t="s">
        <v>83</v>
      </c>
      <c r="Q388" s="18">
        <v>2</v>
      </c>
      <c r="R388" s="18">
        <v>0.11799999999999999</v>
      </c>
      <c r="S388" s="15">
        <v>14.273999999999999</v>
      </c>
      <c r="T388" s="16">
        <v>45824</v>
      </c>
      <c r="U388" s="19">
        <v>45883</v>
      </c>
      <c r="V388" s="16">
        <v>45824</v>
      </c>
      <c r="W388" s="16">
        <v>45826</v>
      </c>
      <c r="X388" s="57">
        <f t="shared" si="11"/>
        <v>45825</v>
      </c>
      <c r="Y388" s="63">
        <v>45832</v>
      </c>
      <c r="Z388" s="67">
        <v>45861</v>
      </c>
      <c r="AA388" s="71">
        <f t="shared" si="12"/>
        <v>45874</v>
      </c>
      <c r="AB388" s="20">
        <f t="shared" si="13"/>
        <v>-9</v>
      </c>
      <c r="AC388" s="20" t="s">
        <v>50</v>
      </c>
      <c r="AD388" s="21" t="s">
        <v>51</v>
      </c>
      <c r="AE388" s="21"/>
      <c r="AF388" s="22" t="s">
        <v>52</v>
      </c>
      <c r="AG388" s="23" t="s">
        <v>53</v>
      </c>
      <c r="AH388" s="24"/>
      <c r="AN388" s="24"/>
    </row>
    <row r="389" spans="1:40" ht="12.75">
      <c r="A389" s="15">
        <v>3254508</v>
      </c>
      <c r="B389" s="15" t="s">
        <v>37</v>
      </c>
      <c r="C389" s="15" t="s">
        <v>38</v>
      </c>
      <c r="D389" s="15" t="s">
        <v>85</v>
      </c>
      <c r="E389" s="15" t="s">
        <v>86</v>
      </c>
      <c r="F389" s="15" t="s">
        <v>41</v>
      </c>
      <c r="G389" s="15" t="s">
        <v>147</v>
      </c>
      <c r="H389" s="15" t="s">
        <v>76</v>
      </c>
      <c r="I389" s="15" t="s">
        <v>77</v>
      </c>
      <c r="J389" s="15" t="s">
        <v>88</v>
      </c>
      <c r="K389" s="15" t="s">
        <v>60</v>
      </c>
      <c r="L389" s="16" t="s">
        <v>82</v>
      </c>
      <c r="M389" s="15" t="s">
        <v>48</v>
      </c>
      <c r="N389" s="17">
        <v>454717661378</v>
      </c>
      <c r="O389" s="15">
        <v>19923242</v>
      </c>
      <c r="P389" s="18" t="s">
        <v>169</v>
      </c>
      <c r="Q389" s="18">
        <v>5</v>
      </c>
      <c r="R389" s="18">
        <v>0.27600000000000002</v>
      </c>
      <c r="S389" s="15">
        <v>32.143999999999998</v>
      </c>
      <c r="T389" s="16">
        <v>45824</v>
      </c>
      <c r="U389" s="19">
        <v>45883</v>
      </c>
      <c r="V389" s="16">
        <v>45824</v>
      </c>
      <c r="W389" s="16">
        <v>45826</v>
      </c>
      <c r="X389" s="57">
        <f t="shared" si="11"/>
        <v>45825</v>
      </c>
      <c r="Y389" s="63">
        <v>45832</v>
      </c>
      <c r="Z389" s="67">
        <v>45861</v>
      </c>
      <c r="AA389" s="71">
        <f t="shared" si="12"/>
        <v>45874</v>
      </c>
      <c r="AB389" s="20">
        <f t="shared" si="13"/>
        <v>-9</v>
      </c>
      <c r="AC389" s="20" t="s">
        <v>50</v>
      </c>
      <c r="AD389" s="21" t="s">
        <v>51</v>
      </c>
      <c r="AE389" s="21"/>
      <c r="AF389" s="22" t="s">
        <v>52</v>
      </c>
      <c r="AG389" s="23" t="s">
        <v>53</v>
      </c>
      <c r="AH389" s="24"/>
      <c r="AN389" s="24"/>
    </row>
    <row r="390" spans="1:40" ht="12.75">
      <c r="A390" s="15">
        <v>3254508</v>
      </c>
      <c r="B390" s="15" t="s">
        <v>37</v>
      </c>
      <c r="C390" s="15" t="s">
        <v>38</v>
      </c>
      <c r="D390" s="15" t="s">
        <v>85</v>
      </c>
      <c r="E390" s="15" t="s">
        <v>86</v>
      </c>
      <c r="F390" s="15" t="s">
        <v>41</v>
      </c>
      <c r="G390" s="15" t="s">
        <v>147</v>
      </c>
      <c r="H390" s="15" t="s">
        <v>76</v>
      </c>
      <c r="I390" s="15" t="s">
        <v>77</v>
      </c>
      <c r="J390" s="15" t="s">
        <v>88</v>
      </c>
      <c r="K390" s="15" t="s">
        <v>60</v>
      </c>
      <c r="L390" s="16" t="s">
        <v>82</v>
      </c>
      <c r="M390" s="15" t="s">
        <v>48</v>
      </c>
      <c r="N390" s="17">
        <v>454717719021</v>
      </c>
      <c r="O390" s="15">
        <v>19923296</v>
      </c>
      <c r="P390" s="18" t="s">
        <v>172</v>
      </c>
      <c r="Q390" s="18">
        <v>7</v>
      </c>
      <c r="R390" s="18">
        <v>0.47399999999999998</v>
      </c>
      <c r="S390" s="15">
        <v>71.566999999999993</v>
      </c>
      <c r="T390" s="16">
        <v>45824</v>
      </c>
      <c r="U390" s="19">
        <v>45883</v>
      </c>
      <c r="V390" s="16">
        <v>45824</v>
      </c>
      <c r="W390" s="16">
        <v>45826</v>
      </c>
      <c r="X390" s="57">
        <f t="shared" si="11"/>
        <v>45825</v>
      </c>
      <c r="Y390" s="63">
        <v>45832</v>
      </c>
      <c r="Z390" s="67">
        <v>45861</v>
      </c>
      <c r="AA390" s="71">
        <f t="shared" si="12"/>
        <v>45874</v>
      </c>
      <c r="AB390" s="20">
        <f t="shared" si="13"/>
        <v>-9</v>
      </c>
      <c r="AC390" s="20" t="s">
        <v>50</v>
      </c>
      <c r="AD390" s="21" t="s">
        <v>51</v>
      </c>
      <c r="AE390" s="21"/>
      <c r="AF390" s="22" t="s">
        <v>52</v>
      </c>
      <c r="AG390" s="23" t="s">
        <v>53</v>
      </c>
      <c r="AH390" s="24"/>
      <c r="AN390" s="24"/>
    </row>
    <row r="391" spans="1:40" ht="12.75">
      <c r="A391" s="15">
        <v>3254508</v>
      </c>
      <c r="B391" s="15" t="s">
        <v>37</v>
      </c>
      <c r="C391" s="15" t="s">
        <v>38</v>
      </c>
      <c r="D391" s="15" t="s">
        <v>85</v>
      </c>
      <c r="E391" s="15" t="s">
        <v>86</v>
      </c>
      <c r="F391" s="15" t="s">
        <v>41</v>
      </c>
      <c r="G391" s="15" t="s">
        <v>147</v>
      </c>
      <c r="H391" s="15" t="s">
        <v>76</v>
      </c>
      <c r="I391" s="15" t="s">
        <v>77</v>
      </c>
      <c r="J391" s="15" t="s">
        <v>88</v>
      </c>
      <c r="K391" s="15" t="s">
        <v>60</v>
      </c>
      <c r="L391" s="16" t="s">
        <v>82</v>
      </c>
      <c r="M391" s="15" t="s">
        <v>48</v>
      </c>
      <c r="N391" s="17">
        <v>454717943996</v>
      </c>
      <c r="O391" s="15">
        <v>19923284</v>
      </c>
      <c r="P391" s="18" t="s">
        <v>168</v>
      </c>
      <c r="Q391" s="18">
        <v>8</v>
      </c>
      <c r="R391" s="18">
        <v>0.59199999999999997</v>
      </c>
      <c r="S391" s="15">
        <v>78.081999999999994</v>
      </c>
      <c r="T391" s="16">
        <v>45824</v>
      </c>
      <c r="U391" s="19">
        <v>45883</v>
      </c>
      <c r="V391" s="16">
        <v>45824</v>
      </c>
      <c r="W391" s="16">
        <v>45826</v>
      </c>
      <c r="X391" s="57">
        <f t="shared" si="11"/>
        <v>45825</v>
      </c>
      <c r="Y391" s="63">
        <v>45832</v>
      </c>
      <c r="Z391" s="67">
        <v>45861</v>
      </c>
      <c r="AA391" s="71">
        <f t="shared" si="12"/>
        <v>45874</v>
      </c>
      <c r="AB391" s="20">
        <f t="shared" si="13"/>
        <v>-9</v>
      </c>
      <c r="AC391" s="20" t="s">
        <v>50</v>
      </c>
      <c r="AD391" s="21" t="s">
        <v>51</v>
      </c>
      <c r="AE391" s="21"/>
      <c r="AF391" s="22" t="s">
        <v>52</v>
      </c>
      <c r="AG391" s="23" t="s">
        <v>53</v>
      </c>
      <c r="AH391" s="24"/>
      <c r="AN391" s="24"/>
    </row>
    <row r="392" spans="1:40" ht="12.75">
      <c r="A392" s="15">
        <v>3254508</v>
      </c>
      <c r="B392" s="15" t="s">
        <v>37</v>
      </c>
      <c r="C392" s="15" t="s">
        <v>38</v>
      </c>
      <c r="D392" s="15" t="s">
        <v>85</v>
      </c>
      <c r="E392" s="15" t="s">
        <v>86</v>
      </c>
      <c r="F392" s="15" t="s">
        <v>41</v>
      </c>
      <c r="G392" s="15" t="s">
        <v>147</v>
      </c>
      <c r="H392" s="15" t="s">
        <v>76</v>
      </c>
      <c r="I392" s="15" t="s">
        <v>77</v>
      </c>
      <c r="J392" s="15" t="s">
        <v>88</v>
      </c>
      <c r="K392" s="15" t="s">
        <v>60</v>
      </c>
      <c r="L392" s="16" t="s">
        <v>82</v>
      </c>
      <c r="M392" s="15" t="s">
        <v>48</v>
      </c>
      <c r="N392" s="17">
        <v>454718596121</v>
      </c>
      <c r="O392" s="15">
        <v>19923439</v>
      </c>
      <c r="P392" s="18" t="s">
        <v>83</v>
      </c>
      <c r="Q392" s="18">
        <v>2</v>
      </c>
      <c r="R392" s="18">
        <v>0.11799999999999999</v>
      </c>
      <c r="S392" s="15">
        <v>16.878</v>
      </c>
      <c r="T392" s="16">
        <v>45824</v>
      </c>
      <c r="U392" s="19">
        <v>45883</v>
      </c>
      <c r="V392" s="16">
        <v>45824</v>
      </c>
      <c r="W392" s="16">
        <v>45826</v>
      </c>
      <c r="X392" s="57">
        <f t="shared" si="11"/>
        <v>45825</v>
      </c>
      <c r="Y392" s="63">
        <v>45832</v>
      </c>
      <c r="Z392" s="67">
        <v>45861</v>
      </c>
      <c r="AA392" s="71">
        <f t="shared" si="12"/>
        <v>45874</v>
      </c>
      <c r="AB392" s="20">
        <f t="shared" si="13"/>
        <v>-9</v>
      </c>
      <c r="AC392" s="20" t="s">
        <v>50</v>
      </c>
      <c r="AD392" s="21" t="s">
        <v>51</v>
      </c>
      <c r="AE392" s="21"/>
      <c r="AF392" s="22" t="s">
        <v>52</v>
      </c>
      <c r="AG392" s="23" t="s">
        <v>53</v>
      </c>
      <c r="AH392" s="24"/>
      <c r="AN392" s="24"/>
    </row>
    <row r="393" spans="1:40" ht="12.75">
      <c r="A393" s="15">
        <v>3254508</v>
      </c>
      <c r="B393" s="15" t="s">
        <v>37</v>
      </c>
      <c r="C393" s="15" t="s">
        <v>38</v>
      </c>
      <c r="D393" s="15" t="s">
        <v>85</v>
      </c>
      <c r="E393" s="15" t="s">
        <v>86</v>
      </c>
      <c r="F393" s="15" t="s">
        <v>41</v>
      </c>
      <c r="G393" s="15" t="s">
        <v>147</v>
      </c>
      <c r="H393" s="15" t="s">
        <v>76</v>
      </c>
      <c r="I393" s="15" t="s">
        <v>77</v>
      </c>
      <c r="J393" s="15" t="s">
        <v>88</v>
      </c>
      <c r="K393" s="15" t="s">
        <v>60</v>
      </c>
      <c r="L393" s="16" t="s">
        <v>82</v>
      </c>
      <c r="M393" s="15" t="s">
        <v>48</v>
      </c>
      <c r="N393" s="17">
        <v>454718830888</v>
      </c>
      <c r="O393" s="15">
        <v>19923463</v>
      </c>
      <c r="P393" s="18" t="s">
        <v>154</v>
      </c>
      <c r="Q393" s="18">
        <v>12</v>
      </c>
      <c r="R393" s="18">
        <v>0.872</v>
      </c>
      <c r="S393" s="15">
        <v>114.03</v>
      </c>
      <c r="T393" s="16">
        <v>45824</v>
      </c>
      <c r="U393" s="19">
        <v>45883</v>
      </c>
      <c r="V393" s="16">
        <v>45824</v>
      </c>
      <c r="W393" s="16">
        <v>45826</v>
      </c>
      <c r="X393" s="57">
        <f t="shared" si="11"/>
        <v>45825</v>
      </c>
      <c r="Y393" s="63">
        <v>45832</v>
      </c>
      <c r="Z393" s="67">
        <v>45861</v>
      </c>
      <c r="AA393" s="71">
        <f t="shared" si="12"/>
        <v>45874</v>
      </c>
      <c r="AB393" s="20">
        <f t="shared" si="13"/>
        <v>-9</v>
      </c>
      <c r="AC393" s="20" t="s">
        <v>50</v>
      </c>
      <c r="AD393" s="21" t="s">
        <v>51</v>
      </c>
      <c r="AE393" s="21"/>
      <c r="AF393" s="22" t="s">
        <v>52</v>
      </c>
      <c r="AG393" s="23" t="s">
        <v>53</v>
      </c>
      <c r="AH393" s="24"/>
      <c r="AN393" s="24"/>
    </row>
    <row r="394" spans="1:40" ht="12.75">
      <c r="A394" s="15">
        <v>3254508</v>
      </c>
      <c r="B394" s="15" t="s">
        <v>37</v>
      </c>
      <c r="C394" s="15" t="s">
        <v>38</v>
      </c>
      <c r="D394" s="15" t="s">
        <v>85</v>
      </c>
      <c r="E394" s="15" t="s">
        <v>86</v>
      </c>
      <c r="F394" s="15" t="s">
        <v>41</v>
      </c>
      <c r="G394" s="15" t="s">
        <v>147</v>
      </c>
      <c r="H394" s="15" t="s">
        <v>76</v>
      </c>
      <c r="I394" s="15" t="s">
        <v>77</v>
      </c>
      <c r="J394" s="15" t="s">
        <v>88</v>
      </c>
      <c r="K394" s="15" t="s">
        <v>60</v>
      </c>
      <c r="L394" s="16" t="s">
        <v>82</v>
      </c>
      <c r="M394" s="15" t="s">
        <v>48</v>
      </c>
      <c r="N394" s="17">
        <v>454719489186</v>
      </c>
      <c r="O394" s="15">
        <v>19923656</v>
      </c>
      <c r="P394" s="18" t="s">
        <v>168</v>
      </c>
      <c r="Q394" s="18">
        <v>7</v>
      </c>
      <c r="R394" s="18">
        <v>0.51300000000000001</v>
      </c>
      <c r="S394" s="15">
        <v>70.242999999999995</v>
      </c>
      <c r="T394" s="16">
        <v>45824</v>
      </c>
      <c r="U394" s="19">
        <v>45883</v>
      </c>
      <c r="V394" s="16">
        <v>45824</v>
      </c>
      <c r="W394" s="16">
        <v>45826</v>
      </c>
      <c r="X394" s="57">
        <f t="shared" si="11"/>
        <v>45825</v>
      </c>
      <c r="Y394" s="63">
        <v>45832</v>
      </c>
      <c r="Z394" s="67">
        <v>45861</v>
      </c>
      <c r="AA394" s="71">
        <f t="shared" si="12"/>
        <v>45874</v>
      </c>
      <c r="AB394" s="20">
        <f t="shared" si="13"/>
        <v>-9</v>
      </c>
      <c r="AC394" s="20" t="s">
        <v>50</v>
      </c>
      <c r="AD394" s="21" t="s">
        <v>51</v>
      </c>
      <c r="AE394" s="21"/>
      <c r="AF394" s="22" t="s">
        <v>52</v>
      </c>
      <c r="AG394" s="23" t="s">
        <v>53</v>
      </c>
      <c r="AH394" s="24"/>
      <c r="AN394" s="24"/>
    </row>
    <row r="395" spans="1:40" ht="12.75">
      <c r="A395" s="15">
        <v>3254508</v>
      </c>
      <c r="B395" s="15" t="s">
        <v>37</v>
      </c>
      <c r="C395" s="15" t="s">
        <v>38</v>
      </c>
      <c r="D395" s="15" t="s">
        <v>85</v>
      </c>
      <c r="E395" s="15" t="s">
        <v>140</v>
      </c>
      <c r="F395" s="15" t="s">
        <v>41</v>
      </c>
      <c r="G395" s="15" t="s">
        <v>147</v>
      </c>
      <c r="H395" s="15" t="s">
        <v>76</v>
      </c>
      <c r="I395" s="15" t="s">
        <v>77</v>
      </c>
      <c r="J395" s="15" t="s">
        <v>88</v>
      </c>
      <c r="K395" s="15" t="s">
        <v>60</v>
      </c>
      <c r="L395" s="16" t="s">
        <v>61</v>
      </c>
      <c r="M395" s="15" t="s">
        <v>48</v>
      </c>
      <c r="N395" s="17">
        <v>454698382746</v>
      </c>
      <c r="O395" s="15">
        <v>19900473</v>
      </c>
      <c r="P395" s="18" t="s">
        <v>173</v>
      </c>
      <c r="Q395" s="18">
        <v>4</v>
      </c>
      <c r="R395" s="18">
        <v>0.23699999999999999</v>
      </c>
      <c r="S395" s="15">
        <v>26.481999999999999</v>
      </c>
      <c r="T395" s="16">
        <v>45824</v>
      </c>
      <c r="U395" s="19">
        <v>45883</v>
      </c>
      <c r="V395" s="16">
        <v>45824</v>
      </c>
      <c r="W395" s="16">
        <v>45826</v>
      </c>
      <c r="X395" s="57">
        <f t="shared" si="11"/>
        <v>45825</v>
      </c>
      <c r="Y395" s="63">
        <v>45832</v>
      </c>
      <c r="Z395" s="67">
        <v>45861</v>
      </c>
      <c r="AA395" s="71">
        <f t="shared" si="12"/>
        <v>45874</v>
      </c>
      <c r="AB395" s="20">
        <f t="shared" si="13"/>
        <v>-9</v>
      </c>
      <c r="AC395" s="20" t="s">
        <v>50</v>
      </c>
      <c r="AD395" s="21" t="s">
        <v>51</v>
      </c>
      <c r="AE395" s="21"/>
      <c r="AF395" s="22" t="s">
        <v>52</v>
      </c>
      <c r="AG395" s="23" t="s">
        <v>53</v>
      </c>
      <c r="AH395" s="24"/>
      <c r="AN395" s="24"/>
    </row>
    <row r="396" spans="1:40" ht="12.75">
      <c r="A396" s="15">
        <v>3254508</v>
      </c>
      <c r="B396" s="15" t="s">
        <v>37</v>
      </c>
      <c r="C396" s="15" t="s">
        <v>38</v>
      </c>
      <c r="D396" s="15" t="s">
        <v>85</v>
      </c>
      <c r="E396" s="15" t="s">
        <v>140</v>
      </c>
      <c r="F396" s="15" t="s">
        <v>41</v>
      </c>
      <c r="G396" s="15" t="s">
        <v>147</v>
      </c>
      <c r="H396" s="15" t="s">
        <v>76</v>
      </c>
      <c r="I396" s="15" t="s">
        <v>77</v>
      </c>
      <c r="J396" s="15" t="s">
        <v>88</v>
      </c>
      <c r="K396" s="15" t="s">
        <v>60</v>
      </c>
      <c r="L396" s="16" t="s">
        <v>61</v>
      </c>
      <c r="M396" s="15" t="s">
        <v>48</v>
      </c>
      <c r="N396" s="17">
        <v>454698451896</v>
      </c>
      <c r="O396" s="15">
        <v>19897814</v>
      </c>
      <c r="P396" s="18" t="s">
        <v>150</v>
      </c>
      <c r="Q396" s="18">
        <v>3</v>
      </c>
      <c r="R396" s="18">
        <v>0.158</v>
      </c>
      <c r="S396" s="15">
        <v>21.629000000000001</v>
      </c>
      <c r="T396" s="16">
        <v>45824</v>
      </c>
      <c r="U396" s="19">
        <v>45883</v>
      </c>
      <c r="V396" s="16">
        <v>45824</v>
      </c>
      <c r="W396" s="16">
        <v>45826</v>
      </c>
      <c r="X396" s="57">
        <f t="shared" si="11"/>
        <v>45825</v>
      </c>
      <c r="Y396" s="63">
        <v>45832</v>
      </c>
      <c r="Z396" s="67">
        <v>45861</v>
      </c>
      <c r="AA396" s="71">
        <f t="shared" si="12"/>
        <v>45874</v>
      </c>
      <c r="AB396" s="20">
        <f t="shared" si="13"/>
        <v>-9</v>
      </c>
      <c r="AC396" s="20" t="s">
        <v>50</v>
      </c>
      <c r="AD396" s="21" t="s">
        <v>51</v>
      </c>
      <c r="AE396" s="21"/>
      <c r="AF396" s="22" t="s">
        <v>52</v>
      </c>
      <c r="AG396" s="23" t="s">
        <v>53</v>
      </c>
      <c r="AH396" s="24"/>
      <c r="AN396" s="24"/>
    </row>
    <row r="397" spans="1:40" ht="12.75">
      <c r="A397" s="15">
        <v>3254508</v>
      </c>
      <c r="B397" s="15" t="s">
        <v>37</v>
      </c>
      <c r="C397" s="15" t="s">
        <v>38</v>
      </c>
      <c r="D397" s="15" t="s">
        <v>85</v>
      </c>
      <c r="E397" s="15" t="s">
        <v>140</v>
      </c>
      <c r="F397" s="15" t="s">
        <v>41</v>
      </c>
      <c r="G397" s="15" t="s">
        <v>147</v>
      </c>
      <c r="H397" s="15" t="s">
        <v>76</v>
      </c>
      <c r="I397" s="15" t="s">
        <v>77</v>
      </c>
      <c r="J397" s="15" t="s">
        <v>88</v>
      </c>
      <c r="K397" s="15" t="s">
        <v>60</v>
      </c>
      <c r="L397" s="16" t="s">
        <v>61</v>
      </c>
      <c r="M397" s="15" t="s">
        <v>48</v>
      </c>
      <c r="N397" s="17">
        <v>454698452151</v>
      </c>
      <c r="O397" s="15">
        <v>19897818</v>
      </c>
      <c r="P397" s="18" t="s">
        <v>150</v>
      </c>
      <c r="Q397" s="18">
        <v>3</v>
      </c>
      <c r="R397" s="18">
        <v>0.158</v>
      </c>
      <c r="S397" s="15">
        <v>22.838999999999999</v>
      </c>
      <c r="T397" s="16">
        <v>45824</v>
      </c>
      <c r="U397" s="19">
        <v>45883</v>
      </c>
      <c r="V397" s="16">
        <v>45824</v>
      </c>
      <c r="W397" s="16">
        <v>45826</v>
      </c>
      <c r="X397" s="57">
        <f t="shared" si="11"/>
        <v>45825</v>
      </c>
      <c r="Y397" s="63">
        <v>45832</v>
      </c>
      <c r="Z397" s="67">
        <v>45861</v>
      </c>
      <c r="AA397" s="71">
        <f t="shared" si="12"/>
        <v>45874</v>
      </c>
      <c r="AB397" s="20">
        <f t="shared" si="13"/>
        <v>-9</v>
      </c>
      <c r="AC397" s="20" t="s">
        <v>50</v>
      </c>
      <c r="AD397" s="21" t="s">
        <v>51</v>
      </c>
      <c r="AE397" s="21"/>
      <c r="AF397" s="22" t="s">
        <v>52</v>
      </c>
      <c r="AG397" s="23" t="s">
        <v>53</v>
      </c>
      <c r="AH397" s="24"/>
      <c r="AN397" s="24"/>
    </row>
    <row r="398" spans="1:40" ht="12.75">
      <c r="A398" s="15">
        <v>3254508</v>
      </c>
      <c r="B398" s="15" t="s">
        <v>37</v>
      </c>
      <c r="C398" s="15" t="s">
        <v>38</v>
      </c>
      <c r="D398" s="15" t="s">
        <v>85</v>
      </c>
      <c r="E398" s="15" t="s">
        <v>140</v>
      </c>
      <c r="F398" s="15" t="s">
        <v>41</v>
      </c>
      <c r="G398" s="15" t="s">
        <v>147</v>
      </c>
      <c r="H398" s="15" t="s">
        <v>76</v>
      </c>
      <c r="I398" s="15" t="s">
        <v>77</v>
      </c>
      <c r="J398" s="15" t="s">
        <v>88</v>
      </c>
      <c r="K398" s="15" t="s">
        <v>60</v>
      </c>
      <c r="L398" s="16" t="s">
        <v>61</v>
      </c>
      <c r="M398" s="15" t="s">
        <v>48</v>
      </c>
      <c r="N398" s="17">
        <v>454698725219</v>
      </c>
      <c r="O398" s="15">
        <v>19897806</v>
      </c>
      <c r="P398" s="18" t="s">
        <v>83</v>
      </c>
      <c r="Q398" s="18">
        <v>2</v>
      </c>
      <c r="R398" s="18">
        <v>0.158</v>
      </c>
      <c r="S398" s="15">
        <v>24.667999999999999</v>
      </c>
      <c r="T398" s="16">
        <v>45824</v>
      </c>
      <c r="U398" s="19">
        <v>45883</v>
      </c>
      <c r="V398" s="16">
        <v>45824</v>
      </c>
      <c r="W398" s="16">
        <v>45826</v>
      </c>
      <c r="X398" s="57">
        <f t="shared" si="11"/>
        <v>45825</v>
      </c>
      <c r="Y398" s="63">
        <v>45832</v>
      </c>
      <c r="Z398" s="67">
        <v>45861</v>
      </c>
      <c r="AA398" s="71">
        <f t="shared" si="12"/>
        <v>45874</v>
      </c>
      <c r="AB398" s="20">
        <f t="shared" si="13"/>
        <v>-9</v>
      </c>
      <c r="AC398" s="20" t="s">
        <v>50</v>
      </c>
      <c r="AD398" s="21" t="s">
        <v>51</v>
      </c>
      <c r="AE398" s="21"/>
      <c r="AF398" s="22" t="s">
        <v>52</v>
      </c>
      <c r="AG398" s="23" t="s">
        <v>53</v>
      </c>
      <c r="AH398" s="24"/>
      <c r="AN398" s="24"/>
    </row>
    <row r="399" spans="1:40" ht="12.75">
      <c r="A399" s="15">
        <v>3254508</v>
      </c>
      <c r="B399" s="15" t="s">
        <v>37</v>
      </c>
      <c r="C399" s="15" t="s">
        <v>38</v>
      </c>
      <c r="D399" s="15" t="s">
        <v>85</v>
      </c>
      <c r="E399" s="15" t="s">
        <v>140</v>
      </c>
      <c r="F399" s="15" t="s">
        <v>41</v>
      </c>
      <c r="G399" s="15" t="s">
        <v>147</v>
      </c>
      <c r="H399" s="15" t="s">
        <v>76</v>
      </c>
      <c r="I399" s="15" t="s">
        <v>77</v>
      </c>
      <c r="J399" s="15" t="s">
        <v>88</v>
      </c>
      <c r="K399" s="15" t="s">
        <v>60</v>
      </c>
      <c r="L399" s="16" t="s">
        <v>61</v>
      </c>
      <c r="M399" s="15" t="s">
        <v>48</v>
      </c>
      <c r="N399" s="17">
        <v>454699451892</v>
      </c>
      <c r="O399" s="15">
        <v>19897828</v>
      </c>
      <c r="P399" s="18" t="s">
        <v>156</v>
      </c>
      <c r="Q399" s="18">
        <v>6</v>
      </c>
      <c r="R399" s="18">
        <v>0.39500000000000002</v>
      </c>
      <c r="S399" s="15">
        <v>63.954000000000001</v>
      </c>
      <c r="T399" s="16">
        <v>45824</v>
      </c>
      <c r="U399" s="19">
        <v>45883</v>
      </c>
      <c r="V399" s="16">
        <v>45824</v>
      </c>
      <c r="W399" s="16">
        <v>45826</v>
      </c>
      <c r="X399" s="57">
        <f t="shared" si="11"/>
        <v>45825</v>
      </c>
      <c r="Y399" s="63">
        <v>45832</v>
      </c>
      <c r="Z399" s="67">
        <v>45861</v>
      </c>
      <c r="AA399" s="71">
        <f t="shared" si="12"/>
        <v>45874</v>
      </c>
      <c r="AB399" s="20">
        <f t="shared" si="13"/>
        <v>-9</v>
      </c>
      <c r="AC399" s="20" t="s">
        <v>50</v>
      </c>
      <c r="AD399" s="21" t="s">
        <v>51</v>
      </c>
      <c r="AE399" s="21"/>
      <c r="AF399" s="22" t="s">
        <v>52</v>
      </c>
      <c r="AG399" s="23" t="s">
        <v>53</v>
      </c>
      <c r="AH399" s="24"/>
      <c r="AN399" s="24"/>
    </row>
    <row r="400" spans="1:40" ht="12.75">
      <c r="A400" s="15">
        <v>3254508</v>
      </c>
      <c r="B400" s="15" t="s">
        <v>37</v>
      </c>
      <c r="C400" s="15" t="s">
        <v>38</v>
      </c>
      <c r="D400" s="15" t="s">
        <v>85</v>
      </c>
      <c r="E400" s="15" t="s">
        <v>140</v>
      </c>
      <c r="F400" s="15" t="s">
        <v>41</v>
      </c>
      <c r="G400" s="15" t="s">
        <v>147</v>
      </c>
      <c r="H400" s="15" t="s">
        <v>76</v>
      </c>
      <c r="I400" s="15" t="s">
        <v>77</v>
      </c>
      <c r="J400" s="15" t="s">
        <v>88</v>
      </c>
      <c r="K400" s="15" t="s">
        <v>60</v>
      </c>
      <c r="L400" s="16" t="s">
        <v>61</v>
      </c>
      <c r="M400" s="15" t="s">
        <v>48</v>
      </c>
      <c r="N400" s="17">
        <v>454700125508</v>
      </c>
      <c r="O400" s="15">
        <v>19900411</v>
      </c>
      <c r="P400" s="18" t="s">
        <v>174</v>
      </c>
      <c r="Q400" s="18">
        <v>1</v>
      </c>
      <c r="R400" s="18">
        <v>7.9000000000000001E-2</v>
      </c>
      <c r="S400" s="15">
        <v>7.0419999999999998</v>
      </c>
      <c r="T400" s="16">
        <v>45824</v>
      </c>
      <c r="U400" s="19">
        <v>45883</v>
      </c>
      <c r="V400" s="16">
        <v>45824</v>
      </c>
      <c r="W400" s="16">
        <v>45826</v>
      </c>
      <c r="X400" s="57">
        <f t="shared" si="11"/>
        <v>45825</v>
      </c>
      <c r="Y400" s="63">
        <v>45832</v>
      </c>
      <c r="Z400" s="67">
        <v>45861</v>
      </c>
      <c r="AA400" s="71">
        <f t="shared" si="12"/>
        <v>45874</v>
      </c>
      <c r="AB400" s="20">
        <f t="shared" si="13"/>
        <v>-9</v>
      </c>
      <c r="AC400" s="20" t="s">
        <v>50</v>
      </c>
      <c r="AD400" s="21" t="s">
        <v>51</v>
      </c>
      <c r="AE400" s="21"/>
      <c r="AF400" s="22" t="s">
        <v>52</v>
      </c>
      <c r="AG400" s="23" t="s">
        <v>53</v>
      </c>
      <c r="AH400" s="24"/>
      <c r="AN400" s="24"/>
    </row>
    <row r="401" spans="1:40" ht="12.75">
      <c r="A401" s="15">
        <v>3254508</v>
      </c>
      <c r="B401" s="15" t="s">
        <v>37</v>
      </c>
      <c r="C401" s="15" t="s">
        <v>38</v>
      </c>
      <c r="D401" s="15" t="s">
        <v>85</v>
      </c>
      <c r="E401" s="15" t="s">
        <v>140</v>
      </c>
      <c r="F401" s="15" t="s">
        <v>41</v>
      </c>
      <c r="G401" s="15" t="s">
        <v>147</v>
      </c>
      <c r="H401" s="15" t="s">
        <v>76</v>
      </c>
      <c r="I401" s="15" t="s">
        <v>77</v>
      </c>
      <c r="J401" s="15" t="s">
        <v>88</v>
      </c>
      <c r="K401" s="15" t="s">
        <v>60</v>
      </c>
      <c r="L401" s="16" t="s">
        <v>61</v>
      </c>
      <c r="M401" s="15" t="s">
        <v>48</v>
      </c>
      <c r="N401" s="17">
        <v>454700362711</v>
      </c>
      <c r="O401" s="15">
        <v>19900461</v>
      </c>
      <c r="P401" s="18" t="s">
        <v>154</v>
      </c>
      <c r="Q401" s="18">
        <v>9</v>
      </c>
      <c r="R401" s="18">
        <v>0.71399999999999997</v>
      </c>
      <c r="S401" s="15">
        <v>95.38</v>
      </c>
      <c r="T401" s="16">
        <v>45824</v>
      </c>
      <c r="U401" s="19">
        <v>45883</v>
      </c>
      <c r="V401" s="16">
        <v>45824</v>
      </c>
      <c r="W401" s="16">
        <v>45826</v>
      </c>
      <c r="X401" s="57">
        <f t="shared" si="11"/>
        <v>45825</v>
      </c>
      <c r="Y401" s="63">
        <v>45832</v>
      </c>
      <c r="Z401" s="67">
        <v>45861</v>
      </c>
      <c r="AA401" s="71">
        <f t="shared" si="12"/>
        <v>45874</v>
      </c>
      <c r="AB401" s="20">
        <f t="shared" si="13"/>
        <v>-9</v>
      </c>
      <c r="AC401" s="20" t="s">
        <v>50</v>
      </c>
      <c r="AD401" s="21" t="s">
        <v>51</v>
      </c>
      <c r="AE401" s="21"/>
      <c r="AF401" s="22" t="s">
        <v>52</v>
      </c>
      <c r="AG401" s="23" t="s">
        <v>53</v>
      </c>
      <c r="AH401" s="24"/>
      <c r="AN401" s="24"/>
    </row>
    <row r="402" spans="1:40" ht="12.75">
      <c r="A402" s="15">
        <v>3254508</v>
      </c>
      <c r="B402" s="15" t="s">
        <v>37</v>
      </c>
      <c r="C402" s="15" t="s">
        <v>38</v>
      </c>
      <c r="D402" s="15" t="s">
        <v>85</v>
      </c>
      <c r="E402" s="15" t="s">
        <v>140</v>
      </c>
      <c r="F402" s="15" t="s">
        <v>41</v>
      </c>
      <c r="G402" s="15" t="s">
        <v>147</v>
      </c>
      <c r="H402" s="15" t="s">
        <v>76</v>
      </c>
      <c r="I402" s="15" t="s">
        <v>77</v>
      </c>
      <c r="J402" s="15" t="s">
        <v>88</v>
      </c>
      <c r="K402" s="15" t="s">
        <v>60</v>
      </c>
      <c r="L402" s="16" t="s">
        <v>61</v>
      </c>
      <c r="M402" s="15" t="s">
        <v>48</v>
      </c>
      <c r="N402" s="17">
        <v>454700762303</v>
      </c>
      <c r="O402" s="15">
        <v>19900412</v>
      </c>
      <c r="P402" s="18" t="s">
        <v>174</v>
      </c>
      <c r="Q402" s="18">
        <v>6</v>
      </c>
      <c r="R402" s="18">
        <v>0.39500000000000002</v>
      </c>
      <c r="S402" s="15">
        <v>46.725000000000001</v>
      </c>
      <c r="T402" s="16">
        <v>45824</v>
      </c>
      <c r="U402" s="19">
        <v>45883</v>
      </c>
      <c r="V402" s="16">
        <v>45824</v>
      </c>
      <c r="W402" s="16">
        <v>45826</v>
      </c>
      <c r="X402" s="57">
        <f t="shared" si="11"/>
        <v>45825</v>
      </c>
      <c r="Y402" s="63">
        <v>45832</v>
      </c>
      <c r="Z402" s="67">
        <v>45861</v>
      </c>
      <c r="AA402" s="71">
        <f t="shared" si="12"/>
        <v>45874</v>
      </c>
      <c r="AB402" s="20">
        <f t="shared" si="13"/>
        <v>-9</v>
      </c>
      <c r="AC402" s="20" t="s">
        <v>50</v>
      </c>
      <c r="AD402" s="21" t="s">
        <v>51</v>
      </c>
      <c r="AE402" s="21"/>
      <c r="AF402" s="22" t="s">
        <v>52</v>
      </c>
      <c r="AG402" s="23" t="s">
        <v>53</v>
      </c>
      <c r="AH402" s="24"/>
      <c r="AN402" s="24"/>
    </row>
    <row r="403" spans="1:40" ht="12.75">
      <c r="A403" s="15">
        <v>3254508</v>
      </c>
      <c r="B403" s="15" t="s">
        <v>37</v>
      </c>
      <c r="C403" s="15" t="s">
        <v>38</v>
      </c>
      <c r="D403" s="15" t="s">
        <v>85</v>
      </c>
      <c r="E403" s="15" t="s">
        <v>140</v>
      </c>
      <c r="F403" s="15" t="s">
        <v>41</v>
      </c>
      <c r="G403" s="15" t="s">
        <v>147</v>
      </c>
      <c r="H403" s="15" t="s">
        <v>76</v>
      </c>
      <c r="I403" s="15" t="s">
        <v>77</v>
      </c>
      <c r="J403" s="15" t="s">
        <v>88</v>
      </c>
      <c r="K403" s="15" t="s">
        <v>60</v>
      </c>
      <c r="L403" s="16" t="s">
        <v>61</v>
      </c>
      <c r="M403" s="15" t="s">
        <v>48</v>
      </c>
      <c r="N403" s="17">
        <v>454700903665</v>
      </c>
      <c r="O403" s="15">
        <v>19900430</v>
      </c>
      <c r="P403" s="18" t="s">
        <v>174</v>
      </c>
      <c r="Q403" s="18">
        <v>8</v>
      </c>
      <c r="R403" s="18">
        <v>0.47399999999999998</v>
      </c>
      <c r="S403" s="15">
        <v>61.231999999999999</v>
      </c>
      <c r="T403" s="16">
        <v>45824</v>
      </c>
      <c r="U403" s="19">
        <v>45883</v>
      </c>
      <c r="V403" s="16">
        <v>45824</v>
      </c>
      <c r="W403" s="16">
        <v>45826</v>
      </c>
      <c r="X403" s="57">
        <f t="shared" si="11"/>
        <v>45825</v>
      </c>
      <c r="Y403" s="63">
        <v>45832</v>
      </c>
      <c r="Z403" s="67">
        <v>45861</v>
      </c>
      <c r="AA403" s="71">
        <f t="shared" si="12"/>
        <v>45874</v>
      </c>
      <c r="AB403" s="20">
        <f t="shared" si="13"/>
        <v>-9</v>
      </c>
      <c r="AC403" s="20" t="s">
        <v>50</v>
      </c>
      <c r="AD403" s="21" t="s">
        <v>51</v>
      </c>
      <c r="AE403" s="21"/>
      <c r="AF403" s="22" t="s">
        <v>52</v>
      </c>
      <c r="AG403" s="23" t="s">
        <v>53</v>
      </c>
      <c r="AH403" s="24"/>
      <c r="AN403" s="24"/>
    </row>
    <row r="404" spans="1:40" ht="12.75">
      <c r="A404" s="15">
        <v>3254508</v>
      </c>
      <c r="B404" s="15" t="s">
        <v>37</v>
      </c>
      <c r="C404" s="15" t="s">
        <v>38</v>
      </c>
      <c r="D404" s="15" t="s">
        <v>85</v>
      </c>
      <c r="E404" s="15" t="s">
        <v>140</v>
      </c>
      <c r="F404" s="15" t="s">
        <v>41</v>
      </c>
      <c r="G404" s="15" t="s">
        <v>147</v>
      </c>
      <c r="H404" s="15" t="s">
        <v>76</v>
      </c>
      <c r="I404" s="15" t="s">
        <v>77</v>
      </c>
      <c r="J404" s="15" t="s">
        <v>88</v>
      </c>
      <c r="K404" s="15" t="s">
        <v>60</v>
      </c>
      <c r="L404" s="16" t="s">
        <v>61</v>
      </c>
      <c r="M404" s="15" t="s">
        <v>48</v>
      </c>
      <c r="N404" s="17">
        <v>454701117988</v>
      </c>
      <c r="O404" s="15">
        <v>19900444</v>
      </c>
      <c r="P404" s="18" t="s">
        <v>174</v>
      </c>
      <c r="Q404" s="18">
        <v>2</v>
      </c>
      <c r="R404" s="18">
        <v>0.11899999999999999</v>
      </c>
      <c r="S404" s="15">
        <v>12.34</v>
      </c>
      <c r="T404" s="16">
        <v>45824</v>
      </c>
      <c r="U404" s="19">
        <v>45883</v>
      </c>
      <c r="V404" s="16">
        <v>45824</v>
      </c>
      <c r="W404" s="16">
        <v>45826</v>
      </c>
      <c r="X404" s="57">
        <f t="shared" si="11"/>
        <v>45825</v>
      </c>
      <c r="Y404" s="63">
        <v>45832</v>
      </c>
      <c r="Z404" s="67">
        <v>45861</v>
      </c>
      <c r="AA404" s="71">
        <f t="shared" si="12"/>
        <v>45874</v>
      </c>
      <c r="AB404" s="20">
        <f t="shared" si="13"/>
        <v>-9</v>
      </c>
      <c r="AC404" s="20" t="s">
        <v>50</v>
      </c>
      <c r="AD404" s="21" t="s">
        <v>51</v>
      </c>
      <c r="AE404" s="21"/>
      <c r="AF404" s="22" t="s">
        <v>52</v>
      </c>
      <c r="AG404" s="23" t="s">
        <v>53</v>
      </c>
      <c r="AH404" s="24"/>
      <c r="AN404" s="24"/>
    </row>
    <row r="405" spans="1:40" ht="12.75">
      <c r="A405" s="15">
        <v>3254508</v>
      </c>
      <c r="B405" s="15" t="s">
        <v>37</v>
      </c>
      <c r="C405" s="15" t="s">
        <v>38</v>
      </c>
      <c r="D405" s="15" t="s">
        <v>85</v>
      </c>
      <c r="E405" s="15" t="s">
        <v>140</v>
      </c>
      <c r="F405" s="15" t="s">
        <v>41</v>
      </c>
      <c r="G405" s="15" t="s">
        <v>147</v>
      </c>
      <c r="H405" s="15" t="s">
        <v>76</v>
      </c>
      <c r="I405" s="15" t="s">
        <v>77</v>
      </c>
      <c r="J405" s="15" t="s">
        <v>88</v>
      </c>
      <c r="K405" s="15" t="s">
        <v>60</v>
      </c>
      <c r="L405" s="16" t="s">
        <v>61</v>
      </c>
      <c r="M405" s="15" t="s">
        <v>48</v>
      </c>
      <c r="N405" s="17">
        <v>454701118361</v>
      </c>
      <c r="O405" s="15">
        <v>19900496</v>
      </c>
      <c r="P405" s="18" t="s">
        <v>148</v>
      </c>
      <c r="Q405" s="18">
        <v>11</v>
      </c>
      <c r="R405" s="18">
        <v>0.82899999999999996</v>
      </c>
      <c r="S405" s="15">
        <v>126.54</v>
      </c>
      <c r="T405" s="16">
        <v>45824</v>
      </c>
      <c r="U405" s="19">
        <v>45883</v>
      </c>
      <c r="V405" s="16">
        <v>45824</v>
      </c>
      <c r="W405" s="16">
        <v>45826</v>
      </c>
      <c r="X405" s="57">
        <f t="shared" si="11"/>
        <v>45825</v>
      </c>
      <c r="Y405" s="63">
        <v>45832</v>
      </c>
      <c r="Z405" s="67">
        <v>45861</v>
      </c>
      <c r="AA405" s="71">
        <f t="shared" si="12"/>
        <v>45874</v>
      </c>
      <c r="AB405" s="20">
        <f t="shared" si="13"/>
        <v>-9</v>
      </c>
      <c r="AC405" s="20" t="s">
        <v>50</v>
      </c>
      <c r="AD405" s="21" t="s">
        <v>51</v>
      </c>
      <c r="AE405" s="21"/>
      <c r="AF405" s="22" t="s">
        <v>52</v>
      </c>
      <c r="AG405" s="23" t="s">
        <v>53</v>
      </c>
      <c r="AH405" s="24"/>
      <c r="AN405" s="24"/>
    </row>
    <row r="406" spans="1:40" ht="12.75">
      <c r="A406" s="15">
        <v>3254508</v>
      </c>
      <c r="B406" s="15" t="s">
        <v>37</v>
      </c>
      <c r="C406" s="15" t="s">
        <v>38</v>
      </c>
      <c r="D406" s="15" t="s">
        <v>85</v>
      </c>
      <c r="E406" s="15" t="s">
        <v>140</v>
      </c>
      <c r="F406" s="15" t="s">
        <v>41</v>
      </c>
      <c r="G406" s="15" t="s">
        <v>147</v>
      </c>
      <c r="H406" s="15" t="s">
        <v>76</v>
      </c>
      <c r="I406" s="15" t="s">
        <v>77</v>
      </c>
      <c r="J406" s="15" t="s">
        <v>88</v>
      </c>
      <c r="K406" s="15" t="s">
        <v>60</v>
      </c>
      <c r="L406" s="16" t="s">
        <v>61</v>
      </c>
      <c r="M406" s="15" t="s">
        <v>48</v>
      </c>
      <c r="N406" s="17">
        <v>454701233029</v>
      </c>
      <c r="O406" s="15">
        <v>19900451</v>
      </c>
      <c r="P406" s="18" t="s">
        <v>154</v>
      </c>
      <c r="Q406" s="18">
        <v>18</v>
      </c>
      <c r="R406" s="18">
        <v>1.3480000000000001</v>
      </c>
      <c r="S406" s="15">
        <v>198.66</v>
      </c>
      <c r="T406" s="16">
        <v>45824</v>
      </c>
      <c r="U406" s="19">
        <v>45883</v>
      </c>
      <c r="V406" s="16">
        <v>45824</v>
      </c>
      <c r="W406" s="16">
        <v>45826</v>
      </c>
      <c r="X406" s="57">
        <f t="shared" si="11"/>
        <v>45825</v>
      </c>
      <c r="Y406" s="63">
        <v>45832</v>
      </c>
      <c r="Z406" s="67">
        <v>45861</v>
      </c>
      <c r="AA406" s="71">
        <f t="shared" si="12"/>
        <v>45874</v>
      </c>
      <c r="AB406" s="20">
        <f t="shared" si="13"/>
        <v>-9</v>
      </c>
      <c r="AC406" s="20" t="s">
        <v>50</v>
      </c>
      <c r="AD406" s="21" t="s">
        <v>51</v>
      </c>
      <c r="AE406" s="21"/>
      <c r="AF406" s="22" t="s">
        <v>52</v>
      </c>
      <c r="AG406" s="23" t="s">
        <v>53</v>
      </c>
      <c r="AH406" s="24"/>
      <c r="AN406" s="24"/>
    </row>
    <row r="407" spans="1:40" ht="12.75">
      <c r="A407" s="15">
        <v>3254508</v>
      </c>
      <c r="B407" s="15" t="s">
        <v>37</v>
      </c>
      <c r="C407" s="15" t="s">
        <v>38</v>
      </c>
      <c r="D407" s="15" t="s">
        <v>85</v>
      </c>
      <c r="E407" s="15" t="s">
        <v>140</v>
      </c>
      <c r="F407" s="15" t="s">
        <v>41</v>
      </c>
      <c r="G407" s="15" t="s">
        <v>147</v>
      </c>
      <c r="H407" s="15" t="s">
        <v>76</v>
      </c>
      <c r="I407" s="15" t="s">
        <v>77</v>
      </c>
      <c r="J407" s="15" t="s">
        <v>88</v>
      </c>
      <c r="K407" s="15" t="s">
        <v>60</v>
      </c>
      <c r="L407" s="16" t="s">
        <v>61</v>
      </c>
      <c r="M407" s="15" t="s">
        <v>48</v>
      </c>
      <c r="N407" s="17">
        <v>454701612929</v>
      </c>
      <c r="O407" s="15">
        <v>19900474</v>
      </c>
      <c r="P407" s="18" t="s">
        <v>173</v>
      </c>
      <c r="Q407" s="18">
        <v>5</v>
      </c>
      <c r="R407" s="18">
        <v>0.35499999999999998</v>
      </c>
      <c r="S407" s="15">
        <v>32.222000000000001</v>
      </c>
      <c r="T407" s="16">
        <v>45824</v>
      </c>
      <c r="U407" s="19">
        <v>45883</v>
      </c>
      <c r="V407" s="16">
        <v>45824</v>
      </c>
      <c r="W407" s="16">
        <v>45826</v>
      </c>
      <c r="X407" s="57">
        <f t="shared" si="11"/>
        <v>45825</v>
      </c>
      <c r="Y407" s="63">
        <v>45832</v>
      </c>
      <c r="Z407" s="67">
        <v>45861</v>
      </c>
      <c r="AA407" s="71">
        <f t="shared" si="12"/>
        <v>45874</v>
      </c>
      <c r="AB407" s="20">
        <f t="shared" si="13"/>
        <v>-9</v>
      </c>
      <c r="AC407" s="20" t="s">
        <v>50</v>
      </c>
      <c r="AD407" s="21" t="s">
        <v>51</v>
      </c>
      <c r="AE407" s="21"/>
      <c r="AF407" s="22" t="s">
        <v>52</v>
      </c>
      <c r="AG407" s="23" t="s">
        <v>53</v>
      </c>
      <c r="AH407" s="24"/>
      <c r="AN407" s="24"/>
    </row>
    <row r="408" spans="1:40" ht="12.75">
      <c r="A408" s="15">
        <v>3254508</v>
      </c>
      <c r="B408" s="15" t="s">
        <v>37</v>
      </c>
      <c r="C408" s="15" t="s">
        <v>38</v>
      </c>
      <c r="D408" s="15" t="s">
        <v>85</v>
      </c>
      <c r="E408" s="15" t="s">
        <v>140</v>
      </c>
      <c r="F408" s="15" t="s">
        <v>41</v>
      </c>
      <c r="G408" s="15" t="s">
        <v>147</v>
      </c>
      <c r="H408" s="15" t="s">
        <v>76</v>
      </c>
      <c r="I408" s="15" t="s">
        <v>77</v>
      </c>
      <c r="J408" s="15" t="s">
        <v>88</v>
      </c>
      <c r="K408" s="15" t="s">
        <v>60</v>
      </c>
      <c r="L408" s="16" t="s">
        <v>61</v>
      </c>
      <c r="M408" s="15" t="s">
        <v>48</v>
      </c>
      <c r="N408" s="17">
        <v>454723450691</v>
      </c>
      <c r="O408" s="15">
        <v>91018841</v>
      </c>
      <c r="P408" s="18" t="s">
        <v>159</v>
      </c>
      <c r="Q408" s="18">
        <v>4</v>
      </c>
      <c r="R408" s="18">
        <v>0.19700000000000001</v>
      </c>
      <c r="S408" s="15">
        <v>16.305</v>
      </c>
      <c r="T408" s="16">
        <v>45824</v>
      </c>
      <c r="U408" s="19">
        <v>45888</v>
      </c>
      <c r="V408" s="16">
        <v>45824</v>
      </c>
      <c r="W408" s="16">
        <v>45826</v>
      </c>
      <c r="X408" s="57">
        <f t="shared" si="11"/>
        <v>45825</v>
      </c>
      <c r="Y408" s="63">
        <v>45832</v>
      </c>
      <c r="Z408" s="67">
        <v>45861</v>
      </c>
      <c r="AA408" s="71">
        <f t="shared" si="12"/>
        <v>45874</v>
      </c>
      <c r="AB408" s="20">
        <f t="shared" si="13"/>
        <v>-14</v>
      </c>
      <c r="AC408" s="20" t="s">
        <v>50</v>
      </c>
      <c r="AD408" s="21" t="s">
        <v>51</v>
      </c>
      <c r="AE408" s="21"/>
      <c r="AF408" s="22" t="s">
        <v>52</v>
      </c>
      <c r="AG408" s="23" t="s">
        <v>53</v>
      </c>
      <c r="AH408" s="24"/>
      <c r="AN408" s="24"/>
    </row>
    <row r="409" spans="1:40" ht="12.75">
      <c r="A409" s="15">
        <v>3254508</v>
      </c>
      <c r="B409" s="15" t="s">
        <v>37</v>
      </c>
      <c r="C409" s="15" t="s">
        <v>38</v>
      </c>
      <c r="D409" s="15" t="s">
        <v>85</v>
      </c>
      <c r="E409" s="15" t="s">
        <v>140</v>
      </c>
      <c r="F409" s="15" t="s">
        <v>41</v>
      </c>
      <c r="G409" s="15" t="s">
        <v>147</v>
      </c>
      <c r="H409" s="15" t="s">
        <v>76</v>
      </c>
      <c r="I409" s="15" t="s">
        <v>77</v>
      </c>
      <c r="J409" s="15" t="s">
        <v>88</v>
      </c>
      <c r="K409" s="15" t="s">
        <v>60</v>
      </c>
      <c r="L409" s="16" t="s">
        <v>61</v>
      </c>
      <c r="M409" s="15" t="s">
        <v>48</v>
      </c>
      <c r="N409" s="17">
        <v>454724680701</v>
      </c>
      <c r="O409" s="15">
        <v>91018990</v>
      </c>
      <c r="P409" s="18" t="s">
        <v>160</v>
      </c>
      <c r="Q409" s="18">
        <v>21</v>
      </c>
      <c r="R409" s="18">
        <v>1.5860000000000001</v>
      </c>
      <c r="S409" s="15">
        <v>161.66</v>
      </c>
      <c r="T409" s="16">
        <v>45824</v>
      </c>
      <c r="U409" s="19">
        <v>45888</v>
      </c>
      <c r="V409" s="16">
        <v>45824</v>
      </c>
      <c r="W409" s="16">
        <v>45826</v>
      </c>
      <c r="X409" s="57">
        <f t="shared" si="11"/>
        <v>45825</v>
      </c>
      <c r="Y409" s="63">
        <v>45832</v>
      </c>
      <c r="Z409" s="67">
        <v>45861</v>
      </c>
      <c r="AA409" s="71">
        <f t="shared" si="12"/>
        <v>45874</v>
      </c>
      <c r="AB409" s="20">
        <f t="shared" si="13"/>
        <v>-14</v>
      </c>
      <c r="AC409" s="20" t="s">
        <v>50</v>
      </c>
      <c r="AD409" s="21" t="s">
        <v>51</v>
      </c>
      <c r="AE409" s="21"/>
      <c r="AF409" s="22" t="s">
        <v>52</v>
      </c>
      <c r="AG409" s="23" t="s">
        <v>53</v>
      </c>
      <c r="AH409" s="24"/>
      <c r="AN409" s="24"/>
    </row>
    <row r="410" spans="1:40" ht="12.75">
      <c r="A410" s="15">
        <v>3254508</v>
      </c>
      <c r="B410" s="15" t="s">
        <v>37</v>
      </c>
      <c r="C410" s="15" t="s">
        <v>38</v>
      </c>
      <c r="D410" s="15" t="s">
        <v>85</v>
      </c>
      <c r="E410" s="15" t="s">
        <v>140</v>
      </c>
      <c r="F410" s="15" t="s">
        <v>41</v>
      </c>
      <c r="G410" s="15" t="s">
        <v>147</v>
      </c>
      <c r="H410" s="15" t="s">
        <v>76</v>
      </c>
      <c r="I410" s="15" t="s">
        <v>77</v>
      </c>
      <c r="J410" s="15" t="s">
        <v>88</v>
      </c>
      <c r="K410" s="15" t="s">
        <v>60</v>
      </c>
      <c r="L410" s="16" t="s">
        <v>61</v>
      </c>
      <c r="M410" s="15" t="s">
        <v>48</v>
      </c>
      <c r="N410" s="17">
        <v>454725048313</v>
      </c>
      <c r="O410" s="15">
        <v>91019031</v>
      </c>
      <c r="P410" s="18" t="s">
        <v>160</v>
      </c>
      <c r="Q410" s="18">
        <v>7</v>
      </c>
      <c r="R410" s="18">
        <v>0.51300000000000001</v>
      </c>
      <c r="S410" s="15">
        <v>49.487000000000002</v>
      </c>
      <c r="T410" s="16">
        <v>45824</v>
      </c>
      <c r="U410" s="19">
        <v>45888</v>
      </c>
      <c r="V410" s="16">
        <v>45824</v>
      </c>
      <c r="W410" s="16">
        <v>45826</v>
      </c>
      <c r="X410" s="57">
        <f t="shared" si="11"/>
        <v>45825</v>
      </c>
      <c r="Y410" s="63">
        <v>45832</v>
      </c>
      <c r="Z410" s="67">
        <v>45861</v>
      </c>
      <c r="AA410" s="71">
        <f t="shared" si="12"/>
        <v>45874</v>
      </c>
      <c r="AB410" s="20">
        <f t="shared" si="13"/>
        <v>-14</v>
      </c>
      <c r="AC410" s="20" t="s">
        <v>50</v>
      </c>
      <c r="AD410" s="21" t="s">
        <v>51</v>
      </c>
      <c r="AE410" s="21"/>
      <c r="AF410" s="22" t="s">
        <v>52</v>
      </c>
      <c r="AG410" s="23" t="s">
        <v>53</v>
      </c>
      <c r="AH410" s="24"/>
      <c r="AN410" s="24"/>
    </row>
    <row r="411" spans="1:40" ht="12.75">
      <c r="A411" s="15">
        <v>3254508</v>
      </c>
      <c r="B411" s="15" t="s">
        <v>37</v>
      </c>
      <c r="C411" s="15" t="s">
        <v>38</v>
      </c>
      <c r="D411" s="15" t="s">
        <v>85</v>
      </c>
      <c r="E411" s="15" t="s">
        <v>140</v>
      </c>
      <c r="F411" s="15" t="s">
        <v>41</v>
      </c>
      <c r="G411" s="15" t="s">
        <v>147</v>
      </c>
      <c r="H411" s="15" t="s">
        <v>76</v>
      </c>
      <c r="I411" s="15" t="s">
        <v>77</v>
      </c>
      <c r="J411" s="15" t="s">
        <v>88</v>
      </c>
      <c r="K411" s="15" t="s">
        <v>60</v>
      </c>
      <c r="L411" s="16" t="s">
        <v>82</v>
      </c>
      <c r="M411" s="15" t="s">
        <v>48</v>
      </c>
      <c r="N411" s="17">
        <v>454698380029</v>
      </c>
      <c r="O411" s="15">
        <v>19900051</v>
      </c>
      <c r="P411" s="18" t="s">
        <v>154</v>
      </c>
      <c r="Q411" s="18">
        <v>20</v>
      </c>
      <c r="R411" s="18">
        <v>1.4219999999999999</v>
      </c>
      <c r="S411" s="15">
        <v>217.738</v>
      </c>
      <c r="T411" s="16">
        <v>45824</v>
      </c>
      <c r="U411" s="19">
        <v>45883</v>
      </c>
      <c r="V411" s="16">
        <v>45824</v>
      </c>
      <c r="W411" s="16">
        <v>45826</v>
      </c>
      <c r="X411" s="57">
        <f t="shared" si="11"/>
        <v>45825</v>
      </c>
      <c r="Y411" s="63">
        <v>45832</v>
      </c>
      <c r="Z411" s="67">
        <v>45861</v>
      </c>
      <c r="AA411" s="71">
        <f t="shared" si="12"/>
        <v>45874</v>
      </c>
      <c r="AB411" s="20">
        <f t="shared" si="13"/>
        <v>-9</v>
      </c>
      <c r="AC411" s="20" t="s">
        <v>50</v>
      </c>
      <c r="AD411" s="21" t="s">
        <v>51</v>
      </c>
      <c r="AE411" s="21"/>
      <c r="AF411" s="22" t="s">
        <v>52</v>
      </c>
      <c r="AG411" s="23" t="s">
        <v>53</v>
      </c>
      <c r="AH411" s="24"/>
      <c r="AN411" s="24"/>
    </row>
    <row r="412" spans="1:40" ht="12.75">
      <c r="A412" s="15">
        <v>3254508</v>
      </c>
      <c r="B412" s="15" t="s">
        <v>37</v>
      </c>
      <c r="C412" s="15" t="s">
        <v>38</v>
      </c>
      <c r="D412" s="15" t="s">
        <v>85</v>
      </c>
      <c r="E412" s="15" t="s">
        <v>140</v>
      </c>
      <c r="F412" s="15" t="s">
        <v>41</v>
      </c>
      <c r="G412" s="15" t="s">
        <v>147</v>
      </c>
      <c r="H412" s="15" t="s">
        <v>76</v>
      </c>
      <c r="I412" s="15" t="s">
        <v>77</v>
      </c>
      <c r="J412" s="15" t="s">
        <v>88</v>
      </c>
      <c r="K412" s="15" t="s">
        <v>60</v>
      </c>
      <c r="L412" s="16" t="s">
        <v>82</v>
      </c>
      <c r="M412" s="15" t="s">
        <v>48</v>
      </c>
      <c r="N412" s="17">
        <v>454698381085</v>
      </c>
      <c r="O412" s="15">
        <v>19900121</v>
      </c>
      <c r="P412" s="18" t="s">
        <v>170</v>
      </c>
      <c r="Q412" s="18">
        <v>6</v>
      </c>
      <c r="R412" s="18">
        <v>0.434</v>
      </c>
      <c r="S412" s="15">
        <v>40.567</v>
      </c>
      <c r="T412" s="16">
        <v>45824</v>
      </c>
      <c r="U412" s="19">
        <v>45883</v>
      </c>
      <c r="V412" s="16">
        <v>45824</v>
      </c>
      <c r="W412" s="16">
        <v>45826</v>
      </c>
      <c r="X412" s="57">
        <f t="shared" si="11"/>
        <v>45825</v>
      </c>
      <c r="Y412" s="63">
        <v>45832</v>
      </c>
      <c r="Z412" s="67">
        <v>45861</v>
      </c>
      <c r="AA412" s="71">
        <f t="shared" si="12"/>
        <v>45874</v>
      </c>
      <c r="AB412" s="20">
        <f t="shared" si="13"/>
        <v>-9</v>
      </c>
      <c r="AC412" s="20" t="s">
        <v>50</v>
      </c>
      <c r="AD412" s="21" t="s">
        <v>51</v>
      </c>
      <c r="AE412" s="21"/>
      <c r="AF412" s="22" t="s">
        <v>52</v>
      </c>
      <c r="AG412" s="23" t="s">
        <v>53</v>
      </c>
      <c r="AH412" s="24"/>
      <c r="AN412" s="24"/>
    </row>
    <row r="413" spans="1:40" ht="12.75">
      <c r="A413" s="15">
        <v>3254508</v>
      </c>
      <c r="B413" s="15" t="s">
        <v>37</v>
      </c>
      <c r="C413" s="15" t="s">
        <v>38</v>
      </c>
      <c r="D413" s="15" t="s">
        <v>85</v>
      </c>
      <c r="E413" s="15" t="s">
        <v>140</v>
      </c>
      <c r="F413" s="15" t="s">
        <v>41</v>
      </c>
      <c r="G413" s="15" t="s">
        <v>147</v>
      </c>
      <c r="H413" s="15" t="s">
        <v>76</v>
      </c>
      <c r="I413" s="15" t="s">
        <v>77</v>
      </c>
      <c r="J413" s="15" t="s">
        <v>88</v>
      </c>
      <c r="K413" s="15" t="s">
        <v>60</v>
      </c>
      <c r="L413" s="16" t="s">
        <v>82</v>
      </c>
      <c r="M413" s="15" t="s">
        <v>48</v>
      </c>
      <c r="N413" s="17">
        <v>454699447395</v>
      </c>
      <c r="O413" s="15">
        <v>19900084</v>
      </c>
      <c r="P413" s="18" t="s">
        <v>173</v>
      </c>
      <c r="Q413" s="18">
        <v>6</v>
      </c>
      <c r="R413" s="18">
        <v>0.436</v>
      </c>
      <c r="S413" s="15">
        <v>46.7</v>
      </c>
      <c r="T413" s="16">
        <v>45824</v>
      </c>
      <c r="U413" s="19">
        <v>45883</v>
      </c>
      <c r="V413" s="16">
        <v>45824</v>
      </c>
      <c r="W413" s="16">
        <v>45826</v>
      </c>
      <c r="X413" s="57">
        <f t="shared" si="11"/>
        <v>45825</v>
      </c>
      <c r="Y413" s="63">
        <v>45832</v>
      </c>
      <c r="Z413" s="67">
        <v>45861</v>
      </c>
      <c r="AA413" s="71">
        <f t="shared" si="12"/>
        <v>45874</v>
      </c>
      <c r="AB413" s="20">
        <f t="shared" si="13"/>
        <v>-9</v>
      </c>
      <c r="AC413" s="20" t="s">
        <v>50</v>
      </c>
      <c r="AD413" s="21" t="s">
        <v>51</v>
      </c>
      <c r="AE413" s="21"/>
      <c r="AF413" s="22" t="s">
        <v>52</v>
      </c>
      <c r="AG413" s="23" t="s">
        <v>53</v>
      </c>
      <c r="AH413" s="24"/>
      <c r="AN413" s="24"/>
    </row>
    <row r="414" spans="1:40" ht="12.75">
      <c r="A414" s="15">
        <v>3254508</v>
      </c>
      <c r="B414" s="15" t="s">
        <v>37</v>
      </c>
      <c r="C414" s="15" t="s">
        <v>38</v>
      </c>
      <c r="D414" s="15" t="s">
        <v>85</v>
      </c>
      <c r="E414" s="15" t="s">
        <v>140</v>
      </c>
      <c r="F414" s="15" t="s">
        <v>41</v>
      </c>
      <c r="G414" s="15" t="s">
        <v>147</v>
      </c>
      <c r="H414" s="15" t="s">
        <v>76</v>
      </c>
      <c r="I414" s="15" t="s">
        <v>77</v>
      </c>
      <c r="J414" s="15" t="s">
        <v>88</v>
      </c>
      <c r="K414" s="15" t="s">
        <v>60</v>
      </c>
      <c r="L414" s="16" t="s">
        <v>82</v>
      </c>
      <c r="M414" s="15" t="s">
        <v>48</v>
      </c>
      <c r="N414" s="17">
        <v>454699447554</v>
      </c>
      <c r="O414" s="15">
        <v>19900087</v>
      </c>
      <c r="P414" s="18" t="s">
        <v>173</v>
      </c>
      <c r="Q414" s="18">
        <v>4</v>
      </c>
      <c r="R414" s="18">
        <v>0.19800000000000001</v>
      </c>
      <c r="S414" s="15">
        <v>26.01</v>
      </c>
      <c r="T414" s="16">
        <v>45824</v>
      </c>
      <c r="U414" s="19">
        <v>45883</v>
      </c>
      <c r="V414" s="16">
        <v>45824</v>
      </c>
      <c r="W414" s="16">
        <v>45826</v>
      </c>
      <c r="X414" s="57">
        <f t="shared" si="11"/>
        <v>45825</v>
      </c>
      <c r="Y414" s="63">
        <v>45832</v>
      </c>
      <c r="Z414" s="67">
        <v>45861</v>
      </c>
      <c r="AA414" s="71">
        <f t="shared" si="12"/>
        <v>45874</v>
      </c>
      <c r="AB414" s="20">
        <f t="shared" si="13"/>
        <v>-9</v>
      </c>
      <c r="AC414" s="20" t="s">
        <v>50</v>
      </c>
      <c r="AD414" s="21" t="s">
        <v>51</v>
      </c>
      <c r="AE414" s="21"/>
      <c r="AF414" s="22" t="s">
        <v>52</v>
      </c>
      <c r="AG414" s="23" t="s">
        <v>53</v>
      </c>
      <c r="AH414" s="24"/>
      <c r="AN414" s="24"/>
    </row>
    <row r="415" spans="1:40" ht="12.75">
      <c r="A415" s="15">
        <v>3254508</v>
      </c>
      <c r="B415" s="15" t="s">
        <v>37</v>
      </c>
      <c r="C415" s="15" t="s">
        <v>38</v>
      </c>
      <c r="D415" s="15" t="s">
        <v>85</v>
      </c>
      <c r="E415" s="15" t="s">
        <v>140</v>
      </c>
      <c r="F415" s="15" t="s">
        <v>41</v>
      </c>
      <c r="G415" s="15" t="s">
        <v>147</v>
      </c>
      <c r="H415" s="15" t="s">
        <v>76</v>
      </c>
      <c r="I415" s="15" t="s">
        <v>77</v>
      </c>
      <c r="J415" s="15" t="s">
        <v>88</v>
      </c>
      <c r="K415" s="15" t="s">
        <v>60</v>
      </c>
      <c r="L415" s="16" t="s">
        <v>82</v>
      </c>
      <c r="M415" s="15" t="s">
        <v>48</v>
      </c>
      <c r="N415" s="17">
        <v>454699452340</v>
      </c>
      <c r="O415" s="15">
        <v>19900110</v>
      </c>
      <c r="P415" s="18" t="s">
        <v>171</v>
      </c>
      <c r="Q415" s="18">
        <v>32</v>
      </c>
      <c r="R415" s="18">
        <v>2.5270000000000001</v>
      </c>
      <c r="S415" s="15">
        <v>318.93400000000003</v>
      </c>
      <c r="T415" s="16">
        <v>45824</v>
      </c>
      <c r="U415" s="19">
        <v>45883</v>
      </c>
      <c r="V415" s="16">
        <v>45824</v>
      </c>
      <c r="W415" s="16">
        <v>45826</v>
      </c>
      <c r="X415" s="57">
        <f t="shared" si="11"/>
        <v>45825</v>
      </c>
      <c r="Y415" s="63">
        <v>45832</v>
      </c>
      <c r="Z415" s="67">
        <v>45861</v>
      </c>
      <c r="AA415" s="71">
        <f t="shared" si="12"/>
        <v>45874</v>
      </c>
      <c r="AB415" s="20">
        <f t="shared" si="13"/>
        <v>-9</v>
      </c>
      <c r="AC415" s="20" t="s">
        <v>50</v>
      </c>
      <c r="AD415" s="21" t="s">
        <v>51</v>
      </c>
      <c r="AE415" s="21"/>
      <c r="AF415" s="22" t="s">
        <v>52</v>
      </c>
      <c r="AG415" s="23" t="s">
        <v>53</v>
      </c>
      <c r="AH415" s="24"/>
      <c r="AN415" s="24"/>
    </row>
    <row r="416" spans="1:40" ht="12.75">
      <c r="A416" s="15">
        <v>3254508</v>
      </c>
      <c r="B416" s="15" t="s">
        <v>37</v>
      </c>
      <c r="C416" s="15" t="s">
        <v>38</v>
      </c>
      <c r="D416" s="15" t="s">
        <v>85</v>
      </c>
      <c r="E416" s="15" t="s">
        <v>140</v>
      </c>
      <c r="F416" s="15" t="s">
        <v>41</v>
      </c>
      <c r="G416" s="15" t="s">
        <v>147</v>
      </c>
      <c r="H416" s="15" t="s">
        <v>76</v>
      </c>
      <c r="I416" s="15" t="s">
        <v>77</v>
      </c>
      <c r="J416" s="15" t="s">
        <v>88</v>
      </c>
      <c r="K416" s="15" t="s">
        <v>60</v>
      </c>
      <c r="L416" s="16" t="s">
        <v>82</v>
      </c>
      <c r="M416" s="15" t="s">
        <v>48</v>
      </c>
      <c r="N416" s="17">
        <v>454955582669</v>
      </c>
      <c r="O416" s="15">
        <v>19900261</v>
      </c>
      <c r="P416" s="18" t="s">
        <v>83</v>
      </c>
      <c r="Q416" s="18">
        <v>3</v>
      </c>
      <c r="R416" s="18">
        <v>0.19700000000000001</v>
      </c>
      <c r="S416" s="15">
        <v>23.082999999999998</v>
      </c>
      <c r="T416" s="16">
        <v>45824</v>
      </c>
      <c r="U416" s="19">
        <v>45883</v>
      </c>
      <c r="V416" s="16">
        <v>45824</v>
      </c>
      <c r="W416" s="16">
        <v>45826</v>
      </c>
      <c r="X416" s="57">
        <f t="shared" si="11"/>
        <v>45825</v>
      </c>
      <c r="Y416" s="63">
        <v>45832</v>
      </c>
      <c r="Z416" s="67">
        <v>45861</v>
      </c>
      <c r="AA416" s="71">
        <f t="shared" si="12"/>
        <v>45874</v>
      </c>
      <c r="AB416" s="20">
        <f t="shared" si="13"/>
        <v>-9</v>
      </c>
      <c r="AC416" s="20" t="s">
        <v>50</v>
      </c>
      <c r="AD416" s="21" t="s">
        <v>51</v>
      </c>
      <c r="AE416" s="21"/>
      <c r="AF416" s="22" t="s">
        <v>52</v>
      </c>
      <c r="AG416" s="23" t="s">
        <v>53</v>
      </c>
      <c r="AH416" s="24"/>
      <c r="AN416" s="24"/>
    </row>
    <row r="417" spans="1:42" ht="12.75">
      <c r="A417" s="15">
        <v>3254508</v>
      </c>
      <c r="B417" s="15" t="s">
        <v>37</v>
      </c>
      <c r="C417" s="15" t="s">
        <v>38</v>
      </c>
      <c r="D417" s="15" t="s">
        <v>85</v>
      </c>
      <c r="E417" s="15" t="s">
        <v>86</v>
      </c>
      <c r="F417" s="15" t="s">
        <v>41</v>
      </c>
      <c r="G417" s="15" t="s">
        <v>147</v>
      </c>
      <c r="H417" s="15" t="s">
        <v>76</v>
      </c>
      <c r="I417" s="15" t="s">
        <v>77</v>
      </c>
      <c r="J417" s="15" t="s">
        <v>88</v>
      </c>
      <c r="K417" s="15" t="s">
        <v>46</v>
      </c>
      <c r="L417" s="16" t="s">
        <v>55</v>
      </c>
      <c r="M417" s="15" t="s">
        <v>48</v>
      </c>
      <c r="N417" s="17">
        <v>455683716916</v>
      </c>
      <c r="O417" s="15">
        <v>19855040</v>
      </c>
      <c r="P417" s="18" t="s">
        <v>175</v>
      </c>
      <c r="Q417" s="18">
        <v>5</v>
      </c>
      <c r="R417" s="18">
        <v>0.39300000000000002</v>
      </c>
      <c r="S417" s="15">
        <v>31.712</v>
      </c>
      <c r="T417" s="16">
        <v>45824</v>
      </c>
      <c r="U417" s="19">
        <v>45883</v>
      </c>
      <c r="V417" s="16">
        <v>45824</v>
      </c>
      <c r="W417" s="16">
        <v>45826</v>
      </c>
      <c r="X417" s="57">
        <f t="shared" si="11"/>
        <v>45825</v>
      </c>
      <c r="Y417" s="63">
        <v>45832</v>
      </c>
      <c r="Z417" s="67">
        <v>45861</v>
      </c>
      <c r="AA417" s="71">
        <f t="shared" si="12"/>
        <v>45874</v>
      </c>
      <c r="AB417" s="20">
        <f t="shared" si="13"/>
        <v>-9</v>
      </c>
      <c r="AC417" s="20" t="s">
        <v>50</v>
      </c>
      <c r="AD417" s="21" t="s">
        <v>51</v>
      </c>
      <c r="AE417" s="21"/>
      <c r="AF417" s="22" t="s">
        <v>52</v>
      </c>
      <c r="AG417" s="23" t="s">
        <v>53</v>
      </c>
      <c r="AN417" s="40"/>
      <c r="AO417" s="41"/>
      <c r="AP417" s="41"/>
    </row>
    <row r="418" spans="1:42" ht="12.75">
      <c r="A418" s="15">
        <v>3254508</v>
      </c>
      <c r="B418" s="15" t="s">
        <v>37</v>
      </c>
      <c r="C418" s="15" t="s">
        <v>38</v>
      </c>
      <c r="D418" s="15" t="s">
        <v>85</v>
      </c>
      <c r="E418" s="15" t="s">
        <v>86</v>
      </c>
      <c r="F418" s="15" t="s">
        <v>41</v>
      </c>
      <c r="G418" s="15" t="s">
        <v>147</v>
      </c>
      <c r="H418" s="15" t="s">
        <v>76</v>
      </c>
      <c r="I418" s="15" t="s">
        <v>77</v>
      </c>
      <c r="J418" s="15" t="s">
        <v>88</v>
      </c>
      <c r="K418" s="15" t="s">
        <v>46</v>
      </c>
      <c r="L418" s="16" t="s">
        <v>55</v>
      </c>
      <c r="M418" s="15" t="s">
        <v>48</v>
      </c>
      <c r="N418" s="17">
        <v>455688329627</v>
      </c>
      <c r="O418" s="15">
        <v>19855123</v>
      </c>
      <c r="P418" s="18" t="s">
        <v>175</v>
      </c>
      <c r="Q418" s="18">
        <v>12</v>
      </c>
      <c r="R418" s="18">
        <v>0.94199999999999995</v>
      </c>
      <c r="S418" s="15">
        <v>119.58</v>
      </c>
      <c r="T418" s="16">
        <v>45824</v>
      </c>
      <c r="U418" s="19">
        <v>45883</v>
      </c>
      <c r="V418" s="16">
        <v>45824</v>
      </c>
      <c r="W418" s="16">
        <v>45826</v>
      </c>
      <c r="X418" s="57">
        <f t="shared" si="11"/>
        <v>45825</v>
      </c>
      <c r="Y418" s="63">
        <v>45832</v>
      </c>
      <c r="Z418" s="67">
        <v>45861</v>
      </c>
      <c r="AA418" s="71">
        <f t="shared" si="12"/>
        <v>45874</v>
      </c>
      <c r="AB418" s="20">
        <f t="shared" si="13"/>
        <v>-9</v>
      </c>
      <c r="AC418" s="20" t="s">
        <v>50</v>
      </c>
      <c r="AD418" s="21" t="s">
        <v>51</v>
      </c>
      <c r="AE418" s="21"/>
      <c r="AF418" s="22" t="s">
        <v>52</v>
      </c>
      <c r="AG418" s="23" t="s">
        <v>53</v>
      </c>
      <c r="AN418" s="40"/>
      <c r="AO418" s="41"/>
      <c r="AP418" s="41"/>
    </row>
    <row r="419" spans="1:42" ht="12.75">
      <c r="A419" s="15">
        <v>3254508</v>
      </c>
      <c r="B419" s="15" t="s">
        <v>37</v>
      </c>
      <c r="C419" s="15" t="s">
        <v>38</v>
      </c>
      <c r="D419" s="15" t="s">
        <v>85</v>
      </c>
      <c r="E419" s="15" t="s">
        <v>86</v>
      </c>
      <c r="F419" s="15" t="s">
        <v>41</v>
      </c>
      <c r="G419" s="15" t="s">
        <v>147</v>
      </c>
      <c r="H419" s="15" t="s">
        <v>76</v>
      </c>
      <c r="I419" s="15" t="s">
        <v>77</v>
      </c>
      <c r="J419" s="15" t="s">
        <v>88</v>
      </c>
      <c r="K419" s="15" t="s">
        <v>60</v>
      </c>
      <c r="L419" s="16" t="s">
        <v>82</v>
      </c>
      <c r="M419" s="15" t="s">
        <v>48</v>
      </c>
      <c r="N419" s="17">
        <v>455588526597</v>
      </c>
      <c r="O419" s="15">
        <v>19911298</v>
      </c>
      <c r="P419" s="18" t="s">
        <v>176</v>
      </c>
      <c r="Q419" s="18">
        <v>11</v>
      </c>
      <c r="R419" s="18">
        <v>0.86899999999999999</v>
      </c>
      <c r="S419" s="15">
        <v>167.39699999999999</v>
      </c>
      <c r="T419" s="16">
        <v>45824</v>
      </c>
      <c r="U419" s="19">
        <v>45883</v>
      </c>
      <c r="V419" s="16">
        <v>45824</v>
      </c>
      <c r="W419" s="16">
        <v>45826</v>
      </c>
      <c r="X419" s="57">
        <f t="shared" si="11"/>
        <v>45825</v>
      </c>
      <c r="Y419" s="63">
        <v>45832</v>
      </c>
      <c r="Z419" s="67">
        <v>45861</v>
      </c>
      <c r="AA419" s="71">
        <f t="shared" si="12"/>
        <v>45874</v>
      </c>
      <c r="AB419" s="20">
        <f t="shared" si="13"/>
        <v>-9</v>
      </c>
      <c r="AC419" s="20" t="s">
        <v>50</v>
      </c>
      <c r="AD419" s="21" t="s">
        <v>51</v>
      </c>
      <c r="AE419" s="21"/>
      <c r="AF419" s="22" t="s">
        <v>52</v>
      </c>
      <c r="AG419" s="23" t="s">
        <v>53</v>
      </c>
      <c r="AN419" s="40"/>
      <c r="AO419" s="41"/>
      <c r="AP419" s="41"/>
    </row>
    <row r="420" spans="1:42" ht="12.75">
      <c r="A420" s="15">
        <v>3254508</v>
      </c>
      <c r="B420" s="15" t="s">
        <v>37</v>
      </c>
      <c r="C420" s="15" t="s">
        <v>38</v>
      </c>
      <c r="D420" s="15" t="s">
        <v>85</v>
      </c>
      <c r="E420" s="15" t="s">
        <v>86</v>
      </c>
      <c r="F420" s="15" t="s">
        <v>41</v>
      </c>
      <c r="G420" s="15" t="s">
        <v>147</v>
      </c>
      <c r="H420" s="15" t="s">
        <v>76</v>
      </c>
      <c r="I420" s="15" t="s">
        <v>77</v>
      </c>
      <c r="J420" s="15" t="s">
        <v>88</v>
      </c>
      <c r="K420" s="15" t="s">
        <v>60</v>
      </c>
      <c r="L420" s="16" t="s">
        <v>82</v>
      </c>
      <c r="M420" s="15" t="s">
        <v>48</v>
      </c>
      <c r="N420" s="17">
        <v>455589046661</v>
      </c>
      <c r="O420" s="15">
        <v>19923407</v>
      </c>
      <c r="P420" s="18" t="s">
        <v>176</v>
      </c>
      <c r="Q420" s="18">
        <v>5</v>
      </c>
      <c r="R420" s="18">
        <v>0.35499999999999998</v>
      </c>
      <c r="S420" s="15">
        <v>53.595999999999997</v>
      </c>
      <c r="T420" s="16">
        <v>45824</v>
      </c>
      <c r="U420" s="19">
        <v>45883</v>
      </c>
      <c r="V420" s="16">
        <v>45824</v>
      </c>
      <c r="W420" s="16">
        <v>45826</v>
      </c>
      <c r="X420" s="57">
        <f t="shared" si="11"/>
        <v>45825</v>
      </c>
      <c r="Y420" s="63">
        <v>45832</v>
      </c>
      <c r="Z420" s="67">
        <v>45861</v>
      </c>
      <c r="AA420" s="71">
        <f t="shared" si="12"/>
        <v>45874</v>
      </c>
      <c r="AB420" s="20">
        <f t="shared" si="13"/>
        <v>-9</v>
      </c>
      <c r="AC420" s="20" t="s">
        <v>50</v>
      </c>
      <c r="AD420" s="21" t="s">
        <v>51</v>
      </c>
      <c r="AE420" s="21"/>
      <c r="AF420" s="22" t="s">
        <v>52</v>
      </c>
      <c r="AG420" s="23" t="s">
        <v>53</v>
      </c>
      <c r="AN420" s="40"/>
      <c r="AO420" s="41"/>
      <c r="AP420" s="41"/>
    </row>
    <row r="421" spans="1:42" ht="12.75">
      <c r="A421" s="15">
        <v>3254508</v>
      </c>
      <c r="B421" s="15" t="s">
        <v>37</v>
      </c>
      <c r="C421" s="15" t="s">
        <v>38</v>
      </c>
      <c r="D421" s="15" t="s">
        <v>85</v>
      </c>
      <c r="E421" s="15" t="s">
        <v>140</v>
      </c>
      <c r="F421" s="15" t="s">
        <v>41</v>
      </c>
      <c r="G421" s="15" t="s">
        <v>147</v>
      </c>
      <c r="H421" s="15" t="s">
        <v>76</v>
      </c>
      <c r="I421" s="15" t="s">
        <v>77</v>
      </c>
      <c r="J421" s="15" t="s">
        <v>88</v>
      </c>
      <c r="K421" s="15" t="s">
        <v>60</v>
      </c>
      <c r="L421" s="16" t="s">
        <v>82</v>
      </c>
      <c r="M421" s="15" t="s">
        <v>48</v>
      </c>
      <c r="N421" s="17">
        <v>455588584748</v>
      </c>
      <c r="O421" s="15">
        <v>19900246</v>
      </c>
      <c r="P421" s="18" t="s">
        <v>176</v>
      </c>
      <c r="Q421" s="18">
        <v>2</v>
      </c>
      <c r="R421" s="18">
        <v>0.11799999999999999</v>
      </c>
      <c r="S421" s="15">
        <v>15.406000000000001</v>
      </c>
      <c r="T421" s="16">
        <v>45824</v>
      </c>
      <c r="U421" s="19">
        <v>45883</v>
      </c>
      <c r="V421" s="16">
        <v>45824</v>
      </c>
      <c r="W421" s="16">
        <v>45826</v>
      </c>
      <c r="X421" s="57">
        <f t="shared" si="11"/>
        <v>45825</v>
      </c>
      <c r="Y421" s="63">
        <v>45832</v>
      </c>
      <c r="Z421" s="67">
        <v>45861</v>
      </c>
      <c r="AA421" s="71">
        <f t="shared" si="12"/>
        <v>45874</v>
      </c>
      <c r="AB421" s="20">
        <f t="shared" si="13"/>
        <v>-9</v>
      </c>
      <c r="AC421" s="20" t="s">
        <v>50</v>
      </c>
      <c r="AD421" s="21" t="s">
        <v>51</v>
      </c>
      <c r="AE421" s="21"/>
      <c r="AF421" s="22" t="s">
        <v>52</v>
      </c>
      <c r="AG421" s="23" t="s">
        <v>53</v>
      </c>
      <c r="AN421" s="40"/>
      <c r="AO421" s="41"/>
      <c r="AP421" s="41"/>
    </row>
    <row r="422" spans="1:42" ht="12.75">
      <c r="A422" s="29" t="s">
        <v>177</v>
      </c>
      <c r="B422" s="29" t="s">
        <v>177</v>
      </c>
      <c r="C422" s="29"/>
      <c r="D422" s="29"/>
      <c r="E422" s="29"/>
      <c r="F422" s="29"/>
      <c r="G422" s="30"/>
      <c r="H422" s="31"/>
      <c r="I422" s="29"/>
      <c r="J422" s="29"/>
      <c r="K422" s="29"/>
      <c r="L422" s="31"/>
      <c r="M422" s="29"/>
      <c r="N422" s="32"/>
      <c r="O422" s="29"/>
      <c r="P422" s="33"/>
      <c r="Q422" s="33">
        <f t="shared" ref="Q422:S422" si="14">SUM(Q268:Q421)</f>
        <v>944</v>
      </c>
      <c r="R422" s="33">
        <f t="shared" si="14"/>
        <v>66.775000000000006</v>
      </c>
      <c r="S422" s="33">
        <f t="shared" si="14"/>
        <v>8406.3740000000016</v>
      </c>
      <c r="T422" s="31"/>
      <c r="U422" s="34"/>
      <c r="V422" s="34"/>
      <c r="W422" s="35"/>
      <c r="X422" s="58"/>
      <c r="Y422" s="64"/>
      <c r="Z422" s="68"/>
      <c r="AA422" s="72"/>
      <c r="AB422" s="36"/>
      <c r="AC422" s="36"/>
      <c r="AD422" s="37"/>
      <c r="AE422" s="37"/>
      <c r="AF422" s="38"/>
      <c r="AG422" s="37"/>
      <c r="AH422" s="36"/>
      <c r="AI422" s="29"/>
      <c r="AJ422" s="29"/>
      <c r="AK422" s="29"/>
      <c r="AL422" s="29"/>
      <c r="AM422" s="29"/>
      <c r="AN422" s="36"/>
      <c r="AO422" s="29"/>
      <c r="AP422" s="29"/>
    </row>
  </sheetData>
  <conditionalFormatting sqref="U417:U421">
    <cfRule type="notContainsBlanks" dxfId="3" priority="1">
      <formula>LEN(TRIM(U417))&gt;0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285BE-4108-F048-B1E3-F0933DDCEF0E}">
  <sheetPr>
    <outlinePr summaryBelow="0" summaryRight="0"/>
  </sheetPr>
  <dimension ref="A1:S931"/>
  <sheetViews>
    <sheetView workbookViewId="0"/>
  </sheetViews>
  <sheetFormatPr defaultColWidth="12.7109375" defaultRowHeight="15.75" customHeight="1"/>
  <cols>
    <col min="1" max="7" width="12.7109375" style="42"/>
    <col min="8" max="8" width="22.7109375" style="42" customWidth="1"/>
    <col min="9" max="16384" width="12.7109375" style="42"/>
  </cols>
  <sheetData>
    <row r="1" spans="1:19" ht="15.75" customHeight="1">
      <c r="A1" s="48" t="s">
        <v>2</v>
      </c>
      <c r="B1" s="45" t="s">
        <v>6</v>
      </c>
      <c r="C1" s="45" t="s">
        <v>3</v>
      </c>
      <c r="D1" s="45" t="s">
        <v>4</v>
      </c>
      <c r="E1" s="44" t="s">
        <v>7</v>
      </c>
      <c r="F1" s="45" t="s">
        <v>5</v>
      </c>
      <c r="G1" s="47" t="s">
        <v>27</v>
      </c>
      <c r="H1" s="43" t="s">
        <v>35</v>
      </c>
      <c r="I1" s="44" t="s">
        <v>11</v>
      </c>
      <c r="J1" s="43" t="s">
        <v>13</v>
      </c>
      <c r="K1" s="44" t="s">
        <v>23</v>
      </c>
      <c r="L1" s="44" t="s">
        <v>24</v>
      </c>
      <c r="M1" s="45" t="s">
        <v>28</v>
      </c>
      <c r="N1" s="45" t="s">
        <v>29</v>
      </c>
      <c r="O1" s="45" t="s">
        <v>30</v>
      </c>
      <c r="P1" s="47" t="s">
        <v>31</v>
      </c>
      <c r="Q1" s="45" t="s">
        <v>185</v>
      </c>
      <c r="R1" s="45" t="s">
        <v>184</v>
      </c>
      <c r="S1" s="45" t="s">
        <v>183</v>
      </c>
    </row>
    <row r="2" spans="1:19" ht="15.75" customHeight="1">
      <c r="A2" s="45"/>
      <c r="B2" s="46"/>
      <c r="C2" s="45"/>
      <c r="D2" s="45"/>
      <c r="E2" s="44"/>
      <c r="F2" s="45"/>
      <c r="G2" s="45"/>
      <c r="H2" s="43"/>
      <c r="I2" s="44"/>
      <c r="J2" s="43"/>
      <c r="K2" s="44"/>
      <c r="L2" s="44"/>
      <c r="M2" s="45"/>
      <c r="N2" s="45"/>
      <c r="O2" s="45"/>
      <c r="P2" s="45"/>
      <c r="Q2" s="44">
        <v>0</v>
      </c>
      <c r="R2" s="45">
        <v>2234</v>
      </c>
      <c r="S2" s="44">
        <v>0</v>
      </c>
    </row>
    <row r="3" spans="1:19" ht="15.75" customHeight="1">
      <c r="A3" s="45"/>
      <c r="B3" s="45" t="s">
        <v>182</v>
      </c>
      <c r="C3" s="45"/>
      <c r="D3" s="45"/>
      <c r="E3" s="45"/>
      <c r="F3" s="45"/>
      <c r="G3" s="45"/>
      <c r="H3" s="43"/>
      <c r="I3" s="45"/>
      <c r="J3" s="45"/>
      <c r="K3" s="45"/>
      <c r="L3" s="45"/>
      <c r="M3" s="45"/>
      <c r="N3" s="45"/>
      <c r="O3" s="45"/>
      <c r="P3" s="45"/>
      <c r="Q3" s="44">
        <v>0</v>
      </c>
      <c r="R3" s="45">
        <v>2234</v>
      </c>
      <c r="S3" s="44">
        <v>0</v>
      </c>
    </row>
    <row r="4" spans="1:19" ht="15.75" customHeight="1">
      <c r="A4" s="45" t="s">
        <v>38</v>
      </c>
      <c r="B4" s="45" t="s">
        <v>42</v>
      </c>
      <c r="C4" s="45" t="s">
        <v>39</v>
      </c>
      <c r="D4" s="45" t="s">
        <v>40</v>
      </c>
      <c r="E4" s="45" t="s">
        <v>43</v>
      </c>
      <c r="F4" s="45" t="s">
        <v>41</v>
      </c>
      <c r="G4" s="45">
        <v>-13</v>
      </c>
      <c r="H4" s="43"/>
      <c r="I4" s="44" t="s">
        <v>47</v>
      </c>
      <c r="J4" s="43">
        <v>452503025214</v>
      </c>
      <c r="K4" s="44">
        <v>45825</v>
      </c>
      <c r="L4" s="44">
        <v>45832</v>
      </c>
      <c r="M4" s="45" t="s">
        <v>50</v>
      </c>
      <c r="N4" s="45" t="s">
        <v>51</v>
      </c>
      <c r="O4" s="45"/>
      <c r="P4" s="45" t="s">
        <v>52</v>
      </c>
      <c r="Q4" s="44">
        <v>45824</v>
      </c>
      <c r="R4" s="45">
        <v>6</v>
      </c>
      <c r="S4" s="44">
        <v>45826</v>
      </c>
    </row>
    <row r="5" spans="1:19" ht="15.75" customHeight="1">
      <c r="A5" s="45"/>
      <c r="B5" s="45"/>
      <c r="C5" s="45"/>
      <c r="D5" s="45"/>
      <c r="E5" s="45"/>
      <c r="F5" s="45"/>
      <c r="G5" s="45"/>
      <c r="H5" s="43"/>
      <c r="I5" s="45"/>
      <c r="J5" s="43">
        <v>452503031243</v>
      </c>
      <c r="K5" s="44">
        <v>45825</v>
      </c>
      <c r="L5" s="44">
        <v>45832</v>
      </c>
      <c r="M5" s="45" t="s">
        <v>50</v>
      </c>
      <c r="N5" s="45" t="s">
        <v>51</v>
      </c>
      <c r="O5" s="45"/>
      <c r="P5" s="45" t="s">
        <v>52</v>
      </c>
      <c r="Q5" s="44">
        <v>45824</v>
      </c>
      <c r="R5" s="45">
        <v>5</v>
      </c>
      <c r="S5" s="44">
        <v>45826</v>
      </c>
    </row>
    <row r="6" spans="1:19" ht="15.75" customHeight="1">
      <c r="A6" s="45"/>
      <c r="B6" s="45"/>
      <c r="C6" s="45"/>
      <c r="D6" s="45"/>
      <c r="E6" s="45"/>
      <c r="F6" s="45"/>
      <c r="G6" s="45"/>
      <c r="H6" s="43"/>
      <c r="I6" s="45"/>
      <c r="J6" s="43">
        <v>452503041065</v>
      </c>
      <c r="K6" s="44">
        <v>45825</v>
      </c>
      <c r="L6" s="44">
        <v>45832</v>
      </c>
      <c r="M6" s="45" t="s">
        <v>50</v>
      </c>
      <c r="N6" s="45" t="s">
        <v>51</v>
      </c>
      <c r="O6" s="45"/>
      <c r="P6" s="45" t="s">
        <v>52</v>
      </c>
      <c r="Q6" s="44">
        <v>45824</v>
      </c>
      <c r="R6" s="45">
        <v>8</v>
      </c>
      <c r="S6" s="44">
        <v>45826</v>
      </c>
    </row>
    <row r="7" spans="1:19" ht="15.75" customHeight="1">
      <c r="A7" s="45"/>
      <c r="B7" s="45"/>
      <c r="C7" s="45"/>
      <c r="D7" s="45"/>
      <c r="E7" s="45"/>
      <c r="F7" s="45"/>
      <c r="G7" s="45"/>
      <c r="H7" s="43"/>
      <c r="I7" s="45"/>
      <c r="J7" s="43">
        <v>452503345762</v>
      </c>
      <c r="K7" s="44">
        <v>45825</v>
      </c>
      <c r="L7" s="44">
        <v>45832</v>
      </c>
      <c r="M7" s="45" t="s">
        <v>50</v>
      </c>
      <c r="N7" s="45" t="s">
        <v>51</v>
      </c>
      <c r="O7" s="45"/>
      <c r="P7" s="45" t="s">
        <v>52</v>
      </c>
      <c r="Q7" s="44">
        <v>45824</v>
      </c>
      <c r="R7" s="45">
        <v>1</v>
      </c>
      <c r="S7" s="44">
        <v>45826</v>
      </c>
    </row>
    <row r="8" spans="1:19" ht="15.75" customHeight="1">
      <c r="A8" s="45"/>
      <c r="B8" s="45"/>
      <c r="C8" s="45"/>
      <c r="D8" s="45"/>
      <c r="E8" s="45"/>
      <c r="F8" s="45"/>
      <c r="G8" s="45"/>
      <c r="H8" s="43"/>
      <c r="I8" s="45"/>
      <c r="J8" s="43">
        <v>452504206989</v>
      </c>
      <c r="K8" s="44">
        <v>45825</v>
      </c>
      <c r="L8" s="44">
        <v>45832</v>
      </c>
      <c r="M8" s="45" t="s">
        <v>50</v>
      </c>
      <c r="N8" s="45" t="s">
        <v>51</v>
      </c>
      <c r="O8" s="45"/>
      <c r="P8" s="45" t="s">
        <v>52</v>
      </c>
      <c r="Q8" s="44">
        <v>45824</v>
      </c>
      <c r="R8" s="45">
        <v>1</v>
      </c>
      <c r="S8" s="44">
        <v>45826</v>
      </c>
    </row>
    <row r="9" spans="1:19" ht="15.75" customHeight="1">
      <c r="A9" s="45"/>
      <c r="B9" s="45"/>
      <c r="C9" s="45"/>
      <c r="D9" s="45"/>
      <c r="E9" s="45"/>
      <c r="F9" s="45"/>
      <c r="G9" s="45"/>
      <c r="H9" s="43"/>
      <c r="I9" s="45"/>
      <c r="J9" s="43">
        <v>452517861652</v>
      </c>
      <c r="K9" s="44">
        <v>45825</v>
      </c>
      <c r="L9" s="44">
        <v>45832</v>
      </c>
      <c r="M9" s="45" t="s">
        <v>50</v>
      </c>
      <c r="N9" s="45" t="s">
        <v>51</v>
      </c>
      <c r="O9" s="45"/>
      <c r="P9" s="45" t="s">
        <v>52</v>
      </c>
      <c r="Q9" s="44">
        <v>45824</v>
      </c>
      <c r="R9" s="45">
        <v>3</v>
      </c>
      <c r="S9" s="44">
        <v>45826</v>
      </c>
    </row>
    <row r="10" spans="1:19" ht="15.75" customHeight="1">
      <c r="A10" s="45"/>
      <c r="B10" s="45"/>
      <c r="C10" s="45"/>
      <c r="D10" s="45"/>
      <c r="E10" s="45"/>
      <c r="F10" s="45"/>
      <c r="G10" s="45"/>
      <c r="H10" s="43"/>
      <c r="I10" s="45"/>
      <c r="J10" s="43">
        <v>452518317022</v>
      </c>
      <c r="K10" s="44">
        <v>45825</v>
      </c>
      <c r="L10" s="44">
        <v>45832</v>
      </c>
      <c r="M10" s="45" t="s">
        <v>50</v>
      </c>
      <c r="N10" s="45" t="s">
        <v>51</v>
      </c>
      <c r="O10" s="45"/>
      <c r="P10" s="45" t="s">
        <v>52</v>
      </c>
      <c r="Q10" s="44">
        <v>45824</v>
      </c>
      <c r="R10" s="45">
        <v>2</v>
      </c>
      <c r="S10" s="44">
        <v>45826</v>
      </c>
    </row>
    <row r="11" spans="1:19" ht="15.75" customHeight="1">
      <c r="A11" s="45"/>
      <c r="B11" s="45"/>
      <c r="C11" s="45"/>
      <c r="D11" s="45"/>
      <c r="E11" s="45"/>
      <c r="F11" s="45"/>
      <c r="G11" s="45"/>
      <c r="H11" s="43"/>
      <c r="I11" s="45" t="s">
        <v>55</v>
      </c>
      <c r="J11" s="43">
        <v>452015221240</v>
      </c>
      <c r="K11" s="44">
        <v>45825</v>
      </c>
      <c r="L11" s="44">
        <v>45832</v>
      </c>
      <c r="M11" s="45" t="s">
        <v>50</v>
      </c>
      <c r="N11" s="45" t="s">
        <v>51</v>
      </c>
      <c r="O11" s="45"/>
      <c r="P11" s="45" t="s">
        <v>52</v>
      </c>
      <c r="Q11" s="44">
        <v>45824</v>
      </c>
      <c r="R11" s="45">
        <v>1</v>
      </c>
      <c r="S11" s="44">
        <v>45826</v>
      </c>
    </row>
    <row r="12" spans="1:19" ht="15.75" customHeight="1">
      <c r="A12" s="45"/>
      <c r="B12" s="45"/>
      <c r="C12" s="45"/>
      <c r="D12" s="45"/>
      <c r="E12" s="45"/>
      <c r="F12" s="45"/>
      <c r="G12" s="45"/>
      <c r="H12" s="43"/>
      <c r="I12" s="45" t="s">
        <v>61</v>
      </c>
      <c r="J12" s="43">
        <v>454722903594</v>
      </c>
      <c r="K12" s="44">
        <v>45825</v>
      </c>
      <c r="L12" s="44">
        <v>45832</v>
      </c>
      <c r="M12" s="45" t="s">
        <v>50</v>
      </c>
      <c r="N12" s="45" t="s">
        <v>51</v>
      </c>
      <c r="O12" s="45"/>
      <c r="P12" s="45" t="s">
        <v>52</v>
      </c>
      <c r="Q12" s="44">
        <v>45824</v>
      </c>
      <c r="R12" s="45">
        <v>2</v>
      </c>
      <c r="S12" s="44">
        <v>45826</v>
      </c>
    </row>
    <row r="13" spans="1:19" ht="15.75" customHeight="1">
      <c r="A13" s="45"/>
      <c r="B13" s="45"/>
      <c r="C13" s="45"/>
      <c r="D13" s="45"/>
      <c r="E13" s="45"/>
      <c r="F13" s="45"/>
      <c r="G13" s="45"/>
      <c r="H13" s="43"/>
      <c r="I13" s="45" t="s">
        <v>63</v>
      </c>
      <c r="J13" s="43">
        <v>454864010774</v>
      </c>
      <c r="K13" s="44">
        <v>45825</v>
      </c>
      <c r="L13" s="44">
        <v>45832</v>
      </c>
      <c r="M13" s="45" t="s">
        <v>50</v>
      </c>
      <c r="N13" s="45" t="s">
        <v>51</v>
      </c>
      <c r="O13" s="45"/>
      <c r="P13" s="45" t="s">
        <v>52</v>
      </c>
      <c r="Q13" s="44">
        <v>45824</v>
      </c>
      <c r="R13" s="45">
        <v>1</v>
      </c>
      <c r="S13" s="44">
        <v>45826</v>
      </c>
    </row>
    <row r="14" spans="1:19" ht="15.75" customHeight="1">
      <c r="A14" s="45"/>
      <c r="B14" s="45"/>
      <c r="C14" s="45"/>
      <c r="D14" s="45"/>
      <c r="E14" s="45"/>
      <c r="F14" s="45"/>
      <c r="G14" s="45"/>
      <c r="H14" s="43"/>
      <c r="I14" s="45" t="s">
        <v>65</v>
      </c>
      <c r="J14" s="43">
        <v>454770290213</v>
      </c>
      <c r="K14" s="44">
        <v>45825</v>
      </c>
      <c r="L14" s="44">
        <v>45832</v>
      </c>
      <c r="M14" s="45" t="s">
        <v>50</v>
      </c>
      <c r="N14" s="45" t="s">
        <v>51</v>
      </c>
      <c r="O14" s="45"/>
      <c r="P14" s="45" t="s">
        <v>52</v>
      </c>
      <c r="Q14" s="44">
        <v>45824</v>
      </c>
      <c r="R14" s="45">
        <v>6</v>
      </c>
      <c r="S14" s="44">
        <v>45826</v>
      </c>
    </row>
    <row r="15" spans="1:19" ht="15.75" customHeight="1">
      <c r="A15" s="45"/>
      <c r="B15" s="45"/>
      <c r="C15" s="45"/>
      <c r="D15" s="45"/>
      <c r="E15" s="45"/>
      <c r="F15" s="45"/>
      <c r="G15" s="45"/>
      <c r="H15" s="43"/>
      <c r="I15" s="45"/>
      <c r="J15" s="43">
        <v>454772994403</v>
      </c>
      <c r="K15" s="44">
        <v>45825</v>
      </c>
      <c r="L15" s="44">
        <v>45832</v>
      </c>
      <c r="M15" s="45" t="s">
        <v>50</v>
      </c>
      <c r="N15" s="45" t="s">
        <v>51</v>
      </c>
      <c r="O15" s="45"/>
      <c r="P15" s="45" t="s">
        <v>52</v>
      </c>
      <c r="Q15" s="44">
        <v>45824</v>
      </c>
      <c r="R15" s="45">
        <v>1</v>
      </c>
      <c r="S15" s="44">
        <v>45826</v>
      </c>
    </row>
    <row r="16" spans="1:19" ht="15.75" customHeight="1">
      <c r="A16" s="45"/>
      <c r="B16" s="45"/>
      <c r="C16" s="45"/>
      <c r="D16" s="45"/>
      <c r="E16" s="45"/>
      <c r="F16" s="45"/>
      <c r="G16" s="45"/>
      <c r="H16" s="43"/>
      <c r="I16" s="45"/>
      <c r="J16" s="43">
        <v>454772994540</v>
      </c>
      <c r="K16" s="44">
        <v>45825</v>
      </c>
      <c r="L16" s="44">
        <v>45832</v>
      </c>
      <c r="M16" s="45" t="s">
        <v>50</v>
      </c>
      <c r="N16" s="45" t="s">
        <v>51</v>
      </c>
      <c r="O16" s="45"/>
      <c r="P16" s="45" t="s">
        <v>52</v>
      </c>
      <c r="Q16" s="44">
        <v>45824</v>
      </c>
      <c r="R16" s="45">
        <v>3</v>
      </c>
      <c r="S16" s="44">
        <v>45826</v>
      </c>
    </row>
    <row r="17" spans="1:19" ht="15.75" customHeight="1">
      <c r="A17" s="45"/>
      <c r="B17" s="45"/>
      <c r="C17" s="45"/>
      <c r="D17" s="45"/>
      <c r="E17" s="45"/>
      <c r="F17" s="45"/>
      <c r="G17" s="45"/>
      <c r="H17" s="43"/>
      <c r="I17" s="45"/>
      <c r="J17" s="43">
        <v>454773467353</v>
      </c>
      <c r="K17" s="44">
        <v>45825</v>
      </c>
      <c r="L17" s="44">
        <v>45832</v>
      </c>
      <c r="M17" s="45" t="s">
        <v>50</v>
      </c>
      <c r="N17" s="45" t="s">
        <v>51</v>
      </c>
      <c r="O17" s="45"/>
      <c r="P17" s="45" t="s">
        <v>52</v>
      </c>
      <c r="Q17" s="44">
        <v>45824</v>
      </c>
      <c r="R17" s="45">
        <v>1</v>
      </c>
      <c r="S17" s="44">
        <v>45826</v>
      </c>
    </row>
    <row r="18" spans="1:19" ht="15.75" customHeight="1">
      <c r="A18" s="45"/>
      <c r="B18" s="45"/>
      <c r="C18" s="45"/>
      <c r="D18" s="45"/>
      <c r="E18" s="45"/>
      <c r="F18" s="45"/>
      <c r="G18" s="45"/>
      <c r="H18" s="43"/>
      <c r="I18" s="45"/>
      <c r="J18" s="43">
        <v>454774312210</v>
      </c>
      <c r="K18" s="44">
        <v>45825</v>
      </c>
      <c r="L18" s="44">
        <v>45832</v>
      </c>
      <c r="M18" s="45" t="s">
        <v>50</v>
      </c>
      <c r="N18" s="45" t="s">
        <v>51</v>
      </c>
      <c r="O18" s="45"/>
      <c r="P18" s="45" t="s">
        <v>52</v>
      </c>
      <c r="Q18" s="44">
        <v>45824</v>
      </c>
      <c r="R18" s="45">
        <v>6</v>
      </c>
      <c r="S18" s="44">
        <v>45826</v>
      </c>
    </row>
    <row r="19" spans="1:19" ht="15.75" customHeight="1">
      <c r="A19" s="45"/>
      <c r="B19" s="45"/>
      <c r="C19" s="45"/>
      <c r="D19" s="45"/>
      <c r="E19" s="45"/>
      <c r="F19" s="45"/>
      <c r="G19" s="45"/>
      <c r="H19" s="43"/>
      <c r="I19" s="45"/>
      <c r="J19" s="43">
        <v>454774400970</v>
      </c>
      <c r="K19" s="44">
        <v>45825</v>
      </c>
      <c r="L19" s="44">
        <v>45832</v>
      </c>
      <c r="M19" s="45" t="s">
        <v>50</v>
      </c>
      <c r="N19" s="45" t="s">
        <v>51</v>
      </c>
      <c r="O19" s="45"/>
      <c r="P19" s="45" t="s">
        <v>52</v>
      </c>
      <c r="Q19" s="44">
        <v>45824</v>
      </c>
      <c r="R19" s="45">
        <v>3</v>
      </c>
      <c r="S19" s="44">
        <v>45826</v>
      </c>
    </row>
    <row r="20" spans="1:19" ht="15.75" customHeight="1">
      <c r="A20" s="45"/>
      <c r="B20" s="45"/>
      <c r="C20" s="45"/>
      <c r="D20" s="45"/>
      <c r="E20" s="45"/>
      <c r="F20" s="45"/>
      <c r="G20" s="45"/>
      <c r="H20" s="43"/>
      <c r="I20" s="45"/>
      <c r="J20" s="43">
        <v>454774401369</v>
      </c>
      <c r="K20" s="44">
        <v>45825</v>
      </c>
      <c r="L20" s="44">
        <v>45832</v>
      </c>
      <c r="M20" s="45" t="s">
        <v>50</v>
      </c>
      <c r="N20" s="45" t="s">
        <v>51</v>
      </c>
      <c r="O20" s="45"/>
      <c r="P20" s="45" t="s">
        <v>52</v>
      </c>
      <c r="Q20" s="44">
        <v>45824</v>
      </c>
      <c r="R20" s="45">
        <v>1</v>
      </c>
      <c r="S20" s="44">
        <v>45826</v>
      </c>
    </row>
    <row r="21" spans="1:19" ht="15.75" customHeight="1">
      <c r="A21" s="45"/>
      <c r="B21" s="45"/>
      <c r="C21" s="45"/>
      <c r="D21" s="45"/>
      <c r="E21" s="45"/>
      <c r="F21" s="45"/>
      <c r="G21" s="45"/>
      <c r="H21" s="43"/>
      <c r="I21" s="45"/>
      <c r="J21" s="43">
        <v>454774676885</v>
      </c>
      <c r="K21" s="44">
        <v>45825</v>
      </c>
      <c r="L21" s="44">
        <v>45832</v>
      </c>
      <c r="M21" s="45" t="s">
        <v>50</v>
      </c>
      <c r="N21" s="45" t="s">
        <v>51</v>
      </c>
      <c r="O21" s="45"/>
      <c r="P21" s="45" t="s">
        <v>52</v>
      </c>
      <c r="Q21" s="44">
        <v>45824</v>
      </c>
      <c r="R21" s="45">
        <v>2</v>
      </c>
      <c r="S21" s="44">
        <v>45826</v>
      </c>
    </row>
    <row r="22" spans="1:19" ht="15.75" customHeight="1">
      <c r="A22" s="45"/>
      <c r="B22" s="45"/>
      <c r="C22" s="45"/>
      <c r="D22" s="45"/>
      <c r="E22" s="45"/>
      <c r="F22" s="45"/>
      <c r="G22" s="45"/>
      <c r="H22" s="43"/>
      <c r="I22" s="45"/>
      <c r="J22" s="43">
        <v>454774766099</v>
      </c>
      <c r="K22" s="44">
        <v>45825</v>
      </c>
      <c r="L22" s="44">
        <v>45832</v>
      </c>
      <c r="M22" s="45" t="s">
        <v>50</v>
      </c>
      <c r="N22" s="45" t="s">
        <v>51</v>
      </c>
      <c r="O22" s="45"/>
      <c r="P22" s="45" t="s">
        <v>52</v>
      </c>
      <c r="Q22" s="44">
        <v>45824</v>
      </c>
      <c r="R22" s="45">
        <v>1</v>
      </c>
      <c r="S22" s="44">
        <v>45826</v>
      </c>
    </row>
    <row r="23" spans="1:19" ht="15.75" customHeight="1">
      <c r="A23" s="45"/>
      <c r="B23" s="45"/>
      <c r="C23" s="45"/>
      <c r="D23" s="45"/>
      <c r="E23" s="45"/>
      <c r="F23" s="45"/>
      <c r="G23" s="45"/>
      <c r="H23" s="43"/>
      <c r="I23" s="45"/>
      <c r="J23" s="43">
        <v>454775187235</v>
      </c>
      <c r="K23" s="44">
        <v>45825</v>
      </c>
      <c r="L23" s="44">
        <v>45832</v>
      </c>
      <c r="M23" s="45" t="s">
        <v>50</v>
      </c>
      <c r="N23" s="45" t="s">
        <v>51</v>
      </c>
      <c r="O23" s="45"/>
      <c r="P23" s="45" t="s">
        <v>52</v>
      </c>
      <c r="Q23" s="44">
        <v>45824</v>
      </c>
      <c r="R23" s="45">
        <v>4</v>
      </c>
      <c r="S23" s="44">
        <v>45826</v>
      </c>
    </row>
    <row r="24" spans="1:19" ht="15.75" customHeight="1">
      <c r="A24" s="45"/>
      <c r="B24" s="45"/>
      <c r="C24" s="45"/>
      <c r="D24" s="45"/>
      <c r="E24" s="45"/>
      <c r="F24" s="45"/>
      <c r="G24" s="45"/>
      <c r="H24" s="43"/>
      <c r="I24" s="45"/>
      <c r="J24" s="43">
        <v>454775192886</v>
      </c>
      <c r="K24" s="44">
        <v>45825</v>
      </c>
      <c r="L24" s="44">
        <v>45832</v>
      </c>
      <c r="M24" s="45" t="s">
        <v>50</v>
      </c>
      <c r="N24" s="45" t="s">
        <v>51</v>
      </c>
      <c r="O24" s="45"/>
      <c r="P24" s="45" t="s">
        <v>52</v>
      </c>
      <c r="Q24" s="44">
        <v>45824</v>
      </c>
      <c r="R24" s="45">
        <v>4</v>
      </c>
      <c r="S24" s="44">
        <v>45826</v>
      </c>
    </row>
    <row r="25" spans="1:19" ht="15.75" customHeight="1">
      <c r="A25" s="45"/>
      <c r="B25" s="45"/>
      <c r="C25" s="45"/>
      <c r="D25" s="45"/>
      <c r="E25" s="45"/>
      <c r="F25" s="45"/>
      <c r="G25" s="45"/>
      <c r="H25" s="43"/>
      <c r="I25" s="45"/>
      <c r="J25" s="43">
        <v>454775252856</v>
      </c>
      <c r="K25" s="44">
        <v>45825</v>
      </c>
      <c r="L25" s="44">
        <v>45832</v>
      </c>
      <c r="M25" s="45" t="s">
        <v>50</v>
      </c>
      <c r="N25" s="45" t="s">
        <v>51</v>
      </c>
      <c r="O25" s="45"/>
      <c r="P25" s="45" t="s">
        <v>52</v>
      </c>
      <c r="Q25" s="44">
        <v>45824</v>
      </c>
      <c r="R25" s="45">
        <v>2</v>
      </c>
      <c r="S25" s="44">
        <v>45826</v>
      </c>
    </row>
    <row r="26" spans="1:19" ht="15.75" customHeight="1">
      <c r="A26" s="45"/>
      <c r="B26" s="45"/>
      <c r="C26" s="45"/>
      <c r="D26" s="45"/>
      <c r="E26" s="45"/>
      <c r="F26" s="45"/>
      <c r="G26" s="45"/>
      <c r="H26" s="43"/>
      <c r="I26" s="45"/>
      <c r="J26" s="43">
        <v>454775599438</v>
      </c>
      <c r="K26" s="44">
        <v>45825</v>
      </c>
      <c r="L26" s="44">
        <v>45832</v>
      </c>
      <c r="M26" s="45" t="s">
        <v>50</v>
      </c>
      <c r="N26" s="45" t="s">
        <v>51</v>
      </c>
      <c r="O26" s="45"/>
      <c r="P26" s="45" t="s">
        <v>52</v>
      </c>
      <c r="Q26" s="44">
        <v>45824</v>
      </c>
      <c r="R26" s="45">
        <v>7</v>
      </c>
      <c r="S26" s="44">
        <v>45826</v>
      </c>
    </row>
    <row r="27" spans="1:19" ht="15.75" customHeight="1">
      <c r="A27" s="45"/>
      <c r="B27" s="45"/>
      <c r="C27" s="45"/>
      <c r="D27" s="45"/>
      <c r="E27" s="45"/>
      <c r="F27" s="45"/>
      <c r="G27" s="45"/>
      <c r="H27" s="43"/>
      <c r="I27" s="45"/>
      <c r="J27" s="43">
        <v>454858069214</v>
      </c>
      <c r="K27" s="44">
        <v>45825</v>
      </c>
      <c r="L27" s="44">
        <v>45832</v>
      </c>
      <c r="M27" s="45" t="s">
        <v>50</v>
      </c>
      <c r="N27" s="45" t="s">
        <v>51</v>
      </c>
      <c r="O27" s="45"/>
      <c r="P27" s="45" t="s">
        <v>52</v>
      </c>
      <c r="Q27" s="44">
        <v>45824</v>
      </c>
      <c r="R27" s="45">
        <v>4</v>
      </c>
      <c r="S27" s="44">
        <v>45826</v>
      </c>
    </row>
    <row r="28" spans="1:19" ht="15.75" customHeight="1">
      <c r="A28" s="45"/>
      <c r="B28" s="45"/>
      <c r="C28" s="45"/>
      <c r="D28" s="45"/>
      <c r="E28" s="45"/>
      <c r="F28" s="45"/>
      <c r="G28" s="45"/>
      <c r="H28" s="43"/>
      <c r="I28" s="45" t="s">
        <v>57</v>
      </c>
      <c r="J28" s="43">
        <v>452031503449</v>
      </c>
      <c r="K28" s="44">
        <v>45825</v>
      </c>
      <c r="L28" s="44">
        <v>45832</v>
      </c>
      <c r="M28" s="45" t="s">
        <v>50</v>
      </c>
      <c r="N28" s="45" t="s">
        <v>51</v>
      </c>
      <c r="O28" s="45"/>
      <c r="P28" s="45" t="s">
        <v>52</v>
      </c>
      <c r="Q28" s="44">
        <v>45824</v>
      </c>
      <c r="R28" s="45">
        <v>49</v>
      </c>
      <c r="S28" s="44">
        <v>45826</v>
      </c>
    </row>
    <row r="29" spans="1:19" ht="15.75" customHeight="1">
      <c r="A29" s="45"/>
      <c r="B29" s="45"/>
      <c r="C29" s="45"/>
      <c r="D29" s="45"/>
      <c r="E29" s="45"/>
      <c r="F29" s="45"/>
      <c r="G29" s="45"/>
      <c r="H29" s="43"/>
      <c r="I29" s="45"/>
      <c r="J29" s="43">
        <v>452092648789</v>
      </c>
      <c r="K29" s="44">
        <v>45825</v>
      </c>
      <c r="L29" s="44">
        <v>45832</v>
      </c>
      <c r="M29" s="45" t="s">
        <v>50</v>
      </c>
      <c r="N29" s="45" t="s">
        <v>51</v>
      </c>
      <c r="O29" s="45"/>
      <c r="P29" s="45" t="s">
        <v>52</v>
      </c>
      <c r="Q29" s="44">
        <v>45824</v>
      </c>
      <c r="R29" s="45">
        <v>1</v>
      </c>
      <c r="S29" s="44">
        <v>45826</v>
      </c>
    </row>
    <row r="30" spans="1:19" ht="15.75" customHeight="1">
      <c r="A30" s="45"/>
      <c r="B30" s="45"/>
      <c r="C30" s="45" t="s">
        <v>72</v>
      </c>
      <c r="D30" s="45" t="s">
        <v>40</v>
      </c>
      <c r="E30" s="45" t="s">
        <v>43</v>
      </c>
      <c r="F30" s="45" t="s">
        <v>41</v>
      </c>
      <c r="G30" s="45">
        <v>-13</v>
      </c>
      <c r="H30" s="43"/>
      <c r="I30" s="44" t="s">
        <v>63</v>
      </c>
      <c r="J30" s="43">
        <v>454893040591</v>
      </c>
      <c r="K30" s="44">
        <v>45825</v>
      </c>
      <c r="L30" s="44">
        <v>45832</v>
      </c>
      <c r="M30" s="45" t="s">
        <v>50</v>
      </c>
      <c r="N30" s="45" t="s">
        <v>51</v>
      </c>
      <c r="O30" s="45"/>
      <c r="P30" s="45" t="s">
        <v>52</v>
      </c>
      <c r="Q30" s="44">
        <v>45824</v>
      </c>
      <c r="R30" s="45">
        <v>19</v>
      </c>
      <c r="S30" s="44">
        <v>45826</v>
      </c>
    </row>
    <row r="31" spans="1:19" ht="15.75" customHeight="1">
      <c r="A31" s="45"/>
      <c r="B31" s="45"/>
      <c r="C31" s="45"/>
      <c r="D31" s="45"/>
      <c r="E31" s="45"/>
      <c r="F31" s="45"/>
      <c r="G31" s="45"/>
      <c r="H31" s="43"/>
      <c r="I31" s="45"/>
      <c r="J31" s="43">
        <v>454893442911</v>
      </c>
      <c r="K31" s="44">
        <v>45825</v>
      </c>
      <c r="L31" s="44">
        <v>45832</v>
      </c>
      <c r="M31" s="45" t="s">
        <v>50</v>
      </c>
      <c r="N31" s="45" t="s">
        <v>51</v>
      </c>
      <c r="O31" s="45"/>
      <c r="P31" s="45" t="s">
        <v>52</v>
      </c>
      <c r="Q31" s="44">
        <v>45824</v>
      </c>
      <c r="R31" s="45">
        <v>2</v>
      </c>
      <c r="S31" s="44">
        <v>45826</v>
      </c>
    </row>
    <row r="32" spans="1:19" ht="15.75" customHeight="1">
      <c r="A32" s="45"/>
      <c r="B32" s="45" t="s">
        <v>181</v>
      </c>
      <c r="C32" s="45"/>
      <c r="D32" s="45"/>
      <c r="E32" s="45"/>
      <c r="F32" s="45"/>
      <c r="G32" s="45"/>
      <c r="H32" s="43"/>
      <c r="I32" s="45"/>
      <c r="J32" s="45"/>
      <c r="K32" s="45"/>
      <c r="L32" s="45"/>
      <c r="M32" s="45"/>
      <c r="N32" s="45"/>
      <c r="O32" s="45"/>
      <c r="P32" s="45"/>
      <c r="Q32" s="44">
        <v>1283072</v>
      </c>
      <c r="R32" s="45">
        <v>146</v>
      </c>
      <c r="S32" s="44">
        <v>1283128</v>
      </c>
    </row>
    <row r="33" spans="1:19" ht="15.75" customHeight="1">
      <c r="A33" s="45"/>
      <c r="B33" s="45" t="s">
        <v>75</v>
      </c>
      <c r="C33" s="45" t="s">
        <v>72</v>
      </c>
      <c r="D33" s="45" t="s">
        <v>72</v>
      </c>
      <c r="E33" s="45" t="s">
        <v>76</v>
      </c>
      <c r="F33" s="45" t="s">
        <v>41</v>
      </c>
      <c r="G33" s="45">
        <v>-12</v>
      </c>
      <c r="H33" s="43"/>
      <c r="I33" s="44" t="s">
        <v>47</v>
      </c>
      <c r="J33" s="43">
        <v>452502648506</v>
      </c>
      <c r="K33" s="44">
        <v>45825</v>
      </c>
      <c r="L33" s="44">
        <v>45831</v>
      </c>
      <c r="M33" s="45" t="s">
        <v>50</v>
      </c>
      <c r="N33" s="45" t="s">
        <v>51</v>
      </c>
      <c r="O33" s="45"/>
      <c r="P33" s="45" t="s">
        <v>52</v>
      </c>
      <c r="Q33" s="44">
        <v>45824</v>
      </c>
      <c r="R33" s="45">
        <v>8</v>
      </c>
      <c r="S33" s="44">
        <v>45826</v>
      </c>
    </row>
    <row r="34" spans="1:19" ht="15.75" customHeight="1">
      <c r="A34" s="45"/>
      <c r="B34" s="45"/>
      <c r="C34" s="45"/>
      <c r="D34" s="45"/>
      <c r="E34" s="45"/>
      <c r="F34" s="45"/>
      <c r="G34" s="45"/>
      <c r="H34" s="43"/>
      <c r="I34" s="45"/>
      <c r="J34" s="43">
        <v>452503031553</v>
      </c>
      <c r="K34" s="44">
        <v>45825</v>
      </c>
      <c r="L34" s="44">
        <v>45831</v>
      </c>
      <c r="M34" s="45" t="s">
        <v>50</v>
      </c>
      <c r="N34" s="45" t="s">
        <v>51</v>
      </c>
      <c r="O34" s="45"/>
      <c r="P34" s="45" t="s">
        <v>52</v>
      </c>
      <c r="Q34" s="44">
        <v>45824</v>
      </c>
      <c r="R34" s="45">
        <v>4</v>
      </c>
      <c r="S34" s="44">
        <v>45826</v>
      </c>
    </row>
    <row r="35" spans="1:19" ht="15.75" customHeight="1">
      <c r="A35" s="45"/>
      <c r="B35" s="45"/>
      <c r="C35" s="45"/>
      <c r="D35" s="45"/>
      <c r="E35" s="45"/>
      <c r="F35" s="45"/>
      <c r="G35" s="45"/>
      <c r="H35" s="43"/>
      <c r="I35" s="45"/>
      <c r="J35" s="43">
        <v>452503337572</v>
      </c>
      <c r="K35" s="44">
        <v>45825</v>
      </c>
      <c r="L35" s="44">
        <v>45831</v>
      </c>
      <c r="M35" s="45" t="s">
        <v>50</v>
      </c>
      <c r="N35" s="45" t="s">
        <v>51</v>
      </c>
      <c r="O35" s="45"/>
      <c r="P35" s="45" t="s">
        <v>52</v>
      </c>
      <c r="Q35" s="44">
        <v>45824</v>
      </c>
      <c r="R35" s="45">
        <v>8</v>
      </c>
      <c r="S35" s="44">
        <v>45826</v>
      </c>
    </row>
    <row r="36" spans="1:19" ht="15.75" customHeight="1">
      <c r="A36" s="45"/>
      <c r="B36" s="45"/>
      <c r="C36" s="45"/>
      <c r="D36" s="45"/>
      <c r="E36" s="45"/>
      <c r="F36" s="45"/>
      <c r="G36" s="45"/>
      <c r="H36" s="43"/>
      <c r="I36" s="45"/>
      <c r="J36" s="43">
        <v>452503346259</v>
      </c>
      <c r="K36" s="44">
        <v>45825</v>
      </c>
      <c r="L36" s="44">
        <v>45831</v>
      </c>
      <c r="M36" s="45" t="s">
        <v>50</v>
      </c>
      <c r="N36" s="45" t="s">
        <v>51</v>
      </c>
      <c r="O36" s="45"/>
      <c r="P36" s="45" t="s">
        <v>52</v>
      </c>
      <c r="Q36" s="44">
        <v>45824</v>
      </c>
      <c r="R36" s="45">
        <v>1</v>
      </c>
      <c r="S36" s="44">
        <v>45826</v>
      </c>
    </row>
    <row r="37" spans="1:19" ht="15.75" customHeight="1">
      <c r="A37" s="45"/>
      <c r="B37" s="45"/>
      <c r="C37" s="45"/>
      <c r="D37" s="45"/>
      <c r="E37" s="45"/>
      <c r="F37" s="45"/>
      <c r="G37" s="45"/>
      <c r="H37" s="43"/>
      <c r="I37" s="45"/>
      <c r="J37" s="43">
        <v>452517307998</v>
      </c>
      <c r="K37" s="44">
        <v>45825</v>
      </c>
      <c r="L37" s="44">
        <v>45831</v>
      </c>
      <c r="M37" s="45" t="s">
        <v>50</v>
      </c>
      <c r="N37" s="45" t="s">
        <v>51</v>
      </c>
      <c r="O37" s="45"/>
      <c r="P37" s="45" t="s">
        <v>52</v>
      </c>
      <c r="Q37" s="44">
        <v>45824</v>
      </c>
      <c r="R37" s="45">
        <v>7</v>
      </c>
      <c r="S37" s="44">
        <v>45826</v>
      </c>
    </row>
    <row r="38" spans="1:19" ht="15.75" customHeight="1">
      <c r="A38" s="45"/>
      <c r="B38" s="45"/>
      <c r="C38" s="45"/>
      <c r="D38" s="45"/>
      <c r="E38" s="45"/>
      <c r="F38" s="45"/>
      <c r="G38" s="45"/>
      <c r="H38" s="43"/>
      <c r="I38" s="45"/>
      <c r="J38" s="43">
        <v>452517688487</v>
      </c>
      <c r="K38" s="44">
        <v>45825</v>
      </c>
      <c r="L38" s="44">
        <v>45831</v>
      </c>
      <c r="M38" s="45" t="s">
        <v>50</v>
      </c>
      <c r="N38" s="45" t="s">
        <v>51</v>
      </c>
      <c r="O38" s="45"/>
      <c r="P38" s="45" t="s">
        <v>52</v>
      </c>
      <c r="Q38" s="44">
        <v>45824</v>
      </c>
      <c r="R38" s="45">
        <v>3</v>
      </c>
      <c r="S38" s="44">
        <v>45826</v>
      </c>
    </row>
    <row r="39" spans="1:19" ht="15.75" customHeight="1">
      <c r="A39" s="45"/>
      <c r="B39" s="45"/>
      <c r="C39" s="45"/>
      <c r="D39" s="45"/>
      <c r="E39" s="45"/>
      <c r="F39" s="45"/>
      <c r="G39" s="45"/>
      <c r="H39" s="43"/>
      <c r="I39" s="45"/>
      <c r="J39" s="43">
        <v>452517869906</v>
      </c>
      <c r="K39" s="44">
        <v>45825</v>
      </c>
      <c r="L39" s="44">
        <v>45831</v>
      </c>
      <c r="M39" s="45" t="s">
        <v>50</v>
      </c>
      <c r="N39" s="45" t="s">
        <v>51</v>
      </c>
      <c r="O39" s="45"/>
      <c r="P39" s="45" t="s">
        <v>52</v>
      </c>
      <c r="Q39" s="44">
        <v>45824</v>
      </c>
      <c r="R39" s="45">
        <v>1</v>
      </c>
      <c r="S39" s="44">
        <v>45826</v>
      </c>
    </row>
    <row r="40" spans="1:19" ht="15.75" customHeight="1">
      <c r="A40" s="45"/>
      <c r="B40" s="45"/>
      <c r="C40" s="45"/>
      <c r="D40" s="45"/>
      <c r="E40" s="45"/>
      <c r="F40" s="45"/>
      <c r="G40" s="45"/>
      <c r="H40" s="43"/>
      <c r="I40" s="45"/>
      <c r="J40" s="43">
        <v>452518357641</v>
      </c>
      <c r="K40" s="44">
        <v>45825</v>
      </c>
      <c r="L40" s="44">
        <v>45831</v>
      </c>
      <c r="M40" s="45" t="s">
        <v>50</v>
      </c>
      <c r="N40" s="45" t="s">
        <v>51</v>
      </c>
      <c r="O40" s="45"/>
      <c r="P40" s="45" t="s">
        <v>52</v>
      </c>
      <c r="Q40" s="44">
        <v>45824</v>
      </c>
      <c r="R40" s="45">
        <v>1</v>
      </c>
      <c r="S40" s="44">
        <v>45826</v>
      </c>
    </row>
    <row r="41" spans="1:19" ht="15.75" customHeight="1">
      <c r="A41" s="45"/>
      <c r="B41" s="45"/>
      <c r="C41" s="45"/>
      <c r="D41" s="45"/>
      <c r="E41" s="45"/>
      <c r="F41" s="45"/>
      <c r="G41" s="45"/>
      <c r="H41" s="43"/>
      <c r="I41" s="44" t="s">
        <v>55</v>
      </c>
      <c r="J41" s="43">
        <v>452015706494</v>
      </c>
      <c r="K41" s="44">
        <v>45825</v>
      </c>
      <c r="L41" s="44">
        <v>45831</v>
      </c>
      <c r="M41" s="45" t="s">
        <v>50</v>
      </c>
      <c r="N41" s="45" t="s">
        <v>51</v>
      </c>
      <c r="O41" s="45"/>
      <c r="P41" s="45" t="s">
        <v>52</v>
      </c>
      <c r="Q41" s="44">
        <v>45824</v>
      </c>
      <c r="R41" s="45">
        <v>3</v>
      </c>
      <c r="S41" s="44">
        <v>45826</v>
      </c>
    </row>
    <row r="42" spans="1:19" ht="15.75" customHeight="1">
      <c r="A42" s="45"/>
      <c r="B42" s="45"/>
      <c r="C42" s="45"/>
      <c r="D42" s="45"/>
      <c r="E42" s="45"/>
      <c r="F42" s="45"/>
      <c r="G42" s="45"/>
      <c r="H42" s="43"/>
      <c r="I42" s="44" t="s">
        <v>63</v>
      </c>
      <c r="J42" s="43">
        <v>454863244190</v>
      </c>
      <c r="K42" s="44">
        <v>45825</v>
      </c>
      <c r="L42" s="44">
        <v>45831</v>
      </c>
      <c r="M42" s="45" t="s">
        <v>50</v>
      </c>
      <c r="N42" s="45" t="s">
        <v>51</v>
      </c>
      <c r="O42" s="45"/>
      <c r="P42" s="45" t="s">
        <v>52</v>
      </c>
      <c r="Q42" s="44">
        <v>45824</v>
      </c>
      <c r="R42" s="45">
        <v>1</v>
      </c>
      <c r="S42" s="44">
        <v>45826</v>
      </c>
    </row>
    <row r="43" spans="1:19" ht="15.75" customHeight="1">
      <c r="A43" s="45"/>
      <c r="B43" s="45"/>
      <c r="C43" s="45"/>
      <c r="D43" s="45"/>
      <c r="E43" s="45"/>
      <c r="F43" s="45"/>
      <c r="G43" s="45"/>
      <c r="H43" s="43"/>
      <c r="I43" s="45"/>
      <c r="J43" s="43">
        <v>454865164288</v>
      </c>
      <c r="K43" s="44">
        <v>45825</v>
      </c>
      <c r="L43" s="44">
        <v>45831</v>
      </c>
      <c r="M43" s="45" t="s">
        <v>50</v>
      </c>
      <c r="N43" s="45" t="s">
        <v>51</v>
      </c>
      <c r="O43" s="45"/>
      <c r="P43" s="45" t="s">
        <v>52</v>
      </c>
      <c r="Q43" s="44">
        <v>45824</v>
      </c>
      <c r="R43" s="45">
        <v>21</v>
      </c>
      <c r="S43" s="44">
        <v>45826</v>
      </c>
    </row>
    <row r="44" spans="1:19" ht="15.75" customHeight="1">
      <c r="A44" s="45"/>
      <c r="B44" s="45"/>
      <c r="C44" s="45"/>
      <c r="D44" s="45"/>
      <c r="E44" s="45"/>
      <c r="F44" s="45"/>
      <c r="G44" s="45"/>
      <c r="H44" s="43"/>
      <c r="I44" s="45"/>
      <c r="J44" s="43">
        <v>454893038716</v>
      </c>
      <c r="K44" s="44">
        <v>45825</v>
      </c>
      <c r="L44" s="44">
        <v>45831</v>
      </c>
      <c r="M44" s="45" t="s">
        <v>50</v>
      </c>
      <c r="N44" s="45" t="s">
        <v>51</v>
      </c>
      <c r="O44" s="45"/>
      <c r="P44" s="45" t="s">
        <v>52</v>
      </c>
      <c r="Q44" s="44">
        <v>45824</v>
      </c>
      <c r="R44" s="45">
        <v>4</v>
      </c>
      <c r="S44" s="44">
        <v>45826</v>
      </c>
    </row>
    <row r="45" spans="1:19" ht="15.75" customHeight="1">
      <c r="A45" s="45"/>
      <c r="B45" s="45"/>
      <c r="C45" s="45"/>
      <c r="D45" s="45"/>
      <c r="E45" s="45"/>
      <c r="F45" s="45"/>
      <c r="G45" s="45"/>
      <c r="H45" s="43"/>
      <c r="I45" s="44" t="s">
        <v>65</v>
      </c>
      <c r="J45" s="43">
        <v>454770290651</v>
      </c>
      <c r="K45" s="44">
        <v>45825</v>
      </c>
      <c r="L45" s="44">
        <v>45831</v>
      </c>
      <c r="M45" s="45" t="s">
        <v>50</v>
      </c>
      <c r="N45" s="45" t="s">
        <v>51</v>
      </c>
      <c r="O45" s="45"/>
      <c r="P45" s="45" t="s">
        <v>52</v>
      </c>
      <c r="Q45" s="44">
        <v>45824</v>
      </c>
      <c r="R45" s="45">
        <v>4</v>
      </c>
      <c r="S45" s="44">
        <v>45826</v>
      </c>
    </row>
    <row r="46" spans="1:19" ht="15.75" customHeight="1">
      <c r="A46" s="45"/>
      <c r="B46" s="45"/>
      <c r="C46" s="45"/>
      <c r="D46" s="45"/>
      <c r="E46" s="45"/>
      <c r="F46" s="45"/>
      <c r="G46" s="45"/>
      <c r="H46" s="43"/>
      <c r="I46" s="45"/>
      <c r="J46" s="43">
        <v>454770290857</v>
      </c>
      <c r="K46" s="44">
        <v>45825</v>
      </c>
      <c r="L46" s="44">
        <v>45831</v>
      </c>
      <c r="M46" s="45" t="s">
        <v>50</v>
      </c>
      <c r="N46" s="45" t="s">
        <v>51</v>
      </c>
      <c r="O46" s="45"/>
      <c r="P46" s="45" t="s">
        <v>52</v>
      </c>
      <c r="Q46" s="44">
        <v>45824</v>
      </c>
      <c r="R46" s="45">
        <v>1</v>
      </c>
      <c r="S46" s="44">
        <v>45826</v>
      </c>
    </row>
    <row r="47" spans="1:19" ht="15.75" customHeight="1">
      <c r="A47" s="45"/>
      <c r="B47" s="45"/>
      <c r="C47" s="45"/>
      <c r="D47" s="45"/>
      <c r="E47" s="45"/>
      <c r="F47" s="45"/>
      <c r="G47" s="45"/>
      <c r="H47" s="43"/>
      <c r="I47" s="45"/>
      <c r="J47" s="43">
        <v>454770290915</v>
      </c>
      <c r="K47" s="44">
        <v>45825</v>
      </c>
      <c r="L47" s="44">
        <v>45831</v>
      </c>
      <c r="M47" s="45" t="s">
        <v>50</v>
      </c>
      <c r="N47" s="45" t="s">
        <v>51</v>
      </c>
      <c r="O47" s="45"/>
      <c r="P47" s="45" t="s">
        <v>52</v>
      </c>
      <c r="Q47" s="44">
        <v>45824</v>
      </c>
      <c r="R47" s="45">
        <v>1</v>
      </c>
      <c r="S47" s="44">
        <v>45826</v>
      </c>
    </row>
    <row r="48" spans="1:19" ht="15.75" customHeight="1">
      <c r="A48" s="45"/>
      <c r="B48" s="45"/>
      <c r="C48" s="45"/>
      <c r="D48" s="45"/>
      <c r="E48" s="45"/>
      <c r="F48" s="45"/>
      <c r="G48" s="45"/>
      <c r="H48" s="43"/>
      <c r="I48" s="45"/>
      <c r="J48" s="43">
        <v>454772994775</v>
      </c>
      <c r="K48" s="44">
        <v>45825</v>
      </c>
      <c r="L48" s="44">
        <v>45831</v>
      </c>
      <c r="M48" s="45" t="s">
        <v>50</v>
      </c>
      <c r="N48" s="45" t="s">
        <v>51</v>
      </c>
      <c r="O48" s="45"/>
      <c r="P48" s="45" t="s">
        <v>52</v>
      </c>
      <c r="Q48" s="44">
        <v>45824</v>
      </c>
      <c r="R48" s="45">
        <v>5</v>
      </c>
      <c r="S48" s="44">
        <v>45826</v>
      </c>
    </row>
    <row r="49" spans="1:19" ht="15.75" customHeight="1">
      <c r="A49" s="45"/>
      <c r="B49" s="45"/>
      <c r="C49" s="45"/>
      <c r="D49" s="45"/>
      <c r="E49" s="45"/>
      <c r="F49" s="45"/>
      <c r="G49" s="45"/>
      <c r="H49" s="43"/>
      <c r="I49" s="45"/>
      <c r="J49" s="43">
        <v>454773466988</v>
      </c>
      <c r="K49" s="44">
        <v>45825</v>
      </c>
      <c r="L49" s="44">
        <v>45831</v>
      </c>
      <c r="M49" s="45" t="s">
        <v>50</v>
      </c>
      <c r="N49" s="45" t="s">
        <v>51</v>
      </c>
      <c r="O49" s="45"/>
      <c r="P49" s="45" t="s">
        <v>52</v>
      </c>
      <c r="Q49" s="44">
        <v>45824</v>
      </c>
      <c r="R49" s="45">
        <v>1</v>
      </c>
      <c r="S49" s="44">
        <v>45826</v>
      </c>
    </row>
    <row r="50" spans="1:19" ht="12.75">
      <c r="A50" s="45"/>
      <c r="B50" s="45"/>
      <c r="C50" s="45"/>
      <c r="D50" s="45"/>
      <c r="E50" s="45"/>
      <c r="F50" s="45"/>
      <c r="G50" s="45"/>
      <c r="H50" s="43"/>
      <c r="I50" s="45"/>
      <c r="J50" s="43">
        <v>454773467131</v>
      </c>
      <c r="K50" s="44">
        <v>45825</v>
      </c>
      <c r="L50" s="44">
        <v>45831</v>
      </c>
      <c r="M50" s="45" t="s">
        <v>50</v>
      </c>
      <c r="N50" s="45" t="s">
        <v>51</v>
      </c>
      <c r="O50" s="45"/>
      <c r="P50" s="45" t="s">
        <v>52</v>
      </c>
      <c r="Q50" s="44">
        <v>45824</v>
      </c>
      <c r="R50" s="45">
        <v>3</v>
      </c>
      <c r="S50" s="44">
        <v>45826</v>
      </c>
    </row>
    <row r="51" spans="1:19" ht="12.75">
      <c r="A51" s="45"/>
      <c r="B51" s="45"/>
      <c r="C51" s="45"/>
      <c r="D51" s="45"/>
      <c r="E51" s="45"/>
      <c r="F51" s="45"/>
      <c r="G51" s="45"/>
      <c r="H51" s="43"/>
      <c r="I51" s="45"/>
      <c r="J51" s="43">
        <v>454773467698</v>
      </c>
      <c r="K51" s="44">
        <v>45825</v>
      </c>
      <c r="L51" s="44">
        <v>45831</v>
      </c>
      <c r="M51" s="45" t="s">
        <v>50</v>
      </c>
      <c r="N51" s="45" t="s">
        <v>51</v>
      </c>
      <c r="O51" s="45"/>
      <c r="P51" s="45" t="s">
        <v>52</v>
      </c>
      <c r="Q51" s="44">
        <v>45824</v>
      </c>
      <c r="R51" s="45">
        <v>1</v>
      </c>
      <c r="S51" s="44">
        <v>45826</v>
      </c>
    </row>
    <row r="52" spans="1:19" ht="12.75">
      <c r="A52" s="45"/>
      <c r="B52" s="45"/>
      <c r="C52" s="45"/>
      <c r="D52" s="45"/>
      <c r="E52" s="45"/>
      <c r="F52" s="45"/>
      <c r="G52" s="45"/>
      <c r="H52" s="43"/>
      <c r="I52" s="45"/>
      <c r="J52" s="43">
        <v>454774400782</v>
      </c>
      <c r="K52" s="44">
        <v>45825</v>
      </c>
      <c r="L52" s="44">
        <v>45831</v>
      </c>
      <c r="M52" s="45" t="s">
        <v>50</v>
      </c>
      <c r="N52" s="45" t="s">
        <v>51</v>
      </c>
      <c r="O52" s="45"/>
      <c r="P52" s="45" t="s">
        <v>52</v>
      </c>
      <c r="Q52" s="44">
        <v>45824</v>
      </c>
      <c r="R52" s="45">
        <v>7</v>
      </c>
      <c r="S52" s="44">
        <v>45826</v>
      </c>
    </row>
    <row r="53" spans="1:19" ht="12.75">
      <c r="A53" s="45"/>
      <c r="B53" s="45"/>
      <c r="C53" s="45"/>
      <c r="D53" s="45"/>
      <c r="E53" s="45"/>
      <c r="F53" s="45"/>
      <c r="G53" s="45"/>
      <c r="H53" s="43"/>
      <c r="I53" s="45"/>
      <c r="J53" s="43">
        <v>454774401107</v>
      </c>
      <c r="K53" s="44">
        <v>45825</v>
      </c>
      <c r="L53" s="44">
        <v>45831</v>
      </c>
      <c r="M53" s="45" t="s">
        <v>50</v>
      </c>
      <c r="N53" s="45" t="s">
        <v>51</v>
      </c>
      <c r="O53" s="45"/>
      <c r="P53" s="45" t="s">
        <v>52</v>
      </c>
      <c r="Q53" s="44">
        <v>45824</v>
      </c>
      <c r="R53" s="45">
        <v>1</v>
      </c>
      <c r="S53" s="44">
        <v>45826</v>
      </c>
    </row>
    <row r="54" spans="1:19" ht="12.75">
      <c r="A54" s="45"/>
      <c r="B54" s="45"/>
      <c r="C54" s="45"/>
      <c r="D54" s="45"/>
      <c r="E54" s="45"/>
      <c r="F54" s="45"/>
      <c r="G54" s="45"/>
      <c r="H54" s="43"/>
      <c r="I54" s="45"/>
      <c r="J54" s="43">
        <v>454774669478</v>
      </c>
      <c r="K54" s="44">
        <v>45825</v>
      </c>
      <c r="L54" s="44">
        <v>45831</v>
      </c>
      <c r="M54" s="45" t="s">
        <v>50</v>
      </c>
      <c r="N54" s="45" t="s">
        <v>51</v>
      </c>
      <c r="O54" s="45"/>
      <c r="P54" s="45" t="s">
        <v>52</v>
      </c>
      <c r="Q54" s="44">
        <v>45824</v>
      </c>
      <c r="R54" s="45">
        <v>6</v>
      </c>
      <c r="S54" s="44">
        <v>45826</v>
      </c>
    </row>
    <row r="55" spans="1:19" ht="12.75">
      <c r="A55" s="45"/>
      <c r="B55" s="45"/>
      <c r="C55" s="45"/>
      <c r="D55" s="45"/>
      <c r="E55" s="45"/>
      <c r="F55" s="45"/>
      <c r="G55" s="45"/>
      <c r="H55" s="43"/>
      <c r="I55" s="45"/>
      <c r="J55" s="43">
        <v>454774676791</v>
      </c>
      <c r="K55" s="44">
        <v>45825</v>
      </c>
      <c r="L55" s="44">
        <v>45831</v>
      </c>
      <c r="M55" s="45" t="s">
        <v>50</v>
      </c>
      <c r="N55" s="45" t="s">
        <v>51</v>
      </c>
      <c r="O55" s="45"/>
      <c r="P55" s="45" t="s">
        <v>52</v>
      </c>
      <c r="Q55" s="44">
        <v>45824</v>
      </c>
      <c r="R55" s="45">
        <v>4</v>
      </c>
      <c r="S55" s="44">
        <v>45826</v>
      </c>
    </row>
    <row r="56" spans="1:19" ht="12.75">
      <c r="A56" s="45"/>
      <c r="B56" s="45"/>
      <c r="C56" s="45"/>
      <c r="D56" s="45"/>
      <c r="E56" s="45"/>
      <c r="F56" s="45"/>
      <c r="G56" s="45"/>
      <c r="H56" s="43"/>
      <c r="I56" s="45"/>
      <c r="J56" s="43">
        <v>454775006730</v>
      </c>
      <c r="K56" s="44">
        <v>45825</v>
      </c>
      <c r="L56" s="44">
        <v>45831</v>
      </c>
      <c r="M56" s="45" t="s">
        <v>50</v>
      </c>
      <c r="N56" s="45" t="s">
        <v>51</v>
      </c>
      <c r="O56" s="45"/>
      <c r="P56" s="45" t="s">
        <v>52</v>
      </c>
      <c r="Q56" s="44">
        <v>45824</v>
      </c>
      <c r="R56" s="45">
        <v>8</v>
      </c>
      <c r="S56" s="44">
        <v>45826</v>
      </c>
    </row>
    <row r="57" spans="1:19" ht="12.75">
      <c r="A57" s="45"/>
      <c r="B57" s="45"/>
      <c r="C57" s="45"/>
      <c r="D57" s="45"/>
      <c r="E57" s="45"/>
      <c r="F57" s="45"/>
      <c r="G57" s="45"/>
      <c r="H57" s="43"/>
      <c r="I57" s="45"/>
      <c r="J57" s="43">
        <v>454775035759</v>
      </c>
      <c r="K57" s="44">
        <v>45825</v>
      </c>
      <c r="L57" s="44">
        <v>45831</v>
      </c>
      <c r="M57" s="45" t="s">
        <v>50</v>
      </c>
      <c r="N57" s="45" t="s">
        <v>51</v>
      </c>
      <c r="O57" s="45"/>
      <c r="P57" s="45" t="s">
        <v>52</v>
      </c>
      <c r="Q57" s="44">
        <v>45824</v>
      </c>
      <c r="R57" s="45">
        <v>8</v>
      </c>
      <c r="S57" s="44">
        <v>45826</v>
      </c>
    </row>
    <row r="58" spans="1:19" ht="12.75">
      <c r="A58" s="45"/>
      <c r="B58" s="45"/>
      <c r="C58" s="45"/>
      <c r="D58" s="45"/>
      <c r="E58" s="45"/>
      <c r="F58" s="45"/>
      <c r="G58" s="45"/>
      <c r="H58" s="43"/>
      <c r="I58" s="45"/>
      <c r="J58" s="43">
        <v>454775192654</v>
      </c>
      <c r="K58" s="44">
        <v>45825</v>
      </c>
      <c r="L58" s="44">
        <v>45831</v>
      </c>
      <c r="M58" s="45" t="s">
        <v>50</v>
      </c>
      <c r="N58" s="45" t="s">
        <v>51</v>
      </c>
      <c r="O58" s="45"/>
      <c r="P58" s="45" t="s">
        <v>52</v>
      </c>
      <c r="Q58" s="44">
        <v>45824</v>
      </c>
      <c r="R58" s="45">
        <v>4</v>
      </c>
      <c r="S58" s="44">
        <v>45826</v>
      </c>
    </row>
    <row r="59" spans="1:19" ht="12.75">
      <c r="A59" s="45"/>
      <c r="B59" s="45"/>
      <c r="C59" s="45"/>
      <c r="D59" s="45"/>
      <c r="E59" s="45"/>
      <c r="F59" s="45"/>
      <c r="G59" s="45"/>
      <c r="H59" s="43"/>
      <c r="I59" s="45"/>
      <c r="J59" s="43">
        <v>454775252695</v>
      </c>
      <c r="K59" s="44">
        <v>45825</v>
      </c>
      <c r="L59" s="44">
        <v>45831</v>
      </c>
      <c r="M59" s="45" t="s">
        <v>50</v>
      </c>
      <c r="N59" s="45" t="s">
        <v>51</v>
      </c>
      <c r="O59" s="45"/>
      <c r="P59" s="45" t="s">
        <v>52</v>
      </c>
      <c r="Q59" s="44">
        <v>45824</v>
      </c>
      <c r="R59" s="45">
        <v>1</v>
      </c>
      <c r="S59" s="44">
        <v>45826</v>
      </c>
    </row>
    <row r="60" spans="1:19" ht="12.75">
      <c r="A60" s="45"/>
      <c r="B60" s="45"/>
      <c r="C60" s="45"/>
      <c r="D60" s="45"/>
      <c r="E60" s="45"/>
      <c r="F60" s="45"/>
      <c r="G60" s="45"/>
      <c r="H60" s="43"/>
      <c r="I60" s="45"/>
      <c r="J60" s="43">
        <v>454775252915</v>
      </c>
      <c r="K60" s="44">
        <v>45825</v>
      </c>
      <c r="L60" s="44">
        <v>45831</v>
      </c>
      <c r="M60" s="45" t="s">
        <v>50</v>
      </c>
      <c r="N60" s="45" t="s">
        <v>51</v>
      </c>
      <c r="O60" s="45"/>
      <c r="P60" s="45" t="s">
        <v>52</v>
      </c>
      <c r="Q60" s="44">
        <v>45824</v>
      </c>
      <c r="R60" s="45">
        <v>4</v>
      </c>
      <c r="S60" s="44">
        <v>45826</v>
      </c>
    </row>
    <row r="61" spans="1:19" ht="12.75">
      <c r="A61" s="45"/>
      <c r="B61" s="45"/>
      <c r="C61" s="45"/>
      <c r="D61" s="45"/>
      <c r="E61" s="45"/>
      <c r="F61" s="45"/>
      <c r="G61" s="45"/>
      <c r="H61" s="43"/>
      <c r="I61" s="45"/>
      <c r="J61" s="43">
        <v>454776032834</v>
      </c>
      <c r="K61" s="44">
        <v>45825</v>
      </c>
      <c r="L61" s="44">
        <v>45831</v>
      </c>
      <c r="M61" s="45" t="s">
        <v>50</v>
      </c>
      <c r="N61" s="45" t="s">
        <v>51</v>
      </c>
      <c r="O61" s="45"/>
      <c r="P61" s="45" t="s">
        <v>52</v>
      </c>
      <c r="Q61" s="44">
        <v>45824</v>
      </c>
      <c r="R61" s="45">
        <v>1</v>
      </c>
      <c r="S61" s="44">
        <v>45826</v>
      </c>
    </row>
    <row r="62" spans="1:19" ht="12.75">
      <c r="A62" s="45"/>
      <c r="B62" s="45"/>
      <c r="C62" s="45"/>
      <c r="D62" s="45"/>
      <c r="E62" s="45"/>
      <c r="F62" s="45"/>
      <c r="G62" s="45"/>
      <c r="H62" s="43"/>
      <c r="I62" s="44" t="s">
        <v>82</v>
      </c>
      <c r="J62" s="43">
        <v>454698451345</v>
      </c>
      <c r="K62" s="44">
        <v>45825</v>
      </c>
      <c r="L62" s="44">
        <v>45831</v>
      </c>
      <c r="M62" s="45" t="s">
        <v>50</v>
      </c>
      <c r="N62" s="45" t="s">
        <v>51</v>
      </c>
      <c r="O62" s="45"/>
      <c r="P62" s="45" t="s">
        <v>52</v>
      </c>
      <c r="Q62" s="44">
        <v>45824</v>
      </c>
      <c r="R62" s="45">
        <v>1</v>
      </c>
      <c r="S62" s="44">
        <v>45826</v>
      </c>
    </row>
    <row r="63" spans="1:19" ht="12.75">
      <c r="A63" s="45"/>
      <c r="B63" s="45"/>
      <c r="C63" s="45"/>
      <c r="D63" s="45"/>
      <c r="E63" s="45"/>
      <c r="F63" s="45"/>
      <c r="G63" s="45"/>
      <c r="H63" s="43"/>
      <c r="I63" s="45"/>
      <c r="J63" s="43">
        <v>454698628078</v>
      </c>
      <c r="K63" s="44">
        <v>45825</v>
      </c>
      <c r="L63" s="44">
        <v>45831</v>
      </c>
      <c r="M63" s="45" t="s">
        <v>50</v>
      </c>
      <c r="N63" s="45" t="s">
        <v>51</v>
      </c>
      <c r="O63" s="45"/>
      <c r="P63" s="45" t="s">
        <v>52</v>
      </c>
      <c r="Q63" s="44">
        <v>45824</v>
      </c>
      <c r="R63" s="45">
        <v>1</v>
      </c>
      <c r="S63" s="44">
        <v>45826</v>
      </c>
    </row>
    <row r="64" spans="1:19" ht="12.75">
      <c r="A64" s="45"/>
      <c r="B64" s="45"/>
      <c r="C64" s="45"/>
      <c r="D64" s="45"/>
      <c r="E64" s="45"/>
      <c r="F64" s="45"/>
      <c r="G64" s="45"/>
      <c r="H64" s="43"/>
      <c r="I64" s="44" t="s">
        <v>57</v>
      </c>
      <c r="J64" s="43">
        <v>452032527956</v>
      </c>
      <c r="K64" s="44">
        <v>45825</v>
      </c>
      <c r="L64" s="44">
        <v>45831</v>
      </c>
      <c r="M64" s="45" t="s">
        <v>50</v>
      </c>
      <c r="N64" s="45" t="s">
        <v>51</v>
      </c>
      <c r="O64" s="45"/>
      <c r="P64" s="45" t="s">
        <v>52</v>
      </c>
      <c r="Q64" s="44">
        <v>45824</v>
      </c>
      <c r="R64" s="45">
        <v>65</v>
      </c>
      <c r="S64" s="44">
        <v>45826</v>
      </c>
    </row>
    <row r="65" spans="1:19" ht="12.75">
      <c r="A65" s="45"/>
      <c r="B65" s="45"/>
      <c r="C65" s="45"/>
      <c r="D65" s="45"/>
      <c r="E65" s="45"/>
      <c r="F65" s="45"/>
      <c r="G65" s="45"/>
      <c r="H65" s="43"/>
      <c r="I65" s="45"/>
      <c r="J65" s="43">
        <v>452036246851</v>
      </c>
      <c r="K65" s="44">
        <v>45825</v>
      </c>
      <c r="L65" s="44">
        <v>45831</v>
      </c>
      <c r="M65" s="45" t="s">
        <v>50</v>
      </c>
      <c r="N65" s="45" t="s">
        <v>51</v>
      </c>
      <c r="O65" s="45"/>
      <c r="P65" s="45" t="s">
        <v>52</v>
      </c>
      <c r="Q65" s="44">
        <v>45824</v>
      </c>
      <c r="R65" s="45">
        <v>5</v>
      </c>
      <c r="S65" s="44">
        <v>45826</v>
      </c>
    </row>
    <row r="66" spans="1:19" ht="12.75">
      <c r="A66" s="45"/>
      <c r="B66" s="45"/>
      <c r="C66" s="45"/>
      <c r="D66" s="45"/>
      <c r="E66" s="45"/>
      <c r="F66" s="45"/>
      <c r="G66" s="45"/>
      <c r="H66" s="43"/>
      <c r="I66" s="45"/>
      <c r="J66" s="43">
        <v>452093818718</v>
      </c>
      <c r="K66" s="44">
        <v>45825</v>
      </c>
      <c r="L66" s="44">
        <v>45831</v>
      </c>
      <c r="M66" s="45" t="s">
        <v>50</v>
      </c>
      <c r="N66" s="45" t="s">
        <v>51</v>
      </c>
      <c r="O66" s="45"/>
      <c r="P66" s="45" t="s">
        <v>52</v>
      </c>
      <c r="Q66" s="44">
        <v>45824</v>
      </c>
      <c r="R66" s="45">
        <v>1</v>
      </c>
      <c r="S66" s="44">
        <v>45826</v>
      </c>
    </row>
    <row r="67" spans="1:19" ht="12.75">
      <c r="A67" s="45"/>
      <c r="B67" s="45" t="s">
        <v>180</v>
      </c>
      <c r="C67" s="45"/>
      <c r="D67" s="45"/>
      <c r="E67" s="45"/>
      <c r="F67" s="45"/>
      <c r="G67" s="45"/>
      <c r="H67" s="43"/>
      <c r="I67" s="45"/>
      <c r="J67" s="45"/>
      <c r="K67" s="45"/>
      <c r="L67" s="45"/>
      <c r="M67" s="45"/>
      <c r="N67" s="45"/>
      <c r="O67" s="45"/>
      <c r="P67" s="45"/>
      <c r="Q67" s="44">
        <v>1558016</v>
      </c>
      <c r="R67" s="45">
        <v>195</v>
      </c>
      <c r="S67" s="44">
        <v>1558084</v>
      </c>
    </row>
    <row r="68" spans="1:19" ht="12.75">
      <c r="A68" s="45"/>
      <c r="B68" s="45" t="s">
        <v>87</v>
      </c>
      <c r="C68" s="45" t="s">
        <v>85</v>
      </c>
      <c r="D68" s="45" t="s">
        <v>140</v>
      </c>
      <c r="E68" s="45" t="s">
        <v>76</v>
      </c>
      <c r="F68" s="45" t="s">
        <v>41</v>
      </c>
      <c r="G68" s="45">
        <v>-14</v>
      </c>
      <c r="H68" s="43"/>
      <c r="I68" s="44" t="s">
        <v>124</v>
      </c>
      <c r="J68" s="43">
        <v>452835957463</v>
      </c>
      <c r="K68" s="44">
        <v>45825</v>
      </c>
      <c r="L68" s="44">
        <v>45832</v>
      </c>
      <c r="M68" s="45" t="s">
        <v>50</v>
      </c>
      <c r="N68" s="45" t="s">
        <v>51</v>
      </c>
      <c r="O68" s="45"/>
      <c r="P68" s="45" t="s">
        <v>52</v>
      </c>
      <c r="Q68" s="44">
        <v>45824</v>
      </c>
      <c r="R68" s="45">
        <v>2</v>
      </c>
      <c r="S68" s="44">
        <v>45826</v>
      </c>
    </row>
    <row r="69" spans="1:19" ht="12.75">
      <c r="A69" s="45"/>
      <c r="B69" s="45"/>
      <c r="C69" s="45"/>
      <c r="D69" s="45"/>
      <c r="E69" s="45"/>
      <c r="F69" s="45"/>
      <c r="G69" s="45">
        <v>-9</v>
      </c>
      <c r="H69" s="43"/>
      <c r="I69" s="44" t="s">
        <v>90</v>
      </c>
      <c r="J69" s="43">
        <v>452711175976</v>
      </c>
      <c r="K69" s="44">
        <v>45825</v>
      </c>
      <c r="L69" s="44">
        <v>45832</v>
      </c>
      <c r="M69" s="45" t="s">
        <v>50</v>
      </c>
      <c r="N69" s="45" t="s">
        <v>51</v>
      </c>
      <c r="O69" s="45"/>
      <c r="P69" s="45" t="s">
        <v>52</v>
      </c>
      <c r="Q69" s="44">
        <v>45824</v>
      </c>
      <c r="R69" s="45">
        <v>4</v>
      </c>
      <c r="S69" s="44">
        <v>45826</v>
      </c>
    </row>
    <row r="70" spans="1:19" ht="12.75">
      <c r="A70" s="45"/>
      <c r="B70" s="45"/>
      <c r="C70" s="45"/>
      <c r="D70" s="45"/>
      <c r="E70" s="45"/>
      <c r="F70" s="45"/>
      <c r="G70" s="45"/>
      <c r="H70" s="43"/>
      <c r="I70" s="45"/>
      <c r="J70" s="43">
        <v>452736545832</v>
      </c>
      <c r="K70" s="44">
        <v>45825</v>
      </c>
      <c r="L70" s="44">
        <v>45832</v>
      </c>
      <c r="M70" s="45" t="s">
        <v>50</v>
      </c>
      <c r="N70" s="45" t="s">
        <v>51</v>
      </c>
      <c r="O70" s="45"/>
      <c r="P70" s="45" t="s">
        <v>52</v>
      </c>
      <c r="Q70" s="44">
        <v>45824</v>
      </c>
      <c r="R70" s="45">
        <v>4</v>
      </c>
      <c r="S70" s="44">
        <v>45826</v>
      </c>
    </row>
    <row r="71" spans="1:19" ht="12.75">
      <c r="A71" s="45"/>
      <c r="B71" s="45"/>
      <c r="C71" s="45"/>
      <c r="D71" s="45"/>
      <c r="E71" s="45"/>
      <c r="F71" s="45"/>
      <c r="G71" s="45"/>
      <c r="H71" s="43"/>
      <c r="I71" s="45"/>
      <c r="J71" s="43">
        <v>452740193438</v>
      </c>
      <c r="K71" s="44">
        <v>45825</v>
      </c>
      <c r="L71" s="44">
        <v>45832</v>
      </c>
      <c r="M71" s="45" t="s">
        <v>50</v>
      </c>
      <c r="N71" s="45" t="s">
        <v>51</v>
      </c>
      <c r="O71" s="45"/>
      <c r="P71" s="45" t="s">
        <v>52</v>
      </c>
      <c r="Q71" s="44">
        <v>45824</v>
      </c>
      <c r="R71" s="45">
        <v>11</v>
      </c>
      <c r="S71" s="44">
        <v>45826</v>
      </c>
    </row>
    <row r="72" spans="1:19" ht="12.75">
      <c r="A72" s="45"/>
      <c r="B72" s="45"/>
      <c r="C72" s="45"/>
      <c r="D72" s="45"/>
      <c r="E72" s="45"/>
      <c r="F72" s="45"/>
      <c r="G72" s="45"/>
      <c r="H72" s="43"/>
      <c r="I72" s="45"/>
      <c r="J72" s="43">
        <v>452744631950</v>
      </c>
      <c r="K72" s="44">
        <v>45825</v>
      </c>
      <c r="L72" s="44">
        <v>45832</v>
      </c>
      <c r="M72" s="45" t="s">
        <v>50</v>
      </c>
      <c r="N72" s="45" t="s">
        <v>51</v>
      </c>
      <c r="O72" s="45"/>
      <c r="P72" s="45" t="s">
        <v>52</v>
      </c>
      <c r="Q72" s="44">
        <v>45824</v>
      </c>
      <c r="R72" s="45">
        <v>3</v>
      </c>
      <c r="S72" s="44">
        <v>45826</v>
      </c>
    </row>
    <row r="73" spans="1:19" ht="12.75">
      <c r="A73" s="45"/>
      <c r="B73" s="45"/>
      <c r="C73" s="45"/>
      <c r="D73" s="45"/>
      <c r="E73" s="45"/>
      <c r="F73" s="45"/>
      <c r="G73" s="45"/>
      <c r="H73" s="43"/>
      <c r="I73" s="45"/>
      <c r="J73" s="43">
        <v>452745107166</v>
      </c>
      <c r="K73" s="44">
        <v>45825</v>
      </c>
      <c r="L73" s="44">
        <v>45832</v>
      </c>
      <c r="M73" s="45" t="s">
        <v>50</v>
      </c>
      <c r="N73" s="45" t="s">
        <v>51</v>
      </c>
      <c r="O73" s="45"/>
      <c r="P73" s="45" t="s">
        <v>52</v>
      </c>
      <c r="Q73" s="44">
        <v>45824</v>
      </c>
      <c r="R73" s="45">
        <v>3</v>
      </c>
      <c r="S73" s="44">
        <v>45826</v>
      </c>
    </row>
    <row r="74" spans="1:19" ht="12.75">
      <c r="A74" s="45"/>
      <c r="B74" s="45"/>
      <c r="C74" s="45"/>
      <c r="D74" s="45"/>
      <c r="E74" s="45"/>
      <c r="F74" s="45"/>
      <c r="G74" s="45"/>
      <c r="H74" s="43"/>
      <c r="I74" s="45"/>
      <c r="J74" s="43">
        <v>452749827433</v>
      </c>
      <c r="K74" s="44">
        <v>45825</v>
      </c>
      <c r="L74" s="44">
        <v>45832</v>
      </c>
      <c r="M74" s="45" t="s">
        <v>50</v>
      </c>
      <c r="N74" s="45" t="s">
        <v>51</v>
      </c>
      <c r="O74" s="45"/>
      <c r="P74" s="45" t="s">
        <v>52</v>
      </c>
      <c r="Q74" s="44">
        <v>45824</v>
      </c>
      <c r="R74" s="45">
        <v>2</v>
      </c>
      <c r="S74" s="44">
        <v>45826</v>
      </c>
    </row>
    <row r="75" spans="1:19" ht="12.75">
      <c r="A75" s="45"/>
      <c r="B75" s="45"/>
      <c r="C75" s="45"/>
      <c r="D75" s="45"/>
      <c r="E75" s="45"/>
      <c r="F75" s="45"/>
      <c r="G75" s="45"/>
      <c r="H75" s="43"/>
      <c r="I75" s="45"/>
      <c r="J75" s="43">
        <v>452752403390</v>
      </c>
      <c r="K75" s="44">
        <v>45825</v>
      </c>
      <c r="L75" s="44">
        <v>45832</v>
      </c>
      <c r="M75" s="45" t="s">
        <v>50</v>
      </c>
      <c r="N75" s="45" t="s">
        <v>51</v>
      </c>
      <c r="O75" s="45"/>
      <c r="P75" s="45" t="s">
        <v>52</v>
      </c>
      <c r="Q75" s="44">
        <v>45824</v>
      </c>
      <c r="R75" s="45">
        <v>2</v>
      </c>
      <c r="S75" s="44">
        <v>45826</v>
      </c>
    </row>
    <row r="76" spans="1:19" ht="12.75">
      <c r="A76" s="45"/>
      <c r="B76" s="45"/>
      <c r="C76" s="45"/>
      <c r="D76" s="45"/>
      <c r="E76" s="45"/>
      <c r="F76" s="45"/>
      <c r="G76" s="45"/>
      <c r="H76" s="43"/>
      <c r="I76" s="45"/>
      <c r="J76" s="43">
        <v>452759324840</v>
      </c>
      <c r="K76" s="44">
        <v>45825</v>
      </c>
      <c r="L76" s="44">
        <v>45832</v>
      </c>
      <c r="M76" s="45" t="s">
        <v>50</v>
      </c>
      <c r="N76" s="45" t="s">
        <v>51</v>
      </c>
      <c r="O76" s="45"/>
      <c r="P76" s="45" t="s">
        <v>52</v>
      </c>
      <c r="Q76" s="44">
        <v>45824</v>
      </c>
      <c r="R76" s="45">
        <v>2</v>
      </c>
      <c r="S76" s="44">
        <v>45826</v>
      </c>
    </row>
    <row r="77" spans="1:19" ht="12.75">
      <c r="A77" s="45"/>
      <c r="B77" s="45"/>
      <c r="C77" s="45"/>
      <c r="D77" s="45"/>
      <c r="E77" s="45"/>
      <c r="F77" s="45"/>
      <c r="G77" s="45"/>
      <c r="H77" s="43"/>
      <c r="I77" s="45"/>
      <c r="J77" s="43">
        <v>452767134024</v>
      </c>
      <c r="K77" s="44">
        <v>45825</v>
      </c>
      <c r="L77" s="44">
        <v>45832</v>
      </c>
      <c r="M77" s="45" t="s">
        <v>50</v>
      </c>
      <c r="N77" s="45" t="s">
        <v>51</v>
      </c>
      <c r="O77" s="45"/>
      <c r="P77" s="45" t="s">
        <v>52</v>
      </c>
      <c r="Q77" s="44">
        <v>45824</v>
      </c>
      <c r="R77" s="45">
        <v>3</v>
      </c>
      <c r="S77" s="44">
        <v>45826</v>
      </c>
    </row>
    <row r="78" spans="1:19" ht="12.75">
      <c r="A78" s="45"/>
      <c r="B78" s="45"/>
      <c r="C78" s="45"/>
      <c r="D78" s="45"/>
      <c r="E78" s="45"/>
      <c r="F78" s="45"/>
      <c r="G78" s="45"/>
      <c r="H78" s="43"/>
      <c r="I78" s="45"/>
      <c r="J78" s="43">
        <v>452775582660</v>
      </c>
      <c r="K78" s="44">
        <v>45825</v>
      </c>
      <c r="L78" s="44">
        <v>45832</v>
      </c>
      <c r="M78" s="45" t="s">
        <v>50</v>
      </c>
      <c r="N78" s="45" t="s">
        <v>51</v>
      </c>
      <c r="O78" s="45"/>
      <c r="P78" s="45" t="s">
        <v>52</v>
      </c>
      <c r="Q78" s="44">
        <v>45824</v>
      </c>
      <c r="R78" s="45">
        <v>3</v>
      </c>
      <c r="S78" s="44">
        <v>45826</v>
      </c>
    </row>
    <row r="79" spans="1:19" ht="12.75">
      <c r="A79" s="45"/>
      <c r="B79" s="45"/>
      <c r="C79" s="45"/>
      <c r="D79" s="45"/>
      <c r="E79" s="45"/>
      <c r="F79" s="45"/>
      <c r="G79" s="45"/>
      <c r="H79" s="43"/>
      <c r="I79" s="45"/>
      <c r="J79" s="43">
        <v>452850728949</v>
      </c>
      <c r="K79" s="44">
        <v>45825</v>
      </c>
      <c r="L79" s="44">
        <v>45832</v>
      </c>
      <c r="M79" s="45" t="s">
        <v>50</v>
      </c>
      <c r="N79" s="45" t="s">
        <v>51</v>
      </c>
      <c r="O79" s="45"/>
      <c r="P79" s="45" t="s">
        <v>52</v>
      </c>
      <c r="Q79" s="44">
        <v>45824</v>
      </c>
      <c r="R79" s="45">
        <v>3</v>
      </c>
      <c r="S79" s="44">
        <v>45826</v>
      </c>
    </row>
    <row r="80" spans="1:19" ht="12.75">
      <c r="A80" s="45"/>
      <c r="B80" s="45"/>
      <c r="C80" s="45"/>
      <c r="D80" s="45"/>
      <c r="E80" s="45"/>
      <c r="F80" s="45"/>
      <c r="G80" s="45"/>
      <c r="H80" s="43"/>
      <c r="I80" s="44" t="s">
        <v>47</v>
      </c>
      <c r="J80" s="43">
        <v>452516737431</v>
      </c>
      <c r="K80" s="44">
        <v>45825</v>
      </c>
      <c r="L80" s="44">
        <v>45832</v>
      </c>
      <c r="M80" s="45" t="s">
        <v>50</v>
      </c>
      <c r="N80" s="45" t="s">
        <v>51</v>
      </c>
      <c r="O80" s="45"/>
      <c r="P80" s="45" t="s">
        <v>52</v>
      </c>
      <c r="Q80" s="44">
        <v>45824</v>
      </c>
      <c r="R80" s="45">
        <v>26</v>
      </c>
      <c r="S80" s="44">
        <v>45826</v>
      </c>
    </row>
    <row r="81" spans="1:19" ht="12.75">
      <c r="A81" s="45"/>
      <c r="B81" s="45"/>
      <c r="C81" s="45"/>
      <c r="D81" s="45"/>
      <c r="E81" s="45"/>
      <c r="F81" s="45"/>
      <c r="G81" s="45"/>
      <c r="H81" s="43"/>
      <c r="I81" s="45"/>
      <c r="J81" s="43">
        <v>452517477928</v>
      </c>
      <c r="K81" s="44">
        <v>45825</v>
      </c>
      <c r="L81" s="44">
        <v>45832</v>
      </c>
      <c r="M81" s="45" t="s">
        <v>50</v>
      </c>
      <c r="N81" s="45" t="s">
        <v>51</v>
      </c>
      <c r="O81" s="45"/>
      <c r="P81" s="45" t="s">
        <v>52</v>
      </c>
      <c r="Q81" s="44">
        <v>45824</v>
      </c>
      <c r="R81" s="45">
        <v>21</v>
      </c>
      <c r="S81" s="44">
        <v>45826</v>
      </c>
    </row>
    <row r="82" spans="1:19" ht="12.75">
      <c r="A82" s="45"/>
      <c r="B82" s="45"/>
      <c r="C82" s="45"/>
      <c r="D82" s="45"/>
      <c r="E82" s="45"/>
      <c r="F82" s="45"/>
      <c r="G82" s="45"/>
      <c r="H82" s="43"/>
      <c r="I82" s="44" t="s">
        <v>55</v>
      </c>
      <c r="J82" s="43">
        <v>452016338555</v>
      </c>
      <c r="K82" s="44">
        <v>45825</v>
      </c>
      <c r="L82" s="44">
        <v>45832</v>
      </c>
      <c r="M82" s="45" t="s">
        <v>50</v>
      </c>
      <c r="N82" s="45" t="s">
        <v>51</v>
      </c>
      <c r="O82" s="45"/>
      <c r="P82" s="45" t="s">
        <v>52</v>
      </c>
      <c r="Q82" s="44">
        <v>45824</v>
      </c>
      <c r="R82" s="45">
        <v>13</v>
      </c>
      <c r="S82" s="44">
        <v>45826</v>
      </c>
    </row>
    <row r="83" spans="1:19" ht="12.75">
      <c r="A83" s="45"/>
      <c r="B83" s="45"/>
      <c r="C83" s="45"/>
      <c r="D83" s="45"/>
      <c r="E83" s="45"/>
      <c r="F83" s="45"/>
      <c r="G83" s="45"/>
      <c r="H83" s="43"/>
      <c r="I83" s="45"/>
      <c r="J83" s="43">
        <v>452017063440</v>
      </c>
      <c r="K83" s="44">
        <v>45825</v>
      </c>
      <c r="L83" s="44">
        <v>45832</v>
      </c>
      <c r="M83" s="45" t="s">
        <v>50</v>
      </c>
      <c r="N83" s="45" t="s">
        <v>51</v>
      </c>
      <c r="O83" s="45"/>
      <c r="P83" s="45" t="s">
        <v>52</v>
      </c>
      <c r="Q83" s="44">
        <v>45824</v>
      </c>
      <c r="R83" s="45">
        <v>28</v>
      </c>
      <c r="S83" s="44">
        <v>45826</v>
      </c>
    </row>
    <row r="84" spans="1:19" ht="12.75">
      <c r="A84" s="45"/>
      <c r="B84" s="45"/>
      <c r="C84" s="45"/>
      <c r="D84" s="45"/>
      <c r="E84" s="45"/>
      <c r="F84" s="45"/>
      <c r="G84" s="45"/>
      <c r="H84" s="43"/>
      <c r="I84" s="45"/>
      <c r="J84" s="43">
        <v>452521447192</v>
      </c>
      <c r="K84" s="44">
        <v>45825</v>
      </c>
      <c r="L84" s="44">
        <v>45832</v>
      </c>
      <c r="M84" s="45" t="s">
        <v>50</v>
      </c>
      <c r="N84" s="45" t="s">
        <v>51</v>
      </c>
      <c r="O84" s="45"/>
      <c r="P84" s="45" t="s">
        <v>52</v>
      </c>
      <c r="Q84" s="44">
        <v>45824</v>
      </c>
      <c r="R84" s="45">
        <v>21</v>
      </c>
      <c r="S84" s="44">
        <v>45826</v>
      </c>
    </row>
    <row r="85" spans="1:19" ht="12.75">
      <c r="A85" s="45"/>
      <c r="B85" s="45"/>
      <c r="C85" s="45"/>
      <c r="D85" s="45"/>
      <c r="E85" s="45"/>
      <c r="F85" s="45"/>
      <c r="G85" s="45"/>
      <c r="H85" s="43"/>
      <c r="I85" s="44" t="s">
        <v>63</v>
      </c>
      <c r="J85" s="43">
        <v>452924604893</v>
      </c>
      <c r="K85" s="44">
        <v>45825</v>
      </c>
      <c r="L85" s="44">
        <v>45832</v>
      </c>
      <c r="M85" s="45" t="s">
        <v>50</v>
      </c>
      <c r="N85" s="45" t="s">
        <v>51</v>
      </c>
      <c r="O85" s="45"/>
      <c r="P85" s="45" t="s">
        <v>52</v>
      </c>
      <c r="Q85" s="44">
        <v>45824</v>
      </c>
      <c r="R85" s="45">
        <v>2</v>
      </c>
      <c r="S85" s="44">
        <v>45826</v>
      </c>
    </row>
    <row r="86" spans="1:19" ht="12.75">
      <c r="A86" s="45"/>
      <c r="B86" s="45"/>
      <c r="C86" s="45"/>
      <c r="D86" s="45"/>
      <c r="E86" s="45"/>
      <c r="F86" s="45"/>
      <c r="G86" s="45"/>
      <c r="H86" s="43"/>
      <c r="I86" s="44" t="s">
        <v>124</v>
      </c>
      <c r="J86" s="43">
        <v>452834851376</v>
      </c>
      <c r="K86" s="44">
        <v>45825</v>
      </c>
      <c r="L86" s="44">
        <v>45832</v>
      </c>
      <c r="M86" s="45" t="s">
        <v>50</v>
      </c>
      <c r="N86" s="45" t="s">
        <v>51</v>
      </c>
      <c r="O86" s="45"/>
      <c r="P86" s="45" t="s">
        <v>52</v>
      </c>
      <c r="Q86" s="44">
        <v>45824</v>
      </c>
      <c r="R86" s="45">
        <v>7</v>
      </c>
      <c r="S86" s="44">
        <v>45826</v>
      </c>
    </row>
    <row r="87" spans="1:19" ht="12.75">
      <c r="A87" s="45"/>
      <c r="B87" s="45"/>
      <c r="C87" s="45"/>
      <c r="D87" s="45"/>
      <c r="E87" s="45"/>
      <c r="F87" s="45"/>
      <c r="G87" s="45"/>
      <c r="H87" s="43"/>
      <c r="I87" s="45"/>
      <c r="J87" s="43">
        <v>452835956203</v>
      </c>
      <c r="K87" s="44">
        <v>45825</v>
      </c>
      <c r="L87" s="44">
        <v>45832</v>
      </c>
      <c r="M87" s="45" t="s">
        <v>50</v>
      </c>
      <c r="N87" s="45" t="s">
        <v>51</v>
      </c>
      <c r="O87" s="45"/>
      <c r="P87" s="45" t="s">
        <v>52</v>
      </c>
      <c r="Q87" s="44">
        <v>45824</v>
      </c>
      <c r="R87" s="45">
        <v>3</v>
      </c>
      <c r="S87" s="44">
        <v>45826</v>
      </c>
    </row>
    <row r="88" spans="1:19" ht="12.75">
      <c r="A88" s="45"/>
      <c r="B88" s="45"/>
      <c r="C88" s="45"/>
      <c r="D88" s="45"/>
      <c r="E88" s="45"/>
      <c r="F88" s="45"/>
      <c r="G88" s="45"/>
      <c r="H88" s="43"/>
      <c r="I88" s="45"/>
      <c r="J88" s="43">
        <v>452837963387</v>
      </c>
      <c r="K88" s="44">
        <v>45825</v>
      </c>
      <c r="L88" s="44">
        <v>45832</v>
      </c>
      <c r="M88" s="45" t="s">
        <v>50</v>
      </c>
      <c r="N88" s="45" t="s">
        <v>51</v>
      </c>
      <c r="O88" s="45"/>
      <c r="P88" s="45" t="s">
        <v>52</v>
      </c>
      <c r="Q88" s="44">
        <v>45824</v>
      </c>
      <c r="R88" s="45">
        <v>16</v>
      </c>
      <c r="S88" s="44">
        <v>45826</v>
      </c>
    </row>
    <row r="89" spans="1:19" ht="12.75">
      <c r="A89" s="45"/>
      <c r="B89" s="45"/>
      <c r="C89" s="45"/>
      <c r="D89" s="45"/>
      <c r="E89" s="45"/>
      <c r="F89" s="45"/>
      <c r="G89" s="45"/>
      <c r="H89" s="43"/>
      <c r="I89" s="45"/>
      <c r="J89" s="43">
        <v>452837963878</v>
      </c>
      <c r="K89" s="44">
        <v>45825</v>
      </c>
      <c r="L89" s="44">
        <v>45832</v>
      </c>
      <c r="M89" s="45" t="s">
        <v>50</v>
      </c>
      <c r="N89" s="45" t="s">
        <v>51</v>
      </c>
      <c r="O89" s="45"/>
      <c r="P89" s="45" t="s">
        <v>52</v>
      </c>
      <c r="Q89" s="44">
        <v>45824</v>
      </c>
      <c r="R89" s="45">
        <v>6</v>
      </c>
      <c r="S89" s="44">
        <v>45826</v>
      </c>
    </row>
    <row r="90" spans="1:19" ht="12.75">
      <c r="A90" s="45"/>
      <c r="B90" s="45"/>
      <c r="C90" s="45"/>
      <c r="D90" s="45"/>
      <c r="E90" s="45"/>
      <c r="F90" s="45"/>
      <c r="G90" s="45"/>
      <c r="H90" s="43"/>
      <c r="I90" s="45"/>
      <c r="J90" s="43">
        <v>452839125735</v>
      </c>
      <c r="K90" s="44">
        <v>45825</v>
      </c>
      <c r="L90" s="44">
        <v>45832</v>
      </c>
      <c r="M90" s="45" t="s">
        <v>50</v>
      </c>
      <c r="N90" s="45" t="s">
        <v>51</v>
      </c>
      <c r="O90" s="45"/>
      <c r="P90" s="45" t="s">
        <v>52</v>
      </c>
      <c r="Q90" s="44">
        <v>45824</v>
      </c>
      <c r="R90" s="45">
        <v>6</v>
      </c>
      <c r="S90" s="44">
        <v>45826</v>
      </c>
    </row>
    <row r="91" spans="1:19" ht="12.75">
      <c r="A91" s="45"/>
      <c r="B91" s="45"/>
      <c r="C91" s="45"/>
      <c r="D91" s="45"/>
      <c r="E91" s="45"/>
      <c r="F91" s="45"/>
      <c r="G91" s="45"/>
      <c r="H91" s="43"/>
      <c r="I91" s="45"/>
      <c r="J91" s="43">
        <v>452840026315</v>
      </c>
      <c r="K91" s="44">
        <v>45825</v>
      </c>
      <c r="L91" s="44">
        <v>45832</v>
      </c>
      <c r="M91" s="45" t="s">
        <v>50</v>
      </c>
      <c r="N91" s="45" t="s">
        <v>51</v>
      </c>
      <c r="O91" s="45"/>
      <c r="P91" s="45" t="s">
        <v>52</v>
      </c>
      <c r="Q91" s="44">
        <v>45824</v>
      </c>
      <c r="R91" s="45">
        <v>2</v>
      </c>
      <c r="S91" s="44">
        <v>45826</v>
      </c>
    </row>
    <row r="92" spans="1:19" ht="12.75">
      <c r="A92" s="45"/>
      <c r="B92" s="45"/>
      <c r="C92" s="45"/>
      <c r="D92" s="45"/>
      <c r="E92" s="45"/>
      <c r="F92" s="45"/>
      <c r="G92" s="45"/>
      <c r="H92" s="43"/>
      <c r="I92" s="45"/>
      <c r="J92" s="43">
        <v>452841160878</v>
      </c>
      <c r="K92" s="44">
        <v>45825</v>
      </c>
      <c r="L92" s="44">
        <v>45832</v>
      </c>
      <c r="M92" s="45" t="s">
        <v>50</v>
      </c>
      <c r="N92" s="45" t="s">
        <v>51</v>
      </c>
      <c r="O92" s="45"/>
      <c r="P92" s="45" t="s">
        <v>52</v>
      </c>
      <c r="Q92" s="44">
        <v>45824</v>
      </c>
      <c r="R92" s="45">
        <v>1</v>
      </c>
      <c r="S92" s="44">
        <v>45826</v>
      </c>
    </row>
    <row r="93" spans="1:19" ht="12.75">
      <c r="A93" s="45"/>
      <c r="B93" s="45"/>
      <c r="C93" s="45"/>
      <c r="D93" s="45"/>
      <c r="E93" s="45"/>
      <c r="F93" s="45"/>
      <c r="G93" s="45"/>
      <c r="H93" s="43"/>
      <c r="I93" s="45"/>
      <c r="J93" s="43">
        <v>452841941411</v>
      </c>
      <c r="K93" s="44">
        <v>45825</v>
      </c>
      <c r="L93" s="44">
        <v>45832</v>
      </c>
      <c r="M93" s="45" t="s">
        <v>50</v>
      </c>
      <c r="N93" s="45" t="s">
        <v>51</v>
      </c>
      <c r="O93" s="45"/>
      <c r="P93" s="45" t="s">
        <v>52</v>
      </c>
      <c r="Q93" s="44">
        <v>45824</v>
      </c>
      <c r="R93" s="45">
        <v>5</v>
      </c>
      <c r="S93" s="44">
        <v>45826</v>
      </c>
    </row>
    <row r="94" spans="1:19" ht="12.75">
      <c r="A94" s="45"/>
      <c r="B94" s="45"/>
      <c r="C94" s="45"/>
      <c r="D94" s="45"/>
      <c r="E94" s="45"/>
      <c r="F94" s="45"/>
      <c r="G94" s="45"/>
      <c r="H94" s="43"/>
      <c r="I94" s="44" t="s">
        <v>65</v>
      </c>
      <c r="J94" s="43">
        <v>452897742114</v>
      </c>
      <c r="K94" s="44">
        <v>45825</v>
      </c>
      <c r="L94" s="44">
        <v>45832</v>
      </c>
      <c r="M94" s="45" t="s">
        <v>50</v>
      </c>
      <c r="N94" s="45" t="s">
        <v>51</v>
      </c>
      <c r="O94" s="45"/>
      <c r="P94" s="45" t="s">
        <v>52</v>
      </c>
      <c r="Q94" s="44">
        <v>45824</v>
      </c>
      <c r="R94" s="45">
        <v>8</v>
      </c>
      <c r="S94" s="44">
        <v>45826</v>
      </c>
    </row>
    <row r="95" spans="1:19" ht="12.75">
      <c r="A95" s="45"/>
      <c r="B95" s="45"/>
      <c r="C95" s="45"/>
      <c r="D95" s="45"/>
      <c r="E95" s="45"/>
      <c r="F95" s="45"/>
      <c r="G95" s="45"/>
      <c r="H95" s="43"/>
      <c r="I95" s="45"/>
      <c r="J95" s="43">
        <v>452898624462</v>
      </c>
      <c r="K95" s="44">
        <v>45825</v>
      </c>
      <c r="L95" s="44">
        <v>45832</v>
      </c>
      <c r="M95" s="45" t="s">
        <v>50</v>
      </c>
      <c r="N95" s="45" t="s">
        <v>51</v>
      </c>
      <c r="O95" s="45"/>
      <c r="P95" s="45" t="s">
        <v>52</v>
      </c>
      <c r="Q95" s="44">
        <v>45824</v>
      </c>
      <c r="R95" s="45">
        <v>4</v>
      </c>
      <c r="S95" s="44">
        <v>45826</v>
      </c>
    </row>
    <row r="96" spans="1:19" ht="12.75">
      <c r="A96" s="45"/>
      <c r="B96" s="45"/>
      <c r="C96" s="45"/>
      <c r="D96" s="45"/>
      <c r="E96" s="45"/>
      <c r="F96" s="45"/>
      <c r="G96" s="45"/>
      <c r="H96" s="43"/>
      <c r="I96" s="45"/>
      <c r="J96" s="43">
        <v>452898671140</v>
      </c>
      <c r="K96" s="44">
        <v>45825</v>
      </c>
      <c r="L96" s="44">
        <v>45832</v>
      </c>
      <c r="M96" s="45" t="s">
        <v>50</v>
      </c>
      <c r="N96" s="45" t="s">
        <v>51</v>
      </c>
      <c r="O96" s="45"/>
      <c r="P96" s="45" t="s">
        <v>52</v>
      </c>
      <c r="Q96" s="44">
        <v>45824</v>
      </c>
      <c r="R96" s="45">
        <v>1</v>
      </c>
      <c r="S96" s="44">
        <v>45826</v>
      </c>
    </row>
    <row r="97" spans="1:19" ht="12.75">
      <c r="A97" s="45"/>
      <c r="B97" s="45"/>
      <c r="C97" s="45"/>
      <c r="D97" s="45"/>
      <c r="E97" s="45"/>
      <c r="F97" s="45"/>
      <c r="G97" s="45"/>
      <c r="H97" s="43"/>
      <c r="I97" s="45"/>
      <c r="J97" s="43">
        <v>452900314066</v>
      </c>
      <c r="K97" s="44">
        <v>45825</v>
      </c>
      <c r="L97" s="44">
        <v>45832</v>
      </c>
      <c r="M97" s="45" t="s">
        <v>50</v>
      </c>
      <c r="N97" s="45" t="s">
        <v>51</v>
      </c>
      <c r="O97" s="45"/>
      <c r="P97" s="45" t="s">
        <v>52</v>
      </c>
      <c r="Q97" s="44">
        <v>45824</v>
      </c>
      <c r="R97" s="45">
        <v>16</v>
      </c>
      <c r="S97" s="44">
        <v>45826</v>
      </c>
    </row>
    <row r="98" spans="1:19" ht="12.75">
      <c r="A98" s="45"/>
      <c r="B98" s="45"/>
      <c r="C98" s="45"/>
      <c r="D98" s="45"/>
      <c r="E98" s="45"/>
      <c r="F98" s="45"/>
      <c r="G98" s="45"/>
      <c r="H98" s="43"/>
      <c r="I98" s="45"/>
      <c r="J98" s="43">
        <v>452901003368</v>
      </c>
      <c r="K98" s="44">
        <v>45825</v>
      </c>
      <c r="L98" s="44">
        <v>45832</v>
      </c>
      <c r="M98" s="45" t="s">
        <v>50</v>
      </c>
      <c r="N98" s="45" t="s">
        <v>51</v>
      </c>
      <c r="O98" s="45"/>
      <c r="P98" s="45" t="s">
        <v>52</v>
      </c>
      <c r="Q98" s="44">
        <v>45824</v>
      </c>
      <c r="R98" s="45">
        <v>9</v>
      </c>
      <c r="S98" s="44">
        <v>45826</v>
      </c>
    </row>
    <row r="99" spans="1:19" ht="12.75">
      <c r="A99" s="45"/>
      <c r="B99" s="45"/>
      <c r="C99" s="45"/>
      <c r="D99" s="45" t="s">
        <v>86</v>
      </c>
      <c r="E99" s="45" t="s">
        <v>76</v>
      </c>
      <c r="F99" s="45" t="s">
        <v>41</v>
      </c>
      <c r="G99" s="45">
        <v>-9</v>
      </c>
      <c r="H99" s="43"/>
      <c r="I99" s="44" t="s">
        <v>90</v>
      </c>
      <c r="J99" s="43">
        <v>452711781089</v>
      </c>
      <c r="K99" s="44">
        <v>45825</v>
      </c>
      <c r="L99" s="44">
        <v>45832</v>
      </c>
      <c r="M99" s="45" t="s">
        <v>50</v>
      </c>
      <c r="N99" s="45" t="s">
        <v>51</v>
      </c>
      <c r="O99" s="45"/>
      <c r="P99" s="45" t="s">
        <v>52</v>
      </c>
      <c r="Q99" s="44">
        <v>45824</v>
      </c>
      <c r="R99" s="45">
        <v>3</v>
      </c>
      <c r="S99" s="44">
        <v>45826</v>
      </c>
    </row>
    <row r="100" spans="1:19" ht="12.75">
      <c r="A100" s="45"/>
      <c r="B100" s="45"/>
      <c r="C100" s="45"/>
      <c r="D100" s="45"/>
      <c r="E100" s="45"/>
      <c r="F100" s="45"/>
      <c r="G100" s="45"/>
      <c r="H100" s="43"/>
      <c r="I100" s="45"/>
      <c r="J100" s="43">
        <v>452713380372</v>
      </c>
      <c r="K100" s="44">
        <v>45825</v>
      </c>
      <c r="L100" s="44">
        <v>45832</v>
      </c>
      <c r="M100" s="45" t="s">
        <v>50</v>
      </c>
      <c r="N100" s="45" t="s">
        <v>51</v>
      </c>
      <c r="O100" s="45"/>
      <c r="P100" s="45" t="s">
        <v>52</v>
      </c>
      <c r="Q100" s="44">
        <v>45824</v>
      </c>
      <c r="R100" s="45">
        <v>4</v>
      </c>
      <c r="S100" s="44">
        <v>45826</v>
      </c>
    </row>
    <row r="101" spans="1:19" ht="12.75">
      <c r="A101" s="45"/>
      <c r="B101" s="45"/>
      <c r="C101" s="45"/>
      <c r="D101" s="45"/>
      <c r="E101" s="45"/>
      <c r="F101" s="45"/>
      <c r="G101" s="45"/>
      <c r="H101" s="43"/>
      <c r="I101" s="45"/>
      <c r="J101" s="43">
        <v>452714007820</v>
      </c>
      <c r="K101" s="44">
        <v>45825</v>
      </c>
      <c r="L101" s="44">
        <v>45832</v>
      </c>
      <c r="M101" s="45" t="s">
        <v>50</v>
      </c>
      <c r="N101" s="45" t="s">
        <v>51</v>
      </c>
      <c r="O101" s="45"/>
      <c r="P101" s="45" t="s">
        <v>52</v>
      </c>
      <c r="Q101" s="44">
        <v>45824</v>
      </c>
      <c r="R101" s="45">
        <v>5</v>
      </c>
      <c r="S101" s="44">
        <v>45826</v>
      </c>
    </row>
    <row r="102" spans="1:19" ht="12.75">
      <c r="A102" s="45"/>
      <c r="B102" s="45"/>
      <c r="C102" s="45"/>
      <c r="D102" s="45"/>
      <c r="E102" s="45"/>
      <c r="F102" s="45"/>
      <c r="G102" s="45"/>
      <c r="H102" s="43"/>
      <c r="I102" s="45"/>
      <c r="J102" s="43">
        <v>452714470923</v>
      </c>
      <c r="K102" s="44">
        <v>45825</v>
      </c>
      <c r="L102" s="44">
        <v>45832</v>
      </c>
      <c r="M102" s="45" t="s">
        <v>50</v>
      </c>
      <c r="N102" s="45" t="s">
        <v>51</v>
      </c>
      <c r="O102" s="45"/>
      <c r="P102" s="45" t="s">
        <v>52</v>
      </c>
      <c r="Q102" s="44">
        <v>45824</v>
      </c>
      <c r="R102" s="45">
        <v>11</v>
      </c>
      <c r="S102" s="44">
        <v>45826</v>
      </c>
    </row>
    <row r="103" spans="1:19" ht="12.75">
      <c r="A103" s="45"/>
      <c r="B103" s="45"/>
      <c r="C103" s="45"/>
      <c r="D103" s="45"/>
      <c r="E103" s="45"/>
      <c r="F103" s="45"/>
      <c r="G103" s="45"/>
      <c r="H103" s="43"/>
      <c r="I103" s="45"/>
      <c r="J103" s="43">
        <v>452715829365</v>
      </c>
      <c r="K103" s="44">
        <v>45825</v>
      </c>
      <c r="L103" s="44">
        <v>45832</v>
      </c>
      <c r="M103" s="45" t="s">
        <v>50</v>
      </c>
      <c r="N103" s="45" t="s">
        <v>51</v>
      </c>
      <c r="O103" s="45"/>
      <c r="P103" s="45" t="s">
        <v>52</v>
      </c>
      <c r="Q103" s="44">
        <v>45824</v>
      </c>
      <c r="R103" s="45">
        <v>3</v>
      </c>
      <c r="S103" s="44">
        <v>45826</v>
      </c>
    </row>
    <row r="104" spans="1:19" ht="12.75">
      <c r="A104" s="45"/>
      <c r="B104" s="45"/>
      <c r="C104" s="45"/>
      <c r="D104" s="45"/>
      <c r="E104" s="45"/>
      <c r="F104" s="45"/>
      <c r="G104" s="45"/>
      <c r="H104" s="43"/>
      <c r="I104" s="45"/>
      <c r="J104" s="43">
        <v>452716558693</v>
      </c>
      <c r="K104" s="44">
        <v>45825</v>
      </c>
      <c r="L104" s="44">
        <v>45832</v>
      </c>
      <c r="M104" s="45" t="s">
        <v>50</v>
      </c>
      <c r="N104" s="45" t="s">
        <v>51</v>
      </c>
      <c r="O104" s="45"/>
      <c r="P104" s="45" t="s">
        <v>52</v>
      </c>
      <c r="Q104" s="44">
        <v>45824</v>
      </c>
      <c r="R104" s="45">
        <v>9</v>
      </c>
      <c r="S104" s="44">
        <v>45826</v>
      </c>
    </row>
    <row r="105" spans="1:19" ht="12.75">
      <c r="A105" s="45"/>
      <c r="B105" s="45"/>
      <c r="C105" s="45"/>
      <c r="D105" s="45"/>
      <c r="E105" s="45"/>
      <c r="F105" s="45"/>
      <c r="G105" s="45"/>
      <c r="H105" s="43"/>
      <c r="I105" s="45"/>
      <c r="J105" s="43">
        <v>452716917986</v>
      </c>
      <c r="K105" s="44">
        <v>45825</v>
      </c>
      <c r="L105" s="44">
        <v>45832</v>
      </c>
      <c r="M105" s="45" t="s">
        <v>50</v>
      </c>
      <c r="N105" s="45" t="s">
        <v>51</v>
      </c>
      <c r="O105" s="45"/>
      <c r="P105" s="45" t="s">
        <v>52</v>
      </c>
      <c r="Q105" s="44">
        <v>45824</v>
      </c>
      <c r="R105" s="45">
        <v>4</v>
      </c>
      <c r="S105" s="44">
        <v>45826</v>
      </c>
    </row>
    <row r="106" spans="1:19" ht="12.75">
      <c r="A106" s="45"/>
      <c r="B106" s="45"/>
      <c r="C106" s="45"/>
      <c r="D106" s="45"/>
      <c r="E106" s="45"/>
      <c r="F106" s="45"/>
      <c r="G106" s="45"/>
      <c r="H106" s="43"/>
      <c r="I106" s="45"/>
      <c r="J106" s="43">
        <v>452717677611</v>
      </c>
      <c r="K106" s="44">
        <v>45825</v>
      </c>
      <c r="L106" s="44">
        <v>45832</v>
      </c>
      <c r="M106" s="45" t="s">
        <v>50</v>
      </c>
      <c r="N106" s="45" t="s">
        <v>51</v>
      </c>
      <c r="O106" s="45"/>
      <c r="P106" s="45" t="s">
        <v>52</v>
      </c>
      <c r="Q106" s="44">
        <v>45824</v>
      </c>
      <c r="R106" s="45">
        <v>13</v>
      </c>
      <c r="S106" s="44">
        <v>45826</v>
      </c>
    </row>
    <row r="107" spans="1:19" ht="12.75">
      <c r="A107" s="45"/>
      <c r="B107" s="45"/>
      <c r="C107" s="45"/>
      <c r="D107" s="45"/>
      <c r="E107" s="45"/>
      <c r="F107" s="45"/>
      <c r="G107" s="45"/>
      <c r="H107" s="43"/>
      <c r="I107" s="45"/>
      <c r="J107" s="43">
        <v>452718209567</v>
      </c>
      <c r="K107" s="44">
        <v>45825</v>
      </c>
      <c r="L107" s="44">
        <v>45832</v>
      </c>
      <c r="M107" s="45" t="s">
        <v>50</v>
      </c>
      <c r="N107" s="45" t="s">
        <v>51</v>
      </c>
      <c r="O107" s="45"/>
      <c r="P107" s="45" t="s">
        <v>52</v>
      </c>
      <c r="Q107" s="44">
        <v>45824</v>
      </c>
      <c r="R107" s="45">
        <v>12</v>
      </c>
      <c r="S107" s="44">
        <v>45826</v>
      </c>
    </row>
    <row r="108" spans="1:19" ht="12.75">
      <c r="A108" s="45"/>
      <c r="B108" s="45"/>
      <c r="C108" s="45"/>
      <c r="D108" s="45"/>
      <c r="E108" s="45"/>
      <c r="F108" s="45"/>
      <c r="G108" s="45"/>
      <c r="H108" s="43"/>
      <c r="I108" s="45"/>
      <c r="J108" s="43">
        <v>452719229489</v>
      </c>
      <c r="K108" s="44">
        <v>45825</v>
      </c>
      <c r="L108" s="44">
        <v>45832</v>
      </c>
      <c r="M108" s="45" t="s">
        <v>50</v>
      </c>
      <c r="N108" s="45" t="s">
        <v>51</v>
      </c>
      <c r="O108" s="45"/>
      <c r="P108" s="45" t="s">
        <v>52</v>
      </c>
      <c r="Q108" s="44">
        <v>45824</v>
      </c>
      <c r="R108" s="45">
        <v>12</v>
      </c>
      <c r="S108" s="44">
        <v>45826</v>
      </c>
    </row>
    <row r="109" spans="1:19" ht="12.75">
      <c r="A109" s="45"/>
      <c r="B109" s="45"/>
      <c r="C109" s="45"/>
      <c r="D109" s="45"/>
      <c r="E109" s="45"/>
      <c r="F109" s="45"/>
      <c r="G109" s="45"/>
      <c r="H109" s="43"/>
      <c r="I109" s="45"/>
      <c r="J109" s="43">
        <v>452720877605</v>
      </c>
      <c r="K109" s="44">
        <v>45825</v>
      </c>
      <c r="L109" s="44">
        <v>45832</v>
      </c>
      <c r="M109" s="45" t="s">
        <v>50</v>
      </c>
      <c r="N109" s="45" t="s">
        <v>51</v>
      </c>
      <c r="O109" s="45"/>
      <c r="P109" s="45" t="s">
        <v>52</v>
      </c>
      <c r="Q109" s="44">
        <v>45824</v>
      </c>
      <c r="R109" s="45">
        <v>1</v>
      </c>
      <c r="S109" s="44">
        <v>45826</v>
      </c>
    </row>
    <row r="110" spans="1:19" ht="12.75">
      <c r="A110" s="45"/>
      <c r="B110" s="45"/>
      <c r="C110" s="45"/>
      <c r="D110" s="45"/>
      <c r="E110" s="45"/>
      <c r="F110" s="45"/>
      <c r="G110" s="45"/>
      <c r="H110" s="43"/>
      <c r="I110" s="45"/>
      <c r="J110" s="43">
        <v>452721772655</v>
      </c>
      <c r="K110" s="44">
        <v>45825</v>
      </c>
      <c r="L110" s="44">
        <v>45832</v>
      </c>
      <c r="M110" s="45" t="s">
        <v>50</v>
      </c>
      <c r="N110" s="45" t="s">
        <v>51</v>
      </c>
      <c r="O110" s="45"/>
      <c r="P110" s="45" t="s">
        <v>52</v>
      </c>
      <c r="Q110" s="44">
        <v>45824</v>
      </c>
      <c r="R110" s="45">
        <v>3</v>
      </c>
      <c r="S110" s="44">
        <v>45826</v>
      </c>
    </row>
    <row r="111" spans="1:19" ht="12.75">
      <c r="A111" s="45"/>
      <c r="B111" s="45"/>
      <c r="C111" s="45"/>
      <c r="D111" s="45"/>
      <c r="E111" s="45"/>
      <c r="F111" s="45"/>
      <c r="G111" s="45"/>
      <c r="H111" s="43"/>
      <c r="I111" s="45"/>
      <c r="J111" s="43">
        <v>452721779178</v>
      </c>
      <c r="K111" s="44">
        <v>45825</v>
      </c>
      <c r="L111" s="44">
        <v>45832</v>
      </c>
      <c r="M111" s="45" t="s">
        <v>50</v>
      </c>
      <c r="N111" s="45" t="s">
        <v>51</v>
      </c>
      <c r="O111" s="45"/>
      <c r="P111" s="45" t="s">
        <v>52</v>
      </c>
      <c r="Q111" s="44">
        <v>45824</v>
      </c>
      <c r="R111" s="45">
        <v>6</v>
      </c>
      <c r="S111" s="44">
        <v>45826</v>
      </c>
    </row>
    <row r="112" spans="1:19" ht="12.75">
      <c r="A112" s="45"/>
      <c r="B112" s="45"/>
      <c r="C112" s="45"/>
      <c r="D112" s="45"/>
      <c r="E112" s="45"/>
      <c r="F112" s="45"/>
      <c r="G112" s="45"/>
      <c r="H112" s="43"/>
      <c r="I112" s="45"/>
      <c r="J112" s="43">
        <v>452723321938</v>
      </c>
      <c r="K112" s="44">
        <v>45825</v>
      </c>
      <c r="L112" s="44">
        <v>45832</v>
      </c>
      <c r="M112" s="45" t="s">
        <v>50</v>
      </c>
      <c r="N112" s="45" t="s">
        <v>51</v>
      </c>
      <c r="O112" s="45"/>
      <c r="P112" s="45" t="s">
        <v>52</v>
      </c>
      <c r="Q112" s="44">
        <v>45824</v>
      </c>
      <c r="R112" s="45">
        <v>8</v>
      </c>
      <c r="S112" s="44">
        <v>45826</v>
      </c>
    </row>
    <row r="113" spans="1:19" ht="12.75">
      <c r="A113" s="45"/>
      <c r="B113" s="45"/>
      <c r="C113" s="45"/>
      <c r="D113" s="45"/>
      <c r="E113" s="45"/>
      <c r="F113" s="45"/>
      <c r="G113" s="45"/>
      <c r="H113" s="43"/>
      <c r="I113" s="45"/>
      <c r="J113" s="43">
        <v>452725636619</v>
      </c>
      <c r="K113" s="44">
        <v>45825</v>
      </c>
      <c r="L113" s="44">
        <v>45832</v>
      </c>
      <c r="M113" s="45" t="s">
        <v>50</v>
      </c>
      <c r="N113" s="45" t="s">
        <v>51</v>
      </c>
      <c r="O113" s="45"/>
      <c r="P113" s="45" t="s">
        <v>52</v>
      </c>
      <c r="Q113" s="44">
        <v>45824</v>
      </c>
      <c r="R113" s="45">
        <v>1</v>
      </c>
      <c r="S113" s="44">
        <v>45826</v>
      </c>
    </row>
    <row r="114" spans="1:19" ht="12.75">
      <c r="A114" s="45"/>
      <c r="B114" s="45"/>
      <c r="C114" s="45"/>
      <c r="D114" s="45"/>
      <c r="E114" s="45"/>
      <c r="F114" s="45"/>
      <c r="G114" s="45"/>
      <c r="H114" s="43"/>
      <c r="I114" s="45"/>
      <c r="J114" s="43">
        <v>452726113321</v>
      </c>
      <c r="K114" s="44">
        <v>45825</v>
      </c>
      <c r="L114" s="44">
        <v>45832</v>
      </c>
      <c r="M114" s="45" t="s">
        <v>50</v>
      </c>
      <c r="N114" s="45" t="s">
        <v>51</v>
      </c>
      <c r="O114" s="45"/>
      <c r="P114" s="45" t="s">
        <v>52</v>
      </c>
      <c r="Q114" s="44">
        <v>45824</v>
      </c>
      <c r="R114" s="45">
        <v>3</v>
      </c>
      <c r="S114" s="44">
        <v>45826</v>
      </c>
    </row>
    <row r="115" spans="1:19" ht="12.75">
      <c r="A115" s="45"/>
      <c r="B115" s="45"/>
      <c r="C115" s="45"/>
      <c r="D115" s="45"/>
      <c r="E115" s="45"/>
      <c r="F115" s="45"/>
      <c r="G115" s="45"/>
      <c r="H115" s="43"/>
      <c r="I115" s="45"/>
      <c r="J115" s="43">
        <v>452727167451</v>
      </c>
      <c r="K115" s="44">
        <v>45825</v>
      </c>
      <c r="L115" s="44">
        <v>45832</v>
      </c>
      <c r="M115" s="45" t="s">
        <v>50</v>
      </c>
      <c r="N115" s="45" t="s">
        <v>51</v>
      </c>
      <c r="O115" s="45"/>
      <c r="P115" s="45" t="s">
        <v>52</v>
      </c>
      <c r="Q115" s="44">
        <v>45824</v>
      </c>
      <c r="R115" s="45">
        <v>6</v>
      </c>
      <c r="S115" s="44">
        <v>45826</v>
      </c>
    </row>
    <row r="116" spans="1:19" ht="12.75">
      <c r="A116" s="45"/>
      <c r="B116" s="45"/>
      <c r="C116" s="45"/>
      <c r="D116" s="45"/>
      <c r="E116" s="45"/>
      <c r="F116" s="45"/>
      <c r="G116" s="45"/>
      <c r="H116" s="43"/>
      <c r="I116" s="45"/>
      <c r="J116" s="43">
        <v>452727371750</v>
      </c>
      <c r="K116" s="44">
        <v>45825</v>
      </c>
      <c r="L116" s="44">
        <v>45832</v>
      </c>
      <c r="M116" s="45" t="s">
        <v>50</v>
      </c>
      <c r="N116" s="45" t="s">
        <v>51</v>
      </c>
      <c r="O116" s="45"/>
      <c r="P116" s="45" t="s">
        <v>52</v>
      </c>
      <c r="Q116" s="44">
        <v>45824</v>
      </c>
      <c r="R116" s="45">
        <v>18</v>
      </c>
      <c r="S116" s="44">
        <v>45826</v>
      </c>
    </row>
    <row r="117" spans="1:19" ht="12.75">
      <c r="A117" s="45"/>
      <c r="B117" s="45"/>
      <c r="C117" s="45"/>
      <c r="D117" s="45"/>
      <c r="E117" s="45"/>
      <c r="F117" s="45"/>
      <c r="G117" s="45"/>
      <c r="H117" s="43"/>
      <c r="I117" s="45"/>
      <c r="J117" s="43">
        <v>452727619708</v>
      </c>
      <c r="K117" s="44">
        <v>45825</v>
      </c>
      <c r="L117" s="44">
        <v>45832</v>
      </c>
      <c r="M117" s="45" t="s">
        <v>50</v>
      </c>
      <c r="N117" s="45" t="s">
        <v>51</v>
      </c>
      <c r="O117" s="45"/>
      <c r="P117" s="45" t="s">
        <v>52</v>
      </c>
      <c r="Q117" s="44">
        <v>45824</v>
      </c>
      <c r="R117" s="45">
        <v>7</v>
      </c>
      <c r="S117" s="44">
        <v>45826</v>
      </c>
    </row>
    <row r="118" spans="1:19" ht="12.75">
      <c r="A118" s="45"/>
      <c r="B118" s="45"/>
      <c r="C118" s="45"/>
      <c r="D118" s="45"/>
      <c r="E118" s="45"/>
      <c r="F118" s="45"/>
      <c r="G118" s="45"/>
      <c r="H118" s="43"/>
      <c r="I118" s="45"/>
      <c r="J118" s="43">
        <v>452729349357</v>
      </c>
      <c r="K118" s="44">
        <v>45825</v>
      </c>
      <c r="L118" s="44">
        <v>45832</v>
      </c>
      <c r="M118" s="45" t="s">
        <v>50</v>
      </c>
      <c r="N118" s="45" t="s">
        <v>51</v>
      </c>
      <c r="O118" s="45"/>
      <c r="P118" s="45" t="s">
        <v>52</v>
      </c>
      <c r="Q118" s="44">
        <v>45824</v>
      </c>
      <c r="R118" s="45">
        <v>4</v>
      </c>
      <c r="S118" s="44">
        <v>45826</v>
      </c>
    </row>
    <row r="119" spans="1:19" ht="12.75">
      <c r="A119" s="45"/>
      <c r="B119" s="45"/>
      <c r="C119" s="45"/>
      <c r="D119" s="45"/>
      <c r="E119" s="45"/>
      <c r="F119" s="45"/>
      <c r="G119" s="45"/>
      <c r="H119" s="43"/>
      <c r="I119" s="45"/>
      <c r="J119" s="43">
        <v>452733135781</v>
      </c>
      <c r="K119" s="44">
        <v>45825</v>
      </c>
      <c r="L119" s="44">
        <v>45832</v>
      </c>
      <c r="M119" s="45" t="s">
        <v>50</v>
      </c>
      <c r="N119" s="45" t="s">
        <v>51</v>
      </c>
      <c r="O119" s="45"/>
      <c r="P119" s="45" t="s">
        <v>52</v>
      </c>
      <c r="Q119" s="44">
        <v>45824</v>
      </c>
      <c r="R119" s="45">
        <v>10</v>
      </c>
      <c r="S119" s="44">
        <v>45826</v>
      </c>
    </row>
    <row r="120" spans="1:19" ht="12.75">
      <c r="A120" s="45"/>
      <c r="B120" s="45"/>
      <c r="C120" s="45"/>
      <c r="D120" s="45"/>
      <c r="E120" s="45"/>
      <c r="F120" s="45"/>
      <c r="G120" s="45"/>
      <c r="H120" s="43"/>
      <c r="I120" s="45"/>
      <c r="J120" s="43">
        <v>452734215822</v>
      </c>
      <c r="K120" s="44">
        <v>45825</v>
      </c>
      <c r="L120" s="44">
        <v>45832</v>
      </c>
      <c r="M120" s="45" t="s">
        <v>50</v>
      </c>
      <c r="N120" s="45" t="s">
        <v>51</v>
      </c>
      <c r="O120" s="45"/>
      <c r="P120" s="45" t="s">
        <v>52</v>
      </c>
      <c r="Q120" s="44">
        <v>45824</v>
      </c>
      <c r="R120" s="45">
        <v>21</v>
      </c>
      <c r="S120" s="44">
        <v>45826</v>
      </c>
    </row>
    <row r="121" spans="1:19" ht="12.75">
      <c r="A121" s="45"/>
      <c r="B121" s="45"/>
      <c r="C121" s="45"/>
      <c r="D121" s="45"/>
      <c r="E121" s="45"/>
      <c r="F121" s="45"/>
      <c r="G121" s="45"/>
      <c r="H121" s="43"/>
      <c r="I121" s="45"/>
      <c r="J121" s="43">
        <v>452734741401</v>
      </c>
      <c r="K121" s="44">
        <v>45825</v>
      </c>
      <c r="L121" s="44">
        <v>45832</v>
      </c>
      <c r="M121" s="45" t="s">
        <v>50</v>
      </c>
      <c r="N121" s="45" t="s">
        <v>51</v>
      </c>
      <c r="O121" s="45"/>
      <c r="P121" s="45" t="s">
        <v>52</v>
      </c>
      <c r="Q121" s="44">
        <v>45824</v>
      </c>
      <c r="R121" s="45">
        <v>4</v>
      </c>
      <c r="S121" s="44">
        <v>45826</v>
      </c>
    </row>
    <row r="122" spans="1:19" ht="12.75">
      <c r="A122" s="45"/>
      <c r="B122" s="45"/>
      <c r="C122" s="45"/>
      <c r="D122" s="45"/>
      <c r="E122" s="45"/>
      <c r="F122" s="45"/>
      <c r="G122" s="45"/>
      <c r="H122" s="43"/>
      <c r="I122" s="45"/>
      <c r="J122" s="43">
        <v>452735845068</v>
      </c>
      <c r="K122" s="44">
        <v>45825</v>
      </c>
      <c r="L122" s="44">
        <v>45832</v>
      </c>
      <c r="M122" s="45" t="s">
        <v>50</v>
      </c>
      <c r="N122" s="45" t="s">
        <v>51</v>
      </c>
      <c r="O122" s="45"/>
      <c r="P122" s="45" t="s">
        <v>52</v>
      </c>
      <c r="Q122" s="44">
        <v>45824</v>
      </c>
      <c r="R122" s="45">
        <v>3</v>
      </c>
      <c r="S122" s="44">
        <v>45826</v>
      </c>
    </row>
    <row r="123" spans="1:19" ht="12.75">
      <c r="A123" s="45"/>
      <c r="B123" s="45"/>
      <c r="C123" s="45"/>
      <c r="D123" s="45"/>
      <c r="E123" s="45"/>
      <c r="F123" s="45"/>
      <c r="G123" s="45"/>
      <c r="H123" s="43"/>
      <c r="I123" s="45"/>
      <c r="J123" s="43">
        <v>452736795357</v>
      </c>
      <c r="K123" s="44">
        <v>45825</v>
      </c>
      <c r="L123" s="44">
        <v>45832</v>
      </c>
      <c r="M123" s="45" t="s">
        <v>50</v>
      </c>
      <c r="N123" s="45" t="s">
        <v>51</v>
      </c>
      <c r="O123" s="45"/>
      <c r="P123" s="45" t="s">
        <v>52</v>
      </c>
      <c r="Q123" s="44">
        <v>45824</v>
      </c>
      <c r="R123" s="45">
        <v>6</v>
      </c>
      <c r="S123" s="44">
        <v>45826</v>
      </c>
    </row>
    <row r="124" spans="1:19" ht="12.75">
      <c r="A124" s="45"/>
      <c r="B124" s="45"/>
      <c r="C124" s="45"/>
      <c r="D124" s="45"/>
      <c r="E124" s="45"/>
      <c r="F124" s="45"/>
      <c r="G124" s="45"/>
      <c r="H124" s="43"/>
      <c r="I124" s="45"/>
      <c r="J124" s="43">
        <v>452737645478</v>
      </c>
      <c r="K124" s="44">
        <v>45825</v>
      </c>
      <c r="L124" s="44">
        <v>45832</v>
      </c>
      <c r="M124" s="45" t="s">
        <v>50</v>
      </c>
      <c r="N124" s="45" t="s">
        <v>51</v>
      </c>
      <c r="O124" s="45"/>
      <c r="P124" s="45" t="s">
        <v>52</v>
      </c>
      <c r="Q124" s="44">
        <v>45824</v>
      </c>
      <c r="R124" s="45">
        <v>3</v>
      </c>
      <c r="S124" s="44">
        <v>45826</v>
      </c>
    </row>
    <row r="125" spans="1:19" ht="12.75">
      <c r="A125" s="45"/>
      <c r="B125" s="45"/>
      <c r="C125" s="45"/>
      <c r="D125" s="45"/>
      <c r="E125" s="45"/>
      <c r="F125" s="45"/>
      <c r="G125" s="45"/>
      <c r="H125" s="43"/>
      <c r="I125" s="45"/>
      <c r="J125" s="43">
        <v>452738863860</v>
      </c>
      <c r="K125" s="44">
        <v>45825</v>
      </c>
      <c r="L125" s="44">
        <v>45832</v>
      </c>
      <c r="M125" s="45" t="s">
        <v>50</v>
      </c>
      <c r="N125" s="45" t="s">
        <v>51</v>
      </c>
      <c r="O125" s="45"/>
      <c r="P125" s="45" t="s">
        <v>52</v>
      </c>
      <c r="Q125" s="44">
        <v>45824</v>
      </c>
      <c r="R125" s="45">
        <v>6</v>
      </c>
      <c r="S125" s="44">
        <v>45826</v>
      </c>
    </row>
    <row r="126" spans="1:19" ht="12.75">
      <c r="A126" s="45"/>
      <c r="B126" s="45"/>
      <c r="C126" s="45"/>
      <c r="D126" s="45"/>
      <c r="E126" s="45"/>
      <c r="F126" s="45"/>
      <c r="G126" s="45"/>
      <c r="H126" s="43"/>
      <c r="I126" s="45"/>
      <c r="J126" s="43">
        <v>452740193164</v>
      </c>
      <c r="K126" s="44">
        <v>45825</v>
      </c>
      <c r="L126" s="44">
        <v>45832</v>
      </c>
      <c r="M126" s="45" t="s">
        <v>50</v>
      </c>
      <c r="N126" s="45" t="s">
        <v>51</v>
      </c>
      <c r="O126" s="45"/>
      <c r="P126" s="45" t="s">
        <v>52</v>
      </c>
      <c r="Q126" s="44">
        <v>45824</v>
      </c>
      <c r="R126" s="45">
        <v>4</v>
      </c>
      <c r="S126" s="44">
        <v>45826</v>
      </c>
    </row>
    <row r="127" spans="1:19" ht="12.75">
      <c r="A127" s="45"/>
      <c r="B127" s="45"/>
      <c r="C127" s="45"/>
      <c r="D127" s="45"/>
      <c r="E127" s="45"/>
      <c r="F127" s="45"/>
      <c r="G127" s="45"/>
      <c r="H127" s="43"/>
      <c r="I127" s="45"/>
      <c r="J127" s="43">
        <v>452741267767</v>
      </c>
      <c r="K127" s="44">
        <v>45825</v>
      </c>
      <c r="L127" s="44">
        <v>45832</v>
      </c>
      <c r="M127" s="45" t="s">
        <v>50</v>
      </c>
      <c r="N127" s="45" t="s">
        <v>51</v>
      </c>
      <c r="O127" s="45"/>
      <c r="P127" s="45" t="s">
        <v>52</v>
      </c>
      <c r="Q127" s="44">
        <v>45824</v>
      </c>
      <c r="R127" s="45">
        <v>6</v>
      </c>
      <c r="S127" s="44">
        <v>45826</v>
      </c>
    </row>
    <row r="128" spans="1:19" ht="12.75">
      <c r="A128" s="45"/>
      <c r="B128" s="45"/>
      <c r="C128" s="45"/>
      <c r="D128" s="45"/>
      <c r="E128" s="45"/>
      <c r="F128" s="45"/>
      <c r="G128" s="45"/>
      <c r="H128" s="43"/>
      <c r="I128" s="45"/>
      <c r="J128" s="43">
        <v>452742081047</v>
      </c>
      <c r="K128" s="44">
        <v>45825</v>
      </c>
      <c r="L128" s="44">
        <v>45832</v>
      </c>
      <c r="M128" s="45" t="s">
        <v>50</v>
      </c>
      <c r="N128" s="45" t="s">
        <v>51</v>
      </c>
      <c r="O128" s="45"/>
      <c r="P128" s="45" t="s">
        <v>52</v>
      </c>
      <c r="Q128" s="44">
        <v>45824</v>
      </c>
      <c r="R128" s="45">
        <v>4</v>
      </c>
      <c r="S128" s="44">
        <v>45826</v>
      </c>
    </row>
    <row r="129" spans="1:19" ht="12.75">
      <c r="A129" s="45"/>
      <c r="B129" s="45"/>
      <c r="C129" s="45"/>
      <c r="D129" s="45"/>
      <c r="E129" s="45"/>
      <c r="F129" s="45"/>
      <c r="G129" s="45"/>
      <c r="H129" s="43"/>
      <c r="I129" s="45"/>
      <c r="J129" s="43">
        <v>452743736213</v>
      </c>
      <c r="K129" s="44">
        <v>45825</v>
      </c>
      <c r="L129" s="44">
        <v>45832</v>
      </c>
      <c r="M129" s="45" t="s">
        <v>50</v>
      </c>
      <c r="N129" s="45" t="s">
        <v>51</v>
      </c>
      <c r="O129" s="45"/>
      <c r="P129" s="45" t="s">
        <v>52</v>
      </c>
      <c r="Q129" s="44">
        <v>45824</v>
      </c>
      <c r="R129" s="45">
        <v>3</v>
      </c>
      <c r="S129" s="44">
        <v>45826</v>
      </c>
    </row>
    <row r="130" spans="1:19" ht="12.75">
      <c r="A130" s="45"/>
      <c r="B130" s="45"/>
      <c r="C130" s="45"/>
      <c r="D130" s="45"/>
      <c r="E130" s="45"/>
      <c r="F130" s="45"/>
      <c r="G130" s="45"/>
      <c r="H130" s="43"/>
      <c r="I130" s="45"/>
      <c r="J130" s="43">
        <v>452744235914</v>
      </c>
      <c r="K130" s="44">
        <v>45825</v>
      </c>
      <c r="L130" s="44">
        <v>45832</v>
      </c>
      <c r="M130" s="45" t="s">
        <v>50</v>
      </c>
      <c r="N130" s="45" t="s">
        <v>51</v>
      </c>
      <c r="O130" s="45"/>
      <c r="P130" s="45" t="s">
        <v>52</v>
      </c>
      <c r="Q130" s="44">
        <v>45824</v>
      </c>
      <c r="R130" s="45">
        <v>4</v>
      </c>
      <c r="S130" s="44">
        <v>45826</v>
      </c>
    </row>
    <row r="131" spans="1:19" ht="12.75">
      <c r="A131" s="45"/>
      <c r="B131" s="45"/>
      <c r="C131" s="45"/>
      <c r="D131" s="45"/>
      <c r="E131" s="45"/>
      <c r="F131" s="45"/>
      <c r="G131" s="45"/>
      <c r="H131" s="43"/>
      <c r="I131" s="45"/>
      <c r="J131" s="43">
        <v>452746746441</v>
      </c>
      <c r="K131" s="44">
        <v>45825</v>
      </c>
      <c r="L131" s="44">
        <v>45832</v>
      </c>
      <c r="M131" s="45" t="s">
        <v>50</v>
      </c>
      <c r="N131" s="45" t="s">
        <v>51</v>
      </c>
      <c r="O131" s="45"/>
      <c r="P131" s="45" t="s">
        <v>52</v>
      </c>
      <c r="Q131" s="44">
        <v>45824</v>
      </c>
      <c r="R131" s="45">
        <v>3</v>
      </c>
      <c r="S131" s="44">
        <v>45826</v>
      </c>
    </row>
    <row r="132" spans="1:19" ht="12.75">
      <c r="A132" s="45"/>
      <c r="B132" s="45"/>
      <c r="C132" s="45"/>
      <c r="D132" s="45"/>
      <c r="E132" s="45"/>
      <c r="F132" s="45"/>
      <c r="G132" s="45"/>
      <c r="H132" s="43"/>
      <c r="I132" s="45"/>
      <c r="J132" s="43">
        <v>452747570082</v>
      </c>
      <c r="K132" s="44">
        <v>45825</v>
      </c>
      <c r="L132" s="44">
        <v>45832</v>
      </c>
      <c r="M132" s="45" t="s">
        <v>50</v>
      </c>
      <c r="N132" s="45" t="s">
        <v>51</v>
      </c>
      <c r="O132" s="45"/>
      <c r="P132" s="45" t="s">
        <v>52</v>
      </c>
      <c r="Q132" s="44">
        <v>45824</v>
      </c>
      <c r="R132" s="45">
        <v>2</v>
      </c>
      <c r="S132" s="44">
        <v>45826</v>
      </c>
    </row>
    <row r="133" spans="1:19" ht="12.75">
      <c r="A133" s="45"/>
      <c r="B133" s="45"/>
      <c r="C133" s="45"/>
      <c r="D133" s="45"/>
      <c r="E133" s="45"/>
      <c r="F133" s="45"/>
      <c r="G133" s="45"/>
      <c r="H133" s="43"/>
      <c r="I133" s="45"/>
      <c r="J133" s="43">
        <v>452748628444</v>
      </c>
      <c r="K133" s="44">
        <v>45825</v>
      </c>
      <c r="L133" s="44">
        <v>45832</v>
      </c>
      <c r="M133" s="45" t="s">
        <v>50</v>
      </c>
      <c r="N133" s="45" t="s">
        <v>51</v>
      </c>
      <c r="O133" s="45"/>
      <c r="P133" s="45" t="s">
        <v>52</v>
      </c>
      <c r="Q133" s="44">
        <v>45824</v>
      </c>
      <c r="R133" s="45">
        <v>4</v>
      </c>
      <c r="S133" s="44">
        <v>45826</v>
      </c>
    </row>
    <row r="134" spans="1:19" ht="12.75">
      <c r="A134" s="45"/>
      <c r="B134" s="45"/>
      <c r="C134" s="45"/>
      <c r="D134" s="45"/>
      <c r="E134" s="45"/>
      <c r="F134" s="45"/>
      <c r="G134" s="45"/>
      <c r="H134" s="43"/>
      <c r="I134" s="45"/>
      <c r="J134" s="43">
        <v>452749289399</v>
      </c>
      <c r="K134" s="44">
        <v>45825</v>
      </c>
      <c r="L134" s="44">
        <v>45832</v>
      </c>
      <c r="M134" s="45" t="s">
        <v>50</v>
      </c>
      <c r="N134" s="45" t="s">
        <v>51</v>
      </c>
      <c r="O134" s="45"/>
      <c r="P134" s="45" t="s">
        <v>52</v>
      </c>
      <c r="Q134" s="44">
        <v>45824</v>
      </c>
      <c r="R134" s="45">
        <v>2</v>
      </c>
      <c r="S134" s="44">
        <v>45826</v>
      </c>
    </row>
    <row r="135" spans="1:19" ht="12.75">
      <c r="A135" s="45"/>
      <c r="B135" s="45"/>
      <c r="C135" s="45"/>
      <c r="D135" s="45"/>
      <c r="E135" s="45"/>
      <c r="F135" s="45"/>
      <c r="G135" s="45"/>
      <c r="H135" s="43"/>
      <c r="I135" s="45"/>
      <c r="J135" s="43">
        <v>452751542760</v>
      </c>
      <c r="K135" s="44">
        <v>45825</v>
      </c>
      <c r="L135" s="44">
        <v>45832</v>
      </c>
      <c r="M135" s="45" t="s">
        <v>50</v>
      </c>
      <c r="N135" s="45" t="s">
        <v>51</v>
      </c>
      <c r="O135" s="45"/>
      <c r="P135" s="45" t="s">
        <v>52</v>
      </c>
      <c r="Q135" s="44">
        <v>45824</v>
      </c>
      <c r="R135" s="45">
        <v>3</v>
      </c>
      <c r="S135" s="44">
        <v>45826</v>
      </c>
    </row>
    <row r="136" spans="1:19" ht="12.75">
      <c r="A136" s="45"/>
      <c r="B136" s="45"/>
      <c r="C136" s="45"/>
      <c r="D136" s="45"/>
      <c r="E136" s="45"/>
      <c r="F136" s="45"/>
      <c r="G136" s="45"/>
      <c r="H136" s="43"/>
      <c r="I136" s="45"/>
      <c r="J136" s="43">
        <v>452752403153</v>
      </c>
      <c r="K136" s="44">
        <v>45825</v>
      </c>
      <c r="L136" s="44">
        <v>45832</v>
      </c>
      <c r="M136" s="45" t="s">
        <v>50</v>
      </c>
      <c r="N136" s="45" t="s">
        <v>51</v>
      </c>
      <c r="O136" s="45"/>
      <c r="P136" s="45" t="s">
        <v>52</v>
      </c>
      <c r="Q136" s="44">
        <v>45824</v>
      </c>
      <c r="R136" s="45">
        <v>2</v>
      </c>
      <c r="S136" s="44">
        <v>45826</v>
      </c>
    </row>
    <row r="137" spans="1:19" ht="12.75">
      <c r="A137" s="45"/>
      <c r="B137" s="45"/>
      <c r="C137" s="45"/>
      <c r="D137" s="45"/>
      <c r="E137" s="45"/>
      <c r="F137" s="45"/>
      <c r="G137" s="45"/>
      <c r="H137" s="43"/>
      <c r="I137" s="45"/>
      <c r="J137" s="43">
        <v>452757140834</v>
      </c>
      <c r="K137" s="44">
        <v>45825</v>
      </c>
      <c r="L137" s="44">
        <v>45832</v>
      </c>
      <c r="M137" s="45" t="s">
        <v>50</v>
      </c>
      <c r="N137" s="45" t="s">
        <v>51</v>
      </c>
      <c r="O137" s="45"/>
      <c r="P137" s="45" t="s">
        <v>52</v>
      </c>
      <c r="Q137" s="44">
        <v>45824</v>
      </c>
      <c r="R137" s="45">
        <v>2</v>
      </c>
      <c r="S137" s="44">
        <v>45826</v>
      </c>
    </row>
    <row r="138" spans="1:19" ht="12.75">
      <c r="A138" s="45"/>
      <c r="B138" s="45"/>
      <c r="C138" s="45"/>
      <c r="D138" s="45"/>
      <c r="E138" s="45"/>
      <c r="F138" s="45"/>
      <c r="G138" s="45"/>
      <c r="H138" s="43"/>
      <c r="I138" s="45"/>
      <c r="J138" s="43">
        <v>452757659944</v>
      </c>
      <c r="K138" s="44">
        <v>45825</v>
      </c>
      <c r="L138" s="44">
        <v>45832</v>
      </c>
      <c r="M138" s="45" t="s">
        <v>50</v>
      </c>
      <c r="N138" s="45" t="s">
        <v>51</v>
      </c>
      <c r="O138" s="45"/>
      <c r="P138" s="45" t="s">
        <v>52</v>
      </c>
      <c r="Q138" s="44">
        <v>45824</v>
      </c>
      <c r="R138" s="45">
        <v>3</v>
      </c>
      <c r="S138" s="44">
        <v>45826</v>
      </c>
    </row>
    <row r="139" spans="1:19" ht="12.75">
      <c r="A139" s="45"/>
      <c r="B139" s="45"/>
      <c r="C139" s="45"/>
      <c r="D139" s="45"/>
      <c r="E139" s="45"/>
      <c r="F139" s="45"/>
      <c r="G139" s="45"/>
      <c r="H139" s="43"/>
      <c r="I139" s="45"/>
      <c r="J139" s="43">
        <v>452757662388</v>
      </c>
      <c r="K139" s="44">
        <v>45825</v>
      </c>
      <c r="L139" s="44">
        <v>45832</v>
      </c>
      <c r="M139" s="45" t="s">
        <v>50</v>
      </c>
      <c r="N139" s="45" t="s">
        <v>51</v>
      </c>
      <c r="O139" s="45"/>
      <c r="P139" s="45" t="s">
        <v>52</v>
      </c>
      <c r="Q139" s="44">
        <v>45824</v>
      </c>
      <c r="R139" s="45">
        <v>1</v>
      </c>
      <c r="S139" s="44">
        <v>45826</v>
      </c>
    </row>
    <row r="140" spans="1:19" ht="12.75">
      <c r="A140" s="45"/>
      <c r="B140" s="45"/>
      <c r="C140" s="45"/>
      <c r="D140" s="45"/>
      <c r="E140" s="45"/>
      <c r="F140" s="45"/>
      <c r="G140" s="45"/>
      <c r="H140" s="43"/>
      <c r="I140" s="45"/>
      <c r="J140" s="43">
        <v>452760763325</v>
      </c>
      <c r="K140" s="44">
        <v>45825</v>
      </c>
      <c r="L140" s="44">
        <v>45832</v>
      </c>
      <c r="M140" s="45" t="s">
        <v>50</v>
      </c>
      <c r="N140" s="45" t="s">
        <v>51</v>
      </c>
      <c r="O140" s="45"/>
      <c r="P140" s="45" t="s">
        <v>52</v>
      </c>
      <c r="Q140" s="44">
        <v>45824</v>
      </c>
      <c r="R140" s="45">
        <v>2</v>
      </c>
      <c r="S140" s="44">
        <v>45826</v>
      </c>
    </row>
    <row r="141" spans="1:19" ht="12.75">
      <c r="A141" s="45"/>
      <c r="B141" s="45"/>
      <c r="C141" s="45"/>
      <c r="D141" s="45"/>
      <c r="E141" s="45"/>
      <c r="F141" s="45"/>
      <c r="G141" s="45"/>
      <c r="H141" s="43"/>
      <c r="I141" s="45"/>
      <c r="J141" s="43">
        <v>452761326073</v>
      </c>
      <c r="K141" s="44">
        <v>45825</v>
      </c>
      <c r="L141" s="44">
        <v>45832</v>
      </c>
      <c r="M141" s="45" t="s">
        <v>50</v>
      </c>
      <c r="N141" s="45" t="s">
        <v>51</v>
      </c>
      <c r="O141" s="45"/>
      <c r="P141" s="45" t="s">
        <v>52</v>
      </c>
      <c r="Q141" s="44">
        <v>45824</v>
      </c>
      <c r="R141" s="45">
        <v>2</v>
      </c>
      <c r="S141" s="44">
        <v>45826</v>
      </c>
    </row>
    <row r="142" spans="1:19" ht="12.75">
      <c r="A142" s="45"/>
      <c r="B142" s="45"/>
      <c r="C142" s="45"/>
      <c r="D142" s="45"/>
      <c r="E142" s="45"/>
      <c r="F142" s="45"/>
      <c r="G142" s="45"/>
      <c r="H142" s="43"/>
      <c r="I142" s="45"/>
      <c r="J142" s="43">
        <v>452762125413</v>
      </c>
      <c r="K142" s="44">
        <v>45825</v>
      </c>
      <c r="L142" s="44">
        <v>45832</v>
      </c>
      <c r="M142" s="45" t="s">
        <v>50</v>
      </c>
      <c r="N142" s="45" t="s">
        <v>51</v>
      </c>
      <c r="O142" s="45"/>
      <c r="P142" s="45" t="s">
        <v>52</v>
      </c>
      <c r="Q142" s="44">
        <v>45824</v>
      </c>
      <c r="R142" s="45">
        <v>2</v>
      </c>
      <c r="S142" s="44">
        <v>45826</v>
      </c>
    </row>
    <row r="143" spans="1:19" ht="12.75">
      <c r="A143" s="45"/>
      <c r="B143" s="45"/>
      <c r="C143" s="45"/>
      <c r="D143" s="45"/>
      <c r="E143" s="45"/>
      <c r="F143" s="45"/>
      <c r="G143" s="45"/>
      <c r="H143" s="43"/>
      <c r="I143" s="45"/>
      <c r="J143" s="43">
        <v>452765721497</v>
      </c>
      <c r="K143" s="44">
        <v>45825</v>
      </c>
      <c r="L143" s="44">
        <v>45832</v>
      </c>
      <c r="M143" s="45" t="s">
        <v>50</v>
      </c>
      <c r="N143" s="45" t="s">
        <v>51</v>
      </c>
      <c r="O143" s="45"/>
      <c r="P143" s="45" t="s">
        <v>52</v>
      </c>
      <c r="Q143" s="44">
        <v>45824</v>
      </c>
      <c r="R143" s="45">
        <v>3</v>
      </c>
      <c r="S143" s="44">
        <v>45826</v>
      </c>
    </row>
    <row r="144" spans="1:19" ht="12.75">
      <c r="A144" s="45"/>
      <c r="B144" s="45"/>
      <c r="C144" s="45"/>
      <c r="D144" s="45"/>
      <c r="E144" s="45"/>
      <c r="F144" s="45"/>
      <c r="G144" s="45"/>
      <c r="H144" s="43"/>
      <c r="I144" s="45"/>
      <c r="J144" s="43">
        <v>452765724226</v>
      </c>
      <c r="K144" s="44">
        <v>45825</v>
      </c>
      <c r="L144" s="44">
        <v>45832</v>
      </c>
      <c r="M144" s="45" t="s">
        <v>50</v>
      </c>
      <c r="N144" s="45" t="s">
        <v>51</v>
      </c>
      <c r="O144" s="45"/>
      <c r="P144" s="45" t="s">
        <v>52</v>
      </c>
      <c r="Q144" s="44">
        <v>45824</v>
      </c>
      <c r="R144" s="45">
        <v>2</v>
      </c>
      <c r="S144" s="44">
        <v>45826</v>
      </c>
    </row>
    <row r="145" spans="1:19" ht="12.75">
      <c r="A145" s="45"/>
      <c r="B145" s="45"/>
      <c r="C145" s="45"/>
      <c r="D145" s="45"/>
      <c r="E145" s="45"/>
      <c r="F145" s="45"/>
      <c r="G145" s="45"/>
      <c r="H145" s="43"/>
      <c r="I145" s="45"/>
      <c r="J145" s="43">
        <v>452773631837</v>
      </c>
      <c r="K145" s="44">
        <v>45825</v>
      </c>
      <c r="L145" s="44">
        <v>45832</v>
      </c>
      <c r="M145" s="45" t="s">
        <v>50</v>
      </c>
      <c r="N145" s="45" t="s">
        <v>51</v>
      </c>
      <c r="O145" s="45"/>
      <c r="P145" s="45" t="s">
        <v>52</v>
      </c>
      <c r="Q145" s="44">
        <v>45824</v>
      </c>
      <c r="R145" s="45">
        <v>2</v>
      </c>
      <c r="S145" s="44">
        <v>45826</v>
      </c>
    </row>
    <row r="146" spans="1:19" ht="12.75">
      <c r="A146" s="45"/>
      <c r="B146" s="45"/>
      <c r="C146" s="45"/>
      <c r="D146" s="45"/>
      <c r="E146" s="45"/>
      <c r="F146" s="45"/>
      <c r="G146" s="45"/>
      <c r="H146" s="43"/>
      <c r="I146" s="45"/>
      <c r="J146" s="43">
        <v>452774647331</v>
      </c>
      <c r="K146" s="44">
        <v>45825</v>
      </c>
      <c r="L146" s="44">
        <v>45832</v>
      </c>
      <c r="M146" s="45" t="s">
        <v>50</v>
      </c>
      <c r="N146" s="45" t="s">
        <v>51</v>
      </c>
      <c r="O146" s="45"/>
      <c r="P146" s="45" t="s">
        <v>52</v>
      </c>
      <c r="Q146" s="44">
        <v>45824</v>
      </c>
      <c r="R146" s="45">
        <v>4</v>
      </c>
      <c r="S146" s="44">
        <v>45826</v>
      </c>
    </row>
    <row r="147" spans="1:19" ht="12.75">
      <c r="A147" s="45"/>
      <c r="B147" s="45"/>
      <c r="C147" s="45"/>
      <c r="D147" s="45"/>
      <c r="E147" s="45"/>
      <c r="F147" s="45"/>
      <c r="G147" s="45"/>
      <c r="H147" s="43"/>
      <c r="I147" s="45"/>
      <c r="J147" s="43">
        <v>452775881517</v>
      </c>
      <c r="K147" s="44">
        <v>45825</v>
      </c>
      <c r="L147" s="44">
        <v>45832</v>
      </c>
      <c r="M147" s="45" t="s">
        <v>50</v>
      </c>
      <c r="N147" s="45" t="s">
        <v>51</v>
      </c>
      <c r="O147" s="45"/>
      <c r="P147" s="45" t="s">
        <v>52</v>
      </c>
      <c r="Q147" s="44">
        <v>45824</v>
      </c>
      <c r="R147" s="45">
        <v>6</v>
      </c>
      <c r="S147" s="44">
        <v>45826</v>
      </c>
    </row>
    <row r="148" spans="1:19" ht="12.75">
      <c r="A148" s="45"/>
      <c r="B148" s="45"/>
      <c r="C148" s="45"/>
      <c r="D148" s="45"/>
      <c r="E148" s="45"/>
      <c r="F148" s="45"/>
      <c r="G148" s="45"/>
      <c r="H148" s="43"/>
      <c r="I148" s="45"/>
      <c r="J148" s="43">
        <v>452776356218</v>
      </c>
      <c r="K148" s="44">
        <v>45825</v>
      </c>
      <c r="L148" s="44">
        <v>45832</v>
      </c>
      <c r="M148" s="45" t="s">
        <v>50</v>
      </c>
      <c r="N148" s="45" t="s">
        <v>51</v>
      </c>
      <c r="O148" s="45"/>
      <c r="P148" s="45" t="s">
        <v>52</v>
      </c>
      <c r="Q148" s="44">
        <v>45824</v>
      </c>
      <c r="R148" s="45">
        <v>4</v>
      </c>
      <c r="S148" s="44">
        <v>45826</v>
      </c>
    </row>
    <row r="149" spans="1:19" ht="12.75">
      <c r="A149" s="45"/>
      <c r="B149" s="45"/>
      <c r="C149" s="45"/>
      <c r="D149" s="45"/>
      <c r="E149" s="45"/>
      <c r="F149" s="45"/>
      <c r="G149" s="45"/>
      <c r="H149" s="43"/>
      <c r="I149" s="45"/>
      <c r="J149" s="43">
        <v>452777186932</v>
      </c>
      <c r="K149" s="44">
        <v>45825</v>
      </c>
      <c r="L149" s="44">
        <v>45832</v>
      </c>
      <c r="M149" s="45" t="s">
        <v>50</v>
      </c>
      <c r="N149" s="45" t="s">
        <v>51</v>
      </c>
      <c r="O149" s="45"/>
      <c r="P149" s="45" t="s">
        <v>52</v>
      </c>
      <c r="Q149" s="44">
        <v>45824</v>
      </c>
      <c r="R149" s="45">
        <v>4</v>
      </c>
      <c r="S149" s="44">
        <v>45826</v>
      </c>
    </row>
    <row r="150" spans="1:19" ht="12.75">
      <c r="A150" s="45"/>
      <c r="B150" s="45"/>
      <c r="C150" s="45"/>
      <c r="D150" s="45"/>
      <c r="E150" s="45"/>
      <c r="F150" s="45"/>
      <c r="G150" s="45"/>
      <c r="H150" s="43"/>
      <c r="I150" s="45"/>
      <c r="J150" s="43">
        <v>452778136068</v>
      </c>
      <c r="K150" s="44">
        <v>45825</v>
      </c>
      <c r="L150" s="44">
        <v>45832</v>
      </c>
      <c r="M150" s="45" t="s">
        <v>50</v>
      </c>
      <c r="N150" s="45" t="s">
        <v>51</v>
      </c>
      <c r="O150" s="45"/>
      <c r="P150" s="45" t="s">
        <v>52</v>
      </c>
      <c r="Q150" s="44">
        <v>45824</v>
      </c>
      <c r="R150" s="45">
        <v>6</v>
      </c>
      <c r="S150" s="44">
        <v>45826</v>
      </c>
    </row>
    <row r="151" spans="1:19" ht="12.75">
      <c r="A151" s="45"/>
      <c r="B151" s="45"/>
      <c r="C151" s="45"/>
      <c r="D151" s="45"/>
      <c r="E151" s="45"/>
      <c r="F151" s="45"/>
      <c r="G151" s="45"/>
      <c r="H151" s="43"/>
      <c r="I151" s="45"/>
      <c r="J151" s="43">
        <v>452778356716</v>
      </c>
      <c r="K151" s="44">
        <v>45825</v>
      </c>
      <c r="L151" s="44">
        <v>45832</v>
      </c>
      <c r="M151" s="45" t="s">
        <v>50</v>
      </c>
      <c r="N151" s="45" t="s">
        <v>51</v>
      </c>
      <c r="O151" s="45"/>
      <c r="P151" s="45" t="s">
        <v>52</v>
      </c>
      <c r="Q151" s="44">
        <v>45824</v>
      </c>
      <c r="R151" s="45">
        <v>7</v>
      </c>
      <c r="S151" s="44">
        <v>45826</v>
      </c>
    </row>
    <row r="152" spans="1:19" ht="12.75">
      <c r="A152" s="45"/>
      <c r="B152" s="45"/>
      <c r="C152" s="45"/>
      <c r="D152" s="45"/>
      <c r="E152" s="45"/>
      <c r="F152" s="45"/>
      <c r="G152" s="45"/>
      <c r="H152" s="43"/>
      <c r="I152" s="45"/>
      <c r="J152" s="43">
        <v>452778857948</v>
      </c>
      <c r="K152" s="44">
        <v>45825</v>
      </c>
      <c r="L152" s="44">
        <v>45832</v>
      </c>
      <c r="M152" s="45" t="s">
        <v>50</v>
      </c>
      <c r="N152" s="45" t="s">
        <v>51</v>
      </c>
      <c r="O152" s="45"/>
      <c r="P152" s="45" t="s">
        <v>52</v>
      </c>
      <c r="Q152" s="44">
        <v>45824</v>
      </c>
      <c r="R152" s="45">
        <v>4</v>
      </c>
      <c r="S152" s="44">
        <v>45826</v>
      </c>
    </row>
    <row r="153" spans="1:19" ht="12.75">
      <c r="A153" s="45"/>
      <c r="B153" s="45"/>
      <c r="C153" s="45"/>
      <c r="D153" s="45"/>
      <c r="E153" s="45"/>
      <c r="F153" s="45"/>
      <c r="G153" s="45"/>
      <c r="H153" s="43"/>
      <c r="I153" s="45"/>
      <c r="J153" s="43">
        <v>452782663921</v>
      </c>
      <c r="K153" s="44">
        <v>45825</v>
      </c>
      <c r="L153" s="44">
        <v>45832</v>
      </c>
      <c r="M153" s="45" t="s">
        <v>50</v>
      </c>
      <c r="N153" s="45" t="s">
        <v>51</v>
      </c>
      <c r="O153" s="45"/>
      <c r="P153" s="45" t="s">
        <v>52</v>
      </c>
      <c r="Q153" s="44">
        <v>45824</v>
      </c>
      <c r="R153" s="45">
        <v>4</v>
      </c>
      <c r="S153" s="44">
        <v>45826</v>
      </c>
    </row>
    <row r="154" spans="1:19" ht="12.75">
      <c r="A154" s="45"/>
      <c r="B154" s="45"/>
      <c r="C154" s="45"/>
      <c r="D154" s="45"/>
      <c r="E154" s="45"/>
      <c r="F154" s="45"/>
      <c r="G154" s="45"/>
      <c r="H154" s="43"/>
      <c r="I154" s="45"/>
      <c r="J154" s="43">
        <v>452848070482</v>
      </c>
      <c r="K154" s="44">
        <v>45825</v>
      </c>
      <c r="L154" s="44">
        <v>45832</v>
      </c>
      <c r="M154" s="45" t="s">
        <v>50</v>
      </c>
      <c r="N154" s="45" t="s">
        <v>51</v>
      </c>
      <c r="O154" s="45"/>
      <c r="P154" s="45" t="s">
        <v>52</v>
      </c>
      <c r="Q154" s="44">
        <v>45824</v>
      </c>
      <c r="R154" s="45">
        <v>16</v>
      </c>
      <c r="S154" s="44">
        <v>45826</v>
      </c>
    </row>
    <row r="155" spans="1:19" ht="12.75">
      <c r="A155" s="45"/>
      <c r="B155" s="45"/>
      <c r="C155" s="45"/>
      <c r="D155" s="45"/>
      <c r="E155" s="45"/>
      <c r="F155" s="45"/>
      <c r="G155" s="45"/>
      <c r="H155" s="43"/>
      <c r="I155" s="45"/>
      <c r="J155" s="43">
        <v>452848241196</v>
      </c>
      <c r="K155" s="44">
        <v>45825</v>
      </c>
      <c r="L155" s="44">
        <v>45832</v>
      </c>
      <c r="M155" s="45" t="s">
        <v>50</v>
      </c>
      <c r="N155" s="45" t="s">
        <v>51</v>
      </c>
      <c r="O155" s="45"/>
      <c r="P155" s="45" t="s">
        <v>52</v>
      </c>
      <c r="Q155" s="44">
        <v>45824</v>
      </c>
      <c r="R155" s="45">
        <v>1</v>
      </c>
      <c r="S155" s="44">
        <v>45826</v>
      </c>
    </row>
    <row r="156" spans="1:19" ht="12.75">
      <c r="A156" s="45"/>
      <c r="B156" s="45"/>
      <c r="C156" s="45"/>
      <c r="D156" s="45"/>
      <c r="E156" s="45"/>
      <c r="F156" s="45"/>
      <c r="G156" s="45"/>
      <c r="H156" s="43"/>
      <c r="I156" s="45"/>
      <c r="J156" s="43">
        <v>452849279925</v>
      </c>
      <c r="K156" s="44">
        <v>45825</v>
      </c>
      <c r="L156" s="44">
        <v>45832</v>
      </c>
      <c r="M156" s="45" t="s">
        <v>50</v>
      </c>
      <c r="N156" s="45" t="s">
        <v>51</v>
      </c>
      <c r="O156" s="45"/>
      <c r="P156" s="45" t="s">
        <v>52</v>
      </c>
      <c r="Q156" s="44">
        <v>45824</v>
      </c>
      <c r="R156" s="45">
        <v>3</v>
      </c>
      <c r="S156" s="44">
        <v>45826</v>
      </c>
    </row>
    <row r="157" spans="1:19" ht="12.75">
      <c r="A157" s="45"/>
      <c r="B157" s="45"/>
      <c r="C157" s="45"/>
      <c r="D157" s="45"/>
      <c r="E157" s="45"/>
      <c r="F157" s="45"/>
      <c r="G157" s="45"/>
      <c r="H157" s="43"/>
      <c r="I157" s="45"/>
      <c r="J157" s="43">
        <v>452850338711</v>
      </c>
      <c r="K157" s="44">
        <v>45825</v>
      </c>
      <c r="L157" s="44">
        <v>45832</v>
      </c>
      <c r="M157" s="45" t="s">
        <v>50</v>
      </c>
      <c r="N157" s="45" t="s">
        <v>51</v>
      </c>
      <c r="O157" s="45"/>
      <c r="P157" s="45" t="s">
        <v>52</v>
      </c>
      <c r="Q157" s="44">
        <v>45824</v>
      </c>
      <c r="R157" s="45">
        <v>4</v>
      </c>
      <c r="S157" s="44">
        <v>45826</v>
      </c>
    </row>
    <row r="158" spans="1:19" ht="12.75">
      <c r="A158" s="45"/>
      <c r="B158" s="45"/>
      <c r="C158" s="45"/>
      <c r="D158" s="45"/>
      <c r="E158" s="45"/>
      <c r="F158" s="45"/>
      <c r="G158" s="45"/>
      <c r="H158" s="43"/>
      <c r="I158" s="45"/>
      <c r="J158" s="43">
        <v>452851676008</v>
      </c>
      <c r="K158" s="44">
        <v>45825</v>
      </c>
      <c r="L158" s="44">
        <v>45832</v>
      </c>
      <c r="M158" s="45" t="s">
        <v>50</v>
      </c>
      <c r="N158" s="45" t="s">
        <v>51</v>
      </c>
      <c r="O158" s="45"/>
      <c r="P158" s="45" t="s">
        <v>52</v>
      </c>
      <c r="Q158" s="44">
        <v>45824</v>
      </c>
      <c r="R158" s="45">
        <v>4</v>
      </c>
      <c r="S158" s="44">
        <v>45826</v>
      </c>
    </row>
    <row r="159" spans="1:19" ht="12.75">
      <c r="A159" s="45"/>
      <c r="B159" s="45"/>
      <c r="C159" s="45"/>
      <c r="D159" s="45"/>
      <c r="E159" s="45"/>
      <c r="F159" s="45"/>
      <c r="G159" s="45"/>
      <c r="H159" s="43"/>
      <c r="I159" s="44" t="s">
        <v>47</v>
      </c>
      <c r="J159" s="43">
        <v>451988861192</v>
      </c>
      <c r="K159" s="44">
        <v>45825</v>
      </c>
      <c r="L159" s="44">
        <v>45832</v>
      </c>
      <c r="M159" s="45" t="s">
        <v>50</v>
      </c>
      <c r="N159" s="45" t="s">
        <v>51</v>
      </c>
      <c r="O159" s="45"/>
      <c r="P159" s="45" t="s">
        <v>52</v>
      </c>
      <c r="Q159" s="44">
        <v>45824</v>
      </c>
      <c r="R159" s="45">
        <v>7</v>
      </c>
      <c r="S159" s="44">
        <v>45826</v>
      </c>
    </row>
    <row r="160" spans="1:19" ht="12.75">
      <c r="A160" s="45"/>
      <c r="B160" s="45"/>
      <c r="C160" s="45"/>
      <c r="D160" s="45"/>
      <c r="E160" s="45"/>
      <c r="F160" s="45"/>
      <c r="G160" s="45"/>
      <c r="H160" s="43"/>
      <c r="I160" s="45"/>
      <c r="J160" s="43">
        <v>451989839084</v>
      </c>
      <c r="K160" s="44">
        <v>45825</v>
      </c>
      <c r="L160" s="44">
        <v>45832</v>
      </c>
      <c r="M160" s="45" t="s">
        <v>50</v>
      </c>
      <c r="N160" s="45" t="s">
        <v>51</v>
      </c>
      <c r="O160" s="45"/>
      <c r="P160" s="45" t="s">
        <v>52</v>
      </c>
      <c r="Q160" s="44">
        <v>45824</v>
      </c>
      <c r="R160" s="45">
        <v>4</v>
      </c>
      <c r="S160" s="44">
        <v>45826</v>
      </c>
    </row>
    <row r="161" spans="1:19" ht="12.75">
      <c r="A161" s="45"/>
      <c r="B161" s="45"/>
      <c r="C161" s="45"/>
      <c r="D161" s="45"/>
      <c r="E161" s="45"/>
      <c r="F161" s="45"/>
      <c r="G161" s="45"/>
      <c r="H161" s="43"/>
      <c r="I161" s="45"/>
      <c r="J161" s="43">
        <v>451995535808</v>
      </c>
      <c r="K161" s="44">
        <v>45825</v>
      </c>
      <c r="L161" s="44">
        <v>45832</v>
      </c>
      <c r="M161" s="45" t="s">
        <v>50</v>
      </c>
      <c r="N161" s="45" t="s">
        <v>51</v>
      </c>
      <c r="O161" s="45"/>
      <c r="P161" s="45" t="s">
        <v>52</v>
      </c>
      <c r="Q161" s="44">
        <v>45824</v>
      </c>
      <c r="R161" s="45">
        <v>8</v>
      </c>
      <c r="S161" s="44">
        <v>45826</v>
      </c>
    </row>
    <row r="162" spans="1:19" ht="12.75">
      <c r="A162" s="45"/>
      <c r="B162" s="45"/>
      <c r="C162" s="45"/>
      <c r="D162" s="45"/>
      <c r="E162" s="45"/>
      <c r="F162" s="45"/>
      <c r="G162" s="45"/>
      <c r="H162" s="43"/>
      <c r="I162" s="45"/>
      <c r="J162" s="43">
        <v>452504526441</v>
      </c>
      <c r="K162" s="44">
        <v>45825</v>
      </c>
      <c r="L162" s="44">
        <v>45832</v>
      </c>
      <c r="M162" s="45" t="s">
        <v>50</v>
      </c>
      <c r="N162" s="45" t="s">
        <v>51</v>
      </c>
      <c r="O162" s="45"/>
      <c r="P162" s="45" t="s">
        <v>52</v>
      </c>
      <c r="Q162" s="44">
        <v>45824</v>
      </c>
      <c r="R162" s="45">
        <v>4</v>
      </c>
      <c r="S162" s="44">
        <v>45826</v>
      </c>
    </row>
    <row r="163" spans="1:19" ht="12.75">
      <c r="A163" s="45"/>
      <c r="B163" s="45"/>
      <c r="C163" s="45"/>
      <c r="D163" s="45"/>
      <c r="E163" s="45"/>
      <c r="F163" s="45"/>
      <c r="G163" s="45"/>
      <c r="H163" s="43"/>
      <c r="I163" s="45"/>
      <c r="J163" s="43">
        <v>452507248363</v>
      </c>
      <c r="K163" s="44">
        <v>45825</v>
      </c>
      <c r="L163" s="44">
        <v>45832</v>
      </c>
      <c r="M163" s="45" t="s">
        <v>50</v>
      </c>
      <c r="N163" s="45" t="s">
        <v>51</v>
      </c>
      <c r="O163" s="45"/>
      <c r="P163" s="45" t="s">
        <v>52</v>
      </c>
      <c r="Q163" s="44">
        <v>45824</v>
      </c>
      <c r="R163" s="45">
        <v>11</v>
      </c>
      <c r="S163" s="44">
        <v>45826</v>
      </c>
    </row>
    <row r="164" spans="1:19" ht="12.75">
      <c r="A164" s="45"/>
      <c r="B164" s="45"/>
      <c r="C164" s="45"/>
      <c r="D164" s="45"/>
      <c r="E164" s="45"/>
      <c r="F164" s="45"/>
      <c r="G164" s="45"/>
      <c r="H164" s="43"/>
      <c r="I164" s="45"/>
      <c r="J164" s="43">
        <v>452510246609</v>
      </c>
      <c r="K164" s="44">
        <v>45825</v>
      </c>
      <c r="L164" s="44">
        <v>45832</v>
      </c>
      <c r="M164" s="45" t="s">
        <v>50</v>
      </c>
      <c r="N164" s="45" t="s">
        <v>51</v>
      </c>
      <c r="O164" s="45"/>
      <c r="P164" s="45" t="s">
        <v>52</v>
      </c>
      <c r="Q164" s="44">
        <v>45824</v>
      </c>
      <c r="R164" s="45">
        <v>10</v>
      </c>
      <c r="S164" s="44">
        <v>45826</v>
      </c>
    </row>
    <row r="165" spans="1:19" ht="12.75">
      <c r="A165" s="45"/>
      <c r="B165" s="45"/>
      <c r="C165" s="45"/>
      <c r="D165" s="45"/>
      <c r="E165" s="45"/>
      <c r="F165" s="45"/>
      <c r="G165" s="45"/>
      <c r="H165" s="43"/>
      <c r="I165" s="45"/>
      <c r="J165" s="43">
        <v>452510849438</v>
      </c>
      <c r="K165" s="44">
        <v>45825</v>
      </c>
      <c r="L165" s="44">
        <v>45832</v>
      </c>
      <c r="M165" s="45" t="s">
        <v>50</v>
      </c>
      <c r="N165" s="45" t="s">
        <v>51</v>
      </c>
      <c r="O165" s="45"/>
      <c r="P165" s="45" t="s">
        <v>52</v>
      </c>
      <c r="Q165" s="44">
        <v>45824</v>
      </c>
      <c r="R165" s="45">
        <v>20</v>
      </c>
      <c r="S165" s="44">
        <v>45826</v>
      </c>
    </row>
    <row r="166" spans="1:19" ht="12.75">
      <c r="A166" s="45"/>
      <c r="B166" s="45"/>
      <c r="C166" s="45"/>
      <c r="D166" s="45"/>
      <c r="E166" s="45"/>
      <c r="F166" s="45"/>
      <c r="G166" s="45"/>
      <c r="H166" s="43"/>
      <c r="I166" s="45"/>
      <c r="J166" s="43">
        <v>452510849936</v>
      </c>
      <c r="K166" s="44">
        <v>45825</v>
      </c>
      <c r="L166" s="44">
        <v>45832</v>
      </c>
      <c r="M166" s="45" t="s">
        <v>50</v>
      </c>
      <c r="N166" s="45" t="s">
        <v>51</v>
      </c>
      <c r="O166" s="45"/>
      <c r="P166" s="45" t="s">
        <v>52</v>
      </c>
      <c r="Q166" s="44">
        <v>45824</v>
      </c>
      <c r="R166" s="45">
        <v>3</v>
      </c>
      <c r="S166" s="44">
        <v>45826</v>
      </c>
    </row>
    <row r="167" spans="1:19" ht="12.75">
      <c r="A167" s="45"/>
      <c r="B167" s="45"/>
      <c r="C167" s="45"/>
      <c r="D167" s="45"/>
      <c r="E167" s="45"/>
      <c r="F167" s="45"/>
      <c r="G167" s="45"/>
      <c r="H167" s="43"/>
      <c r="I167" s="45"/>
      <c r="J167" s="43">
        <v>452511203202</v>
      </c>
      <c r="K167" s="44">
        <v>45825</v>
      </c>
      <c r="L167" s="44">
        <v>45832</v>
      </c>
      <c r="M167" s="45" t="s">
        <v>50</v>
      </c>
      <c r="N167" s="45" t="s">
        <v>51</v>
      </c>
      <c r="O167" s="45"/>
      <c r="P167" s="45" t="s">
        <v>52</v>
      </c>
      <c r="Q167" s="44">
        <v>45824</v>
      </c>
      <c r="R167" s="45">
        <v>5</v>
      </c>
      <c r="S167" s="44">
        <v>45826</v>
      </c>
    </row>
    <row r="168" spans="1:19" ht="12.75">
      <c r="A168" s="45"/>
      <c r="B168" s="45"/>
      <c r="C168" s="45"/>
      <c r="D168" s="45"/>
      <c r="E168" s="45"/>
      <c r="F168" s="45"/>
      <c r="G168" s="45"/>
      <c r="H168" s="43"/>
      <c r="I168" s="45"/>
      <c r="J168" s="43">
        <v>452511415477</v>
      </c>
      <c r="K168" s="44">
        <v>45825</v>
      </c>
      <c r="L168" s="44">
        <v>45832</v>
      </c>
      <c r="M168" s="45" t="s">
        <v>50</v>
      </c>
      <c r="N168" s="45" t="s">
        <v>51</v>
      </c>
      <c r="O168" s="45"/>
      <c r="P168" s="45" t="s">
        <v>52</v>
      </c>
      <c r="Q168" s="44">
        <v>45824</v>
      </c>
      <c r="R168" s="45">
        <v>7</v>
      </c>
      <c r="S168" s="44">
        <v>45826</v>
      </c>
    </row>
    <row r="169" spans="1:19" ht="12.75">
      <c r="A169" s="45"/>
      <c r="B169" s="45"/>
      <c r="C169" s="45"/>
      <c r="D169" s="45"/>
      <c r="E169" s="45"/>
      <c r="F169" s="45"/>
      <c r="G169" s="45"/>
      <c r="H169" s="43"/>
      <c r="I169" s="45"/>
      <c r="J169" s="43">
        <v>452512005389</v>
      </c>
      <c r="K169" s="44">
        <v>45825</v>
      </c>
      <c r="L169" s="44">
        <v>45832</v>
      </c>
      <c r="M169" s="45" t="s">
        <v>50</v>
      </c>
      <c r="N169" s="45" t="s">
        <v>51</v>
      </c>
      <c r="O169" s="45"/>
      <c r="P169" s="45" t="s">
        <v>52</v>
      </c>
      <c r="Q169" s="44">
        <v>45824</v>
      </c>
      <c r="R169" s="45">
        <v>9</v>
      </c>
      <c r="S169" s="44">
        <v>45826</v>
      </c>
    </row>
    <row r="170" spans="1:19" ht="12.75">
      <c r="A170" s="45"/>
      <c r="B170" s="45"/>
      <c r="C170" s="45"/>
      <c r="D170" s="45"/>
      <c r="E170" s="45"/>
      <c r="F170" s="45"/>
      <c r="G170" s="45"/>
      <c r="H170" s="43"/>
      <c r="I170" s="45"/>
      <c r="J170" s="43">
        <v>452512384989</v>
      </c>
      <c r="K170" s="44">
        <v>45825</v>
      </c>
      <c r="L170" s="44">
        <v>45832</v>
      </c>
      <c r="M170" s="45" t="s">
        <v>50</v>
      </c>
      <c r="N170" s="45" t="s">
        <v>51</v>
      </c>
      <c r="O170" s="45"/>
      <c r="P170" s="45" t="s">
        <v>52</v>
      </c>
      <c r="Q170" s="44">
        <v>45824</v>
      </c>
      <c r="R170" s="45">
        <v>5</v>
      </c>
      <c r="S170" s="44">
        <v>45826</v>
      </c>
    </row>
    <row r="171" spans="1:19" ht="12.75">
      <c r="A171" s="45"/>
      <c r="B171" s="45"/>
      <c r="C171" s="45"/>
      <c r="D171" s="45"/>
      <c r="E171" s="45"/>
      <c r="F171" s="45"/>
      <c r="G171" s="45"/>
      <c r="H171" s="43"/>
      <c r="I171" s="45"/>
      <c r="J171" s="43">
        <v>452513362362</v>
      </c>
      <c r="K171" s="44">
        <v>45825</v>
      </c>
      <c r="L171" s="44">
        <v>45832</v>
      </c>
      <c r="M171" s="45" t="s">
        <v>50</v>
      </c>
      <c r="N171" s="45" t="s">
        <v>51</v>
      </c>
      <c r="O171" s="45"/>
      <c r="P171" s="45" t="s">
        <v>52</v>
      </c>
      <c r="Q171" s="44">
        <v>45824</v>
      </c>
      <c r="R171" s="45">
        <v>5</v>
      </c>
      <c r="S171" s="44">
        <v>45826</v>
      </c>
    </row>
    <row r="172" spans="1:19" ht="12.75">
      <c r="A172" s="45"/>
      <c r="B172" s="45"/>
      <c r="C172" s="45"/>
      <c r="D172" s="45"/>
      <c r="E172" s="45"/>
      <c r="F172" s="45"/>
      <c r="G172" s="45"/>
      <c r="H172" s="43"/>
      <c r="I172" s="45"/>
      <c r="J172" s="43">
        <v>452514184896</v>
      </c>
      <c r="K172" s="44">
        <v>45825</v>
      </c>
      <c r="L172" s="44">
        <v>45832</v>
      </c>
      <c r="M172" s="45" t="s">
        <v>50</v>
      </c>
      <c r="N172" s="45" t="s">
        <v>51</v>
      </c>
      <c r="O172" s="45"/>
      <c r="P172" s="45" t="s">
        <v>52</v>
      </c>
      <c r="Q172" s="44">
        <v>45824</v>
      </c>
      <c r="R172" s="45">
        <v>9</v>
      </c>
      <c r="S172" s="44">
        <v>45826</v>
      </c>
    </row>
    <row r="173" spans="1:19" ht="12.75">
      <c r="A173" s="45"/>
      <c r="B173" s="45"/>
      <c r="C173" s="45"/>
      <c r="D173" s="45"/>
      <c r="E173" s="45"/>
      <c r="F173" s="45"/>
      <c r="G173" s="45"/>
      <c r="H173" s="43"/>
      <c r="I173" s="45"/>
      <c r="J173" s="43">
        <v>452514187247</v>
      </c>
      <c r="K173" s="44">
        <v>45825</v>
      </c>
      <c r="L173" s="44">
        <v>45832</v>
      </c>
      <c r="M173" s="45" t="s">
        <v>50</v>
      </c>
      <c r="N173" s="45" t="s">
        <v>51</v>
      </c>
      <c r="O173" s="45"/>
      <c r="P173" s="45" t="s">
        <v>52</v>
      </c>
      <c r="Q173" s="44">
        <v>45824</v>
      </c>
      <c r="R173" s="45">
        <v>4</v>
      </c>
      <c r="S173" s="44">
        <v>45826</v>
      </c>
    </row>
    <row r="174" spans="1:19" ht="12.75">
      <c r="A174" s="45"/>
      <c r="B174" s="45"/>
      <c r="C174" s="45"/>
      <c r="D174" s="45"/>
      <c r="E174" s="45"/>
      <c r="F174" s="45"/>
      <c r="G174" s="45"/>
      <c r="H174" s="43"/>
      <c r="I174" s="45"/>
      <c r="J174" s="43">
        <v>452514909602</v>
      </c>
      <c r="K174" s="44">
        <v>45825</v>
      </c>
      <c r="L174" s="44">
        <v>45832</v>
      </c>
      <c r="M174" s="45" t="s">
        <v>50</v>
      </c>
      <c r="N174" s="45" t="s">
        <v>51</v>
      </c>
      <c r="O174" s="45"/>
      <c r="P174" s="45" t="s">
        <v>52</v>
      </c>
      <c r="Q174" s="44">
        <v>45824</v>
      </c>
      <c r="R174" s="45">
        <v>4</v>
      </c>
      <c r="S174" s="44">
        <v>45826</v>
      </c>
    </row>
    <row r="175" spans="1:19" ht="12.75">
      <c r="A175" s="45"/>
      <c r="B175" s="45"/>
      <c r="C175" s="45"/>
      <c r="D175" s="45"/>
      <c r="E175" s="45"/>
      <c r="F175" s="45"/>
      <c r="G175" s="45"/>
      <c r="H175" s="43"/>
      <c r="I175" s="45"/>
      <c r="J175" s="43">
        <v>452665810522</v>
      </c>
      <c r="K175" s="44">
        <v>45825</v>
      </c>
      <c r="L175" s="44">
        <v>45832</v>
      </c>
      <c r="M175" s="45" t="s">
        <v>50</v>
      </c>
      <c r="N175" s="45" t="s">
        <v>51</v>
      </c>
      <c r="O175" s="45"/>
      <c r="P175" s="45" t="s">
        <v>52</v>
      </c>
      <c r="Q175" s="44">
        <v>45824</v>
      </c>
      <c r="R175" s="45">
        <v>4</v>
      </c>
      <c r="S175" s="44">
        <v>45826</v>
      </c>
    </row>
    <row r="176" spans="1:19" ht="12.75">
      <c r="A176" s="45"/>
      <c r="B176" s="45"/>
      <c r="C176" s="45"/>
      <c r="D176" s="45"/>
      <c r="E176" s="45"/>
      <c r="F176" s="45"/>
      <c r="G176" s="45"/>
      <c r="H176" s="43"/>
      <c r="I176" s="45"/>
      <c r="J176" s="43">
        <v>452666085643</v>
      </c>
      <c r="K176" s="44">
        <v>45825</v>
      </c>
      <c r="L176" s="44">
        <v>45832</v>
      </c>
      <c r="M176" s="45" t="s">
        <v>50</v>
      </c>
      <c r="N176" s="45" t="s">
        <v>51</v>
      </c>
      <c r="O176" s="45"/>
      <c r="P176" s="45" t="s">
        <v>52</v>
      </c>
      <c r="Q176" s="44">
        <v>45824</v>
      </c>
      <c r="R176" s="45">
        <v>2</v>
      </c>
      <c r="S176" s="44">
        <v>45826</v>
      </c>
    </row>
    <row r="177" spans="1:19" ht="12.75">
      <c r="A177" s="45"/>
      <c r="B177" s="45"/>
      <c r="C177" s="45"/>
      <c r="D177" s="45"/>
      <c r="E177" s="45"/>
      <c r="F177" s="45"/>
      <c r="G177" s="45"/>
      <c r="H177" s="43"/>
      <c r="I177" s="44" t="s">
        <v>55</v>
      </c>
      <c r="J177" s="43">
        <v>452020198265</v>
      </c>
      <c r="K177" s="44">
        <v>45825</v>
      </c>
      <c r="L177" s="44">
        <v>45832</v>
      </c>
      <c r="M177" s="45" t="s">
        <v>50</v>
      </c>
      <c r="N177" s="45" t="s">
        <v>51</v>
      </c>
      <c r="O177" s="45"/>
      <c r="P177" s="45" t="s">
        <v>52</v>
      </c>
      <c r="Q177" s="44">
        <v>45824</v>
      </c>
      <c r="R177" s="45">
        <v>14</v>
      </c>
      <c r="S177" s="44">
        <v>45826</v>
      </c>
    </row>
    <row r="178" spans="1:19" ht="12.75">
      <c r="A178" s="45"/>
      <c r="B178" s="45"/>
      <c r="C178" s="45"/>
      <c r="D178" s="45"/>
      <c r="E178" s="45"/>
      <c r="F178" s="45"/>
      <c r="G178" s="45"/>
      <c r="H178" s="43"/>
      <c r="I178" s="45"/>
      <c r="J178" s="43">
        <v>452020642697</v>
      </c>
      <c r="K178" s="44">
        <v>45825</v>
      </c>
      <c r="L178" s="44">
        <v>45832</v>
      </c>
      <c r="M178" s="45" t="s">
        <v>50</v>
      </c>
      <c r="N178" s="45" t="s">
        <v>51</v>
      </c>
      <c r="O178" s="45"/>
      <c r="P178" s="45" t="s">
        <v>52</v>
      </c>
      <c r="Q178" s="44">
        <v>45824</v>
      </c>
      <c r="R178" s="45">
        <v>8</v>
      </c>
      <c r="S178" s="44">
        <v>45826</v>
      </c>
    </row>
    <row r="179" spans="1:19" ht="12.75">
      <c r="A179" s="45"/>
      <c r="B179" s="45"/>
      <c r="C179" s="45"/>
      <c r="D179" s="45"/>
      <c r="E179" s="45"/>
      <c r="F179" s="45"/>
      <c r="G179" s="45"/>
      <c r="H179" s="43"/>
      <c r="I179" s="45"/>
      <c r="J179" s="43">
        <v>452021328446</v>
      </c>
      <c r="K179" s="44">
        <v>45825</v>
      </c>
      <c r="L179" s="44">
        <v>45832</v>
      </c>
      <c r="M179" s="45" t="s">
        <v>50</v>
      </c>
      <c r="N179" s="45" t="s">
        <v>51</v>
      </c>
      <c r="O179" s="45"/>
      <c r="P179" s="45" t="s">
        <v>52</v>
      </c>
      <c r="Q179" s="44">
        <v>45824</v>
      </c>
      <c r="R179" s="45">
        <v>6</v>
      </c>
      <c r="S179" s="44">
        <v>45826</v>
      </c>
    </row>
    <row r="180" spans="1:19" ht="12.75">
      <c r="A180" s="45"/>
      <c r="B180" s="45"/>
      <c r="C180" s="45"/>
      <c r="D180" s="45"/>
      <c r="E180" s="45"/>
      <c r="F180" s="45"/>
      <c r="G180" s="45"/>
      <c r="H180" s="43"/>
      <c r="I180" s="45"/>
      <c r="J180" s="43">
        <v>452521848044</v>
      </c>
      <c r="K180" s="44">
        <v>45825</v>
      </c>
      <c r="L180" s="44">
        <v>45832</v>
      </c>
      <c r="M180" s="45" t="s">
        <v>50</v>
      </c>
      <c r="N180" s="45" t="s">
        <v>51</v>
      </c>
      <c r="O180" s="45"/>
      <c r="P180" s="45" t="s">
        <v>52</v>
      </c>
      <c r="Q180" s="44">
        <v>45824</v>
      </c>
      <c r="R180" s="45">
        <v>25</v>
      </c>
      <c r="S180" s="44">
        <v>45826</v>
      </c>
    </row>
    <row r="181" spans="1:19" ht="12.75">
      <c r="A181" s="45"/>
      <c r="B181" s="45"/>
      <c r="C181" s="45"/>
      <c r="D181" s="45"/>
      <c r="E181" s="45"/>
      <c r="F181" s="45"/>
      <c r="G181" s="45"/>
      <c r="H181" s="43"/>
      <c r="I181" s="44" t="s">
        <v>124</v>
      </c>
      <c r="J181" s="43">
        <v>452842141320</v>
      </c>
      <c r="K181" s="44">
        <v>45825</v>
      </c>
      <c r="L181" s="44">
        <v>45832</v>
      </c>
      <c r="M181" s="45" t="s">
        <v>50</v>
      </c>
      <c r="N181" s="45" t="s">
        <v>51</v>
      </c>
      <c r="O181" s="45"/>
      <c r="P181" s="45" t="s">
        <v>52</v>
      </c>
      <c r="Q181" s="44">
        <v>45824</v>
      </c>
      <c r="R181" s="45">
        <v>3</v>
      </c>
      <c r="S181" s="44">
        <v>45826</v>
      </c>
    </row>
    <row r="182" spans="1:19" ht="12.75">
      <c r="A182" s="45"/>
      <c r="B182" s="45"/>
      <c r="C182" s="45"/>
      <c r="D182" s="45"/>
      <c r="E182" s="45"/>
      <c r="F182" s="45"/>
      <c r="G182" s="45"/>
      <c r="H182" s="43"/>
      <c r="I182" s="45"/>
      <c r="J182" s="43">
        <v>452843102834</v>
      </c>
      <c r="K182" s="44">
        <v>45825</v>
      </c>
      <c r="L182" s="44">
        <v>45832</v>
      </c>
      <c r="M182" s="45" t="s">
        <v>50</v>
      </c>
      <c r="N182" s="45" t="s">
        <v>51</v>
      </c>
      <c r="O182" s="45"/>
      <c r="P182" s="45" t="s">
        <v>52</v>
      </c>
      <c r="Q182" s="44">
        <v>45824</v>
      </c>
      <c r="R182" s="45">
        <v>3</v>
      </c>
      <c r="S182" s="44">
        <v>45826</v>
      </c>
    </row>
    <row r="183" spans="1:19" ht="12.75">
      <c r="A183" s="45"/>
      <c r="B183" s="45"/>
      <c r="C183" s="45"/>
      <c r="D183" s="45"/>
      <c r="E183" s="45"/>
      <c r="F183" s="45"/>
      <c r="G183" s="45"/>
      <c r="H183" s="43"/>
      <c r="I183" s="45"/>
      <c r="J183" s="43">
        <v>452843168146</v>
      </c>
      <c r="K183" s="44">
        <v>45825</v>
      </c>
      <c r="L183" s="44">
        <v>45832</v>
      </c>
      <c r="M183" s="45" t="s">
        <v>50</v>
      </c>
      <c r="N183" s="45" t="s">
        <v>51</v>
      </c>
      <c r="O183" s="45"/>
      <c r="P183" s="45" t="s">
        <v>52</v>
      </c>
      <c r="Q183" s="44">
        <v>45824</v>
      </c>
      <c r="R183" s="45">
        <v>4</v>
      </c>
      <c r="S183" s="44">
        <v>45826</v>
      </c>
    </row>
    <row r="184" spans="1:19" ht="12.75">
      <c r="A184" s="45"/>
      <c r="B184" s="45"/>
      <c r="C184" s="45"/>
      <c r="D184" s="45"/>
      <c r="E184" s="45"/>
      <c r="F184" s="45"/>
      <c r="G184" s="45"/>
      <c r="H184" s="43"/>
      <c r="I184" s="45"/>
      <c r="J184" s="43">
        <v>452844569188</v>
      </c>
      <c r="K184" s="44">
        <v>45825</v>
      </c>
      <c r="L184" s="44">
        <v>45832</v>
      </c>
      <c r="M184" s="45" t="s">
        <v>50</v>
      </c>
      <c r="N184" s="45" t="s">
        <v>51</v>
      </c>
      <c r="O184" s="45"/>
      <c r="P184" s="45" t="s">
        <v>52</v>
      </c>
      <c r="Q184" s="44">
        <v>45824</v>
      </c>
      <c r="R184" s="45">
        <v>3</v>
      </c>
      <c r="S184" s="44">
        <v>45826</v>
      </c>
    </row>
    <row r="185" spans="1:19" ht="12.75">
      <c r="A185" s="45"/>
      <c r="B185" s="45"/>
      <c r="C185" s="45"/>
      <c r="D185" s="45"/>
      <c r="E185" s="45"/>
      <c r="F185" s="45"/>
      <c r="G185" s="45"/>
      <c r="H185" s="43"/>
      <c r="I185" s="45"/>
      <c r="J185" s="43">
        <v>452845689511</v>
      </c>
      <c r="K185" s="44">
        <v>45825</v>
      </c>
      <c r="L185" s="44">
        <v>45832</v>
      </c>
      <c r="M185" s="45" t="s">
        <v>50</v>
      </c>
      <c r="N185" s="45" t="s">
        <v>51</v>
      </c>
      <c r="O185" s="45"/>
      <c r="P185" s="45" t="s">
        <v>52</v>
      </c>
      <c r="Q185" s="44">
        <v>45824</v>
      </c>
      <c r="R185" s="45">
        <v>11</v>
      </c>
      <c r="S185" s="44">
        <v>45826</v>
      </c>
    </row>
    <row r="186" spans="1:19" ht="12.75">
      <c r="A186" s="45"/>
      <c r="B186" s="45"/>
      <c r="C186" s="45"/>
      <c r="D186" s="45"/>
      <c r="E186" s="45"/>
      <c r="F186" s="45"/>
      <c r="G186" s="45"/>
      <c r="H186" s="43"/>
      <c r="I186" s="45"/>
      <c r="J186" s="43">
        <v>452846239219</v>
      </c>
      <c r="K186" s="44">
        <v>45825</v>
      </c>
      <c r="L186" s="44">
        <v>45832</v>
      </c>
      <c r="M186" s="45" t="s">
        <v>50</v>
      </c>
      <c r="N186" s="45" t="s">
        <v>51</v>
      </c>
      <c r="O186" s="45"/>
      <c r="P186" s="45" t="s">
        <v>52</v>
      </c>
      <c r="Q186" s="44">
        <v>45824</v>
      </c>
      <c r="R186" s="45">
        <v>5</v>
      </c>
      <c r="S186" s="44">
        <v>45826</v>
      </c>
    </row>
    <row r="187" spans="1:19" ht="12.75">
      <c r="A187" s="45"/>
      <c r="B187" s="45"/>
      <c r="C187" s="45"/>
      <c r="D187" s="45"/>
      <c r="E187" s="45"/>
      <c r="F187" s="45"/>
      <c r="G187" s="45"/>
      <c r="H187" s="43"/>
      <c r="I187" s="45"/>
      <c r="J187" s="43">
        <v>452847739796</v>
      </c>
      <c r="K187" s="44">
        <v>45825</v>
      </c>
      <c r="L187" s="44">
        <v>45832</v>
      </c>
      <c r="M187" s="45" t="s">
        <v>50</v>
      </c>
      <c r="N187" s="45" t="s">
        <v>51</v>
      </c>
      <c r="O187" s="45"/>
      <c r="P187" s="45" t="s">
        <v>52</v>
      </c>
      <c r="Q187" s="44">
        <v>45824</v>
      </c>
      <c r="R187" s="45">
        <v>1</v>
      </c>
      <c r="S187" s="44">
        <v>45826</v>
      </c>
    </row>
    <row r="188" spans="1:19" ht="12.75">
      <c r="A188" s="45"/>
      <c r="B188" s="45"/>
      <c r="C188" s="45"/>
      <c r="D188" s="45"/>
      <c r="E188" s="45"/>
      <c r="F188" s="45"/>
      <c r="G188" s="45"/>
      <c r="H188" s="43"/>
      <c r="I188" s="45"/>
      <c r="J188" s="43">
        <v>452852455212</v>
      </c>
      <c r="K188" s="44">
        <v>45825</v>
      </c>
      <c r="L188" s="44">
        <v>45832</v>
      </c>
      <c r="M188" s="45" t="s">
        <v>50</v>
      </c>
      <c r="N188" s="45" t="s">
        <v>51</v>
      </c>
      <c r="O188" s="45"/>
      <c r="P188" s="45" t="s">
        <v>52</v>
      </c>
      <c r="Q188" s="44">
        <v>45824</v>
      </c>
      <c r="R188" s="45">
        <v>2</v>
      </c>
      <c r="S188" s="44">
        <v>45826</v>
      </c>
    </row>
    <row r="189" spans="1:19" ht="12.75">
      <c r="A189" s="45"/>
      <c r="B189" s="45"/>
      <c r="C189" s="45"/>
      <c r="D189" s="45"/>
      <c r="E189" s="45"/>
      <c r="F189" s="45"/>
      <c r="G189" s="45"/>
      <c r="H189" s="43"/>
      <c r="I189" s="45"/>
      <c r="J189" s="43">
        <v>452853430838</v>
      </c>
      <c r="K189" s="44">
        <v>45825</v>
      </c>
      <c r="L189" s="44">
        <v>45832</v>
      </c>
      <c r="M189" s="45" t="s">
        <v>50</v>
      </c>
      <c r="N189" s="45" t="s">
        <v>51</v>
      </c>
      <c r="O189" s="45"/>
      <c r="P189" s="45" t="s">
        <v>52</v>
      </c>
      <c r="Q189" s="44">
        <v>45824</v>
      </c>
      <c r="R189" s="45">
        <v>1</v>
      </c>
      <c r="S189" s="44">
        <v>45826</v>
      </c>
    </row>
    <row r="190" spans="1:19" ht="12.75">
      <c r="A190" s="45"/>
      <c r="B190" s="45"/>
      <c r="C190" s="45"/>
      <c r="D190" s="45"/>
      <c r="E190" s="45"/>
      <c r="F190" s="45"/>
      <c r="G190" s="45"/>
      <c r="H190" s="43"/>
      <c r="I190" s="45"/>
      <c r="J190" s="43">
        <v>452853541122</v>
      </c>
      <c r="K190" s="44">
        <v>45825</v>
      </c>
      <c r="L190" s="44">
        <v>45832</v>
      </c>
      <c r="M190" s="45" t="s">
        <v>50</v>
      </c>
      <c r="N190" s="45" t="s">
        <v>51</v>
      </c>
      <c r="O190" s="45"/>
      <c r="P190" s="45" t="s">
        <v>52</v>
      </c>
      <c r="Q190" s="44">
        <v>45824</v>
      </c>
      <c r="R190" s="45">
        <v>2</v>
      </c>
      <c r="S190" s="44">
        <v>45826</v>
      </c>
    </row>
    <row r="191" spans="1:19" ht="12.75">
      <c r="A191" s="45"/>
      <c r="B191" s="45"/>
      <c r="C191" s="45"/>
      <c r="D191" s="45"/>
      <c r="E191" s="45"/>
      <c r="F191" s="45"/>
      <c r="G191" s="45"/>
      <c r="H191" s="43"/>
      <c r="I191" s="45"/>
      <c r="J191" s="43">
        <v>452854030967</v>
      </c>
      <c r="K191" s="44">
        <v>45825</v>
      </c>
      <c r="L191" s="44">
        <v>45832</v>
      </c>
      <c r="M191" s="45" t="s">
        <v>50</v>
      </c>
      <c r="N191" s="45" t="s">
        <v>51</v>
      </c>
      <c r="O191" s="45"/>
      <c r="P191" s="45" t="s">
        <v>52</v>
      </c>
      <c r="Q191" s="44">
        <v>45824</v>
      </c>
      <c r="R191" s="45">
        <v>3</v>
      </c>
      <c r="S191" s="44">
        <v>45826</v>
      </c>
    </row>
    <row r="192" spans="1:19" ht="12.75">
      <c r="A192" s="45"/>
      <c r="B192" s="45"/>
      <c r="C192" s="45"/>
      <c r="D192" s="45"/>
      <c r="E192" s="45"/>
      <c r="F192" s="45"/>
      <c r="G192" s="45"/>
      <c r="H192" s="43"/>
      <c r="I192" s="45"/>
      <c r="J192" s="43">
        <v>452856319907</v>
      </c>
      <c r="K192" s="44">
        <v>45825</v>
      </c>
      <c r="L192" s="44">
        <v>45832</v>
      </c>
      <c r="M192" s="45" t="s">
        <v>50</v>
      </c>
      <c r="N192" s="45" t="s">
        <v>51</v>
      </c>
      <c r="O192" s="45"/>
      <c r="P192" s="45" t="s">
        <v>52</v>
      </c>
      <c r="Q192" s="44">
        <v>45824</v>
      </c>
      <c r="R192" s="45">
        <v>6</v>
      </c>
      <c r="S192" s="44">
        <v>45826</v>
      </c>
    </row>
    <row r="193" spans="1:19" ht="12.75">
      <c r="A193" s="45"/>
      <c r="B193" s="45"/>
      <c r="C193" s="45"/>
      <c r="D193" s="45"/>
      <c r="E193" s="45"/>
      <c r="F193" s="45"/>
      <c r="G193" s="45"/>
      <c r="H193" s="43"/>
      <c r="I193" s="45"/>
      <c r="J193" s="43">
        <v>452858135232</v>
      </c>
      <c r="K193" s="44">
        <v>45825</v>
      </c>
      <c r="L193" s="44">
        <v>45832</v>
      </c>
      <c r="M193" s="45" t="s">
        <v>50</v>
      </c>
      <c r="N193" s="45" t="s">
        <v>51</v>
      </c>
      <c r="O193" s="45"/>
      <c r="P193" s="45" t="s">
        <v>52</v>
      </c>
      <c r="Q193" s="44">
        <v>45824</v>
      </c>
      <c r="R193" s="45">
        <v>4</v>
      </c>
      <c r="S193" s="44">
        <v>45826</v>
      </c>
    </row>
    <row r="194" spans="1:19" ht="12.75">
      <c r="A194" s="45"/>
      <c r="B194" s="45"/>
      <c r="C194" s="45"/>
      <c r="D194" s="45"/>
      <c r="E194" s="45"/>
      <c r="F194" s="45"/>
      <c r="G194" s="45"/>
      <c r="H194" s="43"/>
      <c r="I194" s="45"/>
      <c r="J194" s="43">
        <v>452859992323</v>
      </c>
      <c r="K194" s="44">
        <v>45825</v>
      </c>
      <c r="L194" s="44">
        <v>45832</v>
      </c>
      <c r="M194" s="45" t="s">
        <v>50</v>
      </c>
      <c r="N194" s="45" t="s">
        <v>51</v>
      </c>
      <c r="O194" s="45"/>
      <c r="P194" s="45" t="s">
        <v>52</v>
      </c>
      <c r="Q194" s="44">
        <v>45824</v>
      </c>
      <c r="R194" s="45">
        <v>7</v>
      </c>
      <c r="S194" s="44">
        <v>45826</v>
      </c>
    </row>
    <row r="195" spans="1:19" ht="12.75">
      <c r="A195" s="45"/>
      <c r="B195" s="45"/>
      <c r="C195" s="45"/>
      <c r="D195" s="45"/>
      <c r="E195" s="45"/>
      <c r="F195" s="45"/>
      <c r="G195" s="45"/>
      <c r="H195" s="43"/>
      <c r="I195" s="45"/>
      <c r="J195" s="43">
        <v>452862804612</v>
      </c>
      <c r="K195" s="44">
        <v>45825</v>
      </c>
      <c r="L195" s="44">
        <v>45832</v>
      </c>
      <c r="M195" s="45" t="s">
        <v>50</v>
      </c>
      <c r="N195" s="45" t="s">
        <v>51</v>
      </c>
      <c r="O195" s="45"/>
      <c r="P195" s="45" t="s">
        <v>52</v>
      </c>
      <c r="Q195" s="44">
        <v>45824</v>
      </c>
      <c r="R195" s="45">
        <v>4</v>
      </c>
      <c r="S195" s="44">
        <v>45826</v>
      </c>
    </row>
    <row r="196" spans="1:19" ht="12.75">
      <c r="A196" s="45"/>
      <c r="B196" s="45"/>
      <c r="C196" s="45"/>
      <c r="D196" s="45"/>
      <c r="E196" s="45"/>
      <c r="F196" s="45"/>
      <c r="G196" s="45"/>
      <c r="H196" s="43"/>
      <c r="I196" s="45"/>
      <c r="J196" s="43">
        <v>452865421049</v>
      </c>
      <c r="K196" s="44">
        <v>45825</v>
      </c>
      <c r="L196" s="44">
        <v>45832</v>
      </c>
      <c r="M196" s="45" t="s">
        <v>50</v>
      </c>
      <c r="N196" s="45" t="s">
        <v>51</v>
      </c>
      <c r="O196" s="45"/>
      <c r="P196" s="45" t="s">
        <v>52</v>
      </c>
      <c r="Q196" s="44">
        <v>45824</v>
      </c>
      <c r="R196" s="45">
        <v>2</v>
      </c>
      <c r="S196" s="44">
        <v>45826</v>
      </c>
    </row>
    <row r="197" spans="1:19" ht="12.75">
      <c r="A197" s="45"/>
      <c r="B197" s="45"/>
      <c r="C197" s="45"/>
      <c r="D197" s="45"/>
      <c r="E197" s="45"/>
      <c r="F197" s="45"/>
      <c r="G197" s="45"/>
      <c r="H197" s="43"/>
      <c r="I197" s="45"/>
      <c r="J197" s="43">
        <v>452866507552</v>
      </c>
      <c r="K197" s="44">
        <v>45825</v>
      </c>
      <c r="L197" s="44">
        <v>45832</v>
      </c>
      <c r="M197" s="45" t="s">
        <v>50</v>
      </c>
      <c r="N197" s="45" t="s">
        <v>51</v>
      </c>
      <c r="O197" s="45"/>
      <c r="P197" s="45" t="s">
        <v>52</v>
      </c>
      <c r="Q197" s="44">
        <v>45824</v>
      </c>
      <c r="R197" s="45">
        <v>3</v>
      </c>
      <c r="S197" s="44">
        <v>45826</v>
      </c>
    </row>
    <row r="198" spans="1:19" ht="12.75">
      <c r="A198" s="45"/>
      <c r="B198" s="45"/>
      <c r="C198" s="45"/>
      <c r="D198" s="45"/>
      <c r="E198" s="45"/>
      <c r="F198" s="45"/>
      <c r="G198" s="45"/>
      <c r="H198" s="43"/>
      <c r="I198" s="45"/>
      <c r="J198" s="43">
        <v>452869779430</v>
      </c>
      <c r="K198" s="44">
        <v>45825</v>
      </c>
      <c r="L198" s="44">
        <v>45832</v>
      </c>
      <c r="M198" s="45" t="s">
        <v>50</v>
      </c>
      <c r="N198" s="45" t="s">
        <v>51</v>
      </c>
      <c r="O198" s="45"/>
      <c r="P198" s="45" t="s">
        <v>52</v>
      </c>
      <c r="Q198" s="44">
        <v>45824</v>
      </c>
      <c r="R198" s="45">
        <v>1</v>
      </c>
      <c r="S198" s="44">
        <v>45826</v>
      </c>
    </row>
    <row r="199" spans="1:19" ht="12.75">
      <c r="A199" s="45"/>
      <c r="B199" s="45"/>
      <c r="C199" s="45"/>
      <c r="D199" s="45"/>
      <c r="E199" s="45"/>
      <c r="F199" s="45"/>
      <c r="G199" s="45"/>
      <c r="H199" s="43"/>
      <c r="I199" s="45"/>
      <c r="J199" s="43">
        <v>452870408857</v>
      </c>
      <c r="K199" s="44">
        <v>45825</v>
      </c>
      <c r="L199" s="44">
        <v>45832</v>
      </c>
      <c r="M199" s="45" t="s">
        <v>50</v>
      </c>
      <c r="N199" s="45" t="s">
        <v>51</v>
      </c>
      <c r="O199" s="45"/>
      <c r="P199" s="45" t="s">
        <v>52</v>
      </c>
      <c r="Q199" s="44">
        <v>45824</v>
      </c>
      <c r="R199" s="45">
        <v>1</v>
      </c>
      <c r="S199" s="44">
        <v>45826</v>
      </c>
    </row>
    <row r="200" spans="1:19" ht="12.75">
      <c r="A200" s="45"/>
      <c r="B200" s="45"/>
      <c r="C200" s="45"/>
      <c r="D200" s="45"/>
      <c r="E200" s="45"/>
      <c r="F200" s="45"/>
      <c r="G200" s="45"/>
      <c r="H200" s="43"/>
      <c r="I200" s="45"/>
      <c r="J200" s="43">
        <v>452871646110</v>
      </c>
      <c r="K200" s="44">
        <v>45825</v>
      </c>
      <c r="L200" s="44">
        <v>45832</v>
      </c>
      <c r="M200" s="45" t="s">
        <v>50</v>
      </c>
      <c r="N200" s="45" t="s">
        <v>51</v>
      </c>
      <c r="O200" s="45"/>
      <c r="P200" s="45" t="s">
        <v>52</v>
      </c>
      <c r="Q200" s="44">
        <v>45824</v>
      </c>
      <c r="R200" s="45">
        <v>1</v>
      </c>
      <c r="S200" s="44">
        <v>45826</v>
      </c>
    </row>
    <row r="201" spans="1:19" ht="12.75">
      <c r="A201" s="45"/>
      <c r="B201" s="45"/>
      <c r="C201" s="45"/>
      <c r="D201" s="45"/>
      <c r="E201" s="45"/>
      <c r="F201" s="45"/>
      <c r="G201" s="45"/>
      <c r="H201" s="43"/>
      <c r="I201" s="45"/>
      <c r="J201" s="43">
        <v>452873627359</v>
      </c>
      <c r="K201" s="44">
        <v>45825</v>
      </c>
      <c r="L201" s="44">
        <v>45832</v>
      </c>
      <c r="M201" s="45" t="s">
        <v>50</v>
      </c>
      <c r="N201" s="45" t="s">
        <v>51</v>
      </c>
      <c r="O201" s="45"/>
      <c r="P201" s="45" t="s">
        <v>52</v>
      </c>
      <c r="Q201" s="44">
        <v>45824</v>
      </c>
      <c r="R201" s="45">
        <v>4</v>
      </c>
      <c r="S201" s="44">
        <v>45826</v>
      </c>
    </row>
    <row r="202" spans="1:19" ht="12.75">
      <c r="A202" s="45"/>
      <c r="B202" s="45"/>
      <c r="C202" s="45"/>
      <c r="D202" s="45"/>
      <c r="E202" s="45"/>
      <c r="F202" s="45"/>
      <c r="G202" s="45"/>
      <c r="H202" s="43"/>
      <c r="I202" s="45"/>
      <c r="J202" s="43">
        <v>452874553770</v>
      </c>
      <c r="K202" s="44">
        <v>45825</v>
      </c>
      <c r="L202" s="44">
        <v>45832</v>
      </c>
      <c r="M202" s="45" t="s">
        <v>50</v>
      </c>
      <c r="N202" s="45" t="s">
        <v>51</v>
      </c>
      <c r="O202" s="45"/>
      <c r="P202" s="45" t="s">
        <v>52</v>
      </c>
      <c r="Q202" s="44">
        <v>45824</v>
      </c>
      <c r="R202" s="45">
        <v>4</v>
      </c>
      <c r="S202" s="44">
        <v>45826</v>
      </c>
    </row>
    <row r="203" spans="1:19" ht="12.75">
      <c r="A203" s="45"/>
      <c r="B203" s="45"/>
      <c r="C203" s="45"/>
      <c r="D203" s="45"/>
      <c r="E203" s="45"/>
      <c r="F203" s="45"/>
      <c r="G203" s="45"/>
      <c r="H203" s="43"/>
      <c r="I203" s="45"/>
      <c r="J203" s="43">
        <v>452874603824</v>
      </c>
      <c r="K203" s="44">
        <v>45825</v>
      </c>
      <c r="L203" s="44">
        <v>45832</v>
      </c>
      <c r="M203" s="45" t="s">
        <v>50</v>
      </c>
      <c r="N203" s="45" t="s">
        <v>51</v>
      </c>
      <c r="O203" s="45"/>
      <c r="P203" s="45" t="s">
        <v>52</v>
      </c>
      <c r="Q203" s="44">
        <v>45824</v>
      </c>
      <c r="R203" s="45">
        <v>3</v>
      </c>
      <c r="S203" s="44">
        <v>45826</v>
      </c>
    </row>
    <row r="204" spans="1:19" ht="12.75">
      <c r="A204" s="45"/>
      <c r="B204" s="45"/>
      <c r="C204" s="45"/>
      <c r="D204" s="45"/>
      <c r="E204" s="45"/>
      <c r="F204" s="45"/>
      <c r="G204" s="45"/>
      <c r="H204" s="43"/>
      <c r="I204" s="45"/>
      <c r="J204" s="43">
        <v>452879674993</v>
      </c>
      <c r="K204" s="44">
        <v>45825</v>
      </c>
      <c r="L204" s="44">
        <v>45832</v>
      </c>
      <c r="M204" s="45" t="s">
        <v>50</v>
      </c>
      <c r="N204" s="45" t="s">
        <v>51</v>
      </c>
      <c r="O204" s="45"/>
      <c r="P204" s="45" t="s">
        <v>52</v>
      </c>
      <c r="Q204" s="44">
        <v>45824</v>
      </c>
      <c r="R204" s="45">
        <v>1</v>
      </c>
      <c r="S204" s="44">
        <v>45826</v>
      </c>
    </row>
    <row r="205" spans="1:19" ht="12.75">
      <c r="A205" s="45"/>
      <c r="B205" s="45"/>
      <c r="C205" s="45"/>
      <c r="D205" s="45"/>
      <c r="E205" s="45"/>
      <c r="F205" s="45"/>
      <c r="G205" s="45"/>
      <c r="H205" s="43"/>
      <c r="I205" s="45"/>
      <c r="J205" s="43">
        <v>452880378218</v>
      </c>
      <c r="K205" s="44">
        <v>45825</v>
      </c>
      <c r="L205" s="44">
        <v>45832</v>
      </c>
      <c r="M205" s="45" t="s">
        <v>50</v>
      </c>
      <c r="N205" s="45" t="s">
        <v>51</v>
      </c>
      <c r="O205" s="45"/>
      <c r="P205" s="45" t="s">
        <v>52</v>
      </c>
      <c r="Q205" s="44">
        <v>45824</v>
      </c>
      <c r="R205" s="45">
        <v>1</v>
      </c>
      <c r="S205" s="44">
        <v>45826</v>
      </c>
    </row>
    <row r="206" spans="1:19" ht="12.75">
      <c r="A206" s="45"/>
      <c r="B206" s="45"/>
      <c r="C206" s="45"/>
      <c r="D206" s="45"/>
      <c r="E206" s="45"/>
      <c r="F206" s="45"/>
      <c r="G206" s="45"/>
      <c r="H206" s="43"/>
      <c r="I206" s="45"/>
      <c r="J206" s="43">
        <v>452880990382</v>
      </c>
      <c r="K206" s="44">
        <v>45825</v>
      </c>
      <c r="L206" s="44">
        <v>45832</v>
      </c>
      <c r="M206" s="45" t="s">
        <v>50</v>
      </c>
      <c r="N206" s="45" t="s">
        <v>51</v>
      </c>
      <c r="O206" s="45"/>
      <c r="P206" s="45" t="s">
        <v>52</v>
      </c>
      <c r="Q206" s="44">
        <v>45824</v>
      </c>
      <c r="R206" s="45">
        <v>9</v>
      </c>
      <c r="S206" s="44">
        <v>45826</v>
      </c>
    </row>
    <row r="207" spans="1:19" ht="12.75">
      <c r="A207" s="45"/>
      <c r="B207" s="45"/>
      <c r="C207" s="45"/>
      <c r="D207" s="45"/>
      <c r="E207" s="45"/>
      <c r="F207" s="45"/>
      <c r="G207" s="45"/>
      <c r="H207" s="43"/>
      <c r="I207" s="45"/>
      <c r="J207" s="43">
        <v>452883062691</v>
      </c>
      <c r="K207" s="44">
        <v>45825</v>
      </c>
      <c r="L207" s="44">
        <v>45832</v>
      </c>
      <c r="M207" s="45" t="s">
        <v>50</v>
      </c>
      <c r="N207" s="45" t="s">
        <v>51</v>
      </c>
      <c r="O207" s="45"/>
      <c r="P207" s="45" t="s">
        <v>52</v>
      </c>
      <c r="Q207" s="44">
        <v>45824</v>
      </c>
      <c r="R207" s="45">
        <v>1</v>
      </c>
      <c r="S207" s="44">
        <v>45826</v>
      </c>
    </row>
    <row r="208" spans="1:19" ht="12.75">
      <c r="A208" s="45"/>
      <c r="B208" s="45"/>
      <c r="C208" s="45"/>
      <c r="D208" s="45"/>
      <c r="E208" s="45"/>
      <c r="F208" s="45"/>
      <c r="G208" s="45"/>
      <c r="H208" s="43"/>
      <c r="I208" s="45"/>
      <c r="J208" s="43">
        <v>452883659582</v>
      </c>
      <c r="K208" s="44">
        <v>45825</v>
      </c>
      <c r="L208" s="44">
        <v>45832</v>
      </c>
      <c r="M208" s="45" t="s">
        <v>50</v>
      </c>
      <c r="N208" s="45" t="s">
        <v>51</v>
      </c>
      <c r="O208" s="45"/>
      <c r="P208" s="45" t="s">
        <v>52</v>
      </c>
      <c r="Q208" s="44">
        <v>45824</v>
      </c>
      <c r="R208" s="45">
        <v>2</v>
      </c>
      <c r="S208" s="44">
        <v>45826</v>
      </c>
    </row>
    <row r="209" spans="1:19" ht="12.75">
      <c r="A209" s="45"/>
      <c r="B209" s="45"/>
      <c r="C209" s="45"/>
      <c r="D209" s="45"/>
      <c r="E209" s="45"/>
      <c r="F209" s="45"/>
      <c r="G209" s="45"/>
      <c r="H209" s="43"/>
      <c r="I209" s="45"/>
      <c r="J209" s="43">
        <v>452884014566</v>
      </c>
      <c r="K209" s="44">
        <v>45825</v>
      </c>
      <c r="L209" s="44">
        <v>45832</v>
      </c>
      <c r="M209" s="45" t="s">
        <v>50</v>
      </c>
      <c r="N209" s="45" t="s">
        <v>51</v>
      </c>
      <c r="O209" s="45"/>
      <c r="P209" s="45" t="s">
        <v>52</v>
      </c>
      <c r="Q209" s="44">
        <v>45824</v>
      </c>
      <c r="R209" s="45">
        <v>5</v>
      </c>
      <c r="S209" s="44">
        <v>45826</v>
      </c>
    </row>
    <row r="210" spans="1:19" ht="12.75">
      <c r="A210" s="45"/>
      <c r="B210" s="45"/>
      <c r="C210" s="45"/>
      <c r="D210" s="45"/>
      <c r="E210" s="45"/>
      <c r="F210" s="45"/>
      <c r="G210" s="45"/>
      <c r="H210" s="43"/>
      <c r="I210" s="45"/>
      <c r="J210" s="43">
        <v>452885455014</v>
      </c>
      <c r="K210" s="44">
        <v>45825</v>
      </c>
      <c r="L210" s="44">
        <v>45832</v>
      </c>
      <c r="M210" s="45" t="s">
        <v>50</v>
      </c>
      <c r="N210" s="45" t="s">
        <v>51</v>
      </c>
      <c r="O210" s="45"/>
      <c r="P210" s="45" t="s">
        <v>52</v>
      </c>
      <c r="Q210" s="44">
        <v>45824</v>
      </c>
      <c r="R210" s="45">
        <v>1</v>
      </c>
      <c r="S210" s="44">
        <v>45826</v>
      </c>
    </row>
    <row r="211" spans="1:19" ht="12.75">
      <c r="A211" s="45"/>
      <c r="B211" s="45"/>
      <c r="C211" s="45"/>
      <c r="D211" s="45"/>
      <c r="E211" s="45"/>
      <c r="F211" s="45"/>
      <c r="G211" s="45"/>
      <c r="H211" s="43"/>
      <c r="I211" s="45"/>
      <c r="J211" s="43">
        <v>452886840225</v>
      </c>
      <c r="K211" s="44">
        <v>45825</v>
      </c>
      <c r="L211" s="44">
        <v>45832</v>
      </c>
      <c r="M211" s="45" t="s">
        <v>50</v>
      </c>
      <c r="N211" s="45" t="s">
        <v>51</v>
      </c>
      <c r="O211" s="45"/>
      <c r="P211" s="45" t="s">
        <v>52</v>
      </c>
      <c r="Q211" s="44">
        <v>45824</v>
      </c>
      <c r="R211" s="45">
        <v>1</v>
      </c>
      <c r="S211" s="44">
        <v>45826</v>
      </c>
    </row>
    <row r="212" spans="1:19" ht="12.75">
      <c r="A212" s="45"/>
      <c r="B212" s="45"/>
      <c r="C212" s="45"/>
      <c r="D212" s="45"/>
      <c r="E212" s="45"/>
      <c r="F212" s="45"/>
      <c r="G212" s="45"/>
      <c r="H212" s="43"/>
      <c r="I212" s="45"/>
      <c r="J212" s="43">
        <v>452887033412</v>
      </c>
      <c r="K212" s="44">
        <v>45825</v>
      </c>
      <c r="L212" s="44">
        <v>45832</v>
      </c>
      <c r="M212" s="45" t="s">
        <v>50</v>
      </c>
      <c r="N212" s="45" t="s">
        <v>51</v>
      </c>
      <c r="O212" s="45"/>
      <c r="P212" s="45" t="s">
        <v>52</v>
      </c>
      <c r="Q212" s="44">
        <v>45824</v>
      </c>
      <c r="R212" s="45">
        <v>3</v>
      </c>
      <c r="S212" s="44">
        <v>45826</v>
      </c>
    </row>
    <row r="213" spans="1:19" ht="12.75">
      <c r="A213" s="45"/>
      <c r="B213" s="45"/>
      <c r="C213" s="45"/>
      <c r="D213" s="45"/>
      <c r="E213" s="45"/>
      <c r="F213" s="45"/>
      <c r="G213" s="45"/>
      <c r="H213" s="43"/>
      <c r="I213" s="45"/>
      <c r="J213" s="43">
        <v>452887538870</v>
      </c>
      <c r="K213" s="44">
        <v>45825</v>
      </c>
      <c r="L213" s="44">
        <v>45832</v>
      </c>
      <c r="M213" s="45" t="s">
        <v>50</v>
      </c>
      <c r="N213" s="45" t="s">
        <v>51</v>
      </c>
      <c r="O213" s="45"/>
      <c r="P213" s="45" t="s">
        <v>52</v>
      </c>
      <c r="Q213" s="44">
        <v>45824</v>
      </c>
      <c r="R213" s="45">
        <v>10</v>
      </c>
      <c r="S213" s="44">
        <v>45826</v>
      </c>
    </row>
    <row r="214" spans="1:19" ht="12.75">
      <c r="A214" s="45"/>
      <c r="B214" s="45"/>
      <c r="C214" s="45"/>
      <c r="D214" s="45"/>
      <c r="E214" s="45"/>
      <c r="F214" s="45"/>
      <c r="G214" s="45"/>
      <c r="H214" s="43"/>
      <c r="I214" s="45"/>
      <c r="J214" s="43">
        <v>452888470781</v>
      </c>
      <c r="K214" s="44">
        <v>45825</v>
      </c>
      <c r="L214" s="44">
        <v>45832</v>
      </c>
      <c r="M214" s="45" t="s">
        <v>50</v>
      </c>
      <c r="N214" s="45" t="s">
        <v>51</v>
      </c>
      <c r="O214" s="45"/>
      <c r="P214" s="45" t="s">
        <v>52</v>
      </c>
      <c r="Q214" s="44">
        <v>45824</v>
      </c>
      <c r="R214" s="45">
        <v>1</v>
      </c>
      <c r="S214" s="44">
        <v>45826</v>
      </c>
    </row>
    <row r="215" spans="1:19" ht="12.75">
      <c r="A215" s="45"/>
      <c r="B215" s="45"/>
      <c r="C215" s="45"/>
      <c r="D215" s="45"/>
      <c r="E215" s="45"/>
      <c r="F215" s="45"/>
      <c r="G215" s="45"/>
      <c r="H215" s="43"/>
      <c r="I215" s="45"/>
      <c r="J215" s="43">
        <v>452890794023</v>
      </c>
      <c r="K215" s="44">
        <v>45825</v>
      </c>
      <c r="L215" s="44">
        <v>45832</v>
      </c>
      <c r="M215" s="45" t="s">
        <v>50</v>
      </c>
      <c r="N215" s="45" t="s">
        <v>51</v>
      </c>
      <c r="O215" s="45"/>
      <c r="P215" s="45" t="s">
        <v>52</v>
      </c>
      <c r="Q215" s="44">
        <v>45824</v>
      </c>
      <c r="R215" s="45">
        <v>1</v>
      </c>
      <c r="S215" s="44">
        <v>45826</v>
      </c>
    </row>
    <row r="216" spans="1:19" ht="12.75">
      <c r="A216" s="45"/>
      <c r="B216" s="45"/>
      <c r="C216" s="45"/>
      <c r="D216" s="45"/>
      <c r="E216" s="45"/>
      <c r="F216" s="45"/>
      <c r="G216" s="45"/>
      <c r="H216" s="43"/>
      <c r="I216" s="44" t="s">
        <v>65</v>
      </c>
      <c r="J216" s="43">
        <v>452892261132</v>
      </c>
      <c r="K216" s="44">
        <v>45825</v>
      </c>
      <c r="L216" s="44">
        <v>45832</v>
      </c>
      <c r="M216" s="45" t="s">
        <v>50</v>
      </c>
      <c r="N216" s="45" t="s">
        <v>51</v>
      </c>
      <c r="O216" s="45"/>
      <c r="P216" s="45" t="s">
        <v>52</v>
      </c>
      <c r="Q216" s="44">
        <v>45824</v>
      </c>
      <c r="R216" s="45">
        <v>1</v>
      </c>
      <c r="S216" s="44">
        <v>45826</v>
      </c>
    </row>
    <row r="217" spans="1:19" ht="12.75">
      <c r="A217" s="45"/>
      <c r="B217" s="45"/>
      <c r="C217" s="45"/>
      <c r="D217" s="45"/>
      <c r="E217" s="45"/>
      <c r="F217" s="45"/>
      <c r="G217" s="45"/>
      <c r="H217" s="43"/>
      <c r="I217" s="45"/>
      <c r="J217" s="43">
        <v>452893010230</v>
      </c>
      <c r="K217" s="44">
        <v>45825</v>
      </c>
      <c r="L217" s="44">
        <v>45832</v>
      </c>
      <c r="M217" s="45" t="s">
        <v>50</v>
      </c>
      <c r="N217" s="45" t="s">
        <v>51</v>
      </c>
      <c r="O217" s="45"/>
      <c r="P217" s="45" t="s">
        <v>52</v>
      </c>
      <c r="Q217" s="44">
        <v>45824</v>
      </c>
      <c r="R217" s="45">
        <v>4</v>
      </c>
      <c r="S217" s="44">
        <v>45826</v>
      </c>
    </row>
    <row r="218" spans="1:19" ht="12.75">
      <c r="A218" s="45"/>
      <c r="B218" s="45"/>
      <c r="C218" s="45"/>
      <c r="D218" s="45"/>
      <c r="E218" s="45"/>
      <c r="F218" s="45"/>
      <c r="G218" s="45"/>
      <c r="H218" s="43"/>
      <c r="I218" s="45"/>
      <c r="J218" s="43">
        <v>452893191541</v>
      </c>
      <c r="K218" s="44">
        <v>45825</v>
      </c>
      <c r="L218" s="44">
        <v>45832</v>
      </c>
      <c r="M218" s="45" t="s">
        <v>50</v>
      </c>
      <c r="N218" s="45" t="s">
        <v>51</v>
      </c>
      <c r="O218" s="45"/>
      <c r="P218" s="45" t="s">
        <v>52</v>
      </c>
      <c r="Q218" s="44">
        <v>45824</v>
      </c>
      <c r="R218" s="45">
        <v>3</v>
      </c>
      <c r="S218" s="44">
        <v>45826</v>
      </c>
    </row>
    <row r="219" spans="1:19" ht="12.75">
      <c r="A219" s="45"/>
      <c r="B219" s="45"/>
      <c r="C219" s="45"/>
      <c r="D219" s="45"/>
      <c r="E219" s="45"/>
      <c r="F219" s="45"/>
      <c r="G219" s="45"/>
      <c r="H219" s="43"/>
      <c r="I219" s="45"/>
      <c r="J219" s="43">
        <v>452893711589</v>
      </c>
      <c r="K219" s="44">
        <v>45825</v>
      </c>
      <c r="L219" s="44">
        <v>45832</v>
      </c>
      <c r="M219" s="45" t="s">
        <v>50</v>
      </c>
      <c r="N219" s="45" t="s">
        <v>51</v>
      </c>
      <c r="O219" s="45"/>
      <c r="P219" s="45" t="s">
        <v>52</v>
      </c>
      <c r="Q219" s="44">
        <v>45824</v>
      </c>
      <c r="R219" s="45">
        <v>4</v>
      </c>
      <c r="S219" s="44">
        <v>45826</v>
      </c>
    </row>
    <row r="220" spans="1:19" ht="12.75">
      <c r="A220" s="45"/>
      <c r="B220" s="45"/>
      <c r="C220" s="45"/>
      <c r="D220" s="45"/>
      <c r="E220" s="45"/>
      <c r="F220" s="45"/>
      <c r="G220" s="45"/>
      <c r="H220" s="43"/>
      <c r="I220" s="45"/>
      <c r="J220" s="43">
        <v>452893711674</v>
      </c>
      <c r="K220" s="44">
        <v>45825</v>
      </c>
      <c r="L220" s="44">
        <v>45832</v>
      </c>
      <c r="M220" s="45" t="s">
        <v>50</v>
      </c>
      <c r="N220" s="45" t="s">
        <v>51</v>
      </c>
      <c r="O220" s="45"/>
      <c r="P220" s="45" t="s">
        <v>52</v>
      </c>
      <c r="Q220" s="44">
        <v>45824</v>
      </c>
      <c r="R220" s="45">
        <v>6</v>
      </c>
      <c r="S220" s="44">
        <v>45826</v>
      </c>
    </row>
    <row r="221" spans="1:19" ht="12.75">
      <c r="A221" s="45"/>
      <c r="B221" s="45"/>
      <c r="C221" s="45"/>
      <c r="D221" s="45"/>
      <c r="E221" s="45"/>
      <c r="F221" s="45"/>
      <c r="G221" s="45"/>
      <c r="H221" s="43"/>
      <c r="I221" s="45"/>
      <c r="J221" s="43">
        <v>452897061954</v>
      </c>
      <c r="K221" s="44">
        <v>45825</v>
      </c>
      <c r="L221" s="44">
        <v>45832</v>
      </c>
      <c r="M221" s="45" t="s">
        <v>50</v>
      </c>
      <c r="N221" s="45" t="s">
        <v>51</v>
      </c>
      <c r="O221" s="45"/>
      <c r="P221" s="45" t="s">
        <v>52</v>
      </c>
      <c r="Q221" s="44">
        <v>45824</v>
      </c>
      <c r="R221" s="45">
        <v>2</v>
      </c>
      <c r="S221" s="44">
        <v>45826</v>
      </c>
    </row>
    <row r="222" spans="1:19" ht="12.75">
      <c r="A222" s="45"/>
      <c r="B222" s="45"/>
      <c r="C222" s="45"/>
      <c r="D222" s="45"/>
      <c r="E222" s="45"/>
      <c r="F222" s="45"/>
      <c r="G222" s="45"/>
      <c r="H222" s="43"/>
      <c r="I222" s="45"/>
      <c r="J222" s="43">
        <v>452897736645</v>
      </c>
      <c r="K222" s="44">
        <v>45825</v>
      </c>
      <c r="L222" s="44">
        <v>45832</v>
      </c>
      <c r="M222" s="45" t="s">
        <v>50</v>
      </c>
      <c r="N222" s="45" t="s">
        <v>51</v>
      </c>
      <c r="O222" s="45"/>
      <c r="P222" s="45" t="s">
        <v>52</v>
      </c>
      <c r="Q222" s="44">
        <v>45824</v>
      </c>
      <c r="R222" s="45">
        <v>3</v>
      </c>
      <c r="S222" s="44">
        <v>45826</v>
      </c>
    </row>
    <row r="223" spans="1:19" ht="12.75">
      <c r="A223" s="45"/>
      <c r="B223" s="45"/>
      <c r="C223" s="45"/>
      <c r="D223" s="45"/>
      <c r="E223" s="45"/>
      <c r="F223" s="45"/>
      <c r="G223" s="45"/>
      <c r="H223" s="43"/>
      <c r="I223" s="45"/>
      <c r="J223" s="43">
        <v>452898265551</v>
      </c>
      <c r="K223" s="44">
        <v>45825</v>
      </c>
      <c r="L223" s="44">
        <v>45832</v>
      </c>
      <c r="M223" s="45" t="s">
        <v>50</v>
      </c>
      <c r="N223" s="45" t="s">
        <v>51</v>
      </c>
      <c r="O223" s="45"/>
      <c r="P223" s="45" t="s">
        <v>52</v>
      </c>
      <c r="Q223" s="44">
        <v>45824</v>
      </c>
      <c r="R223" s="45">
        <v>4</v>
      </c>
      <c r="S223" s="44">
        <v>45826</v>
      </c>
    </row>
    <row r="224" spans="1:19" ht="12.75">
      <c r="A224" s="45"/>
      <c r="B224" s="45"/>
      <c r="C224" s="45"/>
      <c r="D224" s="45"/>
      <c r="E224" s="45"/>
      <c r="F224" s="45"/>
      <c r="G224" s="45"/>
      <c r="H224" s="43"/>
      <c r="I224" s="45"/>
      <c r="J224" s="43">
        <v>452901003671</v>
      </c>
      <c r="K224" s="44">
        <v>45825</v>
      </c>
      <c r="L224" s="44">
        <v>45832</v>
      </c>
      <c r="M224" s="45" t="s">
        <v>50</v>
      </c>
      <c r="N224" s="45" t="s">
        <v>51</v>
      </c>
      <c r="O224" s="45"/>
      <c r="P224" s="45" t="s">
        <v>52</v>
      </c>
      <c r="Q224" s="44">
        <v>45824</v>
      </c>
      <c r="R224" s="45">
        <v>1</v>
      </c>
      <c r="S224" s="44">
        <v>45826</v>
      </c>
    </row>
    <row r="225" spans="1:19" ht="12.75">
      <c r="A225" s="45"/>
      <c r="B225" s="45"/>
      <c r="C225" s="45"/>
      <c r="D225" s="45"/>
      <c r="E225" s="45"/>
      <c r="F225" s="45"/>
      <c r="G225" s="45"/>
      <c r="H225" s="43"/>
      <c r="I225" s="45"/>
      <c r="J225" s="43">
        <v>452901487847</v>
      </c>
      <c r="K225" s="44">
        <v>45825</v>
      </c>
      <c r="L225" s="44">
        <v>45832</v>
      </c>
      <c r="M225" s="45" t="s">
        <v>50</v>
      </c>
      <c r="N225" s="45" t="s">
        <v>51</v>
      </c>
      <c r="O225" s="45"/>
      <c r="P225" s="45" t="s">
        <v>52</v>
      </c>
      <c r="Q225" s="44">
        <v>45824</v>
      </c>
      <c r="R225" s="45">
        <v>9</v>
      </c>
      <c r="S225" s="44">
        <v>45826</v>
      </c>
    </row>
    <row r="226" spans="1:19" ht="12.75">
      <c r="A226" s="45"/>
      <c r="B226" s="45"/>
      <c r="C226" s="45"/>
      <c r="D226" s="45"/>
      <c r="E226" s="45"/>
      <c r="F226" s="45"/>
      <c r="G226" s="45"/>
      <c r="H226" s="43"/>
      <c r="I226" s="45"/>
      <c r="J226" s="43">
        <v>452901622156</v>
      </c>
      <c r="K226" s="44">
        <v>45825</v>
      </c>
      <c r="L226" s="44">
        <v>45832</v>
      </c>
      <c r="M226" s="45" t="s">
        <v>50</v>
      </c>
      <c r="N226" s="45" t="s">
        <v>51</v>
      </c>
      <c r="O226" s="45"/>
      <c r="P226" s="45" t="s">
        <v>52</v>
      </c>
      <c r="Q226" s="44">
        <v>45824</v>
      </c>
      <c r="R226" s="45">
        <v>3</v>
      </c>
      <c r="S226" s="44">
        <v>45826</v>
      </c>
    </row>
    <row r="227" spans="1:19" ht="12.75">
      <c r="A227" s="45"/>
      <c r="B227" s="45"/>
      <c r="C227" s="45"/>
      <c r="D227" s="45"/>
      <c r="E227" s="45"/>
      <c r="F227" s="45"/>
      <c r="G227" s="45"/>
      <c r="H227" s="43"/>
      <c r="I227" s="45"/>
      <c r="J227" s="43">
        <v>452902222311</v>
      </c>
      <c r="K227" s="44">
        <v>45825</v>
      </c>
      <c r="L227" s="44">
        <v>45832</v>
      </c>
      <c r="M227" s="45" t="s">
        <v>50</v>
      </c>
      <c r="N227" s="45" t="s">
        <v>51</v>
      </c>
      <c r="O227" s="45"/>
      <c r="P227" s="45" t="s">
        <v>52</v>
      </c>
      <c r="Q227" s="44">
        <v>45824</v>
      </c>
      <c r="R227" s="45">
        <v>3</v>
      </c>
      <c r="S227" s="44">
        <v>45826</v>
      </c>
    </row>
    <row r="228" spans="1:19" ht="12.75">
      <c r="A228" s="45"/>
      <c r="B228" s="45"/>
      <c r="C228" s="45"/>
      <c r="D228" s="45"/>
      <c r="E228" s="45"/>
      <c r="F228" s="45"/>
      <c r="G228" s="45"/>
      <c r="H228" s="43"/>
      <c r="I228" s="45"/>
      <c r="J228" s="43">
        <v>452902798117</v>
      </c>
      <c r="K228" s="44">
        <v>45825</v>
      </c>
      <c r="L228" s="44">
        <v>45832</v>
      </c>
      <c r="M228" s="45" t="s">
        <v>50</v>
      </c>
      <c r="N228" s="45" t="s">
        <v>51</v>
      </c>
      <c r="O228" s="45"/>
      <c r="P228" s="45" t="s">
        <v>52</v>
      </c>
      <c r="Q228" s="44">
        <v>45824</v>
      </c>
      <c r="R228" s="45">
        <v>6</v>
      </c>
      <c r="S228" s="44">
        <v>45826</v>
      </c>
    </row>
    <row r="229" spans="1:19" ht="12.75">
      <c r="A229" s="45"/>
      <c r="B229" s="45"/>
      <c r="C229" s="45"/>
      <c r="D229" s="45"/>
      <c r="E229" s="45"/>
      <c r="F229" s="45"/>
      <c r="G229" s="45"/>
      <c r="H229" s="43"/>
      <c r="I229" s="45"/>
      <c r="J229" s="43">
        <v>452902914427</v>
      </c>
      <c r="K229" s="44">
        <v>45825</v>
      </c>
      <c r="L229" s="44">
        <v>45832</v>
      </c>
      <c r="M229" s="45" t="s">
        <v>50</v>
      </c>
      <c r="N229" s="45" t="s">
        <v>51</v>
      </c>
      <c r="O229" s="45"/>
      <c r="P229" s="45" t="s">
        <v>52</v>
      </c>
      <c r="Q229" s="44">
        <v>45824</v>
      </c>
      <c r="R229" s="45">
        <v>3</v>
      </c>
      <c r="S229" s="44">
        <v>45826</v>
      </c>
    </row>
    <row r="230" spans="1:19" ht="12.75">
      <c r="A230" s="45"/>
      <c r="B230" s="45"/>
      <c r="C230" s="45"/>
      <c r="D230" s="45"/>
      <c r="E230" s="45"/>
      <c r="F230" s="45"/>
      <c r="G230" s="45"/>
      <c r="H230" s="43"/>
      <c r="I230" s="45"/>
      <c r="J230" s="43">
        <v>452902914946</v>
      </c>
      <c r="K230" s="44">
        <v>45825</v>
      </c>
      <c r="L230" s="44">
        <v>45832</v>
      </c>
      <c r="M230" s="45" t="s">
        <v>50</v>
      </c>
      <c r="N230" s="45" t="s">
        <v>51</v>
      </c>
      <c r="O230" s="45"/>
      <c r="P230" s="45" t="s">
        <v>52</v>
      </c>
      <c r="Q230" s="44">
        <v>45824</v>
      </c>
      <c r="R230" s="45">
        <v>5</v>
      </c>
      <c r="S230" s="44">
        <v>45826</v>
      </c>
    </row>
    <row r="231" spans="1:19" ht="12.75">
      <c r="A231" s="45"/>
      <c r="B231" s="45"/>
      <c r="C231" s="45"/>
      <c r="D231" s="45"/>
      <c r="E231" s="45"/>
      <c r="F231" s="45"/>
      <c r="G231" s="45"/>
      <c r="H231" s="43"/>
      <c r="I231" s="45"/>
      <c r="J231" s="43">
        <v>452903297077</v>
      </c>
      <c r="K231" s="44">
        <v>45825</v>
      </c>
      <c r="L231" s="44">
        <v>45832</v>
      </c>
      <c r="M231" s="45" t="s">
        <v>50</v>
      </c>
      <c r="N231" s="45" t="s">
        <v>51</v>
      </c>
      <c r="O231" s="45"/>
      <c r="P231" s="45" t="s">
        <v>52</v>
      </c>
      <c r="Q231" s="44">
        <v>45824</v>
      </c>
      <c r="R231" s="45">
        <v>7</v>
      </c>
      <c r="S231" s="44">
        <v>45826</v>
      </c>
    </row>
    <row r="232" spans="1:19" ht="12.75">
      <c r="A232" s="45"/>
      <c r="B232" s="45"/>
      <c r="C232" s="45"/>
      <c r="D232" s="45"/>
      <c r="E232" s="45"/>
      <c r="F232" s="45"/>
      <c r="G232" s="45"/>
      <c r="H232" s="43"/>
      <c r="I232" s="45"/>
      <c r="J232" s="43">
        <v>452903298624</v>
      </c>
      <c r="K232" s="44">
        <v>45825</v>
      </c>
      <c r="L232" s="44">
        <v>45832</v>
      </c>
      <c r="M232" s="45" t="s">
        <v>50</v>
      </c>
      <c r="N232" s="45" t="s">
        <v>51</v>
      </c>
      <c r="O232" s="45"/>
      <c r="P232" s="45" t="s">
        <v>52</v>
      </c>
      <c r="Q232" s="44">
        <v>45824</v>
      </c>
      <c r="R232" s="45">
        <v>7</v>
      </c>
      <c r="S232" s="44">
        <v>45826</v>
      </c>
    </row>
    <row r="233" spans="1:19" ht="12.75">
      <c r="A233" s="45"/>
      <c r="B233" s="45"/>
      <c r="C233" s="45"/>
      <c r="D233" s="45"/>
      <c r="E233" s="45"/>
      <c r="F233" s="45"/>
      <c r="G233" s="45"/>
      <c r="H233" s="43"/>
      <c r="I233" s="45"/>
      <c r="J233" s="43">
        <v>452903872795</v>
      </c>
      <c r="K233" s="44">
        <v>45825</v>
      </c>
      <c r="L233" s="44">
        <v>45832</v>
      </c>
      <c r="M233" s="45" t="s">
        <v>50</v>
      </c>
      <c r="N233" s="45" t="s">
        <v>51</v>
      </c>
      <c r="O233" s="45"/>
      <c r="P233" s="45" t="s">
        <v>52</v>
      </c>
      <c r="Q233" s="44">
        <v>45824</v>
      </c>
      <c r="R233" s="45">
        <v>4</v>
      </c>
      <c r="S233" s="44">
        <v>45826</v>
      </c>
    </row>
    <row r="234" spans="1:19" ht="12.75">
      <c r="A234" s="45"/>
      <c r="B234" s="45"/>
      <c r="C234" s="45"/>
      <c r="D234" s="45"/>
      <c r="E234" s="45"/>
      <c r="F234" s="45"/>
      <c r="G234" s="45"/>
      <c r="H234" s="43"/>
      <c r="I234" s="45"/>
      <c r="J234" s="43">
        <v>452903873171</v>
      </c>
      <c r="K234" s="44">
        <v>45825</v>
      </c>
      <c r="L234" s="44">
        <v>45832</v>
      </c>
      <c r="M234" s="45" t="s">
        <v>50</v>
      </c>
      <c r="N234" s="45" t="s">
        <v>51</v>
      </c>
      <c r="O234" s="45"/>
      <c r="P234" s="45" t="s">
        <v>52</v>
      </c>
      <c r="Q234" s="44">
        <v>45824</v>
      </c>
      <c r="R234" s="45">
        <v>6</v>
      </c>
      <c r="S234" s="44">
        <v>45826</v>
      </c>
    </row>
    <row r="235" spans="1:19" ht="12.75">
      <c r="A235" s="45"/>
      <c r="B235" s="45"/>
      <c r="C235" s="45"/>
      <c r="D235" s="45"/>
      <c r="E235" s="45"/>
      <c r="F235" s="45"/>
      <c r="G235" s="45"/>
      <c r="H235" s="43"/>
      <c r="I235" s="44" t="s">
        <v>57</v>
      </c>
      <c r="J235" s="43">
        <v>452043834613</v>
      </c>
      <c r="K235" s="44">
        <v>45825</v>
      </c>
      <c r="L235" s="44">
        <v>45832</v>
      </c>
      <c r="M235" s="45" t="s">
        <v>50</v>
      </c>
      <c r="N235" s="45" t="s">
        <v>51</v>
      </c>
      <c r="O235" s="45"/>
      <c r="P235" s="45" t="s">
        <v>52</v>
      </c>
      <c r="Q235" s="44">
        <v>45824</v>
      </c>
      <c r="R235" s="45">
        <v>1</v>
      </c>
      <c r="S235" s="44">
        <v>45826</v>
      </c>
    </row>
    <row r="236" spans="1:19" ht="12.75">
      <c r="A236" s="45"/>
      <c r="B236" s="45"/>
      <c r="C236" s="45"/>
      <c r="D236" s="45"/>
      <c r="E236" s="45"/>
      <c r="F236" s="45"/>
      <c r="G236" s="45"/>
      <c r="H236" s="43"/>
      <c r="I236" s="45"/>
      <c r="J236" s="43">
        <v>452045547643</v>
      </c>
      <c r="K236" s="44">
        <v>45825</v>
      </c>
      <c r="L236" s="44">
        <v>45832</v>
      </c>
      <c r="M236" s="45" t="s">
        <v>50</v>
      </c>
      <c r="N236" s="45" t="s">
        <v>51</v>
      </c>
      <c r="O236" s="45"/>
      <c r="P236" s="45" t="s">
        <v>52</v>
      </c>
      <c r="Q236" s="44">
        <v>45824</v>
      </c>
      <c r="R236" s="45">
        <v>1</v>
      </c>
      <c r="S236" s="44">
        <v>45826</v>
      </c>
    </row>
    <row r="237" spans="1:19" ht="12.75">
      <c r="A237" s="45"/>
      <c r="B237" s="45"/>
      <c r="C237" s="45"/>
      <c r="D237" s="45"/>
      <c r="E237" s="45"/>
      <c r="F237" s="45"/>
      <c r="G237" s="45"/>
      <c r="H237" s="43"/>
      <c r="I237" s="45"/>
      <c r="J237" s="43">
        <v>452048141508</v>
      </c>
      <c r="K237" s="44">
        <v>45825</v>
      </c>
      <c r="L237" s="44">
        <v>45832</v>
      </c>
      <c r="M237" s="45" t="s">
        <v>50</v>
      </c>
      <c r="N237" s="45" t="s">
        <v>51</v>
      </c>
      <c r="O237" s="45"/>
      <c r="P237" s="45" t="s">
        <v>52</v>
      </c>
      <c r="Q237" s="44">
        <v>45824</v>
      </c>
      <c r="R237" s="45">
        <v>1</v>
      </c>
      <c r="S237" s="44">
        <v>45826</v>
      </c>
    </row>
    <row r="238" spans="1:19" ht="12.75">
      <c r="A238" s="45"/>
      <c r="B238" s="45"/>
      <c r="C238" s="45"/>
      <c r="D238" s="45"/>
      <c r="E238" s="45"/>
      <c r="F238" s="45"/>
      <c r="G238" s="45"/>
      <c r="H238" s="43"/>
      <c r="I238" s="45"/>
      <c r="J238" s="43">
        <v>452051223910</v>
      </c>
      <c r="K238" s="44">
        <v>45825</v>
      </c>
      <c r="L238" s="44">
        <v>45832</v>
      </c>
      <c r="M238" s="45" t="s">
        <v>50</v>
      </c>
      <c r="N238" s="45" t="s">
        <v>51</v>
      </c>
      <c r="O238" s="45"/>
      <c r="P238" s="45" t="s">
        <v>52</v>
      </c>
      <c r="Q238" s="44">
        <v>45824</v>
      </c>
      <c r="R238" s="45">
        <v>1</v>
      </c>
      <c r="S238" s="44">
        <v>45826</v>
      </c>
    </row>
    <row r="239" spans="1:19" ht="12.75">
      <c r="A239" s="45"/>
      <c r="B239" s="45"/>
      <c r="C239" s="45"/>
      <c r="D239" s="45"/>
      <c r="E239" s="45"/>
      <c r="F239" s="45"/>
      <c r="G239" s="45"/>
      <c r="H239" s="43"/>
      <c r="I239" s="45"/>
      <c r="J239" s="43">
        <v>452052829747</v>
      </c>
      <c r="K239" s="44">
        <v>45825</v>
      </c>
      <c r="L239" s="44">
        <v>45832</v>
      </c>
      <c r="M239" s="45" t="s">
        <v>50</v>
      </c>
      <c r="N239" s="45" t="s">
        <v>51</v>
      </c>
      <c r="O239" s="45"/>
      <c r="P239" s="45" t="s">
        <v>52</v>
      </c>
      <c r="Q239" s="44">
        <v>45824</v>
      </c>
      <c r="R239" s="45">
        <v>1</v>
      </c>
      <c r="S239" s="44">
        <v>45826</v>
      </c>
    </row>
    <row r="240" spans="1:19" ht="12.75">
      <c r="A240" s="45"/>
      <c r="B240" s="45"/>
      <c r="C240" s="45"/>
      <c r="D240" s="45"/>
      <c r="E240" s="45"/>
      <c r="F240" s="45"/>
      <c r="G240" s="45"/>
      <c r="H240" s="43"/>
      <c r="I240" s="45"/>
      <c r="J240" s="43">
        <v>452052906569</v>
      </c>
      <c r="K240" s="44">
        <v>45825</v>
      </c>
      <c r="L240" s="44">
        <v>45832</v>
      </c>
      <c r="M240" s="45" t="s">
        <v>50</v>
      </c>
      <c r="N240" s="45" t="s">
        <v>51</v>
      </c>
      <c r="O240" s="45"/>
      <c r="P240" s="45" t="s">
        <v>52</v>
      </c>
      <c r="Q240" s="44">
        <v>45824</v>
      </c>
      <c r="R240" s="45">
        <v>1</v>
      </c>
      <c r="S240" s="44">
        <v>45826</v>
      </c>
    </row>
    <row r="241" spans="1:19" ht="12.75">
      <c r="A241" s="45"/>
      <c r="B241" s="45"/>
      <c r="C241" s="45"/>
      <c r="D241" s="45"/>
      <c r="E241" s="45"/>
      <c r="F241" s="45"/>
      <c r="G241" s="45"/>
      <c r="H241" s="43"/>
      <c r="I241" s="45"/>
      <c r="J241" s="43">
        <v>452057107390</v>
      </c>
      <c r="K241" s="44">
        <v>45825</v>
      </c>
      <c r="L241" s="44">
        <v>45832</v>
      </c>
      <c r="M241" s="45" t="s">
        <v>50</v>
      </c>
      <c r="N241" s="45" t="s">
        <v>51</v>
      </c>
      <c r="O241" s="45"/>
      <c r="P241" s="45" t="s">
        <v>52</v>
      </c>
      <c r="Q241" s="44">
        <v>45824</v>
      </c>
      <c r="R241" s="45">
        <v>1</v>
      </c>
      <c r="S241" s="44">
        <v>45826</v>
      </c>
    </row>
    <row r="242" spans="1:19" ht="12.75">
      <c r="A242" s="45"/>
      <c r="B242" s="45"/>
      <c r="C242" s="45"/>
      <c r="D242" s="45"/>
      <c r="E242" s="45"/>
      <c r="F242" s="45"/>
      <c r="G242" s="45"/>
      <c r="H242" s="43"/>
      <c r="I242" s="45"/>
      <c r="J242" s="43">
        <v>452057947068</v>
      </c>
      <c r="K242" s="44">
        <v>45825</v>
      </c>
      <c r="L242" s="44">
        <v>45832</v>
      </c>
      <c r="M242" s="45" t="s">
        <v>50</v>
      </c>
      <c r="N242" s="45" t="s">
        <v>51</v>
      </c>
      <c r="O242" s="45"/>
      <c r="P242" s="45" t="s">
        <v>52</v>
      </c>
      <c r="Q242" s="44">
        <v>45824</v>
      </c>
      <c r="R242" s="45">
        <v>1</v>
      </c>
      <c r="S242" s="44">
        <v>45826</v>
      </c>
    </row>
    <row r="243" spans="1:19" ht="12.75">
      <c r="A243" s="45"/>
      <c r="B243" s="45"/>
      <c r="C243" s="45"/>
      <c r="D243" s="45"/>
      <c r="E243" s="45"/>
      <c r="F243" s="45"/>
      <c r="G243" s="45"/>
      <c r="H243" s="43"/>
      <c r="I243" s="45"/>
      <c r="J243" s="43">
        <v>452058797576</v>
      </c>
      <c r="K243" s="44">
        <v>45825</v>
      </c>
      <c r="L243" s="44">
        <v>45832</v>
      </c>
      <c r="M243" s="45" t="s">
        <v>50</v>
      </c>
      <c r="N243" s="45" t="s">
        <v>51</v>
      </c>
      <c r="O243" s="45"/>
      <c r="P243" s="45" t="s">
        <v>52</v>
      </c>
      <c r="Q243" s="44">
        <v>45824</v>
      </c>
      <c r="R243" s="45">
        <v>1</v>
      </c>
      <c r="S243" s="44">
        <v>45826</v>
      </c>
    </row>
    <row r="244" spans="1:19" ht="12.75">
      <c r="A244" s="45"/>
      <c r="B244" s="45"/>
      <c r="C244" s="45"/>
      <c r="D244" s="45"/>
      <c r="E244" s="45"/>
      <c r="F244" s="45"/>
      <c r="G244" s="45"/>
      <c r="H244" s="43"/>
      <c r="I244" s="45"/>
      <c r="J244" s="43">
        <v>452059368323</v>
      </c>
      <c r="K244" s="44">
        <v>45825</v>
      </c>
      <c r="L244" s="44">
        <v>45832</v>
      </c>
      <c r="M244" s="45" t="s">
        <v>50</v>
      </c>
      <c r="N244" s="45" t="s">
        <v>51</v>
      </c>
      <c r="O244" s="45"/>
      <c r="P244" s="45" t="s">
        <v>52</v>
      </c>
      <c r="Q244" s="44">
        <v>45824</v>
      </c>
      <c r="R244" s="45">
        <v>1</v>
      </c>
      <c r="S244" s="44">
        <v>45826</v>
      </c>
    </row>
    <row r="245" spans="1:19" ht="12.75">
      <c r="A245" s="45"/>
      <c r="B245" s="45"/>
      <c r="C245" s="45"/>
      <c r="D245" s="45"/>
      <c r="E245" s="45"/>
      <c r="F245" s="45"/>
      <c r="G245" s="45"/>
      <c r="H245" s="43"/>
      <c r="I245" s="45"/>
      <c r="J245" s="43">
        <v>452063949367</v>
      </c>
      <c r="K245" s="44">
        <v>45825</v>
      </c>
      <c r="L245" s="44">
        <v>45832</v>
      </c>
      <c r="M245" s="45" t="s">
        <v>50</v>
      </c>
      <c r="N245" s="45" t="s">
        <v>51</v>
      </c>
      <c r="O245" s="45"/>
      <c r="P245" s="45" t="s">
        <v>52</v>
      </c>
      <c r="Q245" s="44">
        <v>45824</v>
      </c>
      <c r="R245" s="45">
        <v>1</v>
      </c>
      <c r="S245" s="44">
        <v>45826</v>
      </c>
    </row>
    <row r="246" spans="1:19" ht="12.75">
      <c r="A246" s="45"/>
      <c r="B246" s="45"/>
      <c r="C246" s="45"/>
      <c r="D246" s="45"/>
      <c r="E246" s="45"/>
      <c r="F246" s="45"/>
      <c r="G246" s="45"/>
      <c r="H246" s="43"/>
      <c r="I246" s="45"/>
      <c r="J246" s="43">
        <v>452064162091</v>
      </c>
      <c r="K246" s="44">
        <v>45825</v>
      </c>
      <c r="L246" s="44">
        <v>45832</v>
      </c>
      <c r="M246" s="45" t="s">
        <v>50</v>
      </c>
      <c r="N246" s="45" t="s">
        <v>51</v>
      </c>
      <c r="O246" s="45"/>
      <c r="P246" s="45" t="s">
        <v>52</v>
      </c>
      <c r="Q246" s="44">
        <v>45824</v>
      </c>
      <c r="R246" s="45">
        <v>1</v>
      </c>
      <c r="S246" s="44">
        <v>45826</v>
      </c>
    </row>
    <row r="247" spans="1:19" ht="12.75">
      <c r="A247" s="45"/>
      <c r="B247" s="45"/>
      <c r="C247" s="45"/>
      <c r="D247" s="45"/>
      <c r="E247" s="45"/>
      <c r="F247" s="45"/>
      <c r="G247" s="45"/>
      <c r="H247" s="43"/>
      <c r="I247" s="45"/>
      <c r="J247" s="43">
        <v>452065075476</v>
      </c>
      <c r="K247" s="44">
        <v>45825</v>
      </c>
      <c r="L247" s="44">
        <v>45832</v>
      </c>
      <c r="M247" s="45" t="s">
        <v>50</v>
      </c>
      <c r="N247" s="45" t="s">
        <v>51</v>
      </c>
      <c r="O247" s="45"/>
      <c r="P247" s="45" t="s">
        <v>52</v>
      </c>
      <c r="Q247" s="44">
        <v>45824</v>
      </c>
      <c r="R247" s="45">
        <v>1</v>
      </c>
      <c r="S247" s="44">
        <v>45826</v>
      </c>
    </row>
    <row r="248" spans="1:19" ht="12.75">
      <c r="A248" s="45"/>
      <c r="B248" s="45"/>
      <c r="C248" s="45"/>
      <c r="D248" s="45"/>
      <c r="E248" s="45"/>
      <c r="F248" s="45"/>
      <c r="G248" s="45"/>
      <c r="H248" s="43"/>
      <c r="I248" s="45"/>
      <c r="J248" s="43">
        <v>452065160070</v>
      </c>
      <c r="K248" s="44">
        <v>45825</v>
      </c>
      <c r="L248" s="44">
        <v>45832</v>
      </c>
      <c r="M248" s="45" t="s">
        <v>50</v>
      </c>
      <c r="N248" s="45" t="s">
        <v>51</v>
      </c>
      <c r="O248" s="45"/>
      <c r="P248" s="45" t="s">
        <v>52</v>
      </c>
      <c r="Q248" s="44">
        <v>45824</v>
      </c>
      <c r="R248" s="45">
        <v>1</v>
      </c>
      <c r="S248" s="44">
        <v>45826</v>
      </c>
    </row>
    <row r="249" spans="1:19" ht="12.75">
      <c r="A249" s="45"/>
      <c r="B249" s="45"/>
      <c r="C249" s="45"/>
      <c r="D249" s="45"/>
      <c r="E249" s="45"/>
      <c r="F249" s="45"/>
      <c r="G249" s="45"/>
      <c r="H249" s="43"/>
      <c r="I249" s="45"/>
      <c r="J249" s="43">
        <v>452090767696</v>
      </c>
      <c r="K249" s="44">
        <v>45825</v>
      </c>
      <c r="L249" s="44">
        <v>45832</v>
      </c>
      <c r="M249" s="45" t="s">
        <v>50</v>
      </c>
      <c r="N249" s="45" t="s">
        <v>51</v>
      </c>
      <c r="O249" s="45"/>
      <c r="P249" s="45" t="s">
        <v>52</v>
      </c>
      <c r="Q249" s="44">
        <v>45824</v>
      </c>
      <c r="R249" s="45">
        <v>1</v>
      </c>
      <c r="S249" s="44">
        <v>45826</v>
      </c>
    </row>
    <row r="250" spans="1:19" ht="12.75">
      <c r="A250" s="45"/>
      <c r="B250" s="45"/>
      <c r="C250" s="45"/>
      <c r="D250" s="45"/>
      <c r="E250" s="45"/>
      <c r="F250" s="45"/>
      <c r="G250" s="45"/>
      <c r="H250" s="43"/>
      <c r="I250" s="45"/>
      <c r="J250" s="43">
        <v>452091918889</v>
      </c>
      <c r="K250" s="44">
        <v>45825</v>
      </c>
      <c r="L250" s="44">
        <v>45832</v>
      </c>
      <c r="M250" s="45" t="s">
        <v>50</v>
      </c>
      <c r="N250" s="45" t="s">
        <v>51</v>
      </c>
      <c r="O250" s="45"/>
      <c r="P250" s="45" t="s">
        <v>52</v>
      </c>
      <c r="Q250" s="44">
        <v>45824</v>
      </c>
      <c r="R250" s="45">
        <v>1</v>
      </c>
      <c r="S250" s="44">
        <v>45826</v>
      </c>
    </row>
    <row r="251" spans="1:19" ht="12.75">
      <c r="A251" s="45"/>
      <c r="B251" s="45"/>
      <c r="C251" s="45"/>
      <c r="D251" s="45"/>
      <c r="E251" s="45"/>
      <c r="F251" s="45"/>
      <c r="G251" s="45"/>
      <c r="H251" s="43"/>
      <c r="I251" s="45"/>
      <c r="J251" s="43">
        <v>452329023254</v>
      </c>
      <c r="K251" s="44">
        <v>45825</v>
      </c>
      <c r="L251" s="44">
        <v>45832</v>
      </c>
      <c r="M251" s="45" t="s">
        <v>50</v>
      </c>
      <c r="N251" s="45" t="s">
        <v>51</v>
      </c>
      <c r="O251" s="45"/>
      <c r="P251" s="45" t="s">
        <v>52</v>
      </c>
      <c r="Q251" s="44">
        <v>45824</v>
      </c>
      <c r="R251" s="45">
        <v>1</v>
      </c>
      <c r="S251" s="44">
        <v>45826</v>
      </c>
    </row>
    <row r="252" spans="1:19" ht="12.75">
      <c r="A252" s="45"/>
      <c r="B252" s="45"/>
      <c r="C252" s="45"/>
      <c r="D252" s="45"/>
      <c r="E252" s="45"/>
      <c r="F252" s="45"/>
      <c r="G252" s="45"/>
      <c r="H252" s="43"/>
      <c r="I252" s="45"/>
      <c r="J252" s="43">
        <v>452329220808</v>
      </c>
      <c r="K252" s="44">
        <v>45825</v>
      </c>
      <c r="L252" s="44">
        <v>45832</v>
      </c>
      <c r="M252" s="45" t="s">
        <v>50</v>
      </c>
      <c r="N252" s="45" t="s">
        <v>51</v>
      </c>
      <c r="O252" s="45"/>
      <c r="P252" s="45" t="s">
        <v>52</v>
      </c>
      <c r="Q252" s="44">
        <v>45824</v>
      </c>
      <c r="R252" s="45">
        <v>1</v>
      </c>
      <c r="S252" s="44">
        <v>45826</v>
      </c>
    </row>
    <row r="253" spans="1:19" ht="12.75">
      <c r="A253" s="45"/>
      <c r="B253" s="45"/>
      <c r="C253" s="45"/>
      <c r="D253" s="45"/>
      <c r="E253" s="45"/>
      <c r="F253" s="45"/>
      <c r="G253" s="45"/>
      <c r="H253" s="43"/>
      <c r="I253" s="45"/>
      <c r="J253" s="43">
        <v>452331134230</v>
      </c>
      <c r="K253" s="44">
        <v>45825</v>
      </c>
      <c r="L253" s="44">
        <v>45832</v>
      </c>
      <c r="M253" s="45" t="s">
        <v>50</v>
      </c>
      <c r="N253" s="45" t="s">
        <v>51</v>
      </c>
      <c r="O253" s="45"/>
      <c r="P253" s="45" t="s">
        <v>52</v>
      </c>
      <c r="Q253" s="44">
        <v>45824</v>
      </c>
      <c r="R253" s="45">
        <v>1</v>
      </c>
      <c r="S253" s="44">
        <v>45826</v>
      </c>
    </row>
    <row r="254" spans="1:19" ht="12.75">
      <c r="A254" s="45"/>
      <c r="B254" s="45"/>
      <c r="C254" s="45"/>
      <c r="D254" s="45"/>
      <c r="E254" s="45"/>
      <c r="F254" s="45"/>
      <c r="G254" s="45"/>
      <c r="H254" s="43"/>
      <c r="I254" s="45"/>
      <c r="J254" s="43">
        <v>452333555853</v>
      </c>
      <c r="K254" s="44">
        <v>45825</v>
      </c>
      <c r="L254" s="44">
        <v>45832</v>
      </c>
      <c r="M254" s="45" t="s">
        <v>50</v>
      </c>
      <c r="N254" s="45" t="s">
        <v>51</v>
      </c>
      <c r="O254" s="45"/>
      <c r="P254" s="45" t="s">
        <v>52</v>
      </c>
      <c r="Q254" s="44">
        <v>45824</v>
      </c>
      <c r="R254" s="45">
        <v>1</v>
      </c>
      <c r="S254" s="44">
        <v>45826</v>
      </c>
    </row>
    <row r="255" spans="1:19" ht="12.75">
      <c r="A255" s="45"/>
      <c r="B255" s="45"/>
      <c r="C255" s="45"/>
      <c r="D255" s="45"/>
      <c r="E255" s="45"/>
      <c r="F255" s="45"/>
      <c r="G255" s="45"/>
      <c r="H255" s="43"/>
      <c r="I255" s="45"/>
      <c r="J255" s="43">
        <v>452334621428</v>
      </c>
      <c r="K255" s="44">
        <v>45825</v>
      </c>
      <c r="L255" s="44">
        <v>45832</v>
      </c>
      <c r="M255" s="45" t="s">
        <v>50</v>
      </c>
      <c r="N255" s="45" t="s">
        <v>51</v>
      </c>
      <c r="O255" s="45"/>
      <c r="P255" s="45" t="s">
        <v>52</v>
      </c>
      <c r="Q255" s="44">
        <v>45824</v>
      </c>
      <c r="R255" s="45">
        <v>1</v>
      </c>
      <c r="S255" s="44">
        <v>45826</v>
      </c>
    </row>
    <row r="256" spans="1:19" ht="12.75">
      <c r="A256" s="45"/>
      <c r="B256" s="45"/>
      <c r="C256" s="45"/>
      <c r="D256" s="45"/>
      <c r="E256" s="45"/>
      <c r="F256" s="45"/>
      <c r="G256" s="45"/>
      <c r="H256" s="43"/>
      <c r="I256" s="45"/>
      <c r="J256" s="43">
        <v>452334899638</v>
      </c>
      <c r="K256" s="44">
        <v>45825</v>
      </c>
      <c r="L256" s="44">
        <v>45832</v>
      </c>
      <c r="M256" s="45" t="s">
        <v>50</v>
      </c>
      <c r="N256" s="45" t="s">
        <v>51</v>
      </c>
      <c r="O256" s="45"/>
      <c r="P256" s="45" t="s">
        <v>52</v>
      </c>
      <c r="Q256" s="44">
        <v>45824</v>
      </c>
      <c r="R256" s="45">
        <v>1</v>
      </c>
      <c r="S256" s="44">
        <v>45826</v>
      </c>
    </row>
    <row r="257" spans="1:19" ht="12.75">
      <c r="A257" s="45"/>
      <c r="B257" s="45"/>
      <c r="C257" s="45"/>
      <c r="D257" s="45"/>
      <c r="E257" s="45"/>
      <c r="F257" s="45"/>
      <c r="G257" s="45"/>
      <c r="H257" s="43"/>
      <c r="I257" s="45"/>
      <c r="J257" s="43">
        <v>452336515351</v>
      </c>
      <c r="K257" s="44">
        <v>45825</v>
      </c>
      <c r="L257" s="44">
        <v>45832</v>
      </c>
      <c r="M257" s="45" t="s">
        <v>50</v>
      </c>
      <c r="N257" s="45" t="s">
        <v>51</v>
      </c>
      <c r="O257" s="45"/>
      <c r="P257" s="45" t="s">
        <v>52</v>
      </c>
      <c r="Q257" s="44">
        <v>45824</v>
      </c>
      <c r="R257" s="45">
        <v>1</v>
      </c>
      <c r="S257" s="44">
        <v>45826</v>
      </c>
    </row>
    <row r="258" spans="1:19" ht="12.75">
      <c r="A258" s="45"/>
      <c r="B258" s="45"/>
      <c r="C258" s="45"/>
      <c r="D258" s="45"/>
      <c r="E258" s="45"/>
      <c r="F258" s="45"/>
      <c r="G258" s="45"/>
      <c r="H258" s="43"/>
      <c r="I258" s="45"/>
      <c r="J258" s="43">
        <v>452337415724</v>
      </c>
      <c r="K258" s="44">
        <v>45825</v>
      </c>
      <c r="L258" s="44">
        <v>45832</v>
      </c>
      <c r="M258" s="45" t="s">
        <v>50</v>
      </c>
      <c r="N258" s="45" t="s">
        <v>51</v>
      </c>
      <c r="O258" s="45"/>
      <c r="P258" s="45" t="s">
        <v>52</v>
      </c>
      <c r="Q258" s="44">
        <v>45824</v>
      </c>
      <c r="R258" s="45">
        <v>1</v>
      </c>
      <c r="S258" s="44">
        <v>45826</v>
      </c>
    </row>
    <row r="259" spans="1:19" ht="12.75">
      <c r="A259" s="45"/>
      <c r="B259" s="45"/>
      <c r="C259" s="45"/>
      <c r="D259" s="45"/>
      <c r="E259" s="45"/>
      <c r="F259" s="45"/>
      <c r="G259" s="45"/>
      <c r="H259" s="43"/>
      <c r="I259" s="45"/>
      <c r="J259" s="43">
        <v>452337503304</v>
      </c>
      <c r="K259" s="44">
        <v>45825</v>
      </c>
      <c r="L259" s="44">
        <v>45832</v>
      </c>
      <c r="M259" s="45" t="s">
        <v>50</v>
      </c>
      <c r="N259" s="45" t="s">
        <v>51</v>
      </c>
      <c r="O259" s="45"/>
      <c r="P259" s="45" t="s">
        <v>52</v>
      </c>
      <c r="Q259" s="44">
        <v>45824</v>
      </c>
      <c r="R259" s="45">
        <v>1</v>
      </c>
      <c r="S259" s="44">
        <v>45826</v>
      </c>
    </row>
    <row r="260" spans="1:19" ht="12.75">
      <c r="A260" s="45"/>
      <c r="B260" s="45"/>
      <c r="C260" s="45"/>
      <c r="D260" s="45"/>
      <c r="E260" s="45"/>
      <c r="F260" s="45"/>
      <c r="G260" s="45"/>
      <c r="H260" s="43"/>
      <c r="I260" s="45"/>
      <c r="J260" s="43">
        <v>452338733738</v>
      </c>
      <c r="K260" s="44">
        <v>45825</v>
      </c>
      <c r="L260" s="44">
        <v>45832</v>
      </c>
      <c r="M260" s="45" t="s">
        <v>50</v>
      </c>
      <c r="N260" s="45" t="s">
        <v>51</v>
      </c>
      <c r="O260" s="45"/>
      <c r="P260" s="45" t="s">
        <v>52</v>
      </c>
      <c r="Q260" s="44">
        <v>45824</v>
      </c>
      <c r="R260" s="45">
        <v>1</v>
      </c>
      <c r="S260" s="44">
        <v>45826</v>
      </c>
    </row>
    <row r="261" spans="1:19" ht="12.75">
      <c r="A261" s="45"/>
      <c r="B261" s="45"/>
      <c r="C261" s="45"/>
      <c r="D261" s="45"/>
      <c r="E261" s="45"/>
      <c r="F261" s="45"/>
      <c r="G261" s="45"/>
      <c r="H261" s="43"/>
      <c r="I261" s="45"/>
      <c r="J261" s="43">
        <v>452339268805</v>
      </c>
      <c r="K261" s="44">
        <v>45825</v>
      </c>
      <c r="L261" s="44">
        <v>45832</v>
      </c>
      <c r="M261" s="45" t="s">
        <v>50</v>
      </c>
      <c r="N261" s="45" t="s">
        <v>51</v>
      </c>
      <c r="O261" s="45"/>
      <c r="P261" s="45" t="s">
        <v>52</v>
      </c>
      <c r="Q261" s="44">
        <v>45824</v>
      </c>
      <c r="R261" s="45">
        <v>1</v>
      </c>
      <c r="S261" s="44">
        <v>45826</v>
      </c>
    </row>
    <row r="262" spans="1:19" ht="12.75">
      <c r="A262" s="45"/>
      <c r="B262" s="45"/>
      <c r="C262" s="45"/>
      <c r="D262" s="45"/>
      <c r="E262" s="45"/>
      <c r="F262" s="45"/>
      <c r="G262" s="45"/>
      <c r="H262" s="43"/>
      <c r="I262" s="45"/>
      <c r="J262" s="43">
        <v>452340224599</v>
      </c>
      <c r="K262" s="44">
        <v>45825</v>
      </c>
      <c r="L262" s="44">
        <v>45832</v>
      </c>
      <c r="M262" s="45" t="s">
        <v>50</v>
      </c>
      <c r="N262" s="45" t="s">
        <v>51</v>
      </c>
      <c r="O262" s="45"/>
      <c r="P262" s="45" t="s">
        <v>52</v>
      </c>
      <c r="Q262" s="44">
        <v>45824</v>
      </c>
      <c r="R262" s="45">
        <v>1</v>
      </c>
      <c r="S262" s="44">
        <v>45826</v>
      </c>
    </row>
    <row r="263" spans="1:19" ht="12.75">
      <c r="A263" s="45"/>
      <c r="B263" s="45"/>
      <c r="C263" s="45"/>
      <c r="D263" s="45"/>
      <c r="E263" s="45"/>
      <c r="F263" s="45"/>
      <c r="G263" s="45"/>
      <c r="H263" s="43"/>
      <c r="I263" s="45"/>
      <c r="J263" s="43">
        <v>452342044538</v>
      </c>
      <c r="K263" s="44">
        <v>45825</v>
      </c>
      <c r="L263" s="44">
        <v>45832</v>
      </c>
      <c r="M263" s="45" t="s">
        <v>50</v>
      </c>
      <c r="N263" s="45" t="s">
        <v>51</v>
      </c>
      <c r="O263" s="45"/>
      <c r="P263" s="45" t="s">
        <v>52</v>
      </c>
      <c r="Q263" s="44">
        <v>45824</v>
      </c>
      <c r="R263" s="45">
        <v>1</v>
      </c>
      <c r="S263" s="44">
        <v>45826</v>
      </c>
    </row>
    <row r="264" spans="1:19" ht="12.75">
      <c r="A264" s="45"/>
      <c r="B264" s="45"/>
      <c r="C264" s="45"/>
      <c r="D264" s="45"/>
      <c r="E264" s="45"/>
      <c r="F264" s="45"/>
      <c r="G264" s="45"/>
      <c r="H264" s="43"/>
      <c r="I264" s="45"/>
      <c r="J264" s="43">
        <v>452342279624</v>
      </c>
      <c r="K264" s="44">
        <v>45825</v>
      </c>
      <c r="L264" s="44">
        <v>45832</v>
      </c>
      <c r="M264" s="45" t="s">
        <v>50</v>
      </c>
      <c r="N264" s="45" t="s">
        <v>51</v>
      </c>
      <c r="O264" s="45"/>
      <c r="P264" s="45" t="s">
        <v>52</v>
      </c>
      <c r="Q264" s="44">
        <v>45824</v>
      </c>
      <c r="R264" s="45">
        <v>1</v>
      </c>
      <c r="S264" s="44">
        <v>45826</v>
      </c>
    </row>
    <row r="265" spans="1:19" ht="12.75">
      <c r="A265" s="45"/>
      <c r="B265" s="45"/>
      <c r="C265" s="45"/>
      <c r="D265" s="45"/>
      <c r="E265" s="45"/>
      <c r="F265" s="45"/>
      <c r="G265" s="45"/>
      <c r="H265" s="43"/>
      <c r="I265" s="45"/>
      <c r="J265" s="43">
        <v>452343218294</v>
      </c>
      <c r="K265" s="44">
        <v>45825</v>
      </c>
      <c r="L265" s="44">
        <v>45832</v>
      </c>
      <c r="M265" s="45" t="s">
        <v>50</v>
      </c>
      <c r="N265" s="45" t="s">
        <v>51</v>
      </c>
      <c r="O265" s="45"/>
      <c r="P265" s="45" t="s">
        <v>52</v>
      </c>
      <c r="Q265" s="44">
        <v>45824</v>
      </c>
      <c r="R265" s="45">
        <v>1</v>
      </c>
      <c r="S265" s="44">
        <v>45826</v>
      </c>
    </row>
    <row r="266" spans="1:19" ht="12.75">
      <c r="A266" s="45"/>
      <c r="B266" s="45"/>
      <c r="C266" s="45"/>
      <c r="D266" s="45"/>
      <c r="E266" s="45"/>
      <c r="F266" s="45"/>
      <c r="G266" s="45"/>
      <c r="H266" s="43"/>
      <c r="I266" s="45"/>
      <c r="J266" s="43">
        <v>452343456868</v>
      </c>
      <c r="K266" s="44">
        <v>45825</v>
      </c>
      <c r="L266" s="44">
        <v>45832</v>
      </c>
      <c r="M266" s="45" t="s">
        <v>50</v>
      </c>
      <c r="N266" s="45" t="s">
        <v>51</v>
      </c>
      <c r="O266" s="45"/>
      <c r="P266" s="45" t="s">
        <v>52</v>
      </c>
      <c r="Q266" s="44">
        <v>45824</v>
      </c>
      <c r="R266" s="45">
        <v>1</v>
      </c>
      <c r="S266" s="44">
        <v>45826</v>
      </c>
    </row>
    <row r="267" spans="1:19" ht="12.75">
      <c r="A267" s="45"/>
      <c r="B267" s="45"/>
      <c r="C267" s="45"/>
      <c r="D267" s="45"/>
      <c r="E267" s="45"/>
      <c r="F267" s="45"/>
      <c r="G267" s="45"/>
      <c r="H267" s="43"/>
      <c r="I267" s="45"/>
      <c r="J267" s="43">
        <v>452345792788</v>
      </c>
      <c r="K267" s="44">
        <v>45825</v>
      </c>
      <c r="L267" s="44">
        <v>45832</v>
      </c>
      <c r="M267" s="45" t="s">
        <v>50</v>
      </c>
      <c r="N267" s="45" t="s">
        <v>51</v>
      </c>
      <c r="O267" s="45"/>
      <c r="P267" s="45" t="s">
        <v>52</v>
      </c>
      <c r="Q267" s="44">
        <v>45824</v>
      </c>
      <c r="R267" s="45">
        <v>1</v>
      </c>
      <c r="S267" s="44">
        <v>45826</v>
      </c>
    </row>
    <row r="268" spans="1:19" ht="12.75">
      <c r="A268" s="45"/>
      <c r="B268" s="45"/>
      <c r="C268" s="45"/>
      <c r="D268" s="45"/>
      <c r="E268" s="45"/>
      <c r="F268" s="45"/>
      <c r="G268" s="45"/>
      <c r="H268" s="43"/>
      <c r="I268" s="45"/>
      <c r="J268" s="43">
        <v>452347475679</v>
      </c>
      <c r="K268" s="44">
        <v>45825</v>
      </c>
      <c r="L268" s="44">
        <v>45832</v>
      </c>
      <c r="M268" s="45" t="s">
        <v>50</v>
      </c>
      <c r="N268" s="45" t="s">
        <v>51</v>
      </c>
      <c r="O268" s="45"/>
      <c r="P268" s="45" t="s">
        <v>52</v>
      </c>
      <c r="Q268" s="44">
        <v>45824</v>
      </c>
      <c r="R268" s="45">
        <v>1</v>
      </c>
      <c r="S268" s="44">
        <v>45826</v>
      </c>
    </row>
    <row r="269" spans="1:19" ht="12.75">
      <c r="A269" s="45"/>
      <c r="B269" s="45" t="s">
        <v>179</v>
      </c>
      <c r="C269" s="45"/>
      <c r="D269" s="45"/>
      <c r="E269" s="45"/>
      <c r="F269" s="45"/>
      <c r="G269" s="45"/>
      <c r="H269" s="43"/>
      <c r="I269" s="45"/>
      <c r="J269" s="45"/>
      <c r="K269" s="45"/>
      <c r="L269" s="45"/>
      <c r="M269" s="45"/>
      <c r="N269" s="45"/>
      <c r="O269" s="45"/>
      <c r="P269" s="45"/>
      <c r="Q269" s="44">
        <v>9210624</v>
      </c>
      <c r="R269" s="45">
        <v>949</v>
      </c>
      <c r="S269" s="44">
        <v>9211026</v>
      </c>
    </row>
    <row r="270" spans="1:19" ht="12.75">
      <c r="A270" s="45"/>
      <c r="B270" s="45" t="s">
        <v>147</v>
      </c>
      <c r="C270" s="45" t="s">
        <v>85</v>
      </c>
      <c r="D270" s="45" t="s">
        <v>140</v>
      </c>
      <c r="E270" s="45" t="s">
        <v>76</v>
      </c>
      <c r="F270" s="45" t="s">
        <v>41</v>
      </c>
      <c r="G270" s="45">
        <v>-14</v>
      </c>
      <c r="H270" s="43"/>
      <c r="I270" s="44" t="s">
        <v>61</v>
      </c>
      <c r="J270" s="43">
        <v>454723450691</v>
      </c>
      <c r="K270" s="44">
        <v>45825</v>
      </c>
      <c r="L270" s="44">
        <v>45832</v>
      </c>
      <c r="M270" s="45" t="s">
        <v>50</v>
      </c>
      <c r="N270" s="45" t="s">
        <v>51</v>
      </c>
      <c r="O270" s="45"/>
      <c r="P270" s="45" t="s">
        <v>52</v>
      </c>
      <c r="Q270" s="44">
        <v>45824</v>
      </c>
      <c r="R270" s="45">
        <v>4</v>
      </c>
      <c r="S270" s="44">
        <v>45826</v>
      </c>
    </row>
    <row r="271" spans="1:19" ht="12.75">
      <c r="A271" s="45"/>
      <c r="B271" s="45"/>
      <c r="C271" s="45"/>
      <c r="D271" s="45"/>
      <c r="E271" s="45"/>
      <c r="F271" s="45"/>
      <c r="G271" s="45"/>
      <c r="H271" s="43"/>
      <c r="I271" s="45"/>
      <c r="J271" s="43">
        <v>454724680701</v>
      </c>
      <c r="K271" s="44">
        <v>45825</v>
      </c>
      <c r="L271" s="44">
        <v>45832</v>
      </c>
      <c r="M271" s="45" t="s">
        <v>50</v>
      </c>
      <c r="N271" s="45" t="s">
        <v>51</v>
      </c>
      <c r="O271" s="45"/>
      <c r="P271" s="45" t="s">
        <v>52</v>
      </c>
      <c r="Q271" s="44">
        <v>45824</v>
      </c>
      <c r="R271" s="45">
        <v>21</v>
      </c>
      <c r="S271" s="44">
        <v>45826</v>
      </c>
    </row>
    <row r="272" spans="1:19" ht="12.75">
      <c r="A272" s="45"/>
      <c r="B272" s="45"/>
      <c r="C272" s="45"/>
      <c r="D272" s="45"/>
      <c r="E272" s="45"/>
      <c r="F272" s="45"/>
      <c r="G272" s="45"/>
      <c r="H272" s="43"/>
      <c r="I272" s="45"/>
      <c r="J272" s="43">
        <v>454725048313</v>
      </c>
      <c r="K272" s="44">
        <v>45825</v>
      </c>
      <c r="L272" s="44">
        <v>45832</v>
      </c>
      <c r="M272" s="45" t="s">
        <v>50</v>
      </c>
      <c r="N272" s="45" t="s">
        <v>51</v>
      </c>
      <c r="O272" s="45"/>
      <c r="P272" s="45" t="s">
        <v>52</v>
      </c>
      <c r="Q272" s="44">
        <v>45824</v>
      </c>
      <c r="R272" s="45">
        <v>7</v>
      </c>
      <c r="S272" s="44">
        <v>45826</v>
      </c>
    </row>
    <row r="273" spans="1:19" ht="12.75">
      <c r="A273" s="45"/>
      <c r="B273" s="45"/>
      <c r="C273" s="45"/>
      <c r="D273" s="45"/>
      <c r="E273" s="45"/>
      <c r="F273" s="45"/>
      <c r="G273" s="45">
        <v>-9</v>
      </c>
      <c r="H273" s="43"/>
      <c r="I273" s="44" t="s">
        <v>61</v>
      </c>
      <c r="J273" s="43">
        <v>454698382746</v>
      </c>
      <c r="K273" s="44">
        <v>45825</v>
      </c>
      <c r="L273" s="44">
        <v>45832</v>
      </c>
      <c r="M273" s="45" t="s">
        <v>50</v>
      </c>
      <c r="N273" s="45" t="s">
        <v>51</v>
      </c>
      <c r="O273" s="45"/>
      <c r="P273" s="45" t="s">
        <v>52</v>
      </c>
      <c r="Q273" s="44">
        <v>45824</v>
      </c>
      <c r="R273" s="45">
        <v>4</v>
      </c>
      <c r="S273" s="44">
        <v>45826</v>
      </c>
    </row>
    <row r="274" spans="1:19" ht="12.75">
      <c r="A274" s="45"/>
      <c r="B274" s="45"/>
      <c r="C274" s="45"/>
      <c r="D274" s="45"/>
      <c r="E274" s="45"/>
      <c r="F274" s="45"/>
      <c r="G274" s="45"/>
      <c r="H274" s="43"/>
      <c r="I274" s="45"/>
      <c r="J274" s="43">
        <v>454698451896</v>
      </c>
      <c r="K274" s="44">
        <v>45825</v>
      </c>
      <c r="L274" s="44">
        <v>45832</v>
      </c>
      <c r="M274" s="45" t="s">
        <v>50</v>
      </c>
      <c r="N274" s="45" t="s">
        <v>51</v>
      </c>
      <c r="O274" s="45"/>
      <c r="P274" s="45" t="s">
        <v>52</v>
      </c>
      <c r="Q274" s="44">
        <v>45824</v>
      </c>
      <c r="R274" s="45">
        <v>3</v>
      </c>
      <c r="S274" s="44">
        <v>45826</v>
      </c>
    </row>
    <row r="275" spans="1:19" ht="12.75">
      <c r="A275" s="45"/>
      <c r="B275" s="45"/>
      <c r="C275" s="45"/>
      <c r="D275" s="45"/>
      <c r="E275" s="45"/>
      <c r="F275" s="45"/>
      <c r="G275" s="45"/>
      <c r="H275" s="43"/>
      <c r="I275" s="45"/>
      <c r="J275" s="43">
        <v>454698452151</v>
      </c>
      <c r="K275" s="44">
        <v>45825</v>
      </c>
      <c r="L275" s="44">
        <v>45832</v>
      </c>
      <c r="M275" s="45" t="s">
        <v>50</v>
      </c>
      <c r="N275" s="45" t="s">
        <v>51</v>
      </c>
      <c r="O275" s="45"/>
      <c r="P275" s="45" t="s">
        <v>52</v>
      </c>
      <c r="Q275" s="44">
        <v>45824</v>
      </c>
      <c r="R275" s="45">
        <v>3</v>
      </c>
      <c r="S275" s="44">
        <v>45826</v>
      </c>
    </row>
    <row r="276" spans="1:19" ht="12.75">
      <c r="A276" s="45"/>
      <c r="B276" s="45"/>
      <c r="C276" s="45"/>
      <c r="D276" s="45"/>
      <c r="E276" s="45"/>
      <c r="F276" s="45"/>
      <c r="G276" s="45"/>
      <c r="H276" s="43"/>
      <c r="I276" s="45"/>
      <c r="J276" s="43">
        <v>454698725219</v>
      </c>
      <c r="K276" s="44">
        <v>45825</v>
      </c>
      <c r="L276" s="44">
        <v>45832</v>
      </c>
      <c r="M276" s="45" t="s">
        <v>50</v>
      </c>
      <c r="N276" s="45" t="s">
        <v>51</v>
      </c>
      <c r="O276" s="45"/>
      <c r="P276" s="45" t="s">
        <v>52</v>
      </c>
      <c r="Q276" s="44">
        <v>45824</v>
      </c>
      <c r="R276" s="45">
        <v>2</v>
      </c>
      <c r="S276" s="44">
        <v>45826</v>
      </c>
    </row>
    <row r="277" spans="1:19" ht="12.75">
      <c r="A277" s="45"/>
      <c r="B277" s="45"/>
      <c r="C277" s="45"/>
      <c r="D277" s="45"/>
      <c r="E277" s="45"/>
      <c r="F277" s="45"/>
      <c r="G277" s="45"/>
      <c r="H277" s="43"/>
      <c r="I277" s="45"/>
      <c r="J277" s="43">
        <v>454699451892</v>
      </c>
      <c r="K277" s="44">
        <v>45825</v>
      </c>
      <c r="L277" s="44">
        <v>45832</v>
      </c>
      <c r="M277" s="45" t="s">
        <v>50</v>
      </c>
      <c r="N277" s="45" t="s">
        <v>51</v>
      </c>
      <c r="O277" s="45"/>
      <c r="P277" s="45" t="s">
        <v>52</v>
      </c>
      <c r="Q277" s="44">
        <v>45824</v>
      </c>
      <c r="R277" s="45">
        <v>6</v>
      </c>
      <c r="S277" s="44">
        <v>45826</v>
      </c>
    </row>
    <row r="278" spans="1:19" ht="12.75">
      <c r="A278" s="45"/>
      <c r="B278" s="45"/>
      <c r="C278" s="45"/>
      <c r="D278" s="45"/>
      <c r="E278" s="45"/>
      <c r="F278" s="45"/>
      <c r="G278" s="45"/>
      <c r="H278" s="43"/>
      <c r="I278" s="45"/>
      <c r="J278" s="43">
        <v>454700125508</v>
      </c>
      <c r="K278" s="44">
        <v>45825</v>
      </c>
      <c r="L278" s="44">
        <v>45832</v>
      </c>
      <c r="M278" s="45" t="s">
        <v>50</v>
      </c>
      <c r="N278" s="45" t="s">
        <v>51</v>
      </c>
      <c r="O278" s="45"/>
      <c r="P278" s="45" t="s">
        <v>52</v>
      </c>
      <c r="Q278" s="44">
        <v>45824</v>
      </c>
      <c r="R278" s="45">
        <v>1</v>
      </c>
      <c r="S278" s="44">
        <v>45826</v>
      </c>
    </row>
    <row r="279" spans="1:19" ht="12.75">
      <c r="A279" s="45"/>
      <c r="B279" s="45"/>
      <c r="C279" s="45"/>
      <c r="D279" s="45"/>
      <c r="E279" s="45"/>
      <c r="F279" s="45"/>
      <c r="G279" s="45"/>
      <c r="H279" s="43"/>
      <c r="I279" s="45"/>
      <c r="J279" s="43">
        <v>454700362711</v>
      </c>
      <c r="K279" s="44">
        <v>45825</v>
      </c>
      <c r="L279" s="44">
        <v>45832</v>
      </c>
      <c r="M279" s="45" t="s">
        <v>50</v>
      </c>
      <c r="N279" s="45" t="s">
        <v>51</v>
      </c>
      <c r="O279" s="45"/>
      <c r="P279" s="45" t="s">
        <v>52</v>
      </c>
      <c r="Q279" s="44">
        <v>45824</v>
      </c>
      <c r="R279" s="45">
        <v>9</v>
      </c>
      <c r="S279" s="44">
        <v>45826</v>
      </c>
    </row>
    <row r="280" spans="1:19" ht="12.75">
      <c r="A280" s="45"/>
      <c r="B280" s="45"/>
      <c r="C280" s="45"/>
      <c r="D280" s="45"/>
      <c r="E280" s="45"/>
      <c r="F280" s="45"/>
      <c r="G280" s="45"/>
      <c r="H280" s="43"/>
      <c r="I280" s="45"/>
      <c r="J280" s="43">
        <v>454700762303</v>
      </c>
      <c r="K280" s="44">
        <v>45825</v>
      </c>
      <c r="L280" s="44">
        <v>45832</v>
      </c>
      <c r="M280" s="45" t="s">
        <v>50</v>
      </c>
      <c r="N280" s="45" t="s">
        <v>51</v>
      </c>
      <c r="O280" s="45"/>
      <c r="P280" s="45" t="s">
        <v>52</v>
      </c>
      <c r="Q280" s="44">
        <v>45824</v>
      </c>
      <c r="R280" s="45">
        <v>6</v>
      </c>
      <c r="S280" s="44">
        <v>45826</v>
      </c>
    </row>
    <row r="281" spans="1:19" ht="12.75">
      <c r="A281" s="45"/>
      <c r="B281" s="45"/>
      <c r="C281" s="45"/>
      <c r="D281" s="45"/>
      <c r="E281" s="45"/>
      <c r="F281" s="45"/>
      <c r="G281" s="45"/>
      <c r="H281" s="43"/>
      <c r="I281" s="45"/>
      <c r="J281" s="43">
        <v>454700903665</v>
      </c>
      <c r="K281" s="44">
        <v>45825</v>
      </c>
      <c r="L281" s="44">
        <v>45832</v>
      </c>
      <c r="M281" s="45" t="s">
        <v>50</v>
      </c>
      <c r="N281" s="45" t="s">
        <v>51</v>
      </c>
      <c r="O281" s="45"/>
      <c r="P281" s="45" t="s">
        <v>52</v>
      </c>
      <c r="Q281" s="44">
        <v>45824</v>
      </c>
      <c r="R281" s="45">
        <v>8</v>
      </c>
      <c r="S281" s="44">
        <v>45826</v>
      </c>
    </row>
    <row r="282" spans="1:19" ht="12.75">
      <c r="A282" s="45"/>
      <c r="B282" s="45"/>
      <c r="C282" s="45"/>
      <c r="D282" s="45"/>
      <c r="E282" s="45"/>
      <c r="F282" s="45"/>
      <c r="G282" s="45"/>
      <c r="H282" s="43"/>
      <c r="I282" s="45"/>
      <c r="J282" s="43">
        <v>454701117988</v>
      </c>
      <c r="K282" s="44">
        <v>45825</v>
      </c>
      <c r="L282" s="44">
        <v>45832</v>
      </c>
      <c r="M282" s="45" t="s">
        <v>50</v>
      </c>
      <c r="N282" s="45" t="s">
        <v>51</v>
      </c>
      <c r="O282" s="45"/>
      <c r="P282" s="45" t="s">
        <v>52</v>
      </c>
      <c r="Q282" s="44">
        <v>45824</v>
      </c>
      <c r="R282" s="45">
        <v>2</v>
      </c>
      <c r="S282" s="44">
        <v>45826</v>
      </c>
    </row>
    <row r="283" spans="1:19" ht="12.75">
      <c r="A283" s="45"/>
      <c r="B283" s="45"/>
      <c r="C283" s="45"/>
      <c r="D283" s="45"/>
      <c r="E283" s="45"/>
      <c r="F283" s="45"/>
      <c r="G283" s="45"/>
      <c r="H283" s="43"/>
      <c r="I283" s="45"/>
      <c r="J283" s="43">
        <v>454701118361</v>
      </c>
      <c r="K283" s="44">
        <v>45825</v>
      </c>
      <c r="L283" s="44">
        <v>45832</v>
      </c>
      <c r="M283" s="45" t="s">
        <v>50</v>
      </c>
      <c r="N283" s="45" t="s">
        <v>51</v>
      </c>
      <c r="O283" s="45"/>
      <c r="P283" s="45" t="s">
        <v>52</v>
      </c>
      <c r="Q283" s="44">
        <v>45824</v>
      </c>
      <c r="R283" s="45">
        <v>11</v>
      </c>
      <c r="S283" s="44">
        <v>45826</v>
      </c>
    </row>
    <row r="284" spans="1:19" ht="12.75">
      <c r="A284" s="45"/>
      <c r="B284" s="45"/>
      <c r="C284" s="45"/>
      <c r="D284" s="45"/>
      <c r="E284" s="45"/>
      <c r="F284" s="45"/>
      <c r="G284" s="45"/>
      <c r="H284" s="43"/>
      <c r="I284" s="45"/>
      <c r="J284" s="43">
        <v>454701233029</v>
      </c>
      <c r="K284" s="44">
        <v>45825</v>
      </c>
      <c r="L284" s="44">
        <v>45832</v>
      </c>
      <c r="M284" s="45" t="s">
        <v>50</v>
      </c>
      <c r="N284" s="45" t="s">
        <v>51</v>
      </c>
      <c r="O284" s="45"/>
      <c r="P284" s="45" t="s">
        <v>52</v>
      </c>
      <c r="Q284" s="44">
        <v>45824</v>
      </c>
      <c r="R284" s="45">
        <v>18</v>
      </c>
      <c r="S284" s="44">
        <v>45826</v>
      </c>
    </row>
    <row r="285" spans="1:19" ht="12.75">
      <c r="A285" s="45"/>
      <c r="B285" s="45"/>
      <c r="C285" s="45"/>
      <c r="D285" s="45"/>
      <c r="E285" s="45"/>
      <c r="F285" s="45"/>
      <c r="G285" s="45"/>
      <c r="H285" s="43"/>
      <c r="I285" s="45"/>
      <c r="J285" s="43">
        <v>454701612929</v>
      </c>
      <c r="K285" s="44">
        <v>45825</v>
      </c>
      <c r="L285" s="44">
        <v>45832</v>
      </c>
      <c r="M285" s="45" t="s">
        <v>50</v>
      </c>
      <c r="N285" s="45" t="s">
        <v>51</v>
      </c>
      <c r="O285" s="45"/>
      <c r="P285" s="45" t="s">
        <v>52</v>
      </c>
      <c r="Q285" s="44">
        <v>45824</v>
      </c>
      <c r="R285" s="45">
        <v>5</v>
      </c>
      <c r="S285" s="44">
        <v>45826</v>
      </c>
    </row>
    <row r="286" spans="1:19" ht="12.75">
      <c r="A286" s="45"/>
      <c r="B286" s="45"/>
      <c r="C286" s="45"/>
      <c r="D286" s="45"/>
      <c r="E286" s="45"/>
      <c r="F286" s="45"/>
      <c r="G286" s="45"/>
      <c r="H286" s="43"/>
      <c r="I286" s="44" t="s">
        <v>82</v>
      </c>
      <c r="J286" s="43">
        <v>454698380029</v>
      </c>
      <c r="K286" s="44">
        <v>45825</v>
      </c>
      <c r="L286" s="44">
        <v>45832</v>
      </c>
      <c r="M286" s="45" t="s">
        <v>50</v>
      </c>
      <c r="N286" s="45" t="s">
        <v>51</v>
      </c>
      <c r="O286" s="45"/>
      <c r="P286" s="45" t="s">
        <v>52</v>
      </c>
      <c r="Q286" s="44">
        <v>45824</v>
      </c>
      <c r="R286" s="45">
        <v>20</v>
      </c>
      <c r="S286" s="44">
        <v>45826</v>
      </c>
    </row>
    <row r="287" spans="1:19" ht="12.75">
      <c r="A287" s="45"/>
      <c r="B287" s="45"/>
      <c r="C287" s="45"/>
      <c r="D287" s="45"/>
      <c r="E287" s="45"/>
      <c r="F287" s="45"/>
      <c r="G287" s="45"/>
      <c r="H287" s="43"/>
      <c r="I287" s="45"/>
      <c r="J287" s="43">
        <v>454698381085</v>
      </c>
      <c r="K287" s="44">
        <v>45825</v>
      </c>
      <c r="L287" s="44">
        <v>45832</v>
      </c>
      <c r="M287" s="45" t="s">
        <v>50</v>
      </c>
      <c r="N287" s="45" t="s">
        <v>51</v>
      </c>
      <c r="O287" s="45"/>
      <c r="P287" s="45" t="s">
        <v>52</v>
      </c>
      <c r="Q287" s="44">
        <v>45824</v>
      </c>
      <c r="R287" s="45">
        <v>6</v>
      </c>
      <c r="S287" s="44">
        <v>45826</v>
      </c>
    </row>
    <row r="288" spans="1:19" ht="12.75">
      <c r="A288" s="45"/>
      <c r="B288" s="45"/>
      <c r="C288" s="45"/>
      <c r="D288" s="45"/>
      <c r="E288" s="45"/>
      <c r="F288" s="45"/>
      <c r="G288" s="45"/>
      <c r="H288" s="43"/>
      <c r="I288" s="45"/>
      <c r="J288" s="43">
        <v>454699447395</v>
      </c>
      <c r="K288" s="44">
        <v>45825</v>
      </c>
      <c r="L288" s="44">
        <v>45832</v>
      </c>
      <c r="M288" s="45" t="s">
        <v>50</v>
      </c>
      <c r="N288" s="45" t="s">
        <v>51</v>
      </c>
      <c r="O288" s="45"/>
      <c r="P288" s="45" t="s">
        <v>52</v>
      </c>
      <c r="Q288" s="44">
        <v>45824</v>
      </c>
      <c r="R288" s="45">
        <v>6</v>
      </c>
      <c r="S288" s="44">
        <v>45826</v>
      </c>
    </row>
    <row r="289" spans="1:19" ht="12.75">
      <c r="A289" s="45"/>
      <c r="B289" s="45"/>
      <c r="C289" s="45"/>
      <c r="D289" s="45"/>
      <c r="E289" s="45"/>
      <c r="F289" s="45"/>
      <c r="G289" s="45"/>
      <c r="H289" s="43"/>
      <c r="I289" s="45"/>
      <c r="J289" s="43">
        <v>454699447554</v>
      </c>
      <c r="K289" s="44">
        <v>45825</v>
      </c>
      <c r="L289" s="44">
        <v>45832</v>
      </c>
      <c r="M289" s="45" t="s">
        <v>50</v>
      </c>
      <c r="N289" s="45" t="s">
        <v>51</v>
      </c>
      <c r="O289" s="45"/>
      <c r="P289" s="45" t="s">
        <v>52</v>
      </c>
      <c r="Q289" s="44">
        <v>45824</v>
      </c>
      <c r="R289" s="45">
        <v>4</v>
      </c>
      <c r="S289" s="44">
        <v>45826</v>
      </c>
    </row>
    <row r="290" spans="1:19" ht="12.75">
      <c r="A290" s="45"/>
      <c r="B290" s="45"/>
      <c r="C290" s="45"/>
      <c r="D290" s="45"/>
      <c r="E290" s="45"/>
      <c r="F290" s="45"/>
      <c r="G290" s="45"/>
      <c r="H290" s="43"/>
      <c r="I290" s="45"/>
      <c r="J290" s="43">
        <v>454699452340</v>
      </c>
      <c r="K290" s="44">
        <v>45825</v>
      </c>
      <c r="L290" s="44">
        <v>45832</v>
      </c>
      <c r="M290" s="45" t="s">
        <v>50</v>
      </c>
      <c r="N290" s="45" t="s">
        <v>51</v>
      </c>
      <c r="O290" s="45"/>
      <c r="P290" s="45" t="s">
        <v>52</v>
      </c>
      <c r="Q290" s="44">
        <v>45824</v>
      </c>
      <c r="R290" s="45">
        <v>32</v>
      </c>
      <c r="S290" s="44">
        <v>45826</v>
      </c>
    </row>
    <row r="291" spans="1:19" ht="12.75">
      <c r="A291" s="45"/>
      <c r="B291" s="45"/>
      <c r="C291" s="45"/>
      <c r="D291" s="45"/>
      <c r="E291" s="45"/>
      <c r="F291" s="45"/>
      <c r="G291" s="45"/>
      <c r="H291" s="43"/>
      <c r="I291" s="45"/>
      <c r="J291" s="43">
        <v>454955582669</v>
      </c>
      <c r="K291" s="44">
        <v>45825</v>
      </c>
      <c r="L291" s="44">
        <v>45832</v>
      </c>
      <c r="M291" s="45" t="s">
        <v>50</v>
      </c>
      <c r="N291" s="45" t="s">
        <v>51</v>
      </c>
      <c r="O291" s="45"/>
      <c r="P291" s="45" t="s">
        <v>52</v>
      </c>
      <c r="Q291" s="44">
        <v>45824</v>
      </c>
      <c r="R291" s="45">
        <v>3</v>
      </c>
      <c r="S291" s="44">
        <v>45826</v>
      </c>
    </row>
    <row r="292" spans="1:19" ht="12.75">
      <c r="A292" s="45"/>
      <c r="B292" s="45"/>
      <c r="C292" s="45"/>
      <c r="D292" s="45"/>
      <c r="E292" s="45"/>
      <c r="F292" s="45"/>
      <c r="G292" s="45"/>
      <c r="H292" s="43"/>
      <c r="I292" s="45"/>
      <c r="J292" s="43">
        <v>455588584748</v>
      </c>
      <c r="K292" s="44">
        <v>45825</v>
      </c>
      <c r="L292" s="44">
        <v>45832</v>
      </c>
      <c r="M292" s="45" t="s">
        <v>50</v>
      </c>
      <c r="N292" s="45" t="s">
        <v>51</v>
      </c>
      <c r="O292" s="45"/>
      <c r="P292" s="45" t="s">
        <v>52</v>
      </c>
      <c r="Q292" s="44">
        <v>45824</v>
      </c>
      <c r="R292" s="45">
        <v>2</v>
      </c>
      <c r="S292" s="44">
        <v>45826</v>
      </c>
    </row>
    <row r="293" spans="1:19" ht="12.75">
      <c r="A293" s="45"/>
      <c r="B293" s="45"/>
      <c r="C293" s="45"/>
      <c r="D293" s="45" t="s">
        <v>86</v>
      </c>
      <c r="E293" s="45" t="s">
        <v>76</v>
      </c>
      <c r="F293" s="45" t="s">
        <v>41</v>
      </c>
      <c r="G293" s="45">
        <v>-14</v>
      </c>
      <c r="H293" s="43"/>
      <c r="I293" s="44" t="s">
        <v>61</v>
      </c>
      <c r="J293" s="43">
        <v>454722313774</v>
      </c>
      <c r="K293" s="44">
        <v>45825</v>
      </c>
      <c r="L293" s="44">
        <v>45832</v>
      </c>
      <c r="M293" s="45" t="s">
        <v>50</v>
      </c>
      <c r="N293" s="45" t="s">
        <v>51</v>
      </c>
      <c r="O293" s="45"/>
      <c r="P293" s="45" t="s">
        <v>52</v>
      </c>
      <c r="Q293" s="44">
        <v>45824</v>
      </c>
      <c r="R293" s="45">
        <v>4</v>
      </c>
      <c r="S293" s="44">
        <v>45826</v>
      </c>
    </row>
    <row r="294" spans="1:19" ht="12.75">
      <c r="A294" s="45"/>
      <c r="B294" s="45"/>
      <c r="C294" s="45"/>
      <c r="D294" s="45"/>
      <c r="E294" s="45"/>
      <c r="F294" s="45"/>
      <c r="G294" s="45"/>
      <c r="H294" s="43"/>
      <c r="I294" s="45"/>
      <c r="J294" s="43">
        <v>454722738479</v>
      </c>
      <c r="K294" s="44">
        <v>45825</v>
      </c>
      <c r="L294" s="44">
        <v>45832</v>
      </c>
      <c r="M294" s="45" t="s">
        <v>50</v>
      </c>
      <c r="N294" s="45" t="s">
        <v>51</v>
      </c>
      <c r="O294" s="45"/>
      <c r="P294" s="45" t="s">
        <v>52</v>
      </c>
      <c r="Q294" s="44">
        <v>45824</v>
      </c>
      <c r="R294" s="45">
        <v>9</v>
      </c>
      <c r="S294" s="44">
        <v>45826</v>
      </c>
    </row>
    <row r="295" spans="1:19" ht="12.75">
      <c r="A295" s="45"/>
      <c r="B295" s="45"/>
      <c r="C295" s="45"/>
      <c r="D295" s="45"/>
      <c r="E295" s="45"/>
      <c r="F295" s="45"/>
      <c r="G295" s="45"/>
      <c r="H295" s="43"/>
      <c r="I295" s="45"/>
      <c r="J295" s="43">
        <v>454722776959</v>
      </c>
      <c r="K295" s="44">
        <v>45825</v>
      </c>
      <c r="L295" s="44">
        <v>45832</v>
      </c>
      <c r="M295" s="45" t="s">
        <v>50</v>
      </c>
      <c r="N295" s="45" t="s">
        <v>51</v>
      </c>
      <c r="O295" s="45"/>
      <c r="P295" s="45" t="s">
        <v>52</v>
      </c>
      <c r="Q295" s="44">
        <v>45824</v>
      </c>
      <c r="R295" s="45">
        <v>6</v>
      </c>
      <c r="S295" s="44">
        <v>45826</v>
      </c>
    </row>
    <row r="296" spans="1:19" ht="12.75">
      <c r="A296" s="45"/>
      <c r="B296" s="45"/>
      <c r="C296" s="45"/>
      <c r="D296" s="45"/>
      <c r="E296" s="45"/>
      <c r="F296" s="45"/>
      <c r="G296" s="45"/>
      <c r="H296" s="43"/>
      <c r="I296" s="45"/>
      <c r="J296" s="43">
        <v>454723020703</v>
      </c>
      <c r="K296" s="44">
        <v>45825</v>
      </c>
      <c r="L296" s="44">
        <v>45832</v>
      </c>
      <c r="M296" s="45" t="s">
        <v>50</v>
      </c>
      <c r="N296" s="45" t="s">
        <v>51</v>
      </c>
      <c r="O296" s="45"/>
      <c r="P296" s="45" t="s">
        <v>52</v>
      </c>
      <c r="Q296" s="44">
        <v>45824</v>
      </c>
      <c r="R296" s="45">
        <v>3</v>
      </c>
      <c r="S296" s="44">
        <v>45826</v>
      </c>
    </row>
    <row r="297" spans="1:19" ht="12.75">
      <c r="A297" s="45"/>
      <c r="B297" s="45"/>
      <c r="C297" s="45"/>
      <c r="D297" s="45"/>
      <c r="E297" s="45"/>
      <c r="F297" s="45"/>
      <c r="G297" s="45"/>
      <c r="H297" s="43"/>
      <c r="I297" s="45"/>
      <c r="J297" s="43">
        <v>454723057272</v>
      </c>
      <c r="K297" s="44">
        <v>45825</v>
      </c>
      <c r="L297" s="44">
        <v>45832</v>
      </c>
      <c r="M297" s="45" t="s">
        <v>50</v>
      </c>
      <c r="N297" s="45" t="s">
        <v>51</v>
      </c>
      <c r="O297" s="45"/>
      <c r="P297" s="45" t="s">
        <v>52</v>
      </c>
      <c r="Q297" s="44">
        <v>45824</v>
      </c>
      <c r="R297" s="45">
        <v>6</v>
      </c>
      <c r="S297" s="44">
        <v>45826</v>
      </c>
    </row>
    <row r="298" spans="1:19" ht="12.75">
      <c r="A298" s="45"/>
      <c r="B298" s="45"/>
      <c r="C298" s="45"/>
      <c r="D298" s="45"/>
      <c r="E298" s="45"/>
      <c r="F298" s="45"/>
      <c r="G298" s="45"/>
      <c r="H298" s="43"/>
      <c r="I298" s="45"/>
      <c r="J298" s="43">
        <v>454723175180</v>
      </c>
      <c r="K298" s="44">
        <v>45825</v>
      </c>
      <c r="L298" s="44">
        <v>45832</v>
      </c>
      <c r="M298" s="45" t="s">
        <v>50</v>
      </c>
      <c r="N298" s="45" t="s">
        <v>51</v>
      </c>
      <c r="O298" s="45"/>
      <c r="P298" s="45" t="s">
        <v>52</v>
      </c>
      <c r="Q298" s="44">
        <v>45824</v>
      </c>
      <c r="R298" s="45">
        <v>2</v>
      </c>
      <c r="S298" s="44">
        <v>45826</v>
      </c>
    </row>
    <row r="299" spans="1:19" ht="12.75">
      <c r="A299" s="45"/>
      <c r="B299" s="45"/>
      <c r="C299" s="45"/>
      <c r="D299" s="45"/>
      <c r="E299" s="45"/>
      <c r="F299" s="45"/>
      <c r="G299" s="45"/>
      <c r="H299" s="43"/>
      <c r="I299" s="45"/>
      <c r="J299" s="43">
        <v>454723268762</v>
      </c>
      <c r="K299" s="44">
        <v>45825</v>
      </c>
      <c r="L299" s="44">
        <v>45832</v>
      </c>
      <c r="M299" s="45" t="s">
        <v>50</v>
      </c>
      <c r="N299" s="45" t="s">
        <v>51</v>
      </c>
      <c r="O299" s="45"/>
      <c r="P299" s="45" t="s">
        <v>52</v>
      </c>
      <c r="Q299" s="44">
        <v>45824</v>
      </c>
      <c r="R299" s="45">
        <v>15</v>
      </c>
      <c r="S299" s="44">
        <v>45826</v>
      </c>
    </row>
    <row r="300" spans="1:19" ht="12.75">
      <c r="A300" s="45"/>
      <c r="B300" s="45"/>
      <c r="C300" s="45"/>
      <c r="D300" s="45"/>
      <c r="E300" s="45"/>
      <c r="F300" s="45"/>
      <c r="G300" s="45"/>
      <c r="H300" s="43"/>
      <c r="I300" s="45"/>
      <c r="J300" s="43">
        <v>454723365495</v>
      </c>
      <c r="K300" s="44">
        <v>45825</v>
      </c>
      <c r="L300" s="44">
        <v>45832</v>
      </c>
      <c r="M300" s="45" t="s">
        <v>50</v>
      </c>
      <c r="N300" s="45" t="s">
        <v>51</v>
      </c>
      <c r="O300" s="45"/>
      <c r="P300" s="45" t="s">
        <v>52</v>
      </c>
      <c r="Q300" s="44">
        <v>45824</v>
      </c>
      <c r="R300" s="45">
        <v>6</v>
      </c>
      <c r="S300" s="44">
        <v>45826</v>
      </c>
    </row>
    <row r="301" spans="1:19" ht="12.75">
      <c r="A301" s="45"/>
      <c r="B301" s="45"/>
      <c r="C301" s="45"/>
      <c r="D301" s="45"/>
      <c r="E301" s="45"/>
      <c r="F301" s="45"/>
      <c r="G301" s="45"/>
      <c r="H301" s="43"/>
      <c r="I301" s="45"/>
      <c r="J301" s="43">
        <v>454723855655</v>
      </c>
      <c r="K301" s="44">
        <v>45825</v>
      </c>
      <c r="L301" s="44">
        <v>45832</v>
      </c>
      <c r="M301" s="45" t="s">
        <v>50</v>
      </c>
      <c r="N301" s="45" t="s">
        <v>51</v>
      </c>
      <c r="O301" s="45"/>
      <c r="P301" s="45" t="s">
        <v>52</v>
      </c>
      <c r="Q301" s="44">
        <v>45824</v>
      </c>
      <c r="R301" s="45">
        <v>5</v>
      </c>
      <c r="S301" s="44">
        <v>45826</v>
      </c>
    </row>
    <row r="302" spans="1:19" ht="12.75">
      <c r="A302" s="45"/>
      <c r="B302" s="45"/>
      <c r="C302" s="45"/>
      <c r="D302" s="45"/>
      <c r="E302" s="45"/>
      <c r="F302" s="45"/>
      <c r="G302" s="45"/>
      <c r="H302" s="43"/>
      <c r="I302" s="45"/>
      <c r="J302" s="43">
        <v>454724077022</v>
      </c>
      <c r="K302" s="44">
        <v>45825</v>
      </c>
      <c r="L302" s="44">
        <v>45832</v>
      </c>
      <c r="M302" s="45" t="s">
        <v>50</v>
      </c>
      <c r="N302" s="45" t="s">
        <v>51</v>
      </c>
      <c r="O302" s="45"/>
      <c r="P302" s="45" t="s">
        <v>52</v>
      </c>
      <c r="Q302" s="44">
        <v>45824</v>
      </c>
      <c r="R302" s="45">
        <v>6</v>
      </c>
      <c r="S302" s="44">
        <v>45826</v>
      </c>
    </row>
    <row r="303" spans="1:19" ht="12.75">
      <c r="A303" s="45"/>
      <c r="B303" s="45"/>
      <c r="C303" s="45"/>
      <c r="D303" s="45"/>
      <c r="E303" s="45"/>
      <c r="F303" s="45"/>
      <c r="G303" s="45"/>
      <c r="H303" s="43"/>
      <c r="I303" s="45"/>
      <c r="J303" s="43">
        <v>454724077099</v>
      </c>
      <c r="K303" s="44">
        <v>45825</v>
      </c>
      <c r="L303" s="44">
        <v>45832</v>
      </c>
      <c r="M303" s="45" t="s">
        <v>50</v>
      </c>
      <c r="N303" s="45" t="s">
        <v>51</v>
      </c>
      <c r="O303" s="45"/>
      <c r="P303" s="45" t="s">
        <v>52</v>
      </c>
      <c r="Q303" s="44">
        <v>45824</v>
      </c>
      <c r="R303" s="45">
        <v>29</v>
      </c>
      <c r="S303" s="44">
        <v>45826</v>
      </c>
    </row>
    <row r="304" spans="1:19" ht="12.75">
      <c r="A304" s="45"/>
      <c r="B304" s="45"/>
      <c r="C304" s="45"/>
      <c r="D304" s="45"/>
      <c r="E304" s="45"/>
      <c r="F304" s="45"/>
      <c r="G304" s="45"/>
      <c r="H304" s="43"/>
      <c r="I304" s="45"/>
      <c r="J304" s="43">
        <v>454724615265</v>
      </c>
      <c r="K304" s="44">
        <v>45825</v>
      </c>
      <c r="L304" s="44">
        <v>45832</v>
      </c>
      <c r="M304" s="45" t="s">
        <v>50</v>
      </c>
      <c r="N304" s="45" t="s">
        <v>51</v>
      </c>
      <c r="O304" s="45"/>
      <c r="P304" s="45" t="s">
        <v>52</v>
      </c>
      <c r="Q304" s="44">
        <v>45824</v>
      </c>
      <c r="R304" s="45">
        <v>5</v>
      </c>
      <c r="S304" s="44">
        <v>45826</v>
      </c>
    </row>
    <row r="305" spans="1:19" ht="12.75">
      <c r="A305" s="45"/>
      <c r="B305" s="45"/>
      <c r="C305" s="45"/>
      <c r="D305" s="45"/>
      <c r="E305" s="45"/>
      <c r="F305" s="45"/>
      <c r="G305" s="45"/>
      <c r="H305" s="43"/>
      <c r="I305" s="45"/>
      <c r="J305" s="43">
        <v>454724642367</v>
      </c>
      <c r="K305" s="44">
        <v>45825</v>
      </c>
      <c r="L305" s="44">
        <v>45832</v>
      </c>
      <c r="M305" s="45" t="s">
        <v>50</v>
      </c>
      <c r="N305" s="45" t="s">
        <v>51</v>
      </c>
      <c r="O305" s="45"/>
      <c r="P305" s="45" t="s">
        <v>52</v>
      </c>
      <c r="Q305" s="44">
        <v>45824</v>
      </c>
      <c r="R305" s="45">
        <v>5</v>
      </c>
      <c r="S305" s="44">
        <v>45826</v>
      </c>
    </row>
    <row r="306" spans="1:19" ht="12.75">
      <c r="A306" s="45"/>
      <c r="B306" s="45"/>
      <c r="C306" s="45"/>
      <c r="D306" s="45"/>
      <c r="E306" s="45"/>
      <c r="F306" s="45"/>
      <c r="G306" s="45"/>
      <c r="H306" s="43"/>
      <c r="I306" s="45"/>
      <c r="J306" s="43">
        <v>454724758343</v>
      </c>
      <c r="K306" s="44">
        <v>45825</v>
      </c>
      <c r="L306" s="44">
        <v>45832</v>
      </c>
      <c r="M306" s="45" t="s">
        <v>50</v>
      </c>
      <c r="N306" s="45" t="s">
        <v>51</v>
      </c>
      <c r="O306" s="45"/>
      <c r="P306" s="45" t="s">
        <v>52</v>
      </c>
      <c r="Q306" s="44">
        <v>45824</v>
      </c>
      <c r="R306" s="45">
        <v>5</v>
      </c>
      <c r="S306" s="44">
        <v>45826</v>
      </c>
    </row>
    <row r="307" spans="1:19" ht="12.75">
      <c r="A307" s="45"/>
      <c r="B307" s="45"/>
      <c r="C307" s="45"/>
      <c r="D307" s="45"/>
      <c r="E307" s="45"/>
      <c r="F307" s="45"/>
      <c r="G307" s="45"/>
      <c r="H307" s="43"/>
      <c r="I307" s="45"/>
      <c r="J307" s="43">
        <v>454724803920</v>
      </c>
      <c r="K307" s="44">
        <v>45825</v>
      </c>
      <c r="L307" s="44">
        <v>45832</v>
      </c>
      <c r="M307" s="45" t="s">
        <v>50</v>
      </c>
      <c r="N307" s="45" t="s">
        <v>51</v>
      </c>
      <c r="O307" s="45"/>
      <c r="P307" s="45" t="s">
        <v>52</v>
      </c>
      <c r="Q307" s="44">
        <v>45824</v>
      </c>
      <c r="R307" s="45">
        <v>9</v>
      </c>
      <c r="S307" s="44">
        <v>45826</v>
      </c>
    </row>
    <row r="308" spans="1:19" ht="12.75">
      <c r="A308" s="45"/>
      <c r="B308" s="45"/>
      <c r="C308" s="45"/>
      <c r="D308" s="45"/>
      <c r="E308" s="45"/>
      <c r="F308" s="45"/>
      <c r="G308" s="45"/>
      <c r="H308" s="43"/>
      <c r="I308" s="45"/>
      <c r="J308" s="43">
        <v>454725048506</v>
      </c>
      <c r="K308" s="44">
        <v>45825</v>
      </c>
      <c r="L308" s="44">
        <v>45832</v>
      </c>
      <c r="M308" s="45" t="s">
        <v>50</v>
      </c>
      <c r="N308" s="45" t="s">
        <v>51</v>
      </c>
      <c r="O308" s="45"/>
      <c r="P308" s="45" t="s">
        <v>52</v>
      </c>
      <c r="Q308" s="44">
        <v>45824</v>
      </c>
      <c r="R308" s="45">
        <v>18</v>
      </c>
      <c r="S308" s="44">
        <v>45826</v>
      </c>
    </row>
    <row r="309" spans="1:19" ht="12.75">
      <c r="A309" s="45"/>
      <c r="B309" s="45"/>
      <c r="C309" s="45"/>
      <c r="D309" s="45"/>
      <c r="E309" s="45"/>
      <c r="F309" s="45"/>
      <c r="G309" s="45"/>
      <c r="H309" s="43"/>
      <c r="I309" s="45"/>
      <c r="J309" s="43">
        <v>454725071476</v>
      </c>
      <c r="K309" s="44">
        <v>45825</v>
      </c>
      <c r="L309" s="44">
        <v>45832</v>
      </c>
      <c r="M309" s="45" t="s">
        <v>50</v>
      </c>
      <c r="N309" s="45" t="s">
        <v>51</v>
      </c>
      <c r="O309" s="45"/>
      <c r="P309" s="45" t="s">
        <v>52</v>
      </c>
      <c r="Q309" s="44">
        <v>45824</v>
      </c>
      <c r="R309" s="45">
        <v>14</v>
      </c>
      <c r="S309" s="44">
        <v>45826</v>
      </c>
    </row>
    <row r="310" spans="1:19" ht="12.75">
      <c r="A310" s="45"/>
      <c r="B310" s="45"/>
      <c r="C310" s="45"/>
      <c r="D310" s="45"/>
      <c r="E310" s="45"/>
      <c r="F310" s="45"/>
      <c r="G310" s="45"/>
      <c r="H310" s="43"/>
      <c r="I310" s="45"/>
      <c r="J310" s="43">
        <v>454725479476</v>
      </c>
      <c r="K310" s="44">
        <v>45825</v>
      </c>
      <c r="L310" s="44">
        <v>45832</v>
      </c>
      <c r="M310" s="45" t="s">
        <v>50</v>
      </c>
      <c r="N310" s="45" t="s">
        <v>51</v>
      </c>
      <c r="O310" s="45"/>
      <c r="P310" s="45" t="s">
        <v>52</v>
      </c>
      <c r="Q310" s="44">
        <v>45824</v>
      </c>
      <c r="R310" s="45">
        <v>2</v>
      </c>
      <c r="S310" s="44">
        <v>45826</v>
      </c>
    </row>
    <row r="311" spans="1:19" ht="12.75">
      <c r="A311" s="45"/>
      <c r="B311" s="45"/>
      <c r="C311" s="45"/>
      <c r="D311" s="45"/>
      <c r="E311" s="45"/>
      <c r="F311" s="45"/>
      <c r="G311" s="45"/>
      <c r="H311" s="43"/>
      <c r="I311" s="45"/>
      <c r="J311" s="43">
        <v>454725529445</v>
      </c>
      <c r="K311" s="44">
        <v>45825</v>
      </c>
      <c r="L311" s="44">
        <v>45832</v>
      </c>
      <c r="M311" s="45" t="s">
        <v>50</v>
      </c>
      <c r="N311" s="45" t="s">
        <v>51</v>
      </c>
      <c r="O311" s="45"/>
      <c r="P311" s="45" t="s">
        <v>52</v>
      </c>
      <c r="Q311" s="44">
        <v>45824</v>
      </c>
      <c r="R311" s="45">
        <v>2</v>
      </c>
      <c r="S311" s="44">
        <v>45826</v>
      </c>
    </row>
    <row r="312" spans="1:19" ht="12.75">
      <c r="A312" s="45"/>
      <c r="B312" s="45"/>
      <c r="C312" s="45"/>
      <c r="D312" s="45"/>
      <c r="E312" s="45"/>
      <c r="F312" s="45"/>
      <c r="G312" s="45"/>
      <c r="H312" s="43"/>
      <c r="I312" s="45"/>
      <c r="J312" s="43">
        <v>454725656610</v>
      </c>
      <c r="K312" s="44">
        <v>45825</v>
      </c>
      <c r="L312" s="44">
        <v>45832</v>
      </c>
      <c r="M312" s="45" t="s">
        <v>50</v>
      </c>
      <c r="N312" s="45" t="s">
        <v>51</v>
      </c>
      <c r="O312" s="45"/>
      <c r="P312" s="45" t="s">
        <v>52</v>
      </c>
      <c r="Q312" s="44">
        <v>45824</v>
      </c>
      <c r="R312" s="45">
        <v>2</v>
      </c>
      <c r="S312" s="44">
        <v>45826</v>
      </c>
    </row>
    <row r="313" spans="1:19" ht="12.75">
      <c r="A313" s="45"/>
      <c r="B313" s="45"/>
      <c r="C313" s="45"/>
      <c r="D313" s="45"/>
      <c r="E313" s="45"/>
      <c r="F313" s="45"/>
      <c r="G313" s="45"/>
      <c r="H313" s="43"/>
      <c r="I313" s="45"/>
      <c r="J313" s="43">
        <v>454725757512</v>
      </c>
      <c r="K313" s="44">
        <v>45825</v>
      </c>
      <c r="L313" s="44">
        <v>45832</v>
      </c>
      <c r="M313" s="45" t="s">
        <v>50</v>
      </c>
      <c r="N313" s="45" t="s">
        <v>51</v>
      </c>
      <c r="O313" s="45"/>
      <c r="P313" s="45" t="s">
        <v>52</v>
      </c>
      <c r="Q313" s="44">
        <v>45824</v>
      </c>
      <c r="R313" s="45">
        <v>5</v>
      </c>
      <c r="S313" s="44">
        <v>45826</v>
      </c>
    </row>
    <row r="314" spans="1:19" ht="12.75">
      <c r="A314" s="45"/>
      <c r="B314" s="45"/>
      <c r="C314" s="45"/>
      <c r="D314" s="45"/>
      <c r="E314" s="45"/>
      <c r="F314" s="45"/>
      <c r="G314" s="45"/>
      <c r="H314" s="43"/>
      <c r="I314" s="45"/>
      <c r="J314" s="43">
        <v>454725863744</v>
      </c>
      <c r="K314" s="44">
        <v>45825</v>
      </c>
      <c r="L314" s="44">
        <v>45832</v>
      </c>
      <c r="M314" s="45" t="s">
        <v>50</v>
      </c>
      <c r="N314" s="45" t="s">
        <v>51</v>
      </c>
      <c r="O314" s="45"/>
      <c r="P314" s="45" t="s">
        <v>52</v>
      </c>
      <c r="Q314" s="44">
        <v>45824</v>
      </c>
      <c r="R314" s="45">
        <v>2</v>
      </c>
      <c r="S314" s="44">
        <v>45826</v>
      </c>
    </row>
    <row r="315" spans="1:19" ht="12.75">
      <c r="A315" s="45"/>
      <c r="B315" s="45"/>
      <c r="C315" s="45"/>
      <c r="D315" s="45"/>
      <c r="E315" s="45"/>
      <c r="F315" s="45"/>
      <c r="G315" s="45"/>
      <c r="H315" s="43"/>
      <c r="I315" s="45"/>
      <c r="J315" s="43">
        <v>454725864133</v>
      </c>
      <c r="K315" s="44">
        <v>45825</v>
      </c>
      <c r="L315" s="44">
        <v>45832</v>
      </c>
      <c r="M315" s="45" t="s">
        <v>50</v>
      </c>
      <c r="N315" s="45" t="s">
        <v>51</v>
      </c>
      <c r="O315" s="45"/>
      <c r="P315" s="45" t="s">
        <v>52</v>
      </c>
      <c r="Q315" s="44">
        <v>45824</v>
      </c>
      <c r="R315" s="45">
        <v>4</v>
      </c>
      <c r="S315" s="44">
        <v>45826</v>
      </c>
    </row>
    <row r="316" spans="1:19" ht="12.75">
      <c r="A316" s="45"/>
      <c r="B316" s="45"/>
      <c r="C316" s="45"/>
      <c r="D316" s="45"/>
      <c r="E316" s="45"/>
      <c r="F316" s="45"/>
      <c r="G316" s="45"/>
      <c r="H316" s="43"/>
      <c r="I316" s="45"/>
      <c r="J316" s="43">
        <v>454725919857</v>
      </c>
      <c r="K316" s="44">
        <v>45825</v>
      </c>
      <c r="L316" s="44">
        <v>45832</v>
      </c>
      <c r="M316" s="45" t="s">
        <v>50</v>
      </c>
      <c r="N316" s="45" t="s">
        <v>51</v>
      </c>
      <c r="O316" s="45"/>
      <c r="P316" s="45" t="s">
        <v>52</v>
      </c>
      <c r="Q316" s="44">
        <v>45824</v>
      </c>
      <c r="R316" s="45">
        <v>5</v>
      </c>
      <c r="S316" s="44">
        <v>45826</v>
      </c>
    </row>
    <row r="317" spans="1:19" ht="12.75">
      <c r="A317" s="45"/>
      <c r="B317" s="45"/>
      <c r="C317" s="45"/>
      <c r="D317" s="45"/>
      <c r="E317" s="45"/>
      <c r="F317" s="45"/>
      <c r="G317" s="45">
        <v>-9</v>
      </c>
      <c r="H317" s="43"/>
      <c r="I317" s="44" t="s">
        <v>90</v>
      </c>
      <c r="J317" s="43">
        <v>455263739084</v>
      </c>
      <c r="K317" s="44">
        <v>45825</v>
      </c>
      <c r="L317" s="44">
        <v>45832</v>
      </c>
      <c r="M317" s="45" t="s">
        <v>50</v>
      </c>
      <c r="N317" s="45" t="s">
        <v>51</v>
      </c>
      <c r="O317" s="45"/>
      <c r="P317" s="45" t="s">
        <v>52</v>
      </c>
      <c r="Q317" s="44">
        <v>45824</v>
      </c>
      <c r="R317" s="45">
        <v>3</v>
      </c>
      <c r="S317" s="44">
        <v>45826</v>
      </c>
    </row>
    <row r="318" spans="1:19" ht="12.75">
      <c r="A318" s="45"/>
      <c r="B318" s="45"/>
      <c r="C318" s="45"/>
      <c r="D318" s="45"/>
      <c r="E318" s="45"/>
      <c r="F318" s="45"/>
      <c r="G318" s="45"/>
      <c r="H318" s="43"/>
      <c r="I318" s="45"/>
      <c r="J318" s="43">
        <v>455263920586</v>
      </c>
      <c r="K318" s="44">
        <v>45825</v>
      </c>
      <c r="L318" s="44">
        <v>45832</v>
      </c>
      <c r="M318" s="45" t="s">
        <v>50</v>
      </c>
      <c r="N318" s="45" t="s">
        <v>51</v>
      </c>
      <c r="O318" s="45"/>
      <c r="P318" s="45" t="s">
        <v>52</v>
      </c>
      <c r="Q318" s="44">
        <v>45824</v>
      </c>
      <c r="R318" s="45">
        <v>6</v>
      </c>
      <c r="S318" s="44">
        <v>45826</v>
      </c>
    </row>
    <row r="319" spans="1:19" ht="12.75">
      <c r="A319" s="45"/>
      <c r="B319" s="45"/>
      <c r="C319" s="45"/>
      <c r="D319" s="45"/>
      <c r="E319" s="45"/>
      <c r="F319" s="45"/>
      <c r="G319" s="45"/>
      <c r="H319" s="43"/>
      <c r="I319" s="45"/>
      <c r="J319" s="43">
        <v>455264408885</v>
      </c>
      <c r="K319" s="44">
        <v>45825</v>
      </c>
      <c r="L319" s="44">
        <v>45832</v>
      </c>
      <c r="M319" s="45" t="s">
        <v>50</v>
      </c>
      <c r="N319" s="45" t="s">
        <v>51</v>
      </c>
      <c r="O319" s="45"/>
      <c r="P319" s="45" t="s">
        <v>52</v>
      </c>
      <c r="Q319" s="44">
        <v>45824</v>
      </c>
      <c r="R319" s="45">
        <v>3</v>
      </c>
      <c r="S319" s="44">
        <v>45826</v>
      </c>
    </row>
    <row r="320" spans="1:19" ht="12.75">
      <c r="A320" s="45"/>
      <c r="B320" s="45"/>
      <c r="C320" s="45"/>
      <c r="D320" s="45"/>
      <c r="E320" s="45"/>
      <c r="F320" s="45"/>
      <c r="G320" s="45"/>
      <c r="H320" s="43"/>
      <c r="I320" s="44" t="s">
        <v>55</v>
      </c>
      <c r="J320" s="43">
        <v>455683716916</v>
      </c>
      <c r="K320" s="44">
        <v>45825</v>
      </c>
      <c r="L320" s="44">
        <v>45832</v>
      </c>
      <c r="M320" s="45" t="s">
        <v>50</v>
      </c>
      <c r="N320" s="45" t="s">
        <v>51</v>
      </c>
      <c r="O320" s="45"/>
      <c r="P320" s="45" t="s">
        <v>52</v>
      </c>
      <c r="Q320" s="44">
        <v>45824</v>
      </c>
      <c r="R320" s="45">
        <v>5</v>
      </c>
      <c r="S320" s="44">
        <v>45826</v>
      </c>
    </row>
    <row r="321" spans="1:19" ht="12.75">
      <c r="A321" s="45"/>
      <c r="B321" s="45"/>
      <c r="C321" s="45"/>
      <c r="D321" s="45"/>
      <c r="E321" s="45"/>
      <c r="F321" s="45"/>
      <c r="G321" s="45"/>
      <c r="H321" s="43"/>
      <c r="I321" s="45"/>
      <c r="J321" s="43">
        <v>455688329627</v>
      </c>
      <c r="K321" s="44">
        <v>45825</v>
      </c>
      <c r="L321" s="44">
        <v>45832</v>
      </c>
      <c r="M321" s="45" t="s">
        <v>50</v>
      </c>
      <c r="N321" s="45" t="s">
        <v>51</v>
      </c>
      <c r="O321" s="45"/>
      <c r="P321" s="45" t="s">
        <v>52</v>
      </c>
      <c r="Q321" s="44">
        <v>45824</v>
      </c>
      <c r="R321" s="45">
        <v>12</v>
      </c>
      <c r="S321" s="44">
        <v>45826</v>
      </c>
    </row>
    <row r="322" spans="1:19" ht="12.75">
      <c r="A322" s="45"/>
      <c r="B322" s="45"/>
      <c r="C322" s="45"/>
      <c r="D322" s="45"/>
      <c r="E322" s="45"/>
      <c r="F322" s="45"/>
      <c r="G322" s="45"/>
      <c r="H322" s="43"/>
      <c r="I322" s="44" t="s">
        <v>61</v>
      </c>
      <c r="J322" s="43">
        <v>454703725465</v>
      </c>
      <c r="K322" s="44">
        <v>45825</v>
      </c>
      <c r="L322" s="44">
        <v>45832</v>
      </c>
      <c r="M322" s="45" t="s">
        <v>50</v>
      </c>
      <c r="N322" s="45" t="s">
        <v>51</v>
      </c>
      <c r="O322" s="45"/>
      <c r="P322" s="45" t="s">
        <v>52</v>
      </c>
      <c r="Q322" s="44">
        <v>45824</v>
      </c>
      <c r="R322" s="45">
        <v>5</v>
      </c>
      <c r="S322" s="44">
        <v>45826</v>
      </c>
    </row>
    <row r="323" spans="1:19" ht="12.75">
      <c r="A323" s="45"/>
      <c r="B323" s="45"/>
      <c r="C323" s="45"/>
      <c r="D323" s="45"/>
      <c r="E323" s="45"/>
      <c r="F323" s="45"/>
      <c r="G323" s="45"/>
      <c r="H323" s="43"/>
      <c r="I323" s="45"/>
      <c r="J323" s="43">
        <v>454703726031</v>
      </c>
      <c r="K323" s="44">
        <v>45825</v>
      </c>
      <c r="L323" s="44">
        <v>45832</v>
      </c>
      <c r="M323" s="45" t="s">
        <v>50</v>
      </c>
      <c r="N323" s="45" t="s">
        <v>51</v>
      </c>
      <c r="O323" s="45"/>
      <c r="P323" s="45" t="s">
        <v>52</v>
      </c>
      <c r="Q323" s="44">
        <v>45824</v>
      </c>
      <c r="R323" s="45">
        <v>3</v>
      </c>
      <c r="S323" s="44">
        <v>45826</v>
      </c>
    </row>
    <row r="324" spans="1:19" ht="12.75">
      <c r="A324" s="45"/>
      <c r="B324" s="45"/>
      <c r="C324" s="45"/>
      <c r="D324" s="45"/>
      <c r="E324" s="45"/>
      <c r="F324" s="45"/>
      <c r="G324" s="45"/>
      <c r="H324" s="43"/>
      <c r="I324" s="45"/>
      <c r="J324" s="43">
        <v>454704211021</v>
      </c>
      <c r="K324" s="44">
        <v>45825</v>
      </c>
      <c r="L324" s="44">
        <v>45832</v>
      </c>
      <c r="M324" s="45" t="s">
        <v>50</v>
      </c>
      <c r="N324" s="45" t="s">
        <v>51</v>
      </c>
      <c r="O324" s="45"/>
      <c r="P324" s="45" t="s">
        <v>52</v>
      </c>
      <c r="Q324" s="44">
        <v>45824</v>
      </c>
      <c r="R324" s="45">
        <v>5</v>
      </c>
      <c r="S324" s="44">
        <v>45826</v>
      </c>
    </row>
    <row r="325" spans="1:19" ht="12.75">
      <c r="A325" s="45"/>
      <c r="B325" s="45"/>
      <c r="C325" s="45"/>
      <c r="D325" s="45"/>
      <c r="E325" s="45"/>
      <c r="F325" s="45"/>
      <c r="G325" s="45"/>
      <c r="H325" s="43"/>
      <c r="I325" s="45"/>
      <c r="J325" s="43">
        <v>454705023730</v>
      </c>
      <c r="K325" s="44">
        <v>45825</v>
      </c>
      <c r="L325" s="44">
        <v>45832</v>
      </c>
      <c r="M325" s="45" t="s">
        <v>50</v>
      </c>
      <c r="N325" s="45" t="s">
        <v>51</v>
      </c>
      <c r="O325" s="45"/>
      <c r="P325" s="45" t="s">
        <v>52</v>
      </c>
      <c r="Q325" s="44">
        <v>45824</v>
      </c>
      <c r="R325" s="45">
        <v>5</v>
      </c>
      <c r="S325" s="44">
        <v>45826</v>
      </c>
    </row>
    <row r="326" spans="1:19" ht="12.75">
      <c r="A326" s="45"/>
      <c r="B326" s="45"/>
      <c r="C326" s="45"/>
      <c r="D326" s="45"/>
      <c r="E326" s="45"/>
      <c r="F326" s="45"/>
      <c r="G326" s="45"/>
      <c r="H326" s="43"/>
      <c r="I326" s="45"/>
      <c r="J326" s="43">
        <v>454705502633</v>
      </c>
      <c r="K326" s="44">
        <v>45825</v>
      </c>
      <c r="L326" s="44">
        <v>45832</v>
      </c>
      <c r="M326" s="45" t="s">
        <v>50</v>
      </c>
      <c r="N326" s="45" t="s">
        <v>51</v>
      </c>
      <c r="O326" s="45"/>
      <c r="P326" s="45" t="s">
        <v>52</v>
      </c>
      <c r="Q326" s="44">
        <v>45824</v>
      </c>
      <c r="R326" s="45">
        <v>3</v>
      </c>
      <c r="S326" s="44">
        <v>45826</v>
      </c>
    </row>
    <row r="327" spans="1:19" ht="12.75">
      <c r="A327" s="45"/>
      <c r="B327" s="45"/>
      <c r="C327" s="45"/>
      <c r="D327" s="45"/>
      <c r="E327" s="45"/>
      <c r="F327" s="45"/>
      <c r="G327" s="45"/>
      <c r="H327" s="43"/>
      <c r="I327" s="45"/>
      <c r="J327" s="43">
        <v>454705691334</v>
      </c>
      <c r="K327" s="44">
        <v>45825</v>
      </c>
      <c r="L327" s="44">
        <v>45832</v>
      </c>
      <c r="M327" s="45" t="s">
        <v>50</v>
      </c>
      <c r="N327" s="45" t="s">
        <v>51</v>
      </c>
      <c r="O327" s="45"/>
      <c r="P327" s="45" t="s">
        <v>52</v>
      </c>
      <c r="Q327" s="44">
        <v>45824</v>
      </c>
      <c r="R327" s="45">
        <v>2</v>
      </c>
      <c r="S327" s="44">
        <v>45826</v>
      </c>
    </row>
    <row r="328" spans="1:19" ht="12.75">
      <c r="A328" s="45"/>
      <c r="B328" s="45"/>
      <c r="C328" s="45"/>
      <c r="D328" s="45"/>
      <c r="E328" s="45"/>
      <c r="F328" s="45"/>
      <c r="G328" s="45"/>
      <c r="H328" s="43"/>
      <c r="I328" s="45"/>
      <c r="J328" s="43">
        <v>454706023813</v>
      </c>
      <c r="K328" s="44">
        <v>45825</v>
      </c>
      <c r="L328" s="44">
        <v>45832</v>
      </c>
      <c r="M328" s="45" t="s">
        <v>50</v>
      </c>
      <c r="N328" s="45" t="s">
        <v>51</v>
      </c>
      <c r="O328" s="45"/>
      <c r="P328" s="45" t="s">
        <v>52</v>
      </c>
      <c r="Q328" s="44">
        <v>45824</v>
      </c>
      <c r="R328" s="45">
        <v>2</v>
      </c>
      <c r="S328" s="44">
        <v>45826</v>
      </c>
    </row>
    <row r="329" spans="1:19" ht="12.75">
      <c r="A329" s="45"/>
      <c r="B329" s="45"/>
      <c r="C329" s="45"/>
      <c r="D329" s="45"/>
      <c r="E329" s="45"/>
      <c r="F329" s="45"/>
      <c r="G329" s="45"/>
      <c r="H329" s="43"/>
      <c r="I329" s="45"/>
      <c r="J329" s="43">
        <v>454706080383</v>
      </c>
      <c r="K329" s="44">
        <v>45825</v>
      </c>
      <c r="L329" s="44">
        <v>45832</v>
      </c>
      <c r="M329" s="45" t="s">
        <v>50</v>
      </c>
      <c r="N329" s="45" t="s">
        <v>51</v>
      </c>
      <c r="O329" s="45"/>
      <c r="P329" s="45" t="s">
        <v>52</v>
      </c>
      <c r="Q329" s="44">
        <v>45824</v>
      </c>
      <c r="R329" s="45">
        <v>10</v>
      </c>
      <c r="S329" s="44">
        <v>45826</v>
      </c>
    </row>
    <row r="330" spans="1:19" ht="12.75">
      <c r="A330" s="45"/>
      <c r="B330" s="45"/>
      <c r="C330" s="45"/>
      <c r="D330" s="45"/>
      <c r="E330" s="45"/>
      <c r="F330" s="45"/>
      <c r="G330" s="45"/>
      <c r="H330" s="43"/>
      <c r="I330" s="45"/>
      <c r="J330" s="43">
        <v>454706121015</v>
      </c>
      <c r="K330" s="44">
        <v>45825</v>
      </c>
      <c r="L330" s="44">
        <v>45832</v>
      </c>
      <c r="M330" s="45" t="s">
        <v>50</v>
      </c>
      <c r="N330" s="45" t="s">
        <v>51</v>
      </c>
      <c r="O330" s="45"/>
      <c r="P330" s="45" t="s">
        <v>52</v>
      </c>
      <c r="Q330" s="44">
        <v>45824</v>
      </c>
      <c r="R330" s="45">
        <v>2</v>
      </c>
      <c r="S330" s="44">
        <v>45826</v>
      </c>
    </row>
    <row r="331" spans="1:19" ht="12.75">
      <c r="A331" s="45"/>
      <c r="B331" s="45"/>
      <c r="C331" s="45"/>
      <c r="D331" s="45"/>
      <c r="E331" s="45"/>
      <c r="F331" s="45"/>
      <c r="G331" s="45"/>
      <c r="H331" s="43"/>
      <c r="I331" s="45"/>
      <c r="J331" s="43">
        <v>454706405931</v>
      </c>
      <c r="K331" s="44">
        <v>45825</v>
      </c>
      <c r="L331" s="44">
        <v>45832</v>
      </c>
      <c r="M331" s="45" t="s">
        <v>50</v>
      </c>
      <c r="N331" s="45" t="s">
        <v>51</v>
      </c>
      <c r="O331" s="45"/>
      <c r="P331" s="45" t="s">
        <v>52</v>
      </c>
      <c r="Q331" s="44">
        <v>45824</v>
      </c>
      <c r="R331" s="45">
        <v>11</v>
      </c>
      <c r="S331" s="44">
        <v>45826</v>
      </c>
    </row>
    <row r="332" spans="1:19" ht="12.75">
      <c r="A332" s="45"/>
      <c r="B332" s="45"/>
      <c r="C332" s="45"/>
      <c r="D332" s="45"/>
      <c r="E332" s="45"/>
      <c r="F332" s="45"/>
      <c r="G332" s="45"/>
      <c r="H332" s="43"/>
      <c r="I332" s="45"/>
      <c r="J332" s="43">
        <v>454706712546</v>
      </c>
      <c r="K332" s="44">
        <v>45825</v>
      </c>
      <c r="L332" s="44">
        <v>45832</v>
      </c>
      <c r="M332" s="45" t="s">
        <v>50</v>
      </c>
      <c r="N332" s="45" t="s">
        <v>51</v>
      </c>
      <c r="O332" s="45"/>
      <c r="P332" s="45" t="s">
        <v>52</v>
      </c>
      <c r="Q332" s="44">
        <v>45824</v>
      </c>
      <c r="R332" s="45">
        <v>9</v>
      </c>
      <c r="S332" s="44">
        <v>45826</v>
      </c>
    </row>
    <row r="333" spans="1:19" ht="12.75">
      <c r="A333" s="45"/>
      <c r="B333" s="45"/>
      <c r="C333" s="45"/>
      <c r="D333" s="45"/>
      <c r="E333" s="45"/>
      <c r="F333" s="45"/>
      <c r="G333" s="45"/>
      <c r="H333" s="43"/>
      <c r="I333" s="45"/>
      <c r="J333" s="43">
        <v>454706949394</v>
      </c>
      <c r="K333" s="44">
        <v>45825</v>
      </c>
      <c r="L333" s="44">
        <v>45832</v>
      </c>
      <c r="M333" s="45" t="s">
        <v>50</v>
      </c>
      <c r="N333" s="45" t="s">
        <v>51</v>
      </c>
      <c r="O333" s="45"/>
      <c r="P333" s="45" t="s">
        <v>52</v>
      </c>
      <c r="Q333" s="44">
        <v>45824</v>
      </c>
      <c r="R333" s="45">
        <v>6</v>
      </c>
      <c r="S333" s="44">
        <v>45826</v>
      </c>
    </row>
    <row r="334" spans="1:19" ht="12.75">
      <c r="A334" s="45"/>
      <c r="B334" s="45"/>
      <c r="C334" s="45"/>
      <c r="D334" s="45"/>
      <c r="E334" s="45"/>
      <c r="F334" s="45"/>
      <c r="G334" s="45"/>
      <c r="H334" s="43"/>
      <c r="I334" s="45"/>
      <c r="J334" s="43">
        <v>454707107149</v>
      </c>
      <c r="K334" s="44">
        <v>45825</v>
      </c>
      <c r="L334" s="44">
        <v>45832</v>
      </c>
      <c r="M334" s="45" t="s">
        <v>50</v>
      </c>
      <c r="N334" s="45" t="s">
        <v>51</v>
      </c>
      <c r="O334" s="45"/>
      <c r="P334" s="45" t="s">
        <v>52</v>
      </c>
      <c r="Q334" s="44">
        <v>45824</v>
      </c>
      <c r="R334" s="45">
        <v>4</v>
      </c>
      <c r="S334" s="44">
        <v>45826</v>
      </c>
    </row>
    <row r="335" spans="1:19" ht="12.75">
      <c r="A335" s="45"/>
      <c r="B335" s="45"/>
      <c r="C335" s="45"/>
      <c r="D335" s="45"/>
      <c r="E335" s="45"/>
      <c r="F335" s="45"/>
      <c r="G335" s="45"/>
      <c r="H335" s="43"/>
      <c r="I335" s="45"/>
      <c r="J335" s="43">
        <v>454707657000</v>
      </c>
      <c r="K335" s="44">
        <v>45825</v>
      </c>
      <c r="L335" s="44">
        <v>45832</v>
      </c>
      <c r="M335" s="45" t="s">
        <v>50</v>
      </c>
      <c r="N335" s="45" t="s">
        <v>51</v>
      </c>
      <c r="O335" s="45"/>
      <c r="P335" s="45" t="s">
        <v>52</v>
      </c>
      <c r="Q335" s="44">
        <v>45824</v>
      </c>
      <c r="R335" s="45">
        <v>6</v>
      </c>
      <c r="S335" s="44">
        <v>45826</v>
      </c>
    </row>
    <row r="336" spans="1:19" ht="12.75">
      <c r="A336" s="45"/>
      <c r="B336" s="45"/>
      <c r="C336" s="45"/>
      <c r="D336" s="45"/>
      <c r="E336" s="45"/>
      <c r="F336" s="45"/>
      <c r="G336" s="45"/>
      <c r="H336" s="43"/>
      <c r="I336" s="45"/>
      <c r="J336" s="43">
        <v>454707704516</v>
      </c>
      <c r="K336" s="44">
        <v>45825</v>
      </c>
      <c r="L336" s="44">
        <v>45832</v>
      </c>
      <c r="M336" s="45" t="s">
        <v>50</v>
      </c>
      <c r="N336" s="45" t="s">
        <v>51</v>
      </c>
      <c r="O336" s="45"/>
      <c r="P336" s="45" t="s">
        <v>52</v>
      </c>
      <c r="Q336" s="44">
        <v>45824</v>
      </c>
      <c r="R336" s="45">
        <v>7</v>
      </c>
      <c r="S336" s="44">
        <v>45826</v>
      </c>
    </row>
    <row r="337" spans="1:19" ht="12.75">
      <c r="A337" s="45"/>
      <c r="B337" s="45"/>
      <c r="C337" s="45"/>
      <c r="D337" s="45"/>
      <c r="E337" s="45"/>
      <c r="F337" s="45"/>
      <c r="G337" s="45"/>
      <c r="H337" s="43"/>
      <c r="I337" s="45"/>
      <c r="J337" s="43">
        <v>454707967199</v>
      </c>
      <c r="K337" s="44">
        <v>45825</v>
      </c>
      <c r="L337" s="44">
        <v>45832</v>
      </c>
      <c r="M337" s="45" t="s">
        <v>50</v>
      </c>
      <c r="N337" s="45" t="s">
        <v>51</v>
      </c>
      <c r="O337" s="45"/>
      <c r="P337" s="45" t="s">
        <v>52</v>
      </c>
      <c r="Q337" s="44">
        <v>45824</v>
      </c>
      <c r="R337" s="45">
        <v>7</v>
      </c>
      <c r="S337" s="44">
        <v>45826</v>
      </c>
    </row>
    <row r="338" spans="1:19" ht="12.75">
      <c r="A338" s="45"/>
      <c r="B338" s="45"/>
      <c r="C338" s="45"/>
      <c r="D338" s="45"/>
      <c r="E338" s="45"/>
      <c r="F338" s="45"/>
      <c r="G338" s="45"/>
      <c r="H338" s="43"/>
      <c r="I338" s="45"/>
      <c r="J338" s="43">
        <v>454708168021</v>
      </c>
      <c r="K338" s="44">
        <v>45825</v>
      </c>
      <c r="L338" s="44">
        <v>45832</v>
      </c>
      <c r="M338" s="45" t="s">
        <v>50</v>
      </c>
      <c r="N338" s="45" t="s">
        <v>51</v>
      </c>
      <c r="O338" s="45"/>
      <c r="P338" s="45" t="s">
        <v>52</v>
      </c>
      <c r="Q338" s="44">
        <v>45824</v>
      </c>
      <c r="R338" s="45">
        <v>6</v>
      </c>
      <c r="S338" s="44">
        <v>45826</v>
      </c>
    </row>
    <row r="339" spans="1:19" ht="12.75">
      <c r="A339" s="45"/>
      <c r="B339" s="45"/>
      <c r="C339" s="45"/>
      <c r="D339" s="45"/>
      <c r="E339" s="45"/>
      <c r="F339" s="45"/>
      <c r="G339" s="45"/>
      <c r="H339" s="43"/>
      <c r="I339" s="45"/>
      <c r="J339" s="43">
        <v>454708616885</v>
      </c>
      <c r="K339" s="44">
        <v>45825</v>
      </c>
      <c r="L339" s="44">
        <v>45832</v>
      </c>
      <c r="M339" s="45" t="s">
        <v>50</v>
      </c>
      <c r="N339" s="45" t="s">
        <v>51</v>
      </c>
      <c r="O339" s="45"/>
      <c r="P339" s="45" t="s">
        <v>52</v>
      </c>
      <c r="Q339" s="44">
        <v>45824</v>
      </c>
      <c r="R339" s="45">
        <v>4</v>
      </c>
      <c r="S339" s="44">
        <v>45826</v>
      </c>
    </row>
    <row r="340" spans="1:19" ht="12.75">
      <c r="A340" s="45"/>
      <c r="B340" s="45"/>
      <c r="C340" s="45"/>
      <c r="D340" s="45"/>
      <c r="E340" s="45"/>
      <c r="F340" s="45"/>
      <c r="G340" s="45"/>
      <c r="H340" s="43"/>
      <c r="I340" s="45"/>
      <c r="J340" s="43">
        <v>454708617020</v>
      </c>
      <c r="K340" s="44">
        <v>45825</v>
      </c>
      <c r="L340" s="44">
        <v>45832</v>
      </c>
      <c r="M340" s="45" t="s">
        <v>50</v>
      </c>
      <c r="N340" s="45" t="s">
        <v>51</v>
      </c>
      <c r="O340" s="45"/>
      <c r="P340" s="45" t="s">
        <v>52</v>
      </c>
      <c r="Q340" s="44">
        <v>45824</v>
      </c>
      <c r="R340" s="45">
        <v>3</v>
      </c>
      <c r="S340" s="44">
        <v>45826</v>
      </c>
    </row>
    <row r="341" spans="1:19" ht="12.75">
      <c r="A341" s="45"/>
      <c r="B341" s="45"/>
      <c r="C341" s="45"/>
      <c r="D341" s="45"/>
      <c r="E341" s="45"/>
      <c r="F341" s="45"/>
      <c r="G341" s="45"/>
      <c r="H341" s="43"/>
      <c r="I341" s="45"/>
      <c r="J341" s="43">
        <v>454708657110</v>
      </c>
      <c r="K341" s="44">
        <v>45825</v>
      </c>
      <c r="L341" s="44">
        <v>45832</v>
      </c>
      <c r="M341" s="45" t="s">
        <v>50</v>
      </c>
      <c r="N341" s="45" t="s">
        <v>51</v>
      </c>
      <c r="O341" s="45"/>
      <c r="P341" s="45" t="s">
        <v>52</v>
      </c>
      <c r="Q341" s="44">
        <v>45824</v>
      </c>
      <c r="R341" s="45">
        <v>2</v>
      </c>
      <c r="S341" s="44">
        <v>45826</v>
      </c>
    </row>
    <row r="342" spans="1:19" ht="12.75">
      <c r="A342" s="45"/>
      <c r="B342" s="45"/>
      <c r="C342" s="45"/>
      <c r="D342" s="45"/>
      <c r="E342" s="45"/>
      <c r="F342" s="45"/>
      <c r="G342" s="45"/>
      <c r="H342" s="43"/>
      <c r="I342" s="45"/>
      <c r="J342" s="43">
        <v>454708773563</v>
      </c>
      <c r="K342" s="44">
        <v>45825</v>
      </c>
      <c r="L342" s="44">
        <v>45832</v>
      </c>
      <c r="M342" s="45" t="s">
        <v>50</v>
      </c>
      <c r="N342" s="45" t="s">
        <v>51</v>
      </c>
      <c r="O342" s="45"/>
      <c r="P342" s="45" t="s">
        <v>52</v>
      </c>
      <c r="Q342" s="44">
        <v>45824</v>
      </c>
      <c r="R342" s="45">
        <v>2</v>
      </c>
      <c r="S342" s="44">
        <v>45826</v>
      </c>
    </row>
    <row r="343" spans="1:19" ht="12.75">
      <c r="A343" s="45"/>
      <c r="B343" s="45"/>
      <c r="C343" s="45"/>
      <c r="D343" s="45"/>
      <c r="E343" s="45"/>
      <c r="F343" s="45"/>
      <c r="G343" s="45"/>
      <c r="H343" s="43"/>
      <c r="I343" s="45"/>
      <c r="J343" s="43">
        <v>454708903460</v>
      </c>
      <c r="K343" s="44">
        <v>45825</v>
      </c>
      <c r="L343" s="44">
        <v>45832</v>
      </c>
      <c r="M343" s="45" t="s">
        <v>50</v>
      </c>
      <c r="N343" s="45" t="s">
        <v>51</v>
      </c>
      <c r="O343" s="45"/>
      <c r="P343" s="45" t="s">
        <v>52</v>
      </c>
      <c r="Q343" s="44">
        <v>45824</v>
      </c>
      <c r="R343" s="45">
        <v>4</v>
      </c>
      <c r="S343" s="44">
        <v>45826</v>
      </c>
    </row>
    <row r="344" spans="1:19" ht="12.75">
      <c r="A344" s="45"/>
      <c r="B344" s="45"/>
      <c r="C344" s="45"/>
      <c r="D344" s="45"/>
      <c r="E344" s="45"/>
      <c r="F344" s="45"/>
      <c r="G344" s="45"/>
      <c r="H344" s="43"/>
      <c r="I344" s="45"/>
      <c r="J344" s="43">
        <v>454709130141</v>
      </c>
      <c r="K344" s="44">
        <v>45825</v>
      </c>
      <c r="L344" s="44">
        <v>45832</v>
      </c>
      <c r="M344" s="45" t="s">
        <v>50</v>
      </c>
      <c r="N344" s="45" t="s">
        <v>51</v>
      </c>
      <c r="O344" s="45"/>
      <c r="P344" s="45" t="s">
        <v>52</v>
      </c>
      <c r="Q344" s="44">
        <v>45824</v>
      </c>
      <c r="R344" s="45">
        <v>4</v>
      </c>
      <c r="S344" s="44">
        <v>45826</v>
      </c>
    </row>
    <row r="345" spans="1:19" ht="12.75">
      <c r="A345" s="45"/>
      <c r="B345" s="45"/>
      <c r="C345" s="45"/>
      <c r="D345" s="45"/>
      <c r="E345" s="45"/>
      <c r="F345" s="45"/>
      <c r="G345" s="45"/>
      <c r="H345" s="43"/>
      <c r="I345" s="45"/>
      <c r="J345" s="43">
        <v>454709285841</v>
      </c>
      <c r="K345" s="44">
        <v>45825</v>
      </c>
      <c r="L345" s="44">
        <v>45832</v>
      </c>
      <c r="M345" s="45" t="s">
        <v>50</v>
      </c>
      <c r="N345" s="45" t="s">
        <v>51</v>
      </c>
      <c r="O345" s="45"/>
      <c r="P345" s="45" t="s">
        <v>52</v>
      </c>
      <c r="Q345" s="44">
        <v>45824</v>
      </c>
      <c r="R345" s="45">
        <v>3</v>
      </c>
      <c r="S345" s="44">
        <v>45826</v>
      </c>
    </row>
    <row r="346" spans="1:19" ht="12.75">
      <c r="A346" s="45"/>
      <c r="B346" s="45"/>
      <c r="C346" s="45"/>
      <c r="D346" s="45"/>
      <c r="E346" s="45"/>
      <c r="F346" s="45"/>
      <c r="G346" s="45"/>
      <c r="H346" s="43"/>
      <c r="I346" s="45"/>
      <c r="J346" s="43">
        <v>454709307367</v>
      </c>
      <c r="K346" s="44">
        <v>45825</v>
      </c>
      <c r="L346" s="44">
        <v>45832</v>
      </c>
      <c r="M346" s="45" t="s">
        <v>50</v>
      </c>
      <c r="N346" s="45" t="s">
        <v>51</v>
      </c>
      <c r="O346" s="45"/>
      <c r="P346" s="45" t="s">
        <v>52</v>
      </c>
      <c r="Q346" s="44">
        <v>45824</v>
      </c>
      <c r="R346" s="45">
        <v>2</v>
      </c>
      <c r="S346" s="44">
        <v>45826</v>
      </c>
    </row>
    <row r="347" spans="1:19" ht="12.75">
      <c r="A347" s="45"/>
      <c r="B347" s="45"/>
      <c r="C347" s="45"/>
      <c r="D347" s="45"/>
      <c r="E347" s="45"/>
      <c r="F347" s="45"/>
      <c r="G347" s="45"/>
      <c r="H347" s="43"/>
      <c r="I347" s="45"/>
      <c r="J347" s="43">
        <v>454709477054</v>
      </c>
      <c r="K347" s="44">
        <v>45825</v>
      </c>
      <c r="L347" s="44">
        <v>45832</v>
      </c>
      <c r="M347" s="45" t="s">
        <v>50</v>
      </c>
      <c r="N347" s="45" t="s">
        <v>51</v>
      </c>
      <c r="O347" s="45"/>
      <c r="P347" s="45" t="s">
        <v>52</v>
      </c>
      <c r="Q347" s="44">
        <v>45824</v>
      </c>
      <c r="R347" s="45">
        <v>3</v>
      </c>
      <c r="S347" s="44">
        <v>45826</v>
      </c>
    </row>
    <row r="348" spans="1:19" ht="12.75">
      <c r="A348" s="45"/>
      <c r="B348" s="45"/>
      <c r="C348" s="45"/>
      <c r="D348" s="45"/>
      <c r="E348" s="45"/>
      <c r="F348" s="45"/>
      <c r="G348" s="45"/>
      <c r="H348" s="43"/>
      <c r="I348" s="45"/>
      <c r="J348" s="43">
        <v>454709781645</v>
      </c>
      <c r="K348" s="44">
        <v>45825</v>
      </c>
      <c r="L348" s="44">
        <v>45832</v>
      </c>
      <c r="M348" s="45" t="s">
        <v>50</v>
      </c>
      <c r="N348" s="45" t="s">
        <v>51</v>
      </c>
      <c r="O348" s="45"/>
      <c r="P348" s="45" t="s">
        <v>52</v>
      </c>
      <c r="Q348" s="44">
        <v>45824</v>
      </c>
      <c r="R348" s="45">
        <v>13</v>
      </c>
      <c r="S348" s="44">
        <v>45826</v>
      </c>
    </row>
    <row r="349" spans="1:19" ht="12.75">
      <c r="A349" s="45"/>
      <c r="B349" s="45"/>
      <c r="C349" s="45"/>
      <c r="D349" s="45"/>
      <c r="E349" s="45"/>
      <c r="F349" s="45"/>
      <c r="G349" s="45"/>
      <c r="H349" s="43"/>
      <c r="I349" s="45"/>
      <c r="J349" s="43">
        <v>454709782023</v>
      </c>
      <c r="K349" s="44">
        <v>45825</v>
      </c>
      <c r="L349" s="44">
        <v>45832</v>
      </c>
      <c r="M349" s="45" t="s">
        <v>50</v>
      </c>
      <c r="N349" s="45" t="s">
        <v>51</v>
      </c>
      <c r="O349" s="45"/>
      <c r="P349" s="45" t="s">
        <v>52</v>
      </c>
      <c r="Q349" s="44">
        <v>45824</v>
      </c>
      <c r="R349" s="45">
        <v>8</v>
      </c>
      <c r="S349" s="44">
        <v>45826</v>
      </c>
    </row>
    <row r="350" spans="1:19" ht="12.75">
      <c r="A350" s="45"/>
      <c r="B350" s="45"/>
      <c r="C350" s="45"/>
      <c r="D350" s="45"/>
      <c r="E350" s="45"/>
      <c r="F350" s="45"/>
      <c r="G350" s="45"/>
      <c r="H350" s="43"/>
      <c r="I350" s="45"/>
      <c r="J350" s="43">
        <v>454710211186</v>
      </c>
      <c r="K350" s="44">
        <v>45825</v>
      </c>
      <c r="L350" s="44">
        <v>45832</v>
      </c>
      <c r="M350" s="45" t="s">
        <v>50</v>
      </c>
      <c r="N350" s="45" t="s">
        <v>51</v>
      </c>
      <c r="O350" s="45"/>
      <c r="P350" s="45" t="s">
        <v>52</v>
      </c>
      <c r="Q350" s="44">
        <v>45824</v>
      </c>
      <c r="R350" s="45">
        <v>7</v>
      </c>
      <c r="S350" s="44">
        <v>45826</v>
      </c>
    </row>
    <row r="351" spans="1:19" ht="12.75">
      <c r="A351" s="45"/>
      <c r="B351" s="45"/>
      <c r="C351" s="45"/>
      <c r="D351" s="45"/>
      <c r="E351" s="45"/>
      <c r="F351" s="45"/>
      <c r="G351" s="45"/>
      <c r="H351" s="43"/>
      <c r="I351" s="45"/>
      <c r="J351" s="43">
        <v>454710569610</v>
      </c>
      <c r="K351" s="44">
        <v>45825</v>
      </c>
      <c r="L351" s="44">
        <v>45832</v>
      </c>
      <c r="M351" s="45" t="s">
        <v>50</v>
      </c>
      <c r="N351" s="45" t="s">
        <v>51</v>
      </c>
      <c r="O351" s="45"/>
      <c r="P351" s="45" t="s">
        <v>52</v>
      </c>
      <c r="Q351" s="44">
        <v>45824</v>
      </c>
      <c r="R351" s="45">
        <v>3</v>
      </c>
      <c r="S351" s="44">
        <v>45826</v>
      </c>
    </row>
    <row r="352" spans="1:19" ht="12.75">
      <c r="A352" s="45"/>
      <c r="B352" s="45"/>
      <c r="C352" s="45"/>
      <c r="D352" s="45"/>
      <c r="E352" s="45"/>
      <c r="F352" s="45"/>
      <c r="G352" s="45"/>
      <c r="H352" s="43"/>
      <c r="I352" s="45"/>
      <c r="J352" s="43">
        <v>454710569927</v>
      </c>
      <c r="K352" s="44">
        <v>45825</v>
      </c>
      <c r="L352" s="44">
        <v>45832</v>
      </c>
      <c r="M352" s="45" t="s">
        <v>50</v>
      </c>
      <c r="N352" s="45" t="s">
        <v>51</v>
      </c>
      <c r="O352" s="45"/>
      <c r="P352" s="45" t="s">
        <v>52</v>
      </c>
      <c r="Q352" s="44">
        <v>45824</v>
      </c>
      <c r="R352" s="45">
        <v>12</v>
      </c>
      <c r="S352" s="44">
        <v>45826</v>
      </c>
    </row>
    <row r="353" spans="1:19" ht="12.75">
      <c r="A353" s="45"/>
      <c r="B353" s="45"/>
      <c r="C353" s="45"/>
      <c r="D353" s="45"/>
      <c r="E353" s="45"/>
      <c r="F353" s="45"/>
      <c r="G353" s="45"/>
      <c r="H353" s="43"/>
      <c r="I353" s="45"/>
      <c r="J353" s="43">
        <v>454710728906</v>
      </c>
      <c r="K353" s="44">
        <v>45825</v>
      </c>
      <c r="L353" s="44">
        <v>45832</v>
      </c>
      <c r="M353" s="45" t="s">
        <v>50</v>
      </c>
      <c r="N353" s="45" t="s">
        <v>51</v>
      </c>
      <c r="O353" s="45"/>
      <c r="P353" s="45" t="s">
        <v>52</v>
      </c>
      <c r="Q353" s="44">
        <v>45824</v>
      </c>
      <c r="R353" s="45">
        <v>9</v>
      </c>
      <c r="S353" s="44">
        <v>45826</v>
      </c>
    </row>
    <row r="354" spans="1:19" ht="12.75">
      <c r="A354" s="45"/>
      <c r="B354" s="45"/>
      <c r="C354" s="45"/>
      <c r="D354" s="45"/>
      <c r="E354" s="45"/>
      <c r="F354" s="45"/>
      <c r="G354" s="45"/>
      <c r="H354" s="43"/>
      <c r="I354" s="45"/>
      <c r="J354" s="43">
        <v>454711375758</v>
      </c>
      <c r="K354" s="44">
        <v>45825</v>
      </c>
      <c r="L354" s="44">
        <v>45832</v>
      </c>
      <c r="M354" s="45" t="s">
        <v>50</v>
      </c>
      <c r="N354" s="45" t="s">
        <v>51</v>
      </c>
      <c r="O354" s="45"/>
      <c r="P354" s="45" t="s">
        <v>52</v>
      </c>
      <c r="Q354" s="44">
        <v>45824</v>
      </c>
      <c r="R354" s="45">
        <v>9</v>
      </c>
      <c r="S354" s="44">
        <v>45826</v>
      </c>
    </row>
    <row r="355" spans="1:19" ht="12.75">
      <c r="A355" s="45"/>
      <c r="B355" s="45"/>
      <c r="C355" s="45"/>
      <c r="D355" s="45"/>
      <c r="E355" s="45"/>
      <c r="F355" s="45"/>
      <c r="G355" s="45"/>
      <c r="H355" s="43"/>
      <c r="I355" s="45"/>
      <c r="J355" s="43">
        <v>454714025577</v>
      </c>
      <c r="K355" s="44">
        <v>45825</v>
      </c>
      <c r="L355" s="44">
        <v>45832</v>
      </c>
      <c r="M355" s="45" t="s">
        <v>50</v>
      </c>
      <c r="N355" s="45" t="s">
        <v>51</v>
      </c>
      <c r="O355" s="45"/>
      <c r="P355" s="45" t="s">
        <v>52</v>
      </c>
      <c r="Q355" s="44">
        <v>45824</v>
      </c>
      <c r="R355" s="45">
        <v>12</v>
      </c>
      <c r="S355" s="44">
        <v>45826</v>
      </c>
    </row>
    <row r="356" spans="1:19" ht="12.75">
      <c r="A356" s="45"/>
      <c r="B356" s="45"/>
      <c r="C356" s="45"/>
      <c r="D356" s="45"/>
      <c r="E356" s="45"/>
      <c r="F356" s="45"/>
      <c r="G356" s="45"/>
      <c r="H356" s="43"/>
      <c r="I356" s="45"/>
      <c r="J356" s="43">
        <v>454714622428</v>
      </c>
      <c r="K356" s="44">
        <v>45825</v>
      </c>
      <c r="L356" s="44">
        <v>45832</v>
      </c>
      <c r="M356" s="45" t="s">
        <v>50</v>
      </c>
      <c r="N356" s="45" t="s">
        <v>51</v>
      </c>
      <c r="O356" s="45"/>
      <c r="P356" s="45" t="s">
        <v>52</v>
      </c>
      <c r="Q356" s="44">
        <v>45824</v>
      </c>
      <c r="R356" s="45">
        <v>2</v>
      </c>
      <c r="S356" s="44">
        <v>45826</v>
      </c>
    </row>
    <row r="357" spans="1:19" ht="12.75">
      <c r="A357" s="45"/>
      <c r="B357" s="45"/>
      <c r="C357" s="45"/>
      <c r="D357" s="45"/>
      <c r="E357" s="45"/>
      <c r="F357" s="45"/>
      <c r="G357" s="45"/>
      <c r="H357" s="43"/>
      <c r="I357" s="45"/>
      <c r="J357" s="43">
        <v>454714661923</v>
      </c>
      <c r="K357" s="44">
        <v>45825</v>
      </c>
      <c r="L357" s="44">
        <v>45832</v>
      </c>
      <c r="M357" s="45" t="s">
        <v>50</v>
      </c>
      <c r="N357" s="45" t="s">
        <v>51</v>
      </c>
      <c r="O357" s="45"/>
      <c r="P357" s="45" t="s">
        <v>52</v>
      </c>
      <c r="Q357" s="44">
        <v>45824</v>
      </c>
      <c r="R357" s="45">
        <v>3</v>
      </c>
      <c r="S357" s="44">
        <v>45826</v>
      </c>
    </row>
    <row r="358" spans="1:19" ht="12.75">
      <c r="A358" s="45"/>
      <c r="B358" s="45"/>
      <c r="C358" s="45"/>
      <c r="D358" s="45"/>
      <c r="E358" s="45"/>
      <c r="F358" s="45"/>
      <c r="G358" s="45"/>
      <c r="H358" s="43"/>
      <c r="I358" s="45"/>
      <c r="J358" s="43">
        <v>454714789370</v>
      </c>
      <c r="K358" s="44">
        <v>45825</v>
      </c>
      <c r="L358" s="44">
        <v>45832</v>
      </c>
      <c r="M358" s="45" t="s">
        <v>50</v>
      </c>
      <c r="N358" s="45" t="s">
        <v>51</v>
      </c>
      <c r="O358" s="45"/>
      <c r="P358" s="45" t="s">
        <v>52</v>
      </c>
      <c r="Q358" s="44">
        <v>45824</v>
      </c>
      <c r="R358" s="45">
        <v>9</v>
      </c>
      <c r="S358" s="44">
        <v>45826</v>
      </c>
    </row>
    <row r="359" spans="1:19" ht="12.75">
      <c r="A359" s="45"/>
      <c r="B359" s="45"/>
      <c r="C359" s="45"/>
      <c r="D359" s="45"/>
      <c r="E359" s="45"/>
      <c r="F359" s="45"/>
      <c r="G359" s="45"/>
      <c r="H359" s="43"/>
      <c r="I359" s="45"/>
      <c r="J359" s="43">
        <v>454714960542</v>
      </c>
      <c r="K359" s="44">
        <v>45825</v>
      </c>
      <c r="L359" s="44">
        <v>45832</v>
      </c>
      <c r="M359" s="45" t="s">
        <v>50</v>
      </c>
      <c r="N359" s="45" t="s">
        <v>51</v>
      </c>
      <c r="O359" s="45"/>
      <c r="P359" s="45" t="s">
        <v>52</v>
      </c>
      <c r="Q359" s="44">
        <v>45824</v>
      </c>
      <c r="R359" s="45">
        <v>1</v>
      </c>
      <c r="S359" s="44">
        <v>45826</v>
      </c>
    </row>
    <row r="360" spans="1:19" ht="12.75">
      <c r="A360" s="45"/>
      <c r="B360" s="45"/>
      <c r="C360" s="45"/>
      <c r="D360" s="45"/>
      <c r="E360" s="45"/>
      <c r="F360" s="45"/>
      <c r="G360" s="45"/>
      <c r="H360" s="43"/>
      <c r="I360" s="45"/>
      <c r="J360" s="43">
        <v>454714967164</v>
      </c>
      <c r="K360" s="44">
        <v>45825</v>
      </c>
      <c r="L360" s="44">
        <v>45832</v>
      </c>
      <c r="M360" s="45" t="s">
        <v>50</v>
      </c>
      <c r="N360" s="45" t="s">
        <v>51</v>
      </c>
      <c r="O360" s="45"/>
      <c r="P360" s="45" t="s">
        <v>52</v>
      </c>
      <c r="Q360" s="44">
        <v>45824</v>
      </c>
      <c r="R360" s="45">
        <v>3</v>
      </c>
      <c r="S360" s="44">
        <v>45826</v>
      </c>
    </row>
    <row r="361" spans="1:19" ht="12.75">
      <c r="A361" s="45"/>
      <c r="B361" s="45"/>
      <c r="C361" s="45"/>
      <c r="D361" s="45"/>
      <c r="E361" s="45"/>
      <c r="F361" s="45"/>
      <c r="G361" s="45"/>
      <c r="H361" s="43"/>
      <c r="I361" s="45"/>
      <c r="J361" s="43">
        <v>454715072465</v>
      </c>
      <c r="K361" s="44">
        <v>45825</v>
      </c>
      <c r="L361" s="44">
        <v>45832</v>
      </c>
      <c r="M361" s="45" t="s">
        <v>50</v>
      </c>
      <c r="N361" s="45" t="s">
        <v>51</v>
      </c>
      <c r="O361" s="45"/>
      <c r="P361" s="45" t="s">
        <v>52</v>
      </c>
      <c r="Q361" s="44">
        <v>45824</v>
      </c>
      <c r="R361" s="45">
        <v>3</v>
      </c>
      <c r="S361" s="44">
        <v>45826</v>
      </c>
    </row>
    <row r="362" spans="1:19" ht="12.75">
      <c r="A362" s="45"/>
      <c r="B362" s="45"/>
      <c r="C362" s="45"/>
      <c r="D362" s="45"/>
      <c r="E362" s="45"/>
      <c r="F362" s="45"/>
      <c r="G362" s="45"/>
      <c r="H362" s="43"/>
      <c r="I362" s="45"/>
      <c r="J362" s="43">
        <v>454715264989</v>
      </c>
      <c r="K362" s="44">
        <v>45825</v>
      </c>
      <c r="L362" s="44">
        <v>45832</v>
      </c>
      <c r="M362" s="45" t="s">
        <v>50</v>
      </c>
      <c r="N362" s="45" t="s">
        <v>51</v>
      </c>
      <c r="O362" s="45"/>
      <c r="P362" s="45" t="s">
        <v>52</v>
      </c>
      <c r="Q362" s="44">
        <v>45824</v>
      </c>
      <c r="R362" s="45">
        <v>1</v>
      </c>
      <c r="S362" s="44">
        <v>45826</v>
      </c>
    </row>
    <row r="363" spans="1:19" ht="12.75">
      <c r="A363" s="45"/>
      <c r="B363" s="45"/>
      <c r="C363" s="45"/>
      <c r="D363" s="45"/>
      <c r="E363" s="45"/>
      <c r="F363" s="45"/>
      <c r="G363" s="45"/>
      <c r="H363" s="43"/>
      <c r="I363" s="45"/>
      <c r="J363" s="43">
        <v>454715350749</v>
      </c>
      <c r="K363" s="44">
        <v>45825</v>
      </c>
      <c r="L363" s="44">
        <v>45832</v>
      </c>
      <c r="M363" s="45" t="s">
        <v>50</v>
      </c>
      <c r="N363" s="45" t="s">
        <v>51</v>
      </c>
      <c r="O363" s="45"/>
      <c r="P363" s="45" t="s">
        <v>52</v>
      </c>
      <c r="Q363" s="44">
        <v>45824</v>
      </c>
      <c r="R363" s="45">
        <v>1</v>
      </c>
      <c r="S363" s="44">
        <v>45826</v>
      </c>
    </row>
    <row r="364" spans="1:19" ht="12.75">
      <c r="A364" s="45"/>
      <c r="B364" s="45"/>
      <c r="C364" s="45"/>
      <c r="D364" s="45"/>
      <c r="E364" s="45"/>
      <c r="F364" s="45"/>
      <c r="G364" s="45"/>
      <c r="H364" s="43"/>
      <c r="I364" s="45"/>
      <c r="J364" s="43">
        <v>454715529553</v>
      </c>
      <c r="K364" s="44">
        <v>45825</v>
      </c>
      <c r="L364" s="44">
        <v>45832</v>
      </c>
      <c r="M364" s="45" t="s">
        <v>50</v>
      </c>
      <c r="N364" s="45" t="s">
        <v>51</v>
      </c>
      <c r="O364" s="45"/>
      <c r="P364" s="45" t="s">
        <v>52</v>
      </c>
      <c r="Q364" s="44">
        <v>45824</v>
      </c>
      <c r="R364" s="45">
        <v>21</v>
      </c>
      <c r="S364" s="44">
        <v>45826</v>
      </c>
    </row>
    <row r="365" spans="1:19" ht="12.75">
      <c r="A365" s="45"/>
      <c r="B365" s="45"/>
      <c r="C365" s="45"/>
      <c r="D365" s="45"/>
      <c r="E365" s="45"/>
      <c r="F365" s="45"/>
      <c r="G365" s="45"/>
      <c r="H365" s="43"/>
      <c r="I365" s="45"/>
      <c r="J365" s="43">
        <v>454715880007</v>
      </c>
      <c r="K365" s="44">
        <v>45825</v>
      </c>
      <c r="L365" s="44">
        <v>45832</v>
      </c>
      <c r="M365" s="45" t="s">
        <v>50</v>
      </c>
      <c r="N365" s="45" t="s">
        <v>51</v>
      </c>
      <c r="O365" s="45"/>
      <c r="P365" s="45" t="s">
        <v>52</v>
      </c>
      <c r="Q365" s="44">
        <v>45824</v>
      </c>
      <c r="R365" s="45">
        <v>8</v>
      </c>
      <c r="S365" s="44">
        <v>45826</v>
      </c>
    </row>
    <row r="366" spans="1:19" ht="12.75">
      <c r="A366" s="45"/>
      <c r="B366" s="45"/>
      <c r="C366" s="45"/>
      <c r="D366" s="45"/>
      <c r="E366" s="45"/>
      <c r="F366" s="45"/>
      <c r="G366" s="45"/>
      <c r="H366" s="43"/>
      <c r="I366" s="45"/>
      <c r="J366" s="43">
        <v>454715944362</v>
      </c>
      <c r="K366" s="44">
        <v>45825</v>
      </c>
      <c r="L366" s="44">
        <v>45832</v>
      </c>
      <c r="M366" s="45" t="s">
        <v>50</v>
      </c>
      <c r="N366" s="45" t="s">
        <v>51</v>
      </c>
      <c r="O366" s="45"/>
      <c r="P366" s="45" t="s">
        <v>52</v>
      </c>
      <c r="Q366" s="44">
        <v>45824</v>
      </c>
      <c r="R366" s="45">
        <v>8</v>
      </c>
      <c r="S366" s="44">
        <v>45826</v>
      </c>
    </row>
    <row r="367" spans="1:19" ht="12.75">
      <c r="A367" s="45"/>
      <c r="B367" s="45"/>
      <c r="C367" s="45"/>
      <c r="D367" s="45"/>
      <c r="E367" s="45"/>
      <c r="F367" s="45"/>
      <c r="G367" s="45"/>
      <c r="H367" s="43"/>
      <c r="I367" s="45"/>
      <c r="J367" s="43">
        <v>454716220598</v>
      </c>
      <c r="K367" s="44">
        <v>45825</v>
      </c>
      <c r="L367" s="44">
        <v>45832</v>
      </c>
      <c r="M367" s="45" t="s">
        <v>50</v>
      </c>
      <c r="N367" s="45" t="s">
        <v>51</v>
      </c>
      <c r="O367" s="45"/>
      <c r="P367" s="45" t="s">
        <v>52</v>
      </c>
      <c r="Q367" s="44">
        <v>45824</v>
      </c>
      <c r="R367" s="45">
        <v>4</v>
      </c>
      <c r="S367" s="44">
        <v>45826</v>
      </c>
    </row>
    <row r="368" spans="1:19" ht="12.75">
      <c r="A368" s="45"/>
      <c r="B368" s="45"/>
      <c r="C368" s="45"/>
      <c r="D368" s="45"/>
      <c r="E368" s="45"/>
      <c r="F368" s="45"/>
      <c r="G368" s="45"/>
      <c r="H368" s="43"/>
      <c r="I368" s="45"/>
      <c r="J368" s="43">
        <v>454716420390</v>
      </c>
      <c r="K368" s="44">
        <v>45825</v>
      </c>
      <c r="L368" s="44">
        <v>45832</v>
      </c>
      <c r="M368" s="45" t="s">
        <v>50</v>
      </c>
      <c r="N368" s="45" t="s">
        <v>51</v>
      </c>
      <c r="O368" s="45"/>
      <c r="P368" s="45" t="s">
        <v>52</v>
      </c>
      <c r="Q368" s="44">
        <v>45824</v>
      </c>
      <c r="R368" s="45">
        <v>7</v>
      </c>
      <c r="S368" s="44">
        <v>45826</v>
      </c>
    </row>
    <row r="369" spans="1:19" ht="12.75">
      <c r="A369" s="45"/>
      <c r="B369" s="45"/>
      <c r="C369" s="45"/>
      <c r="D369" s="45"/>
      <c r="E369" s="45"/>
      <c r="F369" s="45"/>
      <c r="G369" s="45"/>
      <c r="H369" s="43"/>
      <c r="I369" s="45"/>
      <c r="J369" s="43">
        <v>454716539002</v>
      </c>
      <c r="K369" s="44">
        <v>45825</v>
      </c>
      <c r="L369" s="44">
        <v>45832</v>
      </c>
      <c r="M369" s="45" t="s">
        <v>50</v>
      </c>
      <c r="N369" s="45" t="s">
        <v>51</v>
      </c>
      <c r="O369" s="45"/>
      <c r="P369" s="45" t="s">
        <v>52</v>
      </c>
      <c r="Q369" s="44">
        <v>45824</v>
      </c>
      <c r="R369" s="45">
        <v>6</v>
      </c>
      <c r="S369" s="44">
        <v>45826</v>
      </c>
    </row>
    <row r="370" spans="1:19" ht="12.75">
      <c r="A370" s="45"/>
      <c r="B370" s="45"/>
      <c r="C370" s="45"/>
      <c r="D370" s="45"/>
      <c r="E370" s="45"/>
      <c r="F370" s="45"/>
      <c r="G370" s="45"/>
      <c r="H370" s="43"/>
      <c r="I370" s="45"/>
      <c r="J370" s="43">
        <v>454716985952</v>
      </c>
      <c r="K370" s="44">
        <v>45825</v>
      </c>
      <c r="L370" s="44">
        <v>45832</v>
      </c>
      <c r="M370" s="45" t="s">
        <v>50</v>
      </c>
      <c r="N370" s="45" t="s">
        <v>51</v>
      </c>
      <c r="O370" s="45"/>
      <c r="P370" s="45" t="s">
        <v>52</v>
      </c>
      <c r="Q370" s="44">
        <v>45824</v>
      </c>
      <c r="R370" s="45">
        <v>3</v>
      </c>
      <c r="S370" s="44">
        <v>45826</v>
      </c>
    </row>
    <row r="371" spans="1:19" ht="12.75">
      <c r="A371" s="45"/>
      <c r="B371" s="45"/>
      <c r="C371" s="45"/>
      <c r="D371" s="45"/>
      <c r="E371" s="45"/>
      <c r="F371" s="45"/>
      <c r="G371" s="45"/>
      <c r="H371" s="43"/>
      <c r="I371" s="45"/>
      <c r="J371" s="43">
        <v>454719838375</v>
      </c>
      <c r="K371" s="44">
        <v>45825</v>
      </c>
      <c r="L371" s="44">
        <v>45832</v>
      </c>
      <c r="M371" s="45" t="s">
        <v>50</v>
      </c>
      <c r="N371" s="45" t="s">
        <v>51</v>
      </c>
      <c r="O371" s="45"/>
      <c r="P371" s="45" t="s">
        <v>52</v>
      </c>
      <c r="Q371" s="44">
        <v>45824</v>
      </c>
      <c r="R371" s="45">
        <v>10</v>
      </c>
      <c r="S371" s="44">
        <v>45826</v>
      </c>
    </row>
    <row r="372" spans="1:19" ht="12.75">
      <c r="A372" s="45"/>
      <c r="B372" s="45"/>
      <c r="C372" s="45"/>
      <c r="D372" s="45"/>
      <c r="E372" s="45"/>
      <c r="F372" s="45"/>
      <c r="G372" s="45"/>
      <c r="H372" s="43"/>
      <c r="I372" s="45"/>
      <c r="J372" s="43">
        <v>454719838790</v>
      </c>
      <c r="K372" s="44">
        <v>45825</v>
      </c>
      <c r="L372" s="44">
        <v>45832</v>
      </c>
      <c r="M372" s="45" t="s">
        <v>50</v>
      </c>
      <c r="N372" s="45" t="s">
        <v>51</v>
      </c>
      <c r="O372" s="45"/>
      <c r="P372" s="45" t="s">
        <v>52</v>
      </c>
      <c r="Q372" s="44">
        <v>45824</v>
      </c>
      <c r="R372" s="45">
        <v>4</v>
      </c>
      <c r="S372" s="44">
        <v>45826</v>
      </c>
    </row>
    <row r="373" spans="1:19" ht="12.75">
      <c r="A373" s="45"/>
      <c r="B373" s="45"/>
      <c r="C373" s="45"/>
      <c r="D373" s="45"/>
      <c r="E373" s="45"/>
      <c r="F373" s="45"/>
      <c r="G373" s="45"/>
      <c r="H373" s="43"/>
      <c r="I373" s="45"/>
      <c r="J373" s="43">
        <v>454720839532</v>
      </c>
      <c r="K373" s="44">
        <v>45825</v>
      </c>
      <c r="L373" s="44">
        <v>45832</v>
      </c>
      <c r="M373" s="45" t="s">
        <v>50</v>
      </c>
      <c r="N373" s="45" t="s">
        <v>51</v>
      </c>
      <c r="O373" s="45"/>
      <c r="P373" s="45" t="s">
        <v>52</v>
      </c>
      <c r="Q373" s="44">
        <v>45824</v>
      </c>
      <c r="R373" s="45">
        <v>6</v>
      </c>
      <c r="S373" s="44">
        <v>45826</v>
      </c>
    </row>
    <row r="374" spans="1:19" ht="12.75">
      <c r="A374" s="45"/>
      <c r="B374" s="45"/>
      <c r="C374" s="45"/>
      <c r="D374" s="45"/>
      <c r="E374" s="45"/>
      <c r="F374" s="45"/>
      <c r="G374" s="45"/>
      <c r="H374" s="43"/>
      <c r="I374" s="45"/>
      <c r="J374" s="43">
        <v>454720922371</v>
      </c>
      <c r="K374" s="44">
        <v>45825</v>
      </c>
      <c r="L374" s="44">
        <v>45832</v>
      </c>
      <c r="M374" s="45" t="s">
        <v>50</v>
      </c>
      <c r="N374" s="45" t="s">
        <v>51</v>
      </c>
      <c r="O374" s="45"/>
      <c r="P374" s="45" t="s">
        <v>52</v>
      </c>
      <c r="Q374" s="44">
        <v>45824</v>
      </c>
      <c r="R374" s="45">
        <v>7</v>
      </c>
      <c r="S374" s="44">
        <v>45826</v>
      </c>
    </row>
    <row r="375" spans="1:19" ht="12.75">
      <c r="A375" s="45"/>
      <c r="B375" s="45"/>
      <c r="C375" s="45"/>
      <c r="D375" s="45"/>
      <c r="E375" s="45"/>
      <c r="F375" s="45"/>
      <c r="G375" s="45"/>
      <c r="H375" s="43"/>
      <c r="I375" s="45"/>
      <c r="J375" s="43">
        <v>454721233456</v>
      </c>
      <c r="K375" s="44">
        <v>45825</v>
      </c>
      <c r="L375" s="44">
        <v>45832</v>
      </c>
      <c r="M375" s="45" t="s">
        <v>50</v>
      </c>
      <c r="N375" s="45" t="s">
        <v>51</v>
      </c>
      <c r="O375" s="45"/>
      <c r="P375" s="45" t="s">
        <v>52</v>
      </c>
      <c r="Q375" s="44">
        <v>45824</v>
      </c>
      <c r="R375" s="45">
        <v>5</v>
      </c>
      <c r="S375" s="44">
        <v>45826</v>
      </c>
    </row>
    <row r="376" spans="1:19" ht="12.75">
      <c r="A376" s="45"/>
      <c r="B376" s="45"/>
      <c r="C376" s="45"/>
      <c r="D376" s="45"/>
      <c r="E376" s="45"/>
      <c r="F376" s="45"/>
      <c r="G376" s="45"/>
      <c r="H376" s="43"/>
      <c r="I376" s="44" t="s">
        <v>124</v>
      </c>
      <c r="J376" s="43">
        <v>454770292169</v>
      </c>
      <c r="K376" s="44">
        <v>45825</v>
      </c>
      <c r="L376" s="44">
        <v>45832</v>
      </c>
      <c r="M376" s="45" t="s">
        <v>50</v>
      </c>
      <c r="N376" s="45" t="s">
        <v>51</v>
      </c>
      <c r="O376" s="45"/>
      <c r="P376" s="45" t="s">
        <v>52</v>
      </c>
      <c r="Q376" s="44">
        <v>45824</v>
      </c>
      <c r="R376" s="45">
        <v>3</v>
      </c>
      <c r="S376" s="44">
        <v>45826</v>
      </c>
    </row>
    <row r="377" spans="1:19" ht="12.75">
      <c r="A377" s="45"/>
      <c r="B377" s="45"/>
      <c r="C377" s="45"/>
      <c r="D377" s="45"/>
      <c r="E377" s="45"/>
      <c r="F377" s="45"/>
      <c r="G377" s="45"/>
      <c r="H377" s="43"/>
      <c r="I377" s="45"/>
      <c r="J377" s="43">
        <v>454776741148</v>
      </c>
      <c r="K377" s="44">
        <v>45825</v>
      </c>
      <c r="L377" s="44">
        <v>45832</v>
      </c>
      <c r="M377" s="45" t="s">
        <v>50</v>
      </c>
      <c r="N377" s="45" t="s">
        <v>51</v>
      </c>
      <c r="O377" s="45"/>
      <c r="P377" s="45" t="s">
        <v>52</v>
      </c>
      <c r="Q377" s="44">
        <v>45824</v>
      </c>
      <c r="R377" s="45">
        <v>3</v>
      </c>
      <c r="S377" s="44">
        <v>45826</v>
      </c>
    </row>
    <row r="378" spans="1:19" ht="12.75">
      <c r="A378" s="45"/>
      <c r="B378" s="45"/>
      <c r="C378" s="45"/>
      <c r="D378" s="45"/>
      <c r="E378" s="45"/>
      <c r="F378" s="45"/>
      <c r="G378" s="45"/>
      <c r="H378" s="43"/>
      <c r="I378" s="45"/>
      <c r="J378" s="43">
        <v>454776741208</v>
      </c>
      <c r="K378" s="44">
        <v>45825</v>
      </c>
      <c r="L378" s="44">
        <v>45832</v>
      </c>
      <c r="M378" s="45" t="s">
        <v>50</v>
      </c>
      <c r="N378" s="45" t="s">
        <v>51</v>
      </c>
      <c r="O378" s="45"/>
      <c r="P378" s="45" t="s">
        <v>52</v>
      </c>
      <c r="Q378" s="44">
        <v>45824</v>
      </c>
      <c r="R378" s="45">
        <v>1</v>
      </c>
      <c r="S378" s="44">
        <v>45826</v>
      </c>
    </row>
    <row r="379" spans="1:19" ht="12.75">
      <c r="A379" s="45"/>
      <c r="B379" s="45"/>
      <c r="C379" s="45"/>
      <c r="D379" s="45"/>
      <c r="E379" s="45"/>
      <c r="F379" s="45"/>
      <c r="G379" s="45"/>
      <c r="H379" s="43"/>
      <c r="I379" s="45"/>
      <c r="J379" s="43">
        <v>454776867307</v>
      </c>
      <c r="K379" s="44">
        <v>45825</v>
      </c>
      <c r="L379" s="44">
        <v>45832</v>
      </c>
      <c r="M379" s="45" t="s">
        <v>50</v>
      </c>
      <c r="N379" s="45" t="s">
        <v>51</v>
      </c>
      <c r="O379" s="45"/>
      <c r="P379" s="45" t="s">
        <v>52</v>
      </c>
      <c r="Q379" s="44">
        <v>45824</v>
      </c>
      <c r="R379" s="45">
        <v>1</v>
      </c>
      <c r="S379" s="44">
        <v>45826</v>
      </c>
    </row>
    <row r="380" spans="1:19" ht="12.75">
      <c r="A380" s="45"/>
      <c r="B380" s="45"/>
      <c r="C380" s="45"/>
      <c r="D380" s="45"/>
      <c r="E380" s="45"/>
      <c r="F380" s="45"/>
      <c r="G380" s="45"/>
      <c r="H380" s="43"/>
      <c r="I380" s="45"/>
      <c r="J380" s="43">
        <v>454777443457</v>
      </c>
      <c r="K380" s="44">
        <v>45825</v>
      </c>
      <c r="L380" s="44">
        <v>45832</v>
      </c>
      <c r="M380" s="45" t="s">
        <v>50</v>
      </c>
      <c r="N380" s="45" t="s">
        <v>51</v>
      </c>
      <c r="O380" s="45"/>
      <c r="P380" s="45" t="s">
        <v>52</v>
      </c>
      <c r="Q380" s="44">
        <v>45824</v>
      </c>
      <c r="R380" s="45">
        <v>4</v>
      </c>
      <c r="S380" s="44">
        <v>45826</v>
      </c>
    </row>
    <row r="381" spans="1:19" ht="12.75">
      <c r="A381" s="45"/>
      <c r="B381" s="45"/>
      <c r="C381" s="45"/>
      <c r="D381" s="45"/>
      <c r="E381" s="45"/>
      <c r="F381" s="45"/>
      <c r="G381" s="45"/>
      <c r="H381" s="43"/>
      <c r="I381" s="45"/>
      <c r="J381" s="43">
        <v>454777445244</v>
      </c>
      <c r="K381" s="44">
        <v>45825</v>
      </c>
      <c r="L381" s="44">
        <v>45832</v>
      </c>
      <c r="M381" s="45" t="s">
        <v>50</v>
      </c>
      <c r="N381" s="45" t="s">
        <v>51</v>
      </c>
      <c r="O381" s="45"/>
      <c r="P381" s="45" t="s">
        <v>52</v>
      </c>
      <c r="Q381" s="44">
        <v>45824</v>
      </c>
      <c r="R381" s="45">
        <v>1</v>
      </c>
      <c r="S381" s="44">
        <v>45826</v>
      </c>
    </row>
    <row r="382" spans="1:19" ht="12.75">
      <c r="A382" s="45"/>
      <c r="B382" s="45"/>
      <c r="C382" s="45"/>
      <c r="D382" s="45"/>
      <c r="E382" s="45"/>
      <c r="F382" s="45"/>
      <c r="G382" s="45"/>
      <c r="H382" s="43"/>
      <c r="I382" s="45"/>
      <c r="J382" s="43">
        <v>454777445314</v>
      </c>
      <c r="K382" s="44">
        <v>45825</v>
      </c>
      <c r="L382" s="44">
        <v>45832</v>
      </c>
      <c r="M382" s="45" t="s">
        <v>50</v>
      </c>
      <c r="N382" s="45" t="s">
        <v>51</v>
      </c>
      <c r="O382" s="45"/>
      <c r="P382" s="45" t="s">
        <v>52</v>
      </c>
      <c r="Q382" s="44">
        <v>45824</v>
      </c>
      <c r="R382" s="45">
        <v>3</v>
      </c>
      <c r="S382" s="44">
        <v>45826</v>
      </c>
    </row>
    <row r="383" spans="1:19" ht="12.75">
      <c r="A383" s="45"/>
      <c r="B383" s="45"/>
      <c r="C383" s="45"/>
      <c r="D383" s="45"/>
      <c r="E383" s="45"/>
      <c r="F383" s="45"/>
      <c r="G383" s="45"/>
      <c r="H383" s="43"/>
      <c r="I383" s="44" t="s">
        <v>65</v>
      </c>
      <c r="J383" s="43">
        <v>452907207315</v>
      </c>
      <c r="K383" s="44">
        <v>45825</v>
      </c>
      <c r="L383" s="44">
        <v>45832</v>
      </c>
      <c r="M383" s="45" t="s">
        <v>50</v>
      </c>
      <c r="N383" s="45" t="s">
        <v>51</v>
      </c>
      <c r="O383" s="45"/>
      <c r="P383" s="45" t="s">
        <v>52</v>
      </c>
      <c r="Q383" s="44">
        <v>45824</v>
      </c>
      <c r="R383" s="45">
        <v>1</v>
      </c>
      <c r="S383" s="44">
        <v>45826</v>
      </c>
    </row>
    <row r="384" spans="1:19" ht="12.75">
      <c r="A384" s="45"/>
      <c r="B384" s="45"/>
      <c r="C384" s="45"/>
      <c r="D384" s="45"/>
      <c r="E384" s="45"/>
      <c r="F384" s="45"/>
      <c r="G384" s="45"/>
      <c r="H384" s="43"/>
      <c r="I384" s="45"/>
      <c r="J384" s="43">
        <v>452907209433</v>
      </c>
      <c r="K384" s="44">
        <v>45825</v>
      </c>
      <c r="L384" s="44">
        <v>45832</v>
      </c>
      <c r="M384" s="45" t="s">
        <v>50</v>
      </c>
      <c r="N384" s="45" t="s">
        <v>51</v>
      </c>
      <c r="O384" s="45"/>
      <c r="P384" s="45" t="s">
        <v>52</v>
      </c>
      <c r="Q384" s="44">
        <v>45824</v>
      </c>
      <c r="R384" s="45">
        <v>9</v>
      </c>
      <c r="S384" s="44">
        <v>45826</v>
      </c>
    </row>
    <row r="385" spans="1:19" ht="12.75">
      <c r="A385" s="45"/>
      <c r="B385" s="45"/>
      <c r="C385" s="45"/>
      <c r="D385" s="45"/>
      <c r="E385" s="45"/>
      <c r="F385" s="45"/>
      <c r="G385" s="45"/>
      <c r="H385" s="43"/>
      <c r="I385" s="45"/>
      <c r="J385" s="43">
        <v>452907289795</v>
      </c>
      <c r="K385" s="44">
        <v>45825</v>
      </c>
      <c r="L385" s="44">
        <v>45832</v>
      </c>
      <c r="M385" s="45" t="s">
        <v>50</v>
      </c>
      <c r="N385" s="45" t="s">
        <v>51</v>
      </c>
      <c r="O385" s="45"/>
      <c r="P385" s="45" t="s">
        <v>52</v>
      </c>
      <c r="Q385" s="44">
        <v>45824</v>
      </c>
      <c r="R385" s="45">
        <v>1</v>
      </c>
      <c r="S385" s="44">
        <v>45826</v>
      </c>
    </row>
    <row r="386" spans="1:19" ht="12.75">
      <c r="A386" s="45"/>
      <c r="B386" s="45"/>
      <c r="C386" s="45"/>
      <c r="D386" s="45"/>
      <c r="E386" s="45"/>
      <c r="F386" s="45"/>
      <c r="G386" s="45"/>
      <c r="H386" s="43"/>
      <c r="I386" s="45"/>
      <c r="J386" s="43">
        <v>452910674494</v>
      </c>
      <c r="K386" s="44">
        <v>45825</v>
      </c>
      <c r="L386" s="44">
        <v>45832</v>
      </c>
      <c r="M386" s="45" t="s">
        <v>50</v>
      </c>
      <c r="N386" s="45" t="s">
        <v>51</v>
      </c>
      <c r="O386" s="45"/>
      <c r="P386" s="45" t="s">
        <v>52</v>
      </c>
      <c r="Q386" s="44">
        <v>45824</v>
      </c>
      <c r="R386" s="45">
        <v>5</v>
      </c>
      <c r="S386" s="44">
        <v>45826</v>
      </c>
    </row>
    <row r="387" spans="1:19" ht="12.75">
      <c r="A387" s="45"/>
      <c r="B387" s="45"/>
      <c r="C387" s="45"/>
      <c r="D387" s="45"/>
      <c r="E387" s="45"/>
      <c r="F387" s="45"/>
      <c r="G387" s="45"/>
      <c r="H387" s="43"/>
      <c r="I387" s="45"/>
      <c r="J387" s="43">
        <v>452914344646</v>
      </c>
      <c r="K387" s="44">
        <v>45825</v>
      </c>
      <c r="L387" s="44">
        <v>45832</v>
      </c>
      <c r="M387" s="45" t="s">
        <v>50</v>
      </c>
      <c r="N387" s="45" t="s">
        <v>51</v>
      </c>
      <c r="O387" s="45"/>
      <c r="P387" s="45" t="s">
        <v>52</v>
      </c>
      <c r="Q387" s="44">
        <v>45824</v>
      </c>
      <c r="R387" s="45">
        <v>8</v>
      </c>
      <c r="S387" s="44">
        <v>45826</v>
      </c>
    </row>
    <row r="388" spans="1:19" ht="12.75">
      <c r="A388" s="45"/>
      <c r="B388" s="45"/>
      <c r="C388" s="45"/>
      <c r="D388" s="45"/>
      <c r="E388" s="45"/>
      <c r="F388" s="45"/>
      <c r="G388" s="45"/>
      <c r="H388" s="43"/>
      <c r="I388" s="45"/>
      <c r="J388" s="43">
        <v>452914765943</v>
      </c>
      <c r="K388" s="44">
        <v>45825</v>
      </c>
      <c r="L388" s="44">
        <v>45832</v>
      </c>
      <c r="M388" s="45" t="s">
        <v>50</v>
      </c>
      <c r="N388" s="45" t="s">
        <v>51</v>
      </c>
      <c r="O388" s="45"/>
      <c r="P388" s="45" t="s">
        <v>52</v>
      </c>
      <c r="Q388" s="44">
        <v>45824</v>
      </c>
      <c r="R388" s="45">
        <v>9</v>
      </c>
      <c r="S388" s="44">
        <v>45826</v>
      </c>
    </row>
    <row r="389" spans="1:19" ht="12.75">
      <c r="A389" s="45"/>
      <c r="B389" s="45"/>
      <c r="C389" s="45"/>
      <c r="D389" s="45"/>
      <c r="E389" s="45"/>
      <c r="F389" s="45"/>
      <c r="G389" s="45"/>
      <c r="H389" s="43"/>
      <c r="I389" s="45"/>
      <c r="J389" s="43">
        <v>454980124369</v>
      </c>
      <c r="K389" s="44">
        <v>45825</v>
      </c>
      <c r="L389" s="44">
        <v>45832</v>
      </c>
      <c r="M389" s="45" t="s">
        <v>50</v>
      </c>
      <c r="N389" s="45" t="s">
        <v>51</v>
      </c>
      <c r="O389" s="45"/>
      <c r="P389" s="45" t="s">
        <v>52</v>
      </c>
      <c r="Q389" s="44">
        <v>45824</v>
      </c>
      <c r="R389" s="45">
        <v>1</v>
      </c>
      <c r="S389" s="44">
        <v>45826</v>
      </c>
    </row>
    <row r="390" spans="1:19" ht="12.75">
      <c r="A390" s="45"/>
      <c r="B390" s="45"/>
      <c r="C390" s="45"/>
      <c r="D390" s="45"/>
      <c r="E390" s="45"/>
      <c r="F390" s="45"/>
      <c r="G390" s="45"/>
      <c r="H390" s="43"/>
      <c r="I390" s="45"/>
      <c r="J390" s="43">
        <v>454984993809</v>
      </c>
      <c r="K390" s="44">
        <v>45825</v>
      </c>
      <c r="L390" s="44">
        <v>45832</v>
      </c>
      <c r="M390" s="45" t="s">
        <v>50</v>
      </c>
      <c r="N390" s="45" t="s">
        <v>51</v>
      </c>
      <c r="O390" s="45"/>
      <c r="P390" s="45" t="s">
        <v>52</v>
      </c>
      <c r="Q390" s="44">
        <v>45824</v>
      </c>
      <c r="R390" s="45">
        <v>3</v>
      </c>
      <c r="S390" s="44">
        <v>45826</v>
      </c>
    </row>
    <row r="391" spans="1:19" ht="12.75">
      <c r="A391" s="45"/>
      <c r="B391" s="45"/>
      <c r="C391" s="45"/>
      <c r="D391" s="45"/>
      <c r="E391" s="45"/>
      <c r="F391" s="45"/>
      <c r="G391" s="45"/>
      <c r="H391" s="43"/>
      <c r="I391" s="44" t="s">
        <v>82</v>
      </c>
      <c r="J391" s="43">
        <v>454700184543</v>
      </c>
      <c r="K391" s="44">
        <v>45825</v>
      </c>
      <c r="L391" s="44">
        <v>45832</v>
      </c>
      <c r="M391" s="45" t="s">
        <v>50</v>
      </c>
      <c r="N391" s="45" t="s">
        <v>51</v>
      </c>
      <c r="O391" s="45"/>
      <c r="P391" s="45" t="s">
        <v>52</v>
      </c>
      <c r="Q391" s="44">
        <v>45824</v>
      </c>
      <c r="R391" s="45">
        <v>4</v>
      </c>
      <c r="S391" s="44">
        <v>45826</v>
      </c>
    </row>
    <row r="392" spans="1:19" ht="12.75">
      <c r="A392" s="45"/>
      <c r="B392" s="45"/>
      <c r="C392" s="45"/>
      <c r="D392" s="45"/>
      <c r="E392" s="45"/>
      <c r="F392" s="45"/>
      <c r="G392" s="45"/>
      <c r="H392" s="43"/>
      <c r="I392" s="45"/>
      <c r="J392" s="43">
        <v>454701118584</v>
      </c>
      <c r="K392" s="44">
        <v>45825</v>
      </c>
      <c r="L392" s="44">
        <v>45832</v>
      </c>
      <c r="M392" s="45" t="s">
        <v>50</v>
      </c>
      <c r="N392" s="45" t="s">
        <v>51</v>
      </c>
      <c r="O392" s="45"/>
      <c r="P392" s="45" t="s">
        <v>52</v>
      </c>
      <c r="Q392" s="44">
        <v>45824</v>
      </c>
      <c r="R392" s="45">
        <v>7</v>
      </c>
      <c r="S392" s="44">
        <v>45826</v>
      </c>
    </row>
    <row r="393" spans="1:19" ht="12.75">
      <c r="A393" s="45"/>
      <c r="B393" s="45"/>
      <c r="C393" s="45"/>
      <c r="D393" s="45"/>
      <c r="E393" s="45"/>
      <c r="F393" s="45"/>
      <c r="G393" s="45"/>
      <c r="H393" s="43"/>
      <c r="I393" s="45"/>
      <c r="J393" s="43">
        <v>454701898077</v>
      </c>
      <c r="K393" s="44">
        <v>45825</v>
      </c>
      <c r="L393" s="44">
        <v>45832</v>
      </c>
      <c r="M393" s="45" t="s">
        <v>50</v>
      </c>
      <c r="N393" s="45" t="s">
        <v>51</v>
      </c>
      <c r="O393" s="45"/>
      <c r="P393" s="45" t="s">
        <v>52</v>
      </c>
      <c r="Q393" s="44">
        <v>45824</v>
      </c>
      <c r="R393" s="45">
        <v>5</v>
      </c>
      <c r="S393" s="44">
        <v>45826</v>
      </c>
    </row>
    <row r="394" spans="1:19" ht="12.75">
      <c r="A394" s="45"/>
      <c r="B394" s="45"/>
      <c r="C394" s="45"/>
      <c r="D394" s="45"/>
      <c r="E394" s="45"/>
      <c r="F394" s="45"/>
      <c r="G394" s="45"/>
      <c r="H394" s="43"/>
      <c r="I394" s="45"/>
      <c r="J394" s="43">
        <v>454701899241</v>
      </c>
      <c r="K394" s="44">
        <v>45825</v>
      </c>
      <c r="L394" s="44">
        <v>45832</v>
      </c>
      <c r="M394" s="45" t="s">
        <v>50</v>
      </c>
      <c r="N394" s="45" t="s">
        <v>51</v>
      </c>
      <c r="O394" s="45"/>
      <c r="P394" s="45" t="s">
        <v>52</v>
      </c>
      <c r="Q394" s="44">
        <v>45824</v>
      </c>
      <c r="R394" s="45">
        <v>5</v>
      </c>
      <c r="S394" s="44">
        <v>45826</v>
      </c>
    </row>
    <row r="395" spans="1:19" ht="12.75">
      <c r="A395" s="45"/>
      <c r="B395" s="45"/>
      <c r="C395" s="45"/>
      <c r="D395" s="45"/>
      <c r="E395" s="45"/>
      <c r="F395" s="45"/>
      <c r="G395" s="45"/>
      <c r="H395" s="43"/>
      <c r="I395" s="45"/>
      <c r="J395" s="43">
        <v>454702650660</v>
      </c>
      <c r="K395" s="44">
        <v>45825</v>
      </c>
      <c r="L395" s="44">
        <v>45832</v>
      </c>
      <c r="M395" s="45" t="s">
        <v>50</v>
      </c>
      <c r="N395" s="45" t="s">
        <v>51</v>
      </c>
      <c r="O395" s="45"/>
      <c r="P395" s="45" t="s">
        <v>52</v>
      </c>
      <c r="Q395" s="44">
        <v>45824</v>
      </c>
      <c r="R395" s="45">
        <v>5</v>
      </c>
      <c r="S395" s="44">
        <v>45826</v>
      </c>
    </row>
    <row r="396" spans="1:19" ht="12.75">
      <c r="A396" s="45"/>
      <c r="B396" s="45"/>
      <c r="C396" s="45"/>
      <c r="D396" s="45"/>
      <c r="E396" s="45"/>
      <c r="F396" s="45"/>
      <c r="G396" s="45"/>
      <c r="H396" s="43"/>
      <c r="I396" s="45"/>
      <c r="J396" s="43">
        <v>454702745689</v>
      </c>
      <c r="K396" s="44">
        <v>45825</v>
      </c>
      <c r="L396" s="44">
        <v>45832</v>
      </c>
      <c r="M396" s="45" t="s">
        <v>50</v>
      </c>
      <c r="N396" s="45" t="s">
        <v>51</v>
      </c>
      <c r="O396" s="45"/>
      <c r="P396" s="45" t="s">
        <v>52</v>
      </c>
      <c r="Q396" s="44">
        <v>45824</v>
      </c>
      <c r="R396" s="45">
        <v>4</v>
      </c>
      <c r="S396" s="44">
        <v>45826</v>
      </c>
    </row>
    <row r="397" spans="1:19" ht="12.75">
      <c r="A397" s="45"/>
      <c r="B397" s="45"/>
      <c r="C397" s="45"/>
      <c r="D397" s="45"/>
      <c r="E397" s="45"/>
      <c r="F397" s="45"/>
      <c r="G397" s="45"/>
      <c r="H397" s="43"/>
      <c r="I397" s="45"/>
      <c r="J397" s="43">
        <v>454703022457</v>
      </c>
      <c r="K397" s="44">
        <v>45825</v>
      </c>
      <c r="L397" s="44">
        <v>45832</v>
      </c>
      <c r="M397" s="45" t="s">
        <v>50</v>
      </c>
      <c r="N397" s="45" t="s">
        <v>51</v>
      </c>
      <c r="O397" s="45"/>
      <c r="P397" s="45" t="s">
        <v>52</v>
      </c>
      <c r="Q397" s="44">
        <v>45824</v>
      </c>
      <c r="R397" s="45">
        <v>10</v>
      </c>
      <c r="S397" s="44">
        <v>45826</v>
      </c>
    </row>
    <row r="398" spans="1:19" ht="12.75">
      <c r="A398" s="45"/>
      <c r="B398" s="45"/>
      <c r="C398" s="45"/>
      <c r="D398" s="45"/>
      <c r="E398" s="45"/>
      <c r="F398" s="45"/>
      <c r="G398" s="45"/>
      <c r="H398" s="43"/>
      <c r="I398" s="45"/>
      <c r="J398" s="43">
        <v>454703722960</v>
      </c>
      <c r="K398" s="44">
        <v>45825</v>
      </c>
      <c r="L398" s="44">
        <v>45832</v>
      </c>
      <c r="M398" s="45" t="s">
        <v>50</v>
      </c>
      <c r="N398" s="45" t="s">
        <v>51</v>
      </c>
      <c r="O398" s="45"/>
      <c r="P398" s="45" t="s">
        <v>52</v>
      </c>
      <c r="Q398" s="44">
        <v>45824</v>
      </c>
      <c r="R398" s="45">
        <v>13</v>
      </c>
      <c r="S398" s="44">
        <v>45826</v>
      </c>
    </row>
    <row r="399" spans="1:19" ht="12.75">
      <c r="A399" s="45"/>
      <c r="B399" s="45"/>
      <c r="C399" s="45"/>
      <c r="D399" s="45"/>
      <c r="E399" s="45"/>
      <c r="F399" s="45"/>
      <c r="G399" s="45"/>
      <c r="H399" s="43"/>
      <c r="I399" s="45"/>
      <c r="J399" s="43">
        <v>454703992680</v>
      </c>
      <c r="K399" s="44">
        <v>45825</v>
      </c>
      <c r="L399" s="44">
        <v>45832</v>
      </c>
      <c r="M399" s="45" t="s">
        <v>50</v>
      </c>
      <c r="N399" s="45" t="s">
        <v>51</v>
      </c>
      <c r="O399" s="45"/>
      <c r="P399" s="45" t="s">
        <v>52</v>
      </c>
      <c r="Q399" s="44">
        <v>45824</v>
      </c>
      <c r="R399" s="45">
        <v>7</v>
      </c>
      <c r="S399" s="44">
        <v>45826</v>
      </c>
    </row>
    <row r="400" spans="1:19" ht="12.75">
      <c r="A400" s="45"/>
      <c r="B400" s="45"/>
      <c r="C400" s="45"/>
      <c r="D400" s="45"/>
      <c r="E400" s="45"/>
      <c r="F400" s="45"/>
      <c r="G400" s="45"/>
      <c r="H400" s="43"/>
      <c r="I400" s="45"/>
      <c r="J400" s="43">
        <v>454704210198</v>
      </c>
      <c r="K400" s="44">
        <v>45825</v>
      </c>
      <c r="L400" s="44">
        <v>45832</v>
      </c>
      <c r="M400" s="45" t="s">
        <v>50</v>
      </c>
      <c r="N400" s="45" t="s">
        <v>51</v>
      </c>
      <c r="O400" s="45"/>
      <c r="P400" s="45" t="s">
        <v>52</v>
      </c>
      <c r="Q400" s="44">
        <v>45824</v>
      </c>
      <c r="R400" s="45">
        <v>6</v>
      </c>
      <c r="S400" s="44">
        <v>45826</v>
      </c>
    </row>
    <row r="401" spans="1:19" ht="12.75">
      <c r="A401" s="45"/>
      <c r="B401" s="45"/>
      <c r="C401" s="45"/>
      <c r="D401" s="45"/>
      <c r="E401" s="45"/>
      <c r="F401" s="45"/>
      <c r="G401" s="45"/>
      <c r="H401" s="43"/>
      <c r="I401" s="45"/>
      <c r="J401" s="43">
        <v>454711350541</v>
      </c>
      <c r="K401" s="44">
        <v>45825</v>
      </c>
      <c r="L401" s="44">
        <v>45832</v>
      </c>
      <c r="M401" s="45" t="s">
        <v>50</v>
      </c>
      <c r="N401" s="45" t="s">
        <v>51</v>
      </c>
      <c r="O401" s="45"/>
      <c r="P401" s="45" t="s">
        <v>52</v>
      </c>
      <c r="Q401" s="44">
        <v>45824</v>
      </c>
      <c r="R401" s="45">
        <v>4</v>
      </c>
      <c r="S401" s="44">
        <v>45826</v>
      </c>
    </row>
    <row r="402" spans="1:19" ht="12.75">
      <c r="A402" s="45"/>
      <c r="B402" s="45"/>
      <c r="C402" s="45"/>
      <c r="D402" s="45"/>
      <c r="E402" s="45"/>
      <c r="F402" s="45"/>
      <c r="G402" s="45"/>
      <c r="H402" s="43"/>
      <c r="I402" s="45"/>
      <c r="J402" s="43">
        <v>454711488388</v>
      </c>
      <c r="K402" s="44">
        <v>45825</v>
      </c>
      <c r="L402" s="44">
        <v>45832</v>
      </c>
      <c r="M402" s="45" t="s">
        <v>50</v>
      </c>
      <c r="N402" s="45" t="s">
        <v>51</v>
      </c>
      <c r="O402" s="45"/>
      <c r="P402" s="45" t="s">
        <v>52</v>
      </c>
      <c r="Q402" s="44">
        <v>45824</v>
      </c>
      <c r="R402" s="45">
        <v>7</v>
      </c>
      <c r="S402" s="44">
        <v>45826</v>
      </c>
    </row>
    <row r="403" spans="1:19" ht="12.75">
      <c r="A403" s="45"/>
      <c r="B403" s="45"/>
      <c r="C403" s="45"/>
      <c r="D403" s="45"/>
      <c r="E403" s="45"/>
      <c r="F403" s="45"/>
      <c r="G403" s="45"/>
      <c r="H403" s="43"/>
      <c r="I403" s="45"/>
      <c r="J403" s="43">
        <v>454711982979</v>
      </c>
      <c r="K403" s="44">
        <v>45825</v>
      </c>
      <c r="L403" s="44">
        <v>45832</v>
      </c>
      <c r="M403" s="45" t="s">
        <v>50</v>
      </c>
      <c r="N403" s="45" t="s">
        <v>51</v>
      </c>
      <c r="O403" s="45"/>
      <c r="P403" s="45" t="s">
        <v>52</v>
      </c>
      <c r="Q403" s="44">
        <v>45824</v>
      </c>
      <c r="R403" s="45">
        <v>8</v>
      </c>
      <c r="S403" s="44">
        <v>45826</v>
      </c>
    </row>
    <row r="404" spans="1:19" ht="12.75">
      <c r="A404" s="45"/>
      <c r="B404" s="45"/>
      <c r="C404" s="45"/>
      <c r="D404" s="45"/>
      <c r="E404" s="45"/>
      <c r="F404" s="45"/>
      <c r="G404" s="45"/>
      <c r="H404" s="43"/>
      <c r="I404" s="45"/>
      <c r="J404" s="43">
        <v>454712171432</v>
      </c>
      <c r="K404" s="44">
        <v>45825</v>
      </c>
      <c r="L404" s="44">
        <v>45832</v>
      </c>
      <c r="M404" s="45" t="s">
        <v>50</v>
      </c>
      <c r="N404" s="45" t="s">
        <v>51</v>
      </c>
      <c r="O404" s="45"/>
      <c r="P404" s="45" t="s">
        <v>52</v>
      </c>
      <c r="Q404" s="44">
        <v>45824</v>
      </c>
      <c r="R404" s="45">
        <v>5</v>
      </c>
      <c r="S404" s="44">
        <v>45826</v>
      </c>
    </row>
    <row r="405" spans="1:19" ht="12.75">
      <c r="A405" s="45"/>
      <c r="B405" s="45"/>
      <c r="C405" s="45"/>
      <c r="D405" s="45"/>
      <c r="E405" s="45"/>
      <c r="F405" s="45"/>
      <c r="G405" s="45"/>
      <c r="H405" s="43"/>
      <c r="I405" s="45"/>
      <c r="J405" s="43">
        <v>454712183469</v>
      </c>
      <c r="K405" s="44">
        <v>45825</v>
      </c>
      <c r="L405" s="44">
        <v>45832</v>
      </c>
      <c r="M405" s="45" t="s">
        <v>50</v>
      </c>
      <c r="N405" s="45" t="s">
        <v>51</v>
      </c>
      <c r="O405" s="45"/>
      <c r="P405" s="45" t="s">
        <v>52</v>
      </c>
      <c r="Q405" s="44">
        <v>45824</v>
      </c>
      <c r="R405" s="45">
        <v>5</v>
      </c>
      <c r="S405" s="44">
        <v>45826</v>
      </c>
    </row>
    <row r="406" spans="1:19" ht="12.75">
      <c r="A406" s="45"/>
      <c r="B406" s="45"/>
      <c r="C406" s="45"/>
      <c r="D406" s="45"/>
      <c r="E406" s="45"/>
      <c r="F406" s="45"/>
      <c r="G406" s="45"/>
      <c r="H406" s="43"/>
      <c r="I406" s="45"/>
      <c r="J406" s="43">
        <v>454712197828</v>
      </c>
      <c r="K406" s="44">
        <v>45825</v>
      </c>
      <c r="L406" s="44">
        <v>45832</v>
      </c>
      <c r="M406" s="45" t="s">
        <v>50</v>
      </c>
      <c r="N406" s="45" t="s">
        <v>51</v>
      </c>
      <c r="O406" s="45"/>
      <c r="P406" s="45" t="s">
        <v>52</v>
      </c>
      <c r="Q406" s="44">
        <v>45824</v>
      </c>
      <c r="R406" s="45">
        <v>6</v>
      </c>
      <c r="S406" s="44">
        <v>45826</v>
      </c>
    </row>
    <row r="407" spans="1:19" ht="12.75">
      <c r="A407" s="45"/>
      <c r="B407" s="45"/>
      <c r="C407" s="45"/>
      <c r="D407" s="45"/>
      <c r="E407" s="45"/>
      <c r="F407" s="45"/>
      <c r="G407" s="45"/>
      <c r="H407" s="43"/>
      <c r="I407" s="45"/>
      <c r="J407" s="43">
        <v>454712198075</v>
      </c>
      <c r="K407" s="44">
        <v>45825</v>
      </c>
      <c r="L407" s="44">
        <v>45832</v>
      </c>
      <c r="M407" s="45" t="s">
        <v>50</v>
      </c>
      <c r="N407" s="45" t="s">
        <v>51</v>
      </c>
      <c r="O407" s="45"/>
      <c r="P407" s="45" t="s">
        <v>52</v>
      </c>
      <c r="Q407" s="44">
        <v>45824</v>
      </c>
      <c r="R407" s="45">
        <v>5</v>
      </c>
      <c r="S407" s="44">
        <v>45826</v>
      </c>
    </row>
    <row r="408" spans="1:19" ht="12.75">
      <c r="A408" s="45"/>
      <c r="B408" s="45"/>
      <c r="C408" s="45"/>
      <c r="D408" s="45"/>
      <c r="E408" s="45"/>
      <c r="F408" s="45"/>
      <c r="G408" s="45"/>
      <c r="H408" s="43"/>
      <c r="I408" s="45"/>
      <c r="J408" s="43">
        <v>454712670472</v>
      </c>
      <c r="K408" s="44">
        <v>45825</v>
      </c>
      <c r="L408" s="44">
        <v>45832</v>
      </c>
      <c r="M408" s="45" t="s">
        <v>50</v>
      </c>
      <c r="N408" s="45" t="s">
        <v>51</v>
      </c>
      <c r="O408" s="45"/>
      <c r="P408" s="45" t="s">
        <v>52</v>
      </c>
      <c r="Q408" s="44">
        <v>45824</v>
      </c>
      <c r="R408" s="45">
        <v>3</v>
      </c>
      <c r="S408" s="44">
        <v>45826</v>
      </c>
    </row>
    <row r="409" spans="1:19" ht="12.75">
      <c r="A409" s="45"/>
      <c r="B409" s="45"/>
      <c r="C409" s="45"/>
      <c r="D409" s="45"/>
      <c r="E409" s="45"/>
      <c r="F409" s="45"/>
      <c r="G409" s="45"/>
      <c r="H409" s="43"/>
      <c r="I409" s="45"/>
      <c r="J409" s="43">
        <v>454712851437</v>
      </c>
      <c r="K409" s="44">
        <v>45825</v>
      </c>
      <c r="L409" s="44">
        <v>45832</v>
      </c>
      <c r="M409" s="45" t="s">
        <v>50</v>
      </c>
      <c r="N409" s="45" t="s">
        <v>51</v>
      </c>
      <c r="O409" s="45"/>
      <c r="P409" s="45" t="s">
        <v>52</v>
      </c>
      <c r="Q409" s="44">
        <v>45824</v>
      </c>
      <c r="R409" s="45">
        <v>4</v>
      </c>
      <c r="S409" s="44">
        <v>45826</v>
      </c>
    </row>
    <row r="410" spans="1:19" ht="12.75">
      <c r="A410" s="45"/>
      <c r="B410" s="45"/>
      <c r="C410" s="45"/>
      <c r="D410" s="45"/>
      <c r="E410" s="45"/>
      <c r="F410" s="45"/>
      <c r="G410" s="45"/>
      <c r="H410" s="43"/>
      <c r="I410" s="45"/>
      <c r="J410" s="43">
        <v>454713043181</v>
      </c>
      <c r="K410" s="44">
        <v>45825</v>
      </c>
      <c r="L410" s="44">
        <v>45832</v>
      </c>
      <c r="M410" s="45" t="s">
        <v>50</v>
      </c>
      <c r="N410" s="45" t="s">
        <v>51</v>
      </c>
      <c r="O410" s="45"/>
      <c r="P410" s="45" t="s">
        <v>52</v>
      </c>
      <c r="Q410" s="44">
        <v>45824</v>
      </c>
      <c r="R410" s="45">
        <v>3</v>
      </c>
      <c r="S410" s="44">
        <v>45826</v>
      </c>
    </row>
    <row r="411" spans="1:19" ht="12.75">
      <c r="A411" s="45"/>
      <c r="B411" s="45"/>
      <c r="C411" s="45"/>
      <c r="D411" s="45"/>
      <c r="E411" s="45"/>
      <c r="F411" s="45"/>
      <c r="G411" s="45"/>
      <c r="H411" s="43"/>
      <c r="I411" s="45"/>
      <c r="J411" s="43">
        <v>454713073528</v>
      </c>
      <c r="K411" s="44">
        <v>45825</v>
      </c>
      <c r="L411" s="44">
        <v>45832</v>
      </c>
      <c r="M411" s="45" t="s">
        <v>50</v>
      </c>
      <c r="N411" s="45" t="s">
        <v>51</v>
      </c>
      <c r="O411" s="45"/>
      <c r="P411" s="45" t="s">
        <v>52</v>
      </c>
      <c r="Q411" s="44">
        <v>45824</v>
      </c>
      <c r="R411" s="45">
        <v>15</v>
      </c>
      <c r="S411" s="44">
        <v>45826</v>
      </c>
    </row>
    <row r="412" spans="1:19" ht="12.75">
      <c r="A412" s="45"/>
      <c r="B412" s="45"/>
      <c r="C412" s="45"/>
      <c r="D412" s="45"/>
      <c r="E412" s="45"/>
      <c r="F412" s="45"/>
      <c r="G412" s="45"/>
      <c r="H412" s="43"/>
      <c r="I412" s="45"/>
      <c r="J412" s="43">
        <v>454713416339</v>
      </c>
      <c r="K412" s="44">
        <v>45825</v>
      </c>
      <c r="L412" s="44">
        <v>45832</v>
      </c>
      <c r="M412" s="45" t="s">
        <v>50</v>
      </c>
      <c r="N412" s="45" t="s">
        <v>51</v>
      </c>
      <c r="O412" s="45"/>
      <c r="P412" s="45" t="s">
        <v>52</v>
      </c>
      <c r="Q412" s="44">
        <v>45824</v>
      </c>
      <c r="R412" s="45">
        <v>7</v>
      </c>
      <c r="S412" s="44">
        <v>45826</v>
      </c>
    </row>
    <row r="413" spans="1:19" ht="12.75">
      <c r="A413" s="45"/>
      <c r="B413" s="45"/>
      <c r="C413" s="45"/>
      <c r="D413" s="45"/>
      <c r="E413" s="45"/>
      <c r="F413" s="45"/>
      <c r="G413" s="45"/>
      <c r="H413" s="43"/>
      <c r="I413" s="45"/>
      <c r="J413" s="43">
        <v>454713717867</v>
      </c>
      <c r="K413" s="44">
        <v>45825</v>
      </c>
      <c r="L413" s="44">
        <v>45832</v>
      </c>
      <c r="M413" s="45" t="s">
        <v>50</v>
      </c>
      <c r="N413" s="45" t="s">
        <v>51</v>
      </c>
      <c r="O413" s="45"/>
      <c r="P413" s="45" t="s">
        <v>52</v>
      </c>
      <c r="Q413" s="44">
        <v>45824</v>
      </c>
      <c r="R413" s="45">
        <v>7</v>
      </c>
      <c r="S413" s="44">
        <v>45826</v>
      </c>
    </row>
    <row r="414" spans="1:19" ht="12.75">
      <c r="A414" s="45"/>
      <c r="B414" s="45"/>
      <c r="C414" s="45"/>
      <c r="D414" s="45"/>
      <c r="E414" s="45"/>
      <c r="F414" s="45"/>
      <c r="G414" s="45"/>
      <c r="H414" s="43"/>
      <c r="I414" s="45"/>
      <c r="J414" s="43">
        <v>454717637878</v>
      </c>
      <c r="K414" s="44">
        <v>45825</v>
      </c>
      <c r="L414" s="44">
        <v>45832</v>
      </c>
      <c r="M414" s="45" t="s">
        <v>50</v>
      </c>
      <c r="N414" s="45" t="s">
        <v>51</v>
      </c>
      <c r="O414" s="45"/>
      <c r="P414" s="45" t="s">
        <v>52</v>
      </c>
      <c r="Q414" s="44">
        <v>45824</v>
      </c>
      <c r="R414" s="45">
        <v>2</v>
      </c>
      <c r="S414" s="44">
        <v>45826</v>
      </c>
    </row>
    <row r="415" spans="1:19" ht="12.75">
      <c r="A415" s="45"/>
      <c r="B415" s="45"/>
      <c r="C415" s="45"/>
      <c r="D415" s="45"/>
      <c r="E415" s="45"/>
      <c r="F415" s="45"/>
      <c r="G415" s="45"/>
      <c r="H415" s="43"/>
      <c r="I415" s="45"/>
      <c r="J415" s="43">
        <v>454717661378</v>
      </c>
      <c r="K415" s="44">
        <v>45825</v>
      </c>
      <c r="L415" s="44">
        <v>45832</v>
      </c>
      <c r="M415" s="45" t="s">
        <v>50</v>
      </c>
      <c r="N415" s="45" t="s">
        <v>51</v>
      </c>
      <c r="O415" s="45"/>
      <c r="P415" s="45" t="s">
        <v>52</v>
      </c>
      <c r="Q415" s="44">
        <v>45824</v>
      </c>
      <c r="R415" s="45">
        <v>5</v>
      </c>
      <c r="S415" s="44">
        <v>45826</v>
      </c>
    </row>
    <row r="416" spans="1:19" ht="12.75">
      <c r="A416" s="45"/>
      <c r="B416" s="45"/>
      <c r="C416" s="45"/>
      <c r="D416" s="45"/>
      <c r="E416" s="45"/>
      <c r="F416" s="45"/>
      <c r="G416" s="45"/>
      <c r="H416" s="43"/>
      <c r="I416" s="45"/>
      <c r="J416" s="43">
        <v>454717719021</v>
      </c>
      <c r="K416" s="44">
        <v>45825</v>
      </c>
      <c r="L416" s="44">
        <v>45832</v>
      </c>
      <c r="M416" s="45" t="s">
        <v>50</v>
      </c>
      <c r="N416" s="45" t="s">
        <v>51</v>
      </c>
      <c r="O416" s="45"/>
      <c r="P416" s="45" t="s">
        <v>52</v>
      </c>
      <c r="Q416" s="44">
        <v>45824</v>
      </c>
      <c r="R416" s="45">
        <v>7</v>
      </c>
      <c r="S416" s="44">
        <v>45826</v>
      </c>
    </row>
    <row r="417" spans="1:19" ht="12.75">
      <c r="A417" s="45"/>
      <c r="B417" s="45"/>
      <c r="C417" s="45"/>
      <c r="D417" s="45"/>
      <c r="E417" s="45"/>
      <c r="F417" s="45"/>
      <c r="G417" s="45"/>
      <c r="H417" s="43"/>
      <c r="I417" s="45"/>
      <c r="J417" s="43">
        <v>454717943996</v>
      </c>
      <c r="K417" s="44">
        <v>45825</v>
      </c>
      <c r="L417" s="44">
        <v>45832</v>
      </c>
      <c r="M417" s="45" t="s">
        <v>50</v>
      </c>
      <c r="N417" s="45" t="s">
        <v>51</v>
      </c>
      <c r="O417" s="45"/>
      <c r="P417" s="45" t="s">
        <v>52</v>
      </c>
      <c r="Q417" s="44">
        <v>45824</v>
      </c>
      <c r="R417" s="45">
        <v>8</v>
      </c>
      <c r="S417" s="44">
        <v>45826</v>
      </c>
    </row>
    <row r="418" spans="1:19" ht="12.75">
      <c r="A418" s="45"/>
      <c r="B418" s="45"/>
      <c r="C418" s="45"/>
      <c r="D418" s="45"/>
      <c r="E418" s="45"/>
      <c r="F418" s="45"/>
      <c r="G418" s="45"/>
      <c r="H418" s="43"/>
      <c r="I418" s="45"/>
      <c r="J418" s="43">
        <v>454718596121</v>
      </c>
      <c r="K418" s="44">
        <v>45825</v>
      </c>
      <c r="L418" s="44">
        <v>45832</v>
      </c>
      <c r="M418" s="45" t="s">
        <v>50</v>
      </c>
      <c r="N418" s="45" t="s">
        <v>51</v>
      </c>
      <c r="O418" s="45"/>
      <c r="P418" s="45" t="s">
        <v>52</v>
      </c>
      <c r="Q418" s="44">
        <v>45824</v>
      </c>
      <c r="R418" s="45">
        <v>2</v>
      </c>
      <c r="S418" s="44">
        <v>45826</v>
      </c>
    </row>
    <row r="419" spans="1:19" ht="12.75">
      <c r="A419" s="45"/>
      <c r="B419" s="45"/>
      <c r="C419" s="45"/>
      <c r="D419" s="45"/>
      <c r="E419" s="45"/>
      <c r="F419" s="45"/>
      <c r="G419" s="45"/>
      <c r="H419" s="43"/>
      <c r="I419" s="45"/>
      <c r="J419" s="43">
        <v>454718830888</v>
      </c>
      <c r="K419" s="44">
        <v>45825</v>
      </c>
      <c r="L419" s="44">
        <v>45832</v>
      </c>
      <c r="M419" s="45" t="s">
        <v>50</v>
      </c>
      <c r="N419" s="45" t="s">
        <v>51</v>
      </c>
      <c r="O419" s="45"/>
      <c r="P419" s="45" t="s">
        <v>52</v>
      </c>
      <c r="Q419" s="44">
        <v>45824</v>
      </c>
      <c r="R419" s="45">
        <v>12</v>
      </c>
      <c r="S419" s="44">
        <v>45826</v>
      </c>
    </row>
    <row r="420" spans="1:19" ht="12.75">
      <c r="A420" s="45"/>
      <c r="B420" s="45"/>
      <c r="C420" s="45"/>
      <c r="D420" s="45"/>
      <c r="E420" s="45"/>
      <c r="F420" s="45"/>
      <c r="G420" s="45"/>
      <c r="H420" s="43"/>
      <c r="I420" s="45"/>
      <c r="J420" s="43">
        <v>454719489186</v>
      </c>
      <c r="K420" s="44">
        <v>45825</v>
      </c>
      <c r="L420" s="44">
        <v>45832</v>
      </c>
      <c r="M420" s="45" t="s">
        <v>50</v>
      </c>
      <c r="N420" s="45" t="s">
        <v>51</v>
      </c>
      <c r="O420" s="45"/>
      <c r="P420" s="45" t="s">
        <v>52</v>
      </c>
      <c r="Q420" s="44">
        <v>45824</v>
      </c>
      <c r="R420" s="45">
        <v>7</v>
      </c>
      <c r="S420" s="44">
        <v>45826</v>
      </c>
    </row>
    <row r="421" spans="1:19" ht="12.75">
      <c r="A421" s="45"/>
      <c r="B421" s="45"/>
      <c r="C421" s="45"/>
      <c r="D421" s="45"/>
      <c r="E421" s="45"/>
      <c r="F421" s="45"/>
      <c r="G421" s="45"/>
      <c r="H421" s="43"/>
      <c r="I421" s="45"/>
      <c r="J421" s="43">
        <v>455588526597</v>
      </c>
      <c r="K421" s="44">
        <v>45825</v>
      </c>
      <c r="L421" s="44">
        <v>45832</v>
      </c>
      <c r="M421" s="45" t="s">
        <v>50</v>
      </c>
      <c r="N421" s="45" t="s">
        <v>51</v>
      </c>
      <c r="O421" s="45"/>
      <c r="P421" s="45" t="s">
        <v>52</v>
      </c>
      <c r="Q421" s="44">
        <v>45824</v>
      </c>
      <c r="R421" s="45">
        <v>11</v>
      </c>
      <c r="S421" s="44">
        <v>45826</v>
      </c>
    </row>
    <row r="422" spans="1:19" ht="12.75">
      <c r="A422" s="45"/>
      <c r="B422" s="45"/>
      <c r="C422" s="45"/>
      <c r="D422" s="45"/>
      <c r="E422" s="45"/>
      <c r="F422" s="45"/>
      <c r="G422" s="45"/>
      <c r="H422" s="43"/>
      <c r="I422" s="45"/>
      <c r="J422" s="43">
        <v>455589046661</v>
      </c>
      <c r="K422" s="44">
        <v>45825</v>
      </c>
      <c r="L422" s="44">
        <v>45832</v>
      </c>
      <c r="M422" s="45" t="s">
        <v>50</v>
      </c>
      <c r="N422" s="45" t="s">
        <v>51</v>
      </c>
      <c r="O422" s="45"/>
      <c r="P422" s="45" t="s">
        <v>52</v>
      </c>
      <c r="Q422" s="44">
        <v>45824</v>
      </c>
      <c r="R422" s="45">
        <v>5</v>
      </c>
      <c r="S422" s="44">
        <v>45826</v>
      </c>
    </row>
    <row r="423" spans="1:19" ht="12.75">
      <c r="A423" s="45"/>
      <c r="B423" s="45"/>
      <c r="C423" s="45"/>
      <c r="D423" s="45"/>
      <c r="E423" s="45"/>
      <c r="F423" s="45"/>
      <c r="G423" s="45"/>
      <c r="H423" s="43"/>
      <c r="I423" s="44" t="s">
        <v>57</v>
      </c>
      <c r="J423" s="43">
        <v>452347858422</v>
      </c>
      <c r="K423" s="44">
        <v>45825</v>
      </c>
      <c r="L423" s="44">
        <v>45832</v>
      </c>
      <c r="M423" s="45" t="s">
        <v>50</v>
      </c>
      <c r="N423" s="45" t="s">
        <v>51</v>
      </c>
      <c r="O423" s="45"/>
      <c r="P423" s="45" t="s">
        <v>52</v>
      </c>
      <c r="Q423" s="44">
        <v>45824</v>
      </c>
      <c r="R423" s="45">
        <v>1</v>
      </c>
      <c r="S423" s="44">
        <v>45826</v>
      </c>
    </row>
    <row r="424" spans="1:19" ht="12.75">
      <c r="A424" s="45"/>
      <c r="B424" s="45" t="s">
        <v>178</v>
      </c>
      <c r="C424" s="45"/>
      <c r="D424" s="45"/>
      <c r="E424" s="45"/>
      <c r="F424" s="45"/>
      <c r="G424" s="45"/>
      <c r="H424" s="43"/>
      <c r="I424" s="45"/>
      <c r="J424" s="45"/>
      <c r="K424" s="45"/>
      <c r="L424" s="45"/>
      <c r="M424" s="45"/>
      <c r="N424" s="45"/>
      <c r="O424" s="45"/>
      <c r="P424" s="45"/>
      <c r="Q424" s="44">
        <v>7056896</v>
      </c>
      <c r="R424" s="45">
        <v>944</v>
      </c>
      <c r="S424" s="44">
        <v>7057204</v>
      </c>
    </row>
    <row r="425" spans="1:19" ht="12.75">
      <c r="H425" s="43"/>
    </row>
    <row r="426" spans="1:19" ht="12.75">
      <c r="H426" s="43"/>
    </row>
    <row r="427" spans="1:19" ht="12.75">
      <c r="H427" s="43"/>
    </row>
    <row r="428" spans="1:19" ht="12.75">
      <c r="H428" s="43"/>
    </row>
    <row r="429" spans="1:19" ht="12.75">
      <c r="H429" s="43"/>
    </row>
    <row r="430" spans="1:19" ht="12.75">
      <c r="H430" s="43"/>
    </row>
    <row r="431" spans="1:19" ht="12.75">
      <c r="H431" s="43"/>
    </row>
    <row r="432" spans="1:19" ht="12.75">
      <c r="H432" s="43"/>
    </row>
    <row r="433" spans="8:8" ht="12.75">
      <c r="H433" s="43"/>
    </row>
    <row r="434" spans="8:8" ht="12.75">
      <c r="H434" s="43"/>
    </row>
    <row r="435" spans="8:8" ht="12.75">
      <c r="H435" s="43"/>
    </row>
    <row r="436" spans="8:8" ht="12.75">
      <c r="H436" s="43"/>
    </row>
    <row r="437" spans="8:8" ht="12.75">
      <c r="H437" s="43"/>
    </row>
    <row r="438" spans="8:8" ht="12.75">
      <c r="H438" s="43"/>
    </row>
    <row r="439" spans="8:8" ht="12.75">
      <c r="H439" s="43"/>
    </row>
    <row r="440" spans="8:8" ht="12.75">
      <c r="H440" s="43"/>
    </row>
    <row r="441" spans="8:8" ht="12.75">
      <c r="H441" s="43"/>
    </row>
    <row r="442" spans="8:8" ht="12.75">
      <c r="H442" s="43"/>
    </row>
    <row r="443" spans="8:8" ht="12.75">
      <c r="H443" s="43"/>
    </row>
    <row r="444" spans="8:8" ht="12.75">
      <c r="H444" s="43"/>
    </row>
    <row r="445" spans="8:8" ht="12.75">
      <c r="H445" s="43"/>
    </row>
    <row r="446" spans="8:8" ht="12.75">
      <c r="H446" s="43"/>
    </row>
    <row r="447" spans="8:8" ht="12.75">
      <c r="H447" s="43"/>
    </row>
    <row r="448" spans="8:8" ht="12.75">
      <c r="H448" s="43"/>
    </row>
    <row r="449" spans="8:8" ht="12.75">
      <c r="H449" s="43"/>
    </row>
    <row r="450" spans="8:8" ht="12.75">
      <c r="H450" s="43"/>
    </row>
    <row r="451" spans="8:8" ht="12.75">
      <c r="H451" s="43"/>
    </row>
    <row r="452" spans="8:8" ht="12.75">
      <c r="H452" s="43"/>
    </row>
    <row r="453" spans="8:8" ht="12.75">
      <c r="H453" s="43"/>
    </row>
    <row r="454" spans="8:8" ht="12.75">
      <c r="H454" s="43"/>
    </row>
    <row r="455" spans="8:8" ht="12.75">
      <c r="H455" s="43"/>
    </row>
    <row r="456" spans="8:8" ht="12.75">
      <c r="H456" s="43"/>
    </row>
    <row r="457" spans="8:8" ht="12.75">
      <c r="H457" s="43"/>
    </row>
    <row r="458" spans="8:8" ht="12.75">
      <c r="H458" s="43"/>
    </row>
    <row r="459" spans="8:8" ht="12.75">
      <c r="H459" s="43"/>
    </row>
    <row r="460" spans="8:8" ht="12.75">
      <c r="H460" s="43"/>
    </row>
    <row r="461" spans="8:8" ht="12.75">
      <c r="H461" s="43"/>
    </row>
    <row r="462" spans="8:8" ht="12.75">
      <c r="H462" s="43"/>
    </row>
    <row r="463" spans="8:8" ht="12.75">
      <c r="H463" s="43"/>
    </row>
    <row r="464" spans="8:8" ht="12.75">
      <c r="H464" s="43"/>
    </row>
    <row r="465" spans="8:8" ht="12.75">
      <c r="H465" s="43"/>
    </row>
    <row r="466" spans="8:8" ht="12.75">
      <c r="H466" s="43"/>
    </row>
    <row r="467" spans="8:8" ht="12.75">
      <c r="H467" s="43"/>
    </row>
    <row r="468" spans="8:8" ht="12.75">
      <c r="H468" s="43"/>
    </row>
    <row r="469" spans="8:8" ht="12.75">
      <c r="H469" s="43"/>
    </row>
    <row r="470" spans="8:8" ht="12.75">
      <c r="H470" s="43"/>
    </row>
    <row r="471" spans="8:8" ht="12.75">
      <c r="H471" s="43"/>
    </row>
    <row r="472" spans="8:8" ht="12.75">
      <c r="H472" s="43"/>
    </row>
    <row r="473" spans="8:8" ht="12.75">
      <c r="H473" s="43"/>
    </row>
    <row r="474" spans="8:8" ht="12.75">
      <c r="H474" s="43"/>
    </row>
    <row r="475" spans="8:8" ht="12.75">
      <c r="H475" s="43"/>
    </row>
    <row r="476" spans="8:8" ht="12.75">
      <c r="H476" s="43"/>
    </row>
    <row r="477" spans="8:8" ht="12.75">
      <c r="H477" s="43"/>
    </row>
    <row r="478" spans="8:8" ht="12.75">
      <c r="H478" s="43"/>
    </row>
    <row r="479" spans="8:8" ht="12.75">
      <c r="H479" s="43"/>
    </row>
    <row r="480" spans="8:8" ht="12.75">
      <c r="H480" s="43"/>
    </row>
    <row r="481" spans="8:8" ht="12.75">
      <c r="H481" s="43"/>
    </row>
    <row r="482" spans="8:8" ht="12.75">
      <c r="H482" s="43"/>
    </row>
    <row r="483" spans="8:8" ht="12.75">
      <c r="H483" s="43"/>
    </row>
    <row r="484" spans="8:8" ht="12.75">
      <c r="H484" s="43"/>
    </row>
    <row r="485" spans="8:8" ht="12.75">
      <c r="H485" s="43"/>
    </row>
    <row r="486" spans="8:8" ht="12.75">
      <c r="H486" s="43"/>
    </row>
    <row r="487" spans="8:8" ht="12.75">
      <c r="H487" s="43"/>
    </row>
    <row r="488" spans="8:8" ht="12.75">
      <c r="H488" s="43"/>
    </row>
    <row r="489" spans="8:8" ht="12.75">
      <c r="H489" s="43"/>
    </row>
    <row r="490" spans="8:8" ht="12.75">
      <c r="H490" s="43"/>
    </row>
    <row r="491" spans="8:8" ht="12.75">
      <c r="H491" s="43"/>
    </row>
    <row r="492" spans="8:8" ht="12.75">
      <c r="H492" s="43"/>
    </row>
    <row r="493" spans="8:8" ht="12.75">
      <c r="H493" s="43"/>
    </row>
    <row r="494" spans="8:8" ht="12.75">
      <c r="H494" s="43"/>
    </row>
    <row r="495" spans="8:8" ht="12.75">
      <c r="H495" s="43"/>
    </row>
    <row r="496" spans="8:8" ht="12.75">
      <c r="H496" s="43"/>
    </row>
    <row r="497" spans="8:8" ht="12.75">
      <c r="H497" s="43"/>
    </row>
    <row r="498" spans="8:8" ht="12.75">
      <c r="H498" s="43"/>
    </row>
    <row r="499" spans="8:8" ht="12.75">
      <c r="H499" s="43"/>
    </row>
    <row r="500" spans="8:8" ht="12.75">
      <c r="H500" s="43"/>
    </row>
    <row r="501" spans="8:8" ht="12.75">
      <c r="H501" s="43"/>
    </row>
    <row r="502" spans="8:8" ht="12.75">
      <c r="H502" s="43"/>
    </row>
    <row r="503" spans="8:8" ht="12.75">
      <c r="H503" s="43"/>
    </row>
    <row r="504" spans="8:8" ht="12.75">
      <c r="H504" s="43"/>
    </row>
    <row r="505" spans="8:8" ht="12.75">
      <c r="H505" s="43"/>
    </row>
    <row r="506" spans="8:8" ht="12.75">
      <c r="H506" s="43"/>
    </row>
    <row r="507" spans="8:8" ht="12.75">
      <c r="H507" s="43"/>
    </row>
    <row r="508" spans="8:8" ht="12.75">
      <c r="H508" s="43"/>
    </row>
    <row r="509" spans="8:8" ht="12.75">
      <c r="H509" s="43"/>
    </row>
    <row r="510" spans="8:8" ht="12.75">
      <c r="H510" s="43"/>
    </row>
    <row r="511" spans="8:8" ht="12.75">
      <c r="H511" s="43"/>
    </row>
    <row r="512" spans="8:8" ht="12.75">
      <c r="H512" s="43"/>
    </row>
    <row r="513" spans="8:8" ht="12.75">
      <c r="H513" s="43"/>
    </row>
    <row r="514" spans="8:8" ht="12.75">
      <c r="H514" s="43"/>
    </row>
    <row r="515" spans="8:8" ht="12.75">
      <c r="H515" s="43"/>
    </row>
    <row r="516" spans="8:8" ht="12.75">
      <c r="H516" s="43"/>
    </row>
    <row r="517" spans="8:8" ht="12.75">
      <c r="H517" s="43"/>
    </row>
    <row r="518" spans="8:8" ht="12.75">
      <c r="H518" s="43"/>
    </row>
    <row r="519" spans="8:8" ht="12.75">
      <c r="H519" s="43"/>
    </row>
    <row r="520" spans="8:8" ht="12.75">
      <c r="H520" s="43"/>
    </row>
    <row r="521" spans="8:8" ht="12.75">
      <c r="H521" s="43"/>
    </row>
    <row r="522" spans="8:8" ht="12.75">
      <c r="H522" s="43"/>
    </row>
    <row r="523" spans="8:8" ht="12.75">
      <c r="H523" s="43"/>
    </row>
    <row r="524" spans="8:8" ht="12.75">
      <c r="H524" s="43"/>
    </row>
    <row r="525" spans="8:8" ht="12.75">
      <c r="H525" s="43"/>
    </row>
    <row r="526" spans="8:8" ht="12.75">
      <c r="H526" s="43"/>
    </row>
    <row r="527" spans="8:8" ht="12.75">
      <c r="H527" s="43"/>
    </row>
    <row r="528" spans="8:8" ht="12.75">
      <c r="H528" s="43"/>
    </row>
    <row r="529" spans="8:8" ht="12.75">
      <c r="H529" s="43"/>
    </row>
    <row r="530" spans="8:8" ht="12.75">
      <c r="H530" s="43"/>
    </row>
    <row r="531" spans="8:8" ht="12.75">
      <c r="H531" s="43"/>
    </row>
    <row r="532" spans="8:8" ht="12.75">
      <c r="H532" s="43"/>
    </row>
    <row r="533" spans="8:8" ht="12.75">
      <c r="H533" s="43"/>
    </row>
    <row r="534" spans="8:8" ht="12.75">
      <c r="H534" s="43"/>
    </row>
    <row r="535" spans="8:8" ht="12.75">
      <c r="H535" s="43"/>
    </row>
    <row r="536" spans="8:8" ht="12.75">
      <c r="H536" s="43"/>
    </row>
    <row r="537" spans="8:8" ht="12.75">
      <c r="H537" s="43"/>
    </row>
    <row r="538" spans="8:8" ht="12.75">
      <c r="H538" s="43"/>
    </row>
    <row r="539" spans="8:8" ht="12.75">
      <c r="H539" s="43"/>
    </row>
    <row r="540" spans="8:8" ht="12.75">
      <c r="H540" s="43"/>
    </row>
    <row r="541" spans="8:8" ht="12.75">
      <c r="H541" s="43"/>
    </row>
    <row r="542" spans="8:8" ht="12.75">
      <c r="H542" s="43"/>
    </row>
    <row r="543" spans="8:8" ht="12.75">
      <c r="H543" s="43"/>
    </row>
    <row r="544" spans="8:8" ht="12.75">
      <c r="H544" s="43"/>
    </row>
    <row r="545" spans="8:8" ht="12.75">
      <c r="H545" s="43"/>
    </row>
    <row r="546" spans="8:8" ht="12.75">
      <c r="H546" s="43"/>
    </row>
    <row r="547" spans="8:8" ht="12.75">
      <c r="H547" s="43"/>
    </row>
    <row r="548" spans="8:8" ht="12.75">
      <c r="H548" s="43"/>
    </row>
    <row r="549" spans="8:8" ht="12.75">
      <c r="H549" s="43"/>
    </row>
    <row r="550" spans="8:8" ht="12.75">
      <c r="H550" s="43"/>
    </row>
    <row r="551" spans="8:8" ht="12.75">
      <c r="H551" s="43"/>
    </row>
    <row r="552" spans="8:8" ht="12.75">
      <c r="H552" s="43"/>
    </row>
    <row r="553" spans="8:8" ht="12.75">
      <c r="H553" s="43"/>
    </row>
    <row r="554" spans="8:8" ht="12.75">
      <c r="H554" s="43"/>
    </row>
    <row r="555" spans="8:8" ht="12.75">
      <c r="H555" s="43"/>
    </row>
    <row r="556" spans="8:8" ht="12.75">
      <c r="H556" s="43"/>
    </row>
    <row r="557" spans="8:8" ht="12.75">
      <c r="H557" s="43"/>
    </row>
    <row r="558" spans="8:8" ht="12.75">
      <c r="H558" s="43"/>
    </row>
    <row r="559" spans="8:8" ht="12.75">
      <c r="H559" s="43"/>
    </row>
    <row r="560" spans="8:8" ht="12.75">
      <c r="H560" s="43"/>
    </row>
    <row r="561" spans="8:8" ht="12.75">
      <c r="H561" s="43"/>
    </row>
    <row r="562" spans="8:8" ht="12.75">
      <c r="H562" s="43"/>
    </row>
    <row r="563" spans="8:8" ht="12.75">
      <c r="H563" s="43"/>
    </row>
    <row r="564" spans="8:8" ht="12.75">
      <c r="H564" s="43"/>
    </row>
    <row r="565" spans="8:8" ht="12.75">
      <c r="H565" s="43"/>
    </row>
    <row r="566" spans="8:8" ht="12.75">
      <c r="H566" s="43"/>
    </row>
    <row r="567" spans="8:8" ht="12.75">
      <c r="H567" s="43"/>
    </row>
    <row r="568" spans="8:8" ht="12.75">
      <c r="H568" s="43"/>
    </row>
    <row r="569" spans="8:8" ht="12.75">
      <c r="H569" s="43"/>
    </row>
    <row r="570" spans="8:8" ht="12.75">
      <c r="H570" s="43"/>
    </row>
    <row r="571" spans="8:8" ht="12.75">
      <c r="H571" s="43"/>
    </row>
    <row r="572" spans="8:8" ht="12.75">
      <c r="H572" s="43"/>
    </row>
    <row r="573" spans="8:8" ht="12.75">
      <c r="H573" s="43"/>
    </row>
    <row r="574" spans="8:8" ht="12.75">
      <c r="H574" s="43"/>
    </row>
    <row r="575" spans="8:8" ht="12.75">
      <c r="H575" s="43"/>
    </row>
    <row r="576" spans="8:8" ht="12.75">
      <c r="H576" s="43"/>
    </row>
    <row r="577" spans="8:8" ht="12.75">
      <c r="H577" s="43"/>
    </row>
    <row r="578" spans="8:8" ht="12.75">
      <c r="H578" s="43"/>
    </row>
    <row r="579" spans="8:8" ht="12.75">
      <c r="H579" s="43"/>
    </row>
    <row r="580" spans="8:8" ht="12.75">
      <c r="H580" s="43"/>
    </row>
    <row r="581" spans="8:8" ht="12.75">
      <c r="H581" s="43"/>
    </row>
    <row r="582" spans="8:8" ht="12.75">
      <c r="H582" s="43"/>
    </row>
    <row r="583" spans="8:8" ht="12.75">
      <c r="H583" s="43"/>
    </row>
    <row r="584" spans="8:8" ht="12.75">
      <c r="H584" s="43"/>
    </row>
    <row r="585" spans="8:8" ht="12.75">
      <c r="H585" s="43"/>
    </row>
    <row r="586" spans="8:8" ht="12.75">
      <c r="H586" s="43"/>
    </row>
    <row r="587" spans="8:8" ht="12.75">
      <c r="H587" s="43"/>
    </row>
    <row r="588" spans="8:8" ht="12.75">
      <c r="H588" s="43"/>
    </row>
    <row r="589" spans="8:8" ht="12.75">
      <c r="H589" s="43"/>
    </row>
    <row r="590" spans="8:8" ht="12.75">
      <c r="H590" s="43"/>
    </row>
    <row r="591" spans="8:8" ht="12.75">
      <c r="H591" s="43"/>
    </row>
    <row r="592" spans="8:8" ht="12.75">
      <c r="H592" s="43"/>
    </row>
    <row r="593" spans="8:8" ht="12.75">
      <c r="H593" s="43"/>
    </row>
    <row r="594" spans="8:8" ht="12.75">
      <c r="H594" s="43"/>
    </row>
    <row r="595" spans="8:8" ht="12.75">
      <c r="H595" s="43"/>
    </row>
    <row r="596" spans="8:8" ht="12.75">
      <c r="H596" s="43"/>
    </row>
    <row r="597" spans="8:8" ht="12.75">
      <c r="H597" s="43"/>
    </row>
    <row r="598" spans="8:8" ht="12.75">
      <c r="H598" s="43"/>
    </row>
    <row r="599" spans="8:8" ht="12.75">
      <c r="H599" s="43"/>
    </row>
    <row r="600" spans="8:8" ht="12.75">
      <c r="H600" s="43"/>
    </row>
    <row r="601" spans="8:8" ht="12.75">
      <c r="H601" s="43"/>
    </row>
    <row r="602" spans="8:8" ht="12.75">
      <c r="H602" s="43"/>
    </row>
    <row r="603" spans="8:8" ht="12.75">
      <c r="H603" s="43"/>
    </row>
    <row r="604" spans="8:8" ht="12.75">
      <c r="H604" s="43"/>
    </row>
    <row r="605" spans="8:8" ht="12.75">
      <c r="H605" s="43"/>
    </row>
    <row r="606" spans="8:8" ht="12.75">
      <c r="H606" s="43"/>
    </row>
    <row r="607" spans="8:8" ht="12.75">
      <c r="H607" s="43"/>
    </row>
    <row r="608" spans="8:8" ht="12.75">
      <c r="H608" s="43"/>
    </row>
    <row r="609" spans="8:8" ht="12.75">
      <c r="H609" s="43"/>
    </row>
    <row r="610" spans="8:8" ht="12.75">
      <c r="H610" s="43"/>
    </row>
    <row r="611" spans="8:8" ht="12.75">
      <c r="H611" s="43"/>
    </row>
    <row r="612" spans="8:8" ht="12.75">
      <c r="H612" s="43"/>
    </row>
    <row r="613" spans="8:8" ht="12.75">
      <c r="H613" s="43"/>
    </row>
    <row r="614" spans="8:8" ht="12.75">
      <c r="H614" s="43"/>
    </row>
    <row r="615" spans="8:8" ht="12.75">
      <c r="H615" s="43"/>
    </row>
    <row r="616" spans="8:8" ht="12.75">
      <c r="H616" s="43"/>
    </row>
    <row r="617" spans="8:8" ht="12.75">
      <c r="H617" s="43"/>
    </row>
    <row r="618" spans="8:8" ht="12.75">
      <c r="H618" s="43"/>
    </row>
    <row r="619" spans="8:8" ht="12.75">
      <c r="H619" s="43"/>
    </row>
    <row r="620" spans="8:8" ht="12.75">
      <c r="H620" s="43"/>
    </row>
    <row r="621" spans="8:8" ht="12.75">
      <c r="H621" s="43"/>
    </row>
    <row r="622" spans="8:8" ht="12.75">
      <c r="H622" s="43"/>
    </row>
    <row r="623" spans="8:8" ht="12.75">
      <c r="H623" s="43"/>
    </row>
    <row r="624" spans="8:8" ht="12.75">
      <c r="H624" s="43"/>
    </row>
    <row r="625" spans="8:8" ht="12.75">
      <c r="H625" s="43"/>
    </row>
    <row r="626" spans="8:8" ht="12.75">
      <c r="H626" s="43"/>
    </row>
    <row r="627" spans="8:8" ht="12.75">
      <c r="H627" s="43"/>
    </row>
    <row r="628" spans="8:8" ht="12.75">
      <c r="H628" s="43"/>
    </row>
    <row r="629" spans="8:8" ht="12.75">
      <c r="H629" s="43"/>
    </row>
    <row r="630" spans="8:8" ht="12.75">
      <c r="H630" s="43"/>
    </row>
    <row r="631" spans="8:8" ht="12.75">
      <c r="H631" s="43"/>
    </row>
    <row r="632" spans="8:8" ht="12.75">
      <c r="H632" s="43"/>
    </row>
    <row r="633" spans="8:8" ht="12.75">
      <c r="H633" s="43"/>
    </row>
    <row r="634" spans="8:8" ht="12.75">
      <c r="H634" s="43"/>
    </row>
    <row r="635" spans="8:8" ht="12.75">
      <c r="H635" s="43"/>
    </row>
    <row r="636" spans="8:8" ht="12.75">
      <c r="H636" s="43"/>
    </row>
    <row r="637" spans="8:8" ht="12.75">
      <c r="H637" s="43"/>
    </row>
    <row r="638" spans="8:8" ht="12.75">
      <c r="H638" s="43"/>
    </row>
    <row r="639" spans="8:8" ht="12.75">
      <c r="H639" s="43"/>
    </row>
    <row r="640" spans="8:8" ht="12.75">
      <c r="H640" s="43"/>
    </row>
    <row r="641" spans="8:8" ht="12.75">
      <c r="H641" s="43"/>
    </row>
    <row r="642" spans="8:8" ht="12.75">
      <c r="H642" s="43"/>
    </row>
    <row r="643" spans="8:8" ht="12.75">
      <c r="H643" s="43"/>
    </row>
    <row r="644" spans="8:8" ht="12.75">
      <c r="H644" s="43"/>
    </row>
    <row r="645" spans="8:8" ht="12.75">
      <c r="H645" s="43"/>
    </row>
    <row r="646" spans="8:8" ht="12.75">
      <c r="H646" s="43"/>
    </row>
    <row r="647" spans="8:8" ht="12.75">
      <c r="H647" s="43"/>
    </row>
    <row r="648" spans="8:8" ht="12.75">
      <c r="H648" s="43"/>
    </row>
    <row r="649" spans="8:8" ht="12.75">
      <c r="H649" s="43"/>
    </row>
    <row r="650" spans="8:8" ht="12.75">
      <c r="H650" s="43"/>
    </row>
    <row r="651" spans="8:8" ht="12.75">
      <c r="H651" s="43"/>
    </row>
    <row r="652" spans="8:8" ht="12.75">
      <c r="H652" s="43"/>
    </row>
    <row r="653" spans="8:8" ht="12.75">
      <c r="H653" s="43"/>
    </row>
    <row r="654" spans="8:8" ht="12.75">
      <c r="H654" s="43"/>
    </row>
    <row r="655" spans="8:8" ht="12.75">
      <c r="H655" s="43"/>
    </row>
    <row r="656" spans="8:8" ht="12.75">
      <c r="H656" s="43"/>
    </row>
    <row r="657" spans="8:8" ht="12.75">
      <c r="H657" s="43"/>
    </row>
    <row r="658" spans="8:8" ht="12.75">
      <c r="H658" s="43"/>
    </row>
    <row r="659" spans="8:8" ht="12.75">
      <c r="H659" s="43"/>
    </row>
    <row r="660" spans="8:8" ht="12.75">
      <c r="H660" s="43"/>
    </row>
    <row r="661" spans="8:8" ht="12.75">
      <c r="H661" s="43"/>
    </row>
    <row r="662" spans="8:8" ht="12.75">
      <c r="H662" s="43"/>
    </row>
    <row r="663" spans="8:8" ht="12.75">
      <c r="H663" s="43"/>
    </row>
    <row r="664" spans="8:8" ht="12.75">
      <c r="H664" s="43"/>
    </row>
    <row r="665" spans="8:8" ht="12.75">
      <c r="H665" s="43"/>
    </row>
    <row r="666" spans="8:8" ht="12.75">
      <c r="H666" s="43"/>
    </row>
    <row r="667" spans="8:8" ht="12.75">
      <c r="H667" s="43"/>
    </row>
    <row r="668" spans="8:8" ht="12.75">
      <c r="H668" s="43"/>
    </row>
    <row r="669" spans="8:8" ht="12.75">
      <c r="H669" s="43"/>
    </row>
    <row r="670" spans="8:8" ht="12.75">
      <c r="H670" s="43"/>
    </row>
    <row r="671" spans="8:8" ht="12.75">
      <c r="H671" s="43"/>
    </row>
    <row r="672" spans="8:8" ht="12.75">
      <c r="H672" s="43"/>
    </row>
    <row r="673" spans="8:8" ht="12.75">
      <c r="H673" s="43"/>
    </row>
    <row r="674" spans="8:8" ht="12.75">
      <c r="H674" s="43"/>
    </row>
    <row r="675" spans="8:8" ht="12.75">
      <c r="H675" s="43"/>
    </row>
    <row r="676" spans="8:8" ht="12.75">
      <c r="H676" s="43"/>
    </row>
    <row r="677" spans="8:8" ht="12.75">
      <c r="H677" s="43"/>
    </row>
    <row r="678" spans="8:8" ht="12.75">
      <c r="H678" s="43"/>
    </row>
    <row r="679" spans="8:8" ht="12.75">
      <c r="H679" s="43"/>
    </row>
    <row r="680" spans="8:8" ht="12.75">
      <c r="H680" s="43"/>
    </row>
    <row r="681" spans="8:8" ht="12.75">
      <c r="H681" s="43"/>
    </row>
    <row r="682" spans="8:8" ht="12.75">
      <c r="H682" s="43"/>
    </row>
    <row r="683" spans="8:8" ht="12.75">
      <c r="H683" s="43"/>
    </row>
    <row r="684" spans="8:8" ht="12.75">
      <c r="H684" s="43"/>
    </row>
    <row r="685" spans="8:8" ht="12.75">
      <c r="H685" s="43"/>
    </row>
    <row r="686" spans="8:8" ht="12.75">
      <c r="H686" s="43"/>
    </row>
    <row r="687" spans="8:8" ht="12.75">
      <c r="H687" s="43"/>
    </row>
    <row r="688" spans="8:8" ht="12.75">
      <c r="H688" s="43"/>
    </row>
    <row r="689" spans="8:8" ht="12.75">
      <c r="H689" s="43"/>
    </row>
    <row r="690" spans="8:8" ht="12.75">
      <c r="H690" s="43"/>
    </row>
    <row r="691" spans="8:8" ht="12.75">
      <c r="H691" s="43"/>
    </row>
    <row r="692" spans="8:8" ht="12.75">
      <c r="H692" s="43"/>
    </row>
    <row r="693" spans="8:8" ht="12.75">
      <c r="H693" s="43"/>
    </row>
    <row r="694" spans="8:8" ht="12.75">
      <c r="H694" s="43"/>
    </row>
    <row r="695" spans="8:8" ht="12.75">
      <c r="H695" s="43"/>
    </row>
    <row r="696" spans="8:8" ht="12.75">
      <c r="H696" s="43"/>
    </row>
    <row r="697" spans="8:8" ht="12.75">
      <c r="H697" s="43"/>
    </row>
    <row r="698" spans="8:8" ht="12.75">
      <c r="H698" s="43"/>
    </row>
    <row r="699" spans="8:8" ht="12.75">
      <c r="H699" s="43"/>
    </row>
    <row r="700" spans="8:8" ht="12.75">
      <c r="H700" s="43"/>
    </row>
    <row r="701" spans="8:8" ht="12.75">
      <c r="H701" s="43"/>
    </row>
    <row r="702" spans="8:8" ht="12.75">
      <c r="H702" s="43"/>
    </row>
    <row r="703" spans="8:8" ht="12.75">
      <c r="H703" s="43"/>
    </row>
    <row r="704" spans="8:8" ht="12.75">
      <c r="H704" s="43"/>
    </row>
    <row r="705" spans="8:8" ht="12.75">
      <c r="H705" s="43"/>
    </row>
    <row r="706" spans="8:8" ht="12.75">
      <c r="H706" s="43"/>
    </row>
    <row r="707" spans="8:8" ht="12.75">
      <c r="H707" s="43"/>
    </row>
    <row r="708" spans="8:8" ht="12.75">
      <c r="H708" s="43"/>
    </row>
    <row r="709" spans="8:8" ht="12.75">
      <c r="H709" s="43"/>
    </row>
    <row r="710" spans="8:8" ht="12.75">
      <c r="H710" s="43"/>
    </row>
    <row r="711" spans="8:8" ht="12.75">
      <c r="H711" s="43"/>
    </row>
    <row r="712" spans="8:8" ht="12.75">
      <c r="H712" s="43"/>
    </row>
    <row r="713" spans="8:8" ht="12.75">
      <c r="H713" s="43"/>
    </row>
    <row r="714" spans="8:8" ht="12.75">
      <c r="H714" s="43"/>
    </row>
    <row r="715" spans="8:8" ht="12.75">
      <c r="H715" s="43"/>
    </row>
    <row r="716" spans="8:8" ht="12.75">
      <c r="H716" s="43"/>
    </row>
    <row r="717" spans="8:8" ht="12.75">
      <c r="H717" s="43"/>
    </row>
    <row r="718" spans="8:8" ht="12.75">
      <c r="H718" s="43"/>
    </row>
    <row r="719" spans="8:8" ht="12.75">
      <c r="H719" s="43"/>
    </row>
    <row r="720" spans="8:8" ht="12.75">
      <c r="H720" s="43"/>
    </row>
    <row r="721" spans="8:8" ht="12.75">
      <c r="H721" s="43"/>
    </row>
    <row r="722" spans="8:8" ht="12.75">
      <c r="H722" s="43"/>
    </row>
    <row r="723" spans="8:8" ht="12.75">
      <c r="H723" s="43"/>
    </row>
    <row r="724" spans="8:8" ht="12.75">
      <c r="H724" s="43"/>
    </row>
    <row r="725" spans="8:8" ht="12.75">
      <c r="H725" s="43"/>
    </row>
    <row r="726" spans="8:8" ht="12.75">
      <c r="H726" s="43"/>
    </row>
    <row r="727" spans="8:8" ht="12.75">
      <c r="H727" s="43"/>
    </row>
    <row r="728" spans="8:8" ht="12.75">
      <c r="H728" s="43"/>
    </row>
    <row r="729" spans="8:8" ht="12.75">
      <c r="H729" s="43"/>
    </row>
    <row r="730" spans="8:8" ht="12.75">
      <c r="H730" s="43"/>
    </row>
    <row r="731" spans="8:8" ht="12.75">
      <c r="H731" s="43"/>
    </row>
    <row r="732" spans="8:8" ht="12.75">
      <c r="H732" s="43"/>
    </row>
    <row r="733" spans="8:8" ht="12.75">
      <c r="H733" s="43"/>
    </row>
    <row r="734" spans="8:8" ht="12.75">
      <c r="H734" s="43"/>
    </row>
    <row r="735" spans="8:8" ht="12.75">
      <c r="H735" s="43"/>
    </row>
    <row r="736" spans="8:8" ht="12.75">
      <c r="H736" s="43"/>
    </row>
    <row r="737" spans="8:8" ht="12.75">
      <c r="H737" s="43"/>
    </row>
    <row r="738" spans="8:8" ht="12.75">
      <c r="H738" s="43"/>
    </row>
    <row r="739" spans="8:8" ht="12.75">
      <c r="H739" s="43"/>
    </row>
    <row r="740" spans="8:8" ht="12.75">
      <c r="H740" s="43"/>
    </row>
    <row r="741" spans="8:8" ht="12.75">
      <c r="H741" s="43"/>
    </row>
    <row r="742" spans="8:8" ht="12.75">
      <c r="H742" s="43"/>
    </row>
    <row r="743" spans="8:8" ht="12.75">
      <c r="H743" s="43"/>
    </row>
    <row r="744" spans="8:8" ht="12.75">
      <c r="H744" s="43"/>
    </row>
    <row r="745" spans="8:8" ht="12.75">
      <c r="H745" s="43"/>
    </row>
    <row r="746" spans="8:8" ht="12.75">
      <c r="H746" s="43"/>
    </row>
    <row r="747" spans="8:8" ht="12.75">
      <c r="H747" s="43"/>
    </row>
    <row r="748" spans="8:8" ht="12.75">
      <c r="H748" s="43"/>
    </row>
    <row r="749" spans="8:8" ht="12.75">
      <c r="H749" s="43"/>
    </row>
    <row r="750" spans="8:8" ht="12.75">
      <c r="H750" s="43"/>
    </row>
    <row r="751" spans="8:8" ht="12.75">
      <c r="H751" s="43"/>
    </row>
    <row r="752" spans="8:8" ht="12.75">
      <c r="H752" s="43"/>
    </row>
    <row r="753" spans="8:8" ht="12.75">
      <c r="H753" s="43"/>
    </row>
    <row r="754" spans="8:8" ht="12.75">
      <c r="H754" s="43"/>
    </row>
    <row r="755" spans="8:8" ht="12.75">
      <c r="H755" s="43"/>
    </row>
    <row r="756" spans="8:8" ht="12.75">
      <c r="H756" s="43"/>
    </row>
    <row r="757" spans="8:8" ht="12.75">
      <c r="H757" s="43"/>
    </row>
    <row r="758" spans="8:8" ht="12.75">
      <c r="H758" s="43"/>
    </row>
    <row r="759" spans="8:8" ht="12.75">
      <c r="H759" s="43"/>
    </row>
    <row r="760" spans="8:8" ht="12.75">
      <c r="H760" s="43"/>
    </row>
    <row r="761" spans="8:8" ht="12.75">
      <c r="H761" s="43"/>
    </row>
    <row r="762" spans="8:8" ht="12.75">
      <c r="H762" s="43"/>
    </row>
    <row r="763" spans="8:8" ht="12.75">
      <c r="H763" s="43"/>
    </row>
    <row r="764" spans="8:8" ht="12.75">
      <c r="H764" s="43"/>
    </row>
    <row r="765" spans="8:8" ht="12.75">
      <c r="H765" s="43"/>
    </row>
    <row r="766" spans="8:8" ht="12.75">
      <c r="H766" s="43"/>
    </row>
    <row r="767" spans="8:8" ht="12.75">
      <c r="H767" s="43"/>
    </row>
    <row r="768" spans="8:8" ht="12.75">
      <c r="H768" s="43"/>
    </row>
    <row r="769" spans="8:8" ht="12.75">
      <c r="H769" s="43"/>
    </row>
    <row r="770" spans="8:8" ht="12.75">
      <c r="H770" s="43"/>
    </row>
    <row r="771" spans="8:8" ht="12.75">
      <c r="H771" s="43"/>
    </row>
    <row r="772" spans="8:8" ht="12.75">
      <c r="H772" s="43"/>
    </row>
    <row r="773" spans="8:8" ht="12.75">
      <c r="H773" s="43"/>
    </row>
    <row r="774" spans="8:8" ht="12.75">
      <c r="H774" s="43"/>
    </row>
    <row r="775" spans="8:8" ht="12.75">
      <c r="H775" s="43"/>
    </row>
    <row r="776" spans="8:8" ht="12.75">
      <c r="H776" s="43"/>
    </row>
    <row r="777" spans="8:8" ht="12.75">
      <c r="H777" s="43"/>
    </row>
    <row r="778" spans="8:8" ht="12.75">
      <c r="H778" s="43"/>
    </row>
    <row r="779" spans="8:8" ht="12.75">
      <c r="H779" s="43"/>
    </row>
    <row r="780" spans="8:8" ht="12.75">
      <c r="H780" s="43"/>
    </row>
    <row r="781" spans="8:8" ht="12.75">
      <c r="H781" s="43"/>
    </row>
    <row r="782" spans="8:8" ht="12.75">
      <c r="H782" s="43"/>
    </row>
    <row r="783" spans="8:8" ht="12.75">
      <c r="H783" s="43"/>
    </row>
    <row r="784" spans="8:8" ht="12.75">
      <c r="H784" s="43"/>
    </row>
    <row r="785" spans="8:8" ht="12.75">
      <c r="H785" s="43"/>
    </row>
    <row r="786" spans="8:8" ht="12.75">
      <c r="H786" s="43"/>
    </row>
    <row r="787" spans="8:8" ht="12.75">
      <c r="H787" s="43"/>
    </row>
    <row r="788" spans="8:8" ht="12.75">
      <c r="H788" s="43"/>
    </row>
    <row r="789" spans="8:8" ht="12.75">
      <c r="H789" s="43"/>
    </row>
    <row r="790" spans="8:8" ht="12.75">
      <c r="H790" s="43"/>
    </row>
    <row r="791" spans="8:8" ht="12.75">
      <c r="H791" s="43"/>
    </row>
    <row r="792" spans="8:8" ht="12.75">
      <c r="H792" s="43"/>
    </row>
    <row r="793" spans="8:8" ht="12.75">
      <c r="H793" s="43"/>
    </row>
    <row r="794" spans="8:8" ht="12.75">
      <c r="H794" s="43"/>
    </row>
    <row r="795" spans="8:8" ht="12.75">
      <c r="H795" s="43"/>
    </row>
    <row r="796" spans="8:8" ht="12.75">
      <c r="H796" s="43"/>
    </row>
    <row r="797" spans="8:8" ht="12.75">
      <c r="H797" s="43"/>
    </row>
    <row r="798" spans="8:8" ht="12.75">
      <c r="H798" s="43"/>
    </row>
    <row r="799" spans="8:8" ht="12.75">
      <c r="H799" s="43"/>
    </row>
    <row r="800" spans="8:8" ht="12.75">
      <c r="H800" s="43"/>
    </row>
    <row r="801" spans="8:8" ht="12.75">
      <c r="H801" s="43"/>
    </row>
    <row r="802" spans="8:8" ht="12.75">
      <c r="H802" s="43"/>
    </row>
    <row r="803" spans="8:8" ht="12.75">
      <c r="H803" s="43"/>
    </row>
    <row r="804" spans="8:8" ht="12.75">
      <c r="H804" s="43"/>
    </row>
    <row r="805" spans="8:8" ht="12.75">
      <c r="H805" s="43"/>
    </row>
    <row r="806" spans="8:8" ht="12.75">
      <c r="H806" s="43"/>
    </row>
    <row r="807" spans="8:8" ht="12.75">
      <c r="H807" s="43"/>
    </row>
    <row r="808" spans="8:8" ht="12.75">
      <c r="H808" s="43"/>
    </row>
    <row r="809" spans="8:8" ht="12.75">
      <c r="H809" s="43"/>
    </row>
    <row r="810" spans="8:8" ht="12.75">
      <c r="H810" s="43"/>
    </row>
    <row r="811" spans="8:8" ht="12.75">
      <c r="H811" s="43"/>
    </row>
    <row r="812" spans="8:8" ht="12.75">
      <c r="H812" s="43"/>
    </row>
    <row r="813" spans="8:8" ht="12.75">
      <c r="H813" s="43"/>
    </row>
    <row r="814" spans="8:8" ht="12.75">
      <c r="H814" s="43"/>
    </row>
    <row r="815" spans="8:8" ht="12.75">
      <c r="H815" s="43"/>
    </row>
    <row r="816" spans="8:8" ht="12.75">
      <c r="H816" s="43"/>
    </row>
    <row r="817" spans="8:8" ht="12.75">
      <c r="H817" s="43"/>
    </row>
    <row r="818" spans="8:8" ht="12.75">
      <c r="H818" s="43"/>
    </row>
    <row r="819" spans="8:8" ht="12.75">
      <c r="H819" s="43"/>
    </row>
    <row r="820" spans="8:8" ht="12.75">
      <c r="H820" s="43"/>
    </row>
    <row r="821" spans="8:8" ht="12.75">
      <c r="H821" s="43"/>
    </row>
    <row r="822" spans="8:8" ht="12.75">
      <c r="H822" s="43"/>
    </row>
    <row r="823" spans="8:8" ht="12.75">
      <c r="H823" s="43"/>
    </row>
    <row r="824" spans="8:8" ht="12.75">
      <c r="H824" s="43"/>
    </row>
    <row r="825" spans="8:8" ht="12.75">
      <c r="H825" s="43"/>
    </row>
    <row r="826" spans="8:8" ht="12.75">
      <c r="H826" s="43"/>
    </row>
    <row r="827" spans="8:8" ht="12.75">
      <c r="H827" s="43"/>
    </row>
    <row r="828" spans="8:8" ht="12.75">
      <c r="H828" s="43"/>
    </row>
    <row r="829" spans="8:8" ht="12.75">
      <c r="H829" s="43"/>
    </row>
    <row r="830" spans="8:8" ht="12.75">
      <c r="H830" s="43"/>
    </row>
    <row r="831" spans="8:8" ht="12.75">
      <c r="H831" s="43"/>
    </row>
    <row r="832" spans="8:8" ht="12.75">
      <c r="H832" s="43"/>
    </row>
    <row r="833" spans="8:8" ht="12.75">
      <c r="H833" s="43"/>
    </row>
    <row r="834" spans="8:8" ht="12.75">
      <c r="H834" s="43"/>
    </row>
    <row r="835" spans="8:8" ht="12.75">
      <c r="H835" s="43"/>
    </row>
    <row r="836" spans="8:8" ht="12.75">
      <c r="H836" s="43"/>
    </row>
    <row r="837" spans="8:8" ht="12.75">
      <c r="H837" s="43"/>
    </row>
    <row r="838" spans="8:8" ht="12.75">
      <c r="H838" s="43"/>
    </row>
    <row r="839" spans="8:8" ht="12.75">
      <c r="H839" s="43"/>
    </row>
    <row r="840" spans="8:8" ht="12.75">
      <c r="H840" s="43"/>
    </row>
    <row r="841" spans="8:8" ht="12.75">
      <c r="H841" s="43"/>
    </row>
    <row r="842" spans="8:8" ht="12.75">
      <c r="H842" s="43"/>
    </row>
    <row r="843" spans="8:8" ht="12.75">
      <c r="H843" s="43"/>
    </row>
    <row r="844" spans="8:8" ht="12.75">
      <c r="H844" s="43"/>
    </row>
    <row r="845" spans="8:8" ht="12.75">
      <c r="H845" s="43"/>
    </row>
    <row r="846" spans="8:8" ht="12.75">
      <c r="H846" s="43"/>
    </row>
    <row r="847" spans="8:8" ht="12.75">
      <c r="H847" s="43"/>
    </row>
    <row r="848" spans="8:8" ht="12.75">
      <c r="H848" s="43"/>
    </row>
    <row r="849" spans="8:8" ht="12.75">
      <c r="H849" s="43"/>
    </row>
    <row r="850" spans="8:8" ht="12.75">
      <c r="H850" s="43"/>
    </row>
    <row r="851" spans="8:8" ht="12.75">
      <c r="H851" s="43"/>
    </row>
    <row r="852" spans="8:8" ht="12.75">
      <c r="H852" s="43"/>
    </row>
    <row r="853" spans="8:8" ht="12.75">
      <c r="H853" s="43"/>
    </row>
    <row r="854" spans="8:8" ht="12.75">
      <c r="H854" s="43"/>
    </row>
    <row r="855" spans="8:8" ht="12.75">
      <c r="H855" s="43"/>
    </row>
    <row r="856" spans="8:8" ht="12.75">
      <c r="H856" s="43"/>
    </row>
    <row r="857" spans="8:8" ht="12.75">
      <c r="H857" s="43"/>
    </row>
    <row r="858" spans="8:8" ht="12.75">
      <c r="H858" s="43"/>
    </row>
    <row r="859" spans="8:8" ht="12.75">
      <c r="H859" s="43"/>
    </row>
    <row r="860" spans="8:8" ht="12.75">
      <c r="H860" s="43"/>
    </row>
    <row r="861" spans="8:8" ht="12.75">
      <c r="H861" s="43"/>
    </row>
    <row r="862" spans="8:8" ht="12.75">
      <c r="H862" s="43"/>
    </row>
    <row r="863" spans="8:8" ht="12.75">
      <c r="H863" s="43"/>
    </row>
    <row r="864" spans="8:8" ht="12.75">
      <c r="H864" s="43"/>
    </row>
    <row r="865" spans="8:8" ht="12.75">
      <c r="H865" s="43"/>
    </row>
    <row r="866" spans="8:8" ht="12.75">
      <c r="H866" s="43"/>
    </row>
    <row r="867" spans="8:8" ht="12.75">
      <c r="H867" s="43"/>
    </row>
    <row r="868" spans="8:8" ht="12.75">
      <c r="H868" s="43"/>
    </row>
    <row r="869" spans="8:8" ht="12.75">
      <c r="H869" s="43"/>
    </row>
    <row r="870" spans="8:8" ht="12.75">
      <c r="H870" s="43"/>
    </row>
    <row r="871" spans="8:8" ht="12.75">
      <c r="H871" s="43"/>
    </row>
    <row r="872" spans="8:8" ht="12.75">
      <c r="H872" s="43"/>
    </row>
    <row r="873" spans="8:8" ht="12.75">
      <c r="H873" s="43"/>
    </row>
    <row r="874" spans="8:8" ht="12.75">
      <c r="H874" s="43"/>
    </row>
    <row r="875" spans="8:8" ht="12.75">
      <c r="H875" s="43"/>
    </row>
    <row r="876" spans="8:8" ht="12.75">
      <c r="H876" s="43"/>
    </row>
    <row r="877" spans="8:8" ht="12.75">
      <c r="H877" s="43"/>
    </row>
    <row r="878" spans="8:8" ht="12.75">
      <c r="H878" s="43"/>
    </row>
    <row r="879" spans="8:8" ht="12.75">
      <c r="H879" s="43"/>
    </row>
    <row r="880" spans="8:8" ht="12.75">
      <c r="H880" s="43"/>
    </row>
    <row r="881" spans="8:8" ht="12.75">
      <c r="H881" s="43"/>
    </row>
    <row r="882" spans="8:8" ht="12.75">
      <c r="H882" s="43"/>
    </row>
    <row r="883" spans="8:8" ht="12.75">
      <c r="H883" s="43"/>
    </row>
    <row r="884" spans="8:8" ht="12.75">
      <c r="H884" s="43"/>
    </row>
    <row r="885" spans="8:8" ht="12.75">
      <c r="H885" s="43"/>
    </row>
    <row r="886" spans="8:8" ht="12.75">
      <c r="H886" s="43"/>
    </row>
    <row r="887" spans="8:8" ht="12.75">
      <c r="H887" s="43"/>
    </row>
    <row r="888" spans="8:8" ht="12.75">
      <c r="H888" s="43"/>
    </row>
    <row r="889" spans="8:8" ht="12.75">
      <c r="H889" s="43"/>
    </row>
    <row r="890" spans="8:8" ht="12.75">
      <c r="H890" s="43"/>
    </row>
    <row r="891" spans="8:8" ht="12.75">
      <c r="H891" s="43"/>
    </row>
    <row r="892" spans="8:8" ht="12.75">
      <c r="H892" s="43"/>
    </row>
    <row r="893" spans="8:8" ht="12.75">
      <c r="H893" s="43"/>
    </row>
    <row r="894" spans="8:8" ht="12.75">
      <c r="H894" s="43"/>
    </row>
    <row r="895" spans="8:8" ht="12.75">
      <c r="H895" s="43"/>
    </row>
    <row r="896" spans="8:8" ht="12.75">
      <c r="H896" s="43"/>
    </row>
    <row r="897" spans="8:8" ht="12.75">
      <c r="H897" s="43"/>
    </row>
    <row r="898" spans="8:8" ht="12.75">
      <c r="H898" s="43"/>
    </row>
    <row r="899" spans="8:8" ht="12.75">
      <c r="H899" s="43"/>
    </row>
    <row r="900" spans="8:8" ht="12.75">
      <c r="H900" s="43"/>
    </row>
    <row r="901" spans="8:8" ht="12.75">
      <c r="H901" s="43"/>
    </row>
    <row r="902" spans="8:8" ht="12.75">
      <c r="H902" s="43"/>
    </row>
    <row r="903" spans="8:8" ht="12.75">
      <c r="H903" s="43"/>
    </row>
    <row r="904" spans="8:8" ht="12.75">
      <c r="H904" s="43"/>
    </row>
    <row r="905" spans="8:8" ht="12.75">
      <c r="H905" s="43"/>
    </row>
    <row r="906" spans="8:8" ht="12.75">
      <c r="H906" s="43"/>
    </row>
    <row r="907" spans="8:8" ht="12.75">
      <c r="H907" s="43"/>
    </row>
    <row r="908" spans="8:8" ht="12.75">
      <c r="H908" s="43"/>
    </row>
    <row r="909" spans="8:8" ht="12.75">
      <c r="H909" s="43"/>
    </row>
    <row r="910" spans="8:8" ht="12.75">
      <c r="H910" s="43"/>
    </row>
    <row r="911" spans="8:8" ht="12.75">
      <c r="H911" s="43"/>
    </row>
    <row r="912" spans="8:8" ht="12.75">
      <c r="H912" s="43"/>
    </row>
    <row r="913" spans="8:8" ht="12.75">
      <c r="H913" s="43"/>
    </row>
    <row r="914" spans="8:8" ht="12.75">
      <c r="H914" s="43"/>
    </row>
    <row r="915" spans="8:8" ht="12.75">
      <c r="H915" s="43"/>
    </row>
    <row r="916" spans="8:8" ht="12.75">
      <c r="H916" s="43"/>
    </row>
    <row r="917" spans="8:8" ht="12.75">
      <c r="H917" s="43"/>
    </row>
    <row r="918" spans="8:8" ht="12.75">
      <c r="H918" s="43"/>
    </row>
    <row r="919" spans="8:8" ht="12.75">
      <c r="H919" s="43"/>
    </row>
    <row r="920" spans="8:8" ht="12.75">
      <c r="H920" s="43"/>
    </row>
    <row r="921" spans="8:8" ht="12.75">
      <c r="H921" s="43"/>
    </row>
    <row r="922" spans="8:8" ht="12.75">
      <c r="H922" s="43"/>
    </row>
    <row r="923" spans="8:8" ht="12.75">
      <c r="H923" s="43"/>
    </row>
    <row r="924" spans="8:8" ht="12.75">
      <c r="H924" s="43"/>
    </row>
    <row r="925" spans="8:8" ht="12.75">
      <c r="H925" s="43"/>
    </row>
    <row r="926" spans="8:8" ht="12.75">
      <c r="H926" s="43"/>
    </row>
    <row r="927" spans="8:8" ht="12.75">
      <c r="H927" s="43"/>
    </row>
    <row r="928" spans="8:8" ht="12.75">
      <c r="H928" s="43"/>
    </row>
    <row r="929" spans="8:8" ht="12.75">
      <c r="H929" s="43"/>
    </row>
    <row r="930" spans="8:8" ht="12.75">
      <c r="H930" s="43"/>
    </row>
    <row r="931" spans="8:8" ht="12.75">
      <c r="H931" s="43"/>
    </row>
  </sheetData>
  <conditionalFormatting sqref="A1:R1">
    <cfRule type="notContainsBlanks" dxfId="2" priority="2">
      <formula>LEN(TRIM(A1))&gt;0</formula>
    </cfRule>
  </conditionalFormatting>
  <conditionalFormatting sqref="K2:Q7 B2:J931 K11:Q931">
    <cfRule type="expression" dxfId="1" priority="1">
      <formula>total</formula>
    </cfRule>
  </conditionalFormatting>
  <conditionalFormatting sqref="K1:R7 B1:J931 K11:R931">
    <cfRule type="expression" dxfId="0" priority="3">
      <formula>COUNTIF($B1,"*total")&gt;0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1E58A-3E25-0542-8D14-D75A1028FE89}">
  <sheetPr filterMode="1">
    <outlinePr summaryBelow="0" summaryRight="0"/>
  </sheetPr>
  <dimension ref="A1:AW9000"/>
  <sheetViews>
    <sheetView workbookViewId="0">
      <selection activeCell="K210" sqref="K210"/>
    </sheetView>
  </sheetViews>
  <sheetFormatPr defaultColWidth="12.7109375" defaultRowHeight="15.75" customHeight="1"/>
  <cols>
    <col min="1" max="1" width="12.7109375" style="42"/>
    <col min="2" max="2" width="9.28515625" style="42" customWidth="1"/>
    <col min="3" max="3" width="15" style="42" customWidth="1"/>
    <col min="4" max="4" width="25" style="42" customWidth="1"/>
    <col min="5" max="5" width="12.7109375" style="42"/>
    <col min="6" max="6" width="30.140625" style="42" customWidth="1"/>
    <col min="7" max="7" width="12.7109375" style="42"/>
    <col min="8" max="8" width="17.85546875" style="42" customWidth="1"/>
    <col min="9" max="9" width="11.85546875" style="42" customWidth="1"/>
    <col min="10" max="31" width="12.7109375" style="42"/>
    <col min="32" max="32" width="329" style="42" customWidth="1"/>
    <col min="33" max="16384" width="12.7109375" style="42"/>
  </cols>
  <sheetData>
    <row r="1" spans="1:49" ht="12.75">
      <c r="A1" s="55" t="str">
        <f ca="1">IFERROR(__xludf.DUMMYFUNCTION("query(IMPORTRANGE(""https://docs.google.com/spreadsheets/d/172pCWofZWyKNBMKezw4TsYKoUPn_-FiA_eACjtfyEEY/edit#gid=0"", ""Ocean!A:AF""), ""select * where Col1 = 'Colombo'"")"),"Origin")</f>
        <v>Origin</v>
      </c>
      <c r="B1" s="50" t="str">
        <f ca="1">IFERROR(__xludf.DUMMYFUNCTION("""COMPUTED_VALUE"""),"")</f>
        <v/>
      </c>
      <c r="C1" s="50" t="str">
        <f ca="1">IFERROR(__xludf.DUMMYFUNCTION("""COMPUTED_VALUE"""),"FLEX-ID")</f>
        <v>FLEX-ID</v>
      </c>
      <c r="D1" s="50" t="str">
        <f ca="1">IFERROR(__xludf.DUMMYFUNCTION("""COMPUTED_VALUE"""),"Equipment")</f>
        <v>Equipment</v>
      </c>
      <c r="E1" s="50" t="str">
        <f ca="1">IFERROR(__xludf.DUMMYFUNCTION("""COMPUTED_VALUE"""),"Load Type *")</f>
        <v>Load Type *</v>
      </c>
      <c r="F1" s="50" t="str">
        <f ca="1">IFERROR(__xludf.DUMMYFUNCTION("""COMPUTED_VALUE"""),"Supplier Name")</f>
        <v>Supplier Name</v>
      </c>
      <c r="G1" s="50" t="str">
        <f ca="1">IFERROR(__xludf.DUMMYFUNCTION("""COMPUTED_VALUE"""),"Factory Name")</f>
        <v>Factory Name</v>
      </c>
      <c r="H1" s="54" t="str">
        <f ca="1">IFERROR(__xludf.DUMMYFUNCTION("""COMPUTED_VALUE"""),"Shipping Order Num")</f>
        <v>Shipping Order Num</v>
      </c>
      <c r="I1" s="50" t="str">
        <f ca="1">IFERROR(__xludf.DUMMYFUNCTION("""COMPUTED_VALUE"""),"Purchase Order *")</f>
        <v>Purchase Order *</v>
      </c>
      <c r="J1" s="50" t="str">
        <f ca="1">IFERROR(__xludf.DUMMYFUNCTION("""COMPUTED_VALUE"""),"Style # *")</f>
        <v>Style # *</v>
      </c>
      <c r="K1" s="50" t="str">
        <f ca="1">IFERROR(__xludf.DUMMYFUNCTION("""COMPUTED_VALUE"""),"Line Item Id *")</f>
        <v>Line Item Id *</v>
      </c>
      <c r="L1" s="50" t="str">
        <f ca="1">IFERROR(__xludf.DUMMYFUNCTION("""COMPUTED_VALUE"""),"Cartons")</f>
        <v>Cartons</v>
      </c>
      <c r="M1" s="50" t="str">
        <f ca="1">IFERROR(__xludf.DUMMYFUNCTION("""COMPUTED_VALUE"""),"Booked Quantity")</f>
        <v>Booked Quantity</v>
      </c>
      <c r="N1" s="50" t="str">
        <f ca="1">IFERROR(__xludf.DUMMYFUNCTION("""COMPUTED_VALUE"""),"Weight *")</f>
        <v>Weight *</v>
      </c>
      <c r="O1" s="50" t="str">
        <f ca="1">IFERROR(__xludf.DUMMYFUNCTION("""COMPUTED_VALUE"""),"Volume *")</f>
        <v>Volume *</v>
      </c>
      <c r="P1" s="50" t="str">
        <f ca="1">IFERROR(__xludf.DUMMYFUNCTION("""COMPUTED_VALUE"""),"POL")</f>
        <v>POL</v>
      </c>
      <c r="Q1" s="50" t="str">
        <f ca="1">IFERROR(__xludf.DUMMYFUNCTION("""COMPUTED_VALUE"""),"POD")</f>
        <v>POD</v>
      </c>
      <c r="R1" s="50" t="str">
        <f ca="1">IFERROR(__xludf.DUMMYFUNCTION("""COMPUTED_VALUE"""),"Actual HOD")</f>
        <v>Actual HOD</v>
      </c>
      <c r="S1" s="50" t="str">
        <f ca="1">IFERROR(__xludf.DUMMYFUNCTION("""COMPUTED_VALUE"""),"DC Date")</f>
        <v>DC Date</v>
      </c>
      <c r="T1" s="50" t="str">
        <f ca="1">IFERROR(__xludf.DUMMYFUNCTION("""COMPUTED_VALUE"""),"Final Destination")</f>
        <v>Final Destination</v>
      </c>
      <c r="U1" s="50" t="str">
        <f ca="1">IFERROR(__xludf.DUMMYFUNCTION("""COMPUTED_VALUE"""),"Org Carrier")</f>
        <v>Org Carrier</v>
      </c>
      <c r="V1" s="50" t="str">
        <f ca="1">IFERROR(__xludf.DUMMYFUNCTION("""COMPUTED_VALUE"""),"Service String")</f>
        <v>Service String</v>
      </c>
      <c r="W1" s="50" t="str">
        <f ca="1">IFERROR(__xludf.DUMMYFUNCTION("""COMPUTED_VALUE"""),"Cargo Open Date")</f>
        <v>Cargo Open Date</v>
      </c>
      <c r="X1" s="50" t="str">
        <f ca="1">IFERROR(__xludf.DUMMYFUNCTION("""COMPUTED_VALUE"""),"Cargo Cut Off Date")</f>
        <v>Cargo Cut Off Date</v>
      </c>
      <c r="Y1" s="50" t="str">
        <f ca="1">IFERROR(__xludf.DUMMYFUNCTION("""COMPUTED_VALUE"""),"ETD Port Of Load Date")</f>
        <v>ETD Port Of Load Date</v>
      </c>
      <c r="Z1" s="50" t="str">
        <f ca="1">IFERROR(__xludf.DUMMYFUNCTION("""COMPUTED_VALUE"""),"ETA Port Of Discharge Date")</f>
        <v>ETA Port Of Discharge Date</v>
      </c>
      <c r="AA1" s="50" t="str">
        <f ca="1">IFERROR(__xludf.DUMMYFUNCTION("""COMPUTED_VALUE"""),"ETA IN DC Date")</f>
        <v>ETA IN DC Date</v>
      </c>
      <c r="AB1" s="50" t="str">
        <f ca="1">IFERROR(__xludf.DUMMYFUNCTION("""COMPUTED_VALUE"""),"Ship To Addr1")</f>
        <v>Ship To Addr1</v>
      </c>
      <c r="AC1" s="50" t="str">
        <f ca="1">IFERROR(__xludf.DUMMYFUNCTION("""COMPUTED_VALUE"""),"Ship To Addr2")</f>
        <v>Ship To Addr2</v>
      </c>
      <c r="AD1" s="50" t="str">
        <f ca="1">IFERROR(__xludf.DUMMYFUNCTION("""COMPUTED_VALUE"""),"Booked Mode")</f>
        <v>Booked Mode</v>
      </c>
      <c r="AE1" s="50" t="str">
        <f ca="1">IFERROR(__xludf.DUMMYFUNCTION("""COMPUTED_VALUE"""),"HOT PO")</f>
        <v>HOT PO</v>
      </c>
      <c r="AF1" s="50" t="str">
        <f ca="1">IFERROR(__xludf.DUMMYFUNCTION("""COMPUTED_VALUE"""),"Exception")</f>
        <v>Exception</v>
      </c>
      <c r="AG1" s="53" t="s">
        <v>34</v>
      </c>
      <c r="AH1" s="53" t="s">
        <v>31</v>
      </c>
      <c r="AI1" s="52" t="s">
        <v>192</v>
      </c>
      <c r="AJ1" s="52" t="s">
        <v>191</v>
      </c>
      <c r="AK1" s="52" t="s">
        <v>190</v>
      </c>
      <c r="AL1" s="52" t="s">
        <v>189</v>
      </c>
      <c r="AM1" s="52" t="s">
        <v>188</v>
      </c>
      <c r="AN1" s="52" t="s">
        <v>187</v>
      </c>
      <c r="AO1" s="51" t="s">
        <v>186</v>
      </c>
      <c r="AP1" s="50"/>
      <c r="AQ1" s="50"/>
      <c r="AR1" s="50"/>
      <c r="AS1" s="50"/>
      <c r="AT1" s="50"/>
      <c r="AU1" s="50"/>
      <c r="AV1" s="50"/>
      <c r="AW1" s="50"/>
    </row>
    <row r="2" spans="1:49" ht="12.75" hidden="1">
      <c r="A2" s="45" t="str">
        <f ca="1">IFERROR(__xludf.DUMMYFUNCTION("""COMPUTED_VALUE"""),"Colombo")</f>
        <v>Colombo</v>
      </c>
      <c r="B2" s="45"/>
      <c r="C2" s="45">
        <f ca="1">IFERROR(__xludf.DUMMYFUNCTION("""COMPUTED_VALUE"""),3231352)</f>
        <v>3231352</v>
      </c>
      <c r="D2" s="45"/>
      <c r="E2" s="45" t="str">
        <f ca="1">IFERROR(__xludf.DUMMYFUNCTION("""COMPUTED_VALUE"""),"CFS")</f>
        <v>CFS</v>
      </c>
      <c r="F2" s="45" t="str">
        <f ca="1">IFERROR(__xludf.DUMMYFUNCTION("""COMPUTED_VALUE"""),"MAS AMITY PTE LTD")</f>
        <v>MAS AMITY PTE LTD</v>
      </c>
      <c r="G2" s="45" t="str">
        <f ca="1">IFERROR(__xludf.DUMMYFUNCTION("""COMPUTED_VALUE"""),"MAS Active (Pvt) Ltd – Sleekline")</f>
        <v>MAS Active (Pvt) Ltd – Sleekline</v>
      </c>
      <c r="H2" s="43">
        <f ca="1">IFERROR(__xludf.DUMMYFUNCTION("""COMPUTED_VALUE"""),450558552651)</f>
        <v>450558552651</v>
      </c>
      <c r="I2" s="45">
        <f ca="1">IFERROR(__xludf.DUMMYFUNCTION("""COMPUTED_VALUE"""),19899555)</f>
        <v>19899555</v>
      </c>
      <c r="J2" s="45" t="str">
        <f ca="1">IFERROR(__xludf.DUMMYFUNCTION("""COMPUTED_VALUE"""),"LM9B19S")</f>
        <v>LM9B19S</v>
      </c>
      <c r="K2" s="45" t="str">
        <f ca="1">IFERROR(__xludf.DUMMYFUNCTION("""COMPUTED_VALUE"""),"LM9B19S-4310")</f>
        <v>LM9B19S-4310</v>
      </c>
      <c r="L2" s="45">
        <f ca="1">IFERROR(__xludf.DUMMYFUNCTION("""COMPUTED_VALUE"""),13)</f>
        <v>13</v>
      </c>
      <c r="M2" s="45">
        <f ca="1">IFERROR(__xludf.DUMMYFUNCTION("""COMPUTED_VALUE"""),613)</f>
        <v>613</v>
      </c>
      <c r="N2" s="45">
        <f ca="1">IFERROR(__xludf.DUMMYFUNCTION("""COMPUTED_VALUE"""),172.95)</f>
        <v>172.95</v>
      </c>
      <c r="O2" s="45">
        <f ca="1">IFERROR(__xludf.DUMMYFUNCTION("""COMPUTED_VALUE"""),1.031)</f>
        <v>1.0309999999999999</v>
      </c>
      <c r="P2" s="45" t="str">
        <f ca="1">IFERROR(__xludf.DUMMYFUNCTION("""COMPUTED_VALUE"""),"Colombo, LK")</f>
        <v>Colombo, LK</v>
      </c>
      <c r="Q2" s="45" t="str">
        <f ca="1">IFERROR(__xludf.DUMMYFUNCTION("""COMPUTED_VALUE"""),"New York, NY, US")</f>
        <v>New York, NY, US</v>
      </c>
      <c r="R2" s="44">
        <f ca="1">IFERROR(__xludf.DUMMYFUNCTION("""COMPUTED_VALUE"""),45817)</f>
        <v>45817</v>
      </c>
      <c r="S2" s="44">
        <f ca="1">IFERROR(__xludf.DUMMYFUNCTION("""COMPUTED_VALUE"""),45876)</f>
        <v>45876</v>
      </c>
      <c r="T2" s="45" t="str">
        <f ca="1">IFERROR(__xludf.DUMMYFUNCTION("""COMPUTED_VALUE"""),"Milton, ON, CA")</f>
        <v>Milton, ON, CA</v>
      </c>
      <c r="U2" s="45"/>
      <c r="V2" s="45"/>
      <c r="W2" s="45"/>
      <c r="X2" s="45"/>
      <c r="Y2" s="46">
        <f ca="1">IFERROR(__xludf.DUMMYFUNCTION("""COMPUTED_VALUE"""),45825)</f>
        <v>45825</v>
      </c>
      <c r="Z2" s="46">
        <f ca="1">IFERROR(__xludf.DUMMYFUNCTION("""COMPUTED_VALUE"""),45854)</f>
        <v>45854</v>
      </c>
      <c r="AA2" s="46">
        <f ca="1">IFERROR(__xludf.DUMMYFUNCTION("""COMPUTED_VALUE"""),45867)</f>
        <v>45867</v>
      </c>
      <c r="AB2" s="45" t="str">
        <f ca="1">IFERROR(__xludf.DUMMYFUNCTION("""COMPUTED_VALUE"""),"7211 Fifth Line")</f>
        <v>7211 Fifth Line</v>
      </c>
      <c r="AC2" s="45"/>
      <c r="AD2" s="45" t="str">
        <f ca="1">IFERROR(__xludf.DUMMYFUNCTION("""COMPUTED_VALUE"""),"OCEAN")</f>
        <v>OCEAN</v>
      </c>
      <c r="AE2" s="45" t="str">
        <f ca="1">IFERROR(__xludf.DUMMYFUNCTION("""COMPUTED_VALUE"""),"N")</f>
        <v>N</v>
      </c>
      <c r="AF2" s="45"/>
      <c r="AG2" s="49" t="str">
        <f ca="1">IFERROR(__xludf.DUMMYFUNCTION("IFNA(vlookup(H2,IMPORTRANGE(""1vUGwO1n0QQGx9kKbO0_M5gmuhXZ6-LaxQxgrmJnzgP0"",""'TP# look up'!A:C""),3,0),"""")"),"")</f>
        <v/>
      </c>
      <c r="AH2" s="49" t="str">
        <f t="shared" ref="AH2:AH65" ca="1" si="0">LEFT(J2,2)</f>
        <v>LM</v>
      </c>
    </row>
    <row r="3" spans="1:49" ht="12.75" hidden="1">
      <c r="A3" s="45" t="str">
        <f ca="1">IFERROR(__xludf.DUMMYFUNCTION("""COMPUTED_VALUE"""),"Colombo")</f>
        <v>Colombo</v>
      </c>
      <c r="B3" s="45"/>
      <c r="C3" s="45">
        <f ca="1">IFERROR(__xludf.DUMMYFUNCTION("""COMPUTED_VALUE"""),3231352)</f>
        <v>3231352</v>
      </c>
      <c r="D3" s="45"/>
      <c r="E3" s="45" t="str">
        <f ca="1">IFERROR(__xludf.DUMMYFUNCTION("""COMPUTED_VALUE"""),"CFS")</f>
        <v>CFS</v>
      </c>
      <c r="F3" s="45" t="str">
        <f ca="1">IFERROR(__xludf.DUMMYFUNCTION("""COMPUTED_VALUE"""),"MAS AMITY PTE LTD")</f>
        <v>MAS AMITY PTE LTD</v>
      </c>
      <c r="G3" s="45" t="str">
        <f ca="1">IFERROR(__xludf.DUMMYFUNCTION("""COMPUTED_VALUE"""),"MAS Active (Pvt) Ltd – Sleekline")</f>
        <v>MAS Active (Pvt) Ltd – Sleekline</v>
      </c>
      <c r="H3" s="43">
        <f ca="1">IFERROR(__xludf.DUMMYFUNCTION("""COMPUTED_VALUE"""),450560742308)</f>
        <v>450560742308</v>
      </c>
      <c r="I3" s="45">
        <f ca="1">IFERROR(__xludf.DUMMYFUNCTION("""COMPUTED_VALUE"""),19913285)</f>
        <v>19913285</v>
      </c>
      <c r="J3" s="45" t="str">
        <f ca="1">IFERROR(__xludf.DUMMYFUNCTION("""COMPUTED_VALUE"""),"LM9AN5S")</f>
        <v>LM9AN5S</v>
      </c>
      <c r="K3" s="45" t="str">
        <f ca="1">IFERROR(__xludf.DUMMYFUNCTION("""COMPUTED_VALUE"""),"LM9AN5S-045958")</f>
        <v>LM9AN5S-045958</v>
      </c>
      <c r="L3" s="45">
        <f ca="1">IFERROR(__xludf.DUMMYFUNCTION("""COMPUTED_VALUE"""),3)</f>
        <v>3</v>
      </c>
      <c r="M3" s="45">
        <f ca="1">IFERROR(__xludf.DUMMYFUNCTION("""COMPUTED_VALUE"""),62)</f>
        <v>62</v>
      </c>
      <c r="N3" s="45">
        <f ca="1">IFERROR(__xludf.DUMMYFUNCTION("""COMPUTED_VALUE"""),35.03)</f>
        <v>35.03</v>
      </c>
      <c r="O3" s="45">
        <f ca="1">IFERROR(__xludf.DUMMYFUNCTION("""COMPUTED_VALUE"""),0.238)</f>
        <v>0.23799999999999999</v>
      </c>
      <c r="P3" s="45" t="str">
        <f ca="1">IFERROR(__xludf.DUMMYFUNCTION("""COMPUTED_VALUE"""),"Colombo, LK")</f>
        <v>Colombo, LK</v>
      </c>
      <c r="Q3" s="45" t="str">
        <f ca="1">IFERROR(__xludf.DUMMYFUNCTION("""COMPUTED_VALUE"""),"New York, NY, US")</f>
        <v>New York, NY, US</v>
      </c>
      <c r="R3" s="44">
        <f ca="1">IFERROR(__xludf.DUMMYFUNCTION("""COMPUTED_VALUE"""),45817)</f>
        <v>45817</v>
      </c>
      <c r="S3" s="44">
        <f ca="1">IFERROR(__xludf.DUMMYFUNCTION("""COMPUTED_VALUE"""),45876)</f>
        <v>45876</v>
      </c>
      <c r="T3" s="45" t="str">
        <f ca="1">IFERROR(__xludf.DUMMYFUNCTION("""COMPUTED_VALUE"""),"Mississauga, ON, CA")</f>
        <v>Mississauga, ON, CA</v>
      </c>
      <c r="U3" s="45"/>
      <c r="V3" s="45"/>
      <c r="W3" s="45"/>
      <c r="X3" s="45"/>
      <c r="Y3" s="46">
        <f ca="1">IFERROR(__xludf.DUMMYFUNCTION("""COMPUTED_VALUE"""),45825)</f>
        <v>45825</v>
      </c>
      <c r="Z3" s="46">
        <f ca="1">IFERROR(__xludf.DUMMYFUNCTION("""COMPUTED_VALUE"""),45854)</f>
        <v>45854</v>
      </c>
      <c r="AA3" s="46">
        <f ca="1">IFERROR(__xludf.DUMMYFUNCTION("""COMPUTED_VALUE"""),45867)</f>
        <v>45867</v>
      </c>
      <c r="AB3" s="45" t="str">
        <f ca="1">IFERROR(__xludf.DUMMYFUNCTION("""COMPUTED_VALUE"""),"3500 Argentia Road")</f>
        <v>3500 Argentia Road</v>
      </c>
      <c r="AC3" s="45"/>
      <c r="AD3" s="45" t="str">
        <f ca="1">IFERROR(__xludf.DUMMYFUNCTION("""COMPUTED_VALUE"""),"OCEAN")</f>
        <v>OCEAN</v>
      </c>
      <c r="AE3" s="45" t="str">
        <f ca="1">IFERROR(__xludf.DUMMYFUNCTION("""COMPUTED_VALUE"""),"N")</f>
        <v>N</v>
      </c>
      <c r="AF3" s="45"/>
      <c r="AG3" s="49" t="str">
        <f ca="1">IFERROR(__xludf.DUMMYFUNCTION("IFNA(vlookup(H3,IMPORTRANGE(""1vUGwO1n0QQGx9kKbO0_M5gmuhXZ6-LaxQxgrmJnzgP0"",""'TP# look up'!A:C""),3,0),"""")"),"")</f>
        <v/>
      </c>
      <c r="AH3" s="49" t="str">
        <f t="shared" ca="1" si="0"/>
        <v>LM</v>
      </c>
    </row>
    <row r="4" spans="1:49" ht="12.75" hidden="1">
      <c r="A4" s="45" t="str">
        <f ca="1">IFERROR(__xludf.DUMMYFUNCTION("""COMPUTED_VALUE"""),"Colombo")</f>
        <v>Colombo</v>
      </c>
      <c r="B4" s="45"/>
      <c r="C4" s="45">
        <f ca="1">IFERROR(__xludf.DUMMYFUNCTION("""COMPUTED_VALUE"""),3231352)</f>
        <v>3231352</v>
      </c>
      <c r="D4" s="45"/>
      <c r="E4" s="45" t="str">
        <f ca="1">IFERROR(__xludf.DUMMYFUNCTION("""COMPUTED_VALUE"""),"CFS")</f>
        <v>CFS</v>
      </c>
      <c r="F4" s="45" t="str">
        <f ca="1">IFERROR(__xludf.DUMMYFUNCTION("""COMPUTED_VALUE"""),"MAS AMITY PTE LTD")</f>
        <v>MAS AMITY PTE LTD</v>
      </c>
      <c r="G4" s="45" t="str">
        <f ca="1">IFERROR(__xludf.DUMMYFUNCTION("""COMPUTED_VALUE"""),"MAS Active (Pvt) Ltd - Linea Intimo")</f>
        <v>MAS Active (Pvt) Ltd - Linea Intimo</v>
      </c>
      <c r="H4" s="43">
        <f ca="1">IFERROR(__xludf.DUMMYFUNCTION("""COMPUTED_VALUE"""),451413405023)</f>
        <v>451413405023</v>
      </c>
      <c r="I4" s="45">
        <f ca="1">IFERROR(__xludf.DUMMYFUNCTION("""COMPUTED_VALUE"""),19918818)</f>
        <v>19918818</v>
      </c>
      <c r="J4" s="45" t="str">
        <f ca="1">IFERROR(__xludf.DUMMYFUNCTION("""COMPUTED_VALUE"""),"LW3DFMS")</f>
        <v>LW3DFMS</v>
      </c>
      <c r="K4" s="45" t="str">
        <f ca="1">IFERROR(__xludf.DUMMYFUNCTION("""COMPUTED_VALUE"""),"LW3DFMS-071306")</f>
        <v>LW3DFMS-071306</v>
      </c>
      <c r="L4" s="45">
        <f ca="1">IFERROR(__xludf.DUMMYFUNCTION("""COMPUTED_VALUE"""),15)</f>
        <v>15</v>
      </c>
      <c r="M4" s="45">
        <f ca="1">IFERROR(__xludf.DUMMYFUNCTION("""COMPUTED_VALUE"""),1182)</f>
        <v>1182</v>
      </c>
      <c r="N4" s="45">
        <f ca="1">IFERROR(__xludf.DUMMYFUNCTION("""COMPUTED_VALUE"""),141.26)</f>
        <v>141.26</v>
      </c>
      <c r="O4" s="45">
        <f ca="1">IFERROR(__xludf.DUMMYFUNCTION("""COMPUTED_VALUE"""),1.11)</f>
        <v>1.1100000000000001</v>
      </c>
      <c r="P4" s="45" t="str">
        <f ca="1">IFERROR(__xludf.DUMMYFUNCTION("""COMPUTED_VALUE"""),"Colombo, LK")</f>
        <v>Colombo, LK</v>
      </c>
      <c r="Q4" s="45" t="str">
        <f ca="1">IFERROR(__xludf.DUMMYFUNCTION("""COMPUTED_VALUE"""),"New York, NY, US")</f>
        <v>New York, NY, US</v>
      </c>
      <c r="R4" s="44">
        <f ca="1">IFERROR(__xludf.DUMMYFUNCTION("""COMPUTED_VALUE"""),45817)</f>
        <v>45817</v>
      </c>
      <c r="S4" s="44">
        <f ca="1">IFERROR(__xludf.DUMMYFUNCTION("""COMPUTED_VALUE"""),45876)</f>
        <v>45876</v>
      </c>
      <c r="T4" s="45" t="str">
        <f ca="1">IFERROR(__xludf.DUMMYFUNCTION("""COMPUTED_VALUE"""),"Mississauga, ON, CA")</f>
        <v>Mississauga, ON, CA</v>
      </c>
      <c r="U4" s="45"/>
      <c r="V4" s="45"/>
      <c r="W4" s="45"/>
      <c r="X4" s="45"/>
      <c r="Y4" s="46">
        <f ca="1">IFERROR(__xludf.DUMMYFUNCTION("""COMPUTED_VALUE"""),45825)</f>
        <v>45825</v>
      </c>
      <c r="Z4" s="46">
        <f ca="1">IFERROR(__xludf.DUMMYFUNCTION("""COMPUTED_VALUE"""),45854)</f>
        <v>45854</v>
      </c>
      <c r="AA4" s="46">
        <f ca="1">IFERROR(__xludf.DUMMYFUNCTION("""COMPUTED_VALUE"""),45867)</f>
        <v>45867</v>
      </c>
      <c r="AB4" s="45" t="str">
        <f ca="1">IFERROR(__xludf.DUMMYFUNCTION("""COMPUTED_VALUE"""),"3500 Argentia Road")</f>
        <v>3500 Argentia Road</v>
      </c>
      <c r="AC4" s="45"/>
      <c r="AD4" s="45" t="str">
        <f ca="1">IFERROR(__xludf.DUMMYFUNCTION("""COMPUTED_VALUE"""),"OCEAN")</f>
        <v>OCEAN</v>
      </c>
      <c r="AE4" s="45" t="str">
        <f ca="1">IFERROR(__xludf.DUMMYFUNCTION("""COMPUTED_VALUE"""),"N")</f>
        <v>N</v>
      </c>
      <c r="AF4" s="45"/>
      <c r="AG4" s="49" t="str">
        <f ca="1">IFERROR(__xludf.DUMMYFUNCTION("IFNA(vlookup(H4,IMPORTRANGE(""1vUGwO1n0QQGx9kKbO0_M5gmuhXZ6-LaxQxgrmJnzgP0"",""'TP# look up'!A:C""),3,0),"""")"),"")</f>
        <v/>
      </c>
      <c r="AH4" s="49" t="str">
        <f t="shared" ca="1" si="0"/>
        <v>LW</v>
      </c>
    </row>
    <row r="5" spans="1:49" ht="12.75" hidden="1">
      <c r="A5" s="45" t="str">
        <f ca="1">IFERROR(__xludf.DUMMYFUNCTION("""COMPUTED_VALUE"""),"Colombo")</f>
        <v>Colombo</v>
      </c>
      <c r="B5" s="45"/>
      <c r="C5" s="45">
        <f ca="1">IFERROR(__xludf.DUMMYFUNCTION("""COMPUTED_VALUE"""),3231352)</f>
        <v>3231352</v>
      </c>
      <c r="D5" s="45"/>
      <c r="E5" s="45" t="str">
        <f ca="1">IFERROR(__xludf.DUMMYFUNCTION("""COMPUTED_VALUE"""),"CFS")</f>
        <v>CFS</v>
      </c>
      <c r="F5" s="45" t="str">
        <f ca="1">IFERROR(__xludf.DUMMYFUNCTION("""COMPUTED_VALUE"""),"MAS AMITY PTE LTD")</f>
        <v>MAS AMITY PTE LTD</v>
      </c>
      <c r="G5" s="45" t="str">
        <f ca="1">IFERROR(__xludf.DUMMYFUNCTION("""COMPUTED_VALUE"""),"MAS Active (Pvt) Ltd - Linea Intimo")</f>
        <v>MAS Active (Pvt) Ltd - Linea Intimo</v>
      </c>
      <c r="H5" s="43">
        <f ca="1">IFERROR(__xludf.DUMMYFUNCTION("""COMPUTED_VALUE"""),452592342134)</f>
        <v>452592342134</v>
      </c>
      <c r="I5" s="45">
        <f ca="1">IFERROR(__xludf.DUMMYFUNCTION("""COMPUTED_VALUE"""),19918397)</f>
        <v>19918397</v>
      </c>
      <c r="J5" s="45" t="str">
        <f ca="1">IFERROR(__xludf.DUMMYFUNCTION("""COMPUTED_VALUE"""),"LW3DFMS")</f>
        <v>LW3DFMS</v>
      </c>
      <c r="K5" s="45" t="str">
        <f ca="1">IFERROR(__xludf.DUMMYFUNCTION("""COMPUTED_VALUE"""),"LW3DFMS-071306")</f>
        <v>LW3DFMS-071306</v>
      </c>
      <c r="L5" s="45">
        <f ca="1">IFERROR(__xludf.DUMMYFUNCTION("""COMPUTED_VALUE"""),7)</f>
        <v>7</v>
      </c>
      <c r="M5" s="45">
        <f ca="1">IFERROR(__xludf.DUMMYFUNCTION("""COMPUTED_VALUE"""),460)</f>
        <v>460</v>
      </c>
      <c r="N5" s="45">
        <f ca="1">IFERROR(__xludf.DUMMYFUNCTION("""COMPUTED_VALUE"""),60.723)</f>
        <v>60.722999999999999</v>
      </c>
      <c r="O5" s="45">
        <f ca="1">IFERROR(__xludf.DUMMYFUNCTION("""COMPUTED_VALUE"""),0.434)</f>
        <v>0.434</v>
      </c>
      <c r="P5" s="45" t="str">
        <f ca="1">IFERROR(__xludf.DUMMYFUNCTION("""COMPUTED_VALUE"""),"Colombo, LK")</f>
        <v>Colombo, LK</v>
      </c>
      <c r="Q5" s="45" t="str">
        <f ca="1">IFERROR(__xludf.DUMMYFUNCTION("""COMPUTED_VALUE"""),"New York, NY, US")</f>
        <v>New York, NY, US</v>
      </c>
      <c r="R5" s="44">
        <f ca="1">IFERROR(__xludf.DUMMYFUNCTION("""COMPUTED_VALUE"""),45817)</f>
        <v>45817</v>
      </c>
      <c r="S5" s="44">
        <f ca="1">IFERROR(__xludf.DUMMYFUNCTION("""COMPUTED_VALUE"""),45876)</f>
        <v>45876</v>
      </c>
      <c r="T5" s="45" t="str">
        <f ca="1">IFERROR(__xludf.DUMMYFUNCTION("""COMPUTED_VALUE"""),"Mississauga, ON, CA")</f>
        <v>Mississauga, ON, CA</v>
      </c>
      <c r="U5" s="45"/>
      <c r="V5" s="45"/>
      <c r="W5" s="45"/>
      <c r="X5" s="45"/>
      <c r="Y5" s="46">
        <f ca="1">IFERROR(__xludf.DUMMYFUNCTION("""COMPUTED_VALUE"""),45825)</f>
        <v>45825</v>
      </c>
      <c r="Z5" s="46">
        <f ca="1">IFERROR(__xludf.DUMMYFUNCTION("""COMPUTED_VALUE"""),45854)</f>
        <v>45854</v>
      </c>
      <c r="AA5" s="46">
        <f ca="1">IFERROR(__xludf.DUMMYFUNCTION("""COMPUTED_VALUE"""),45867)</f>
        <v>45867</v>
      </c>
      <c r="AB5" s="45" t="str">
        <f ca="1">IFERROR(__xludf.DUMMYFUNCTION("""COMPUTED_VALUE"""),"3500 Argentia Road")</f>
        <v>3500 Argentia Road</v>
      </c>
      <c r="AC5" s="45"/>
      <c r="AD5" s="45" t="str">
        <f ca="1">IFERROR(__xludf.DUMMYFUNCTION("""COMPUTED_VALUE"""),"OCEAN")</f>
        <v>OCEAN</v>
      </c>
      <c r="AE5" s="45" t="str">
        <f ca="1">IFERROR(__xludf.DUMMYFUNCTION("""COMPUTED_VALUE"""),"N")</f>
        <v>N</v>
      </c>
      <c r="AF5" s="45"/>
      <c r="AG5" s="49" t="str">
        <f ca="1">IFERROR(__xludf.DUMMYFUNCTION("IFNA(vlookup(H5,IMPORTRANGE(""1vUGwO1n0QQGx9kKbO0_M5gmuhXZ6-LaxQxgrmJnzgP0"",""'TP# look up'!A:C""),3,0),"""")"),"")</f>
        <v/>
      </c>
      <c r="AH5" s="49" t="str">
        <f t="shared" ca="1" si="0"/>
        <v>LW</v>
      </c>
    </row>
    <row r="6" spans="1:49" ht="12.75" hidden="1">
      <c r="A6" s="45" t="str">
        <f ca="1">IFERROR(__xludf.DUMMYFUNCTION("""COMPUTED_VALUE"""),"Colombo")</f>
        <v>Colombo</v>
      </c>
      <c r="B6" s="45"/>
      <c r="C6" s="45">
        <f ca="1">IFERROR(__xludf.DUMMYFUNCTION("""COMPUTED_VALUE"""),3231352)</f>
        <v>3231352</v>
      </c>
      <c r="D6" s="45"/>
      <c r="E6" s="45" t="str">
        <f ca="1">IFERROR(__xludf.DUMMYFUNCTION("""COMPUTED_VALUE"""),"CFS")</f>
        <v>CFS</v>
      </c>
      <c r="F6" s="45" t="str">
        <f ca="1">IFERROR(__xludf.DUMMYFUNCTION("""COMPUTED_VALUE"""),"MAS AMITY PTE LTD")</f>
        <v>MAS AMITY PTE LTD</v>
      </c>
      <c r="G6" s="45" t="str">
        <f ca="1">IFERROR(__xludf.DUMMYFUNCTION("""COMPUTED_VALUE"""),"MAS Active (Pvt) Ltd – Sleekline")</f>
        <v>MAS Active (Pvt) Ltd – Sleekline</v>
      </c>
      <c r="H6" s="43">
        <f ca="1">IFERROR(__xludf.DUMMYFUNCTION("""COMPUTED_VALUE"""),450561162511)</f>
        <v>450561162511</v>
      </c>
      <c r="I6" s="45">
        <f ca="1">IFERROR(__xludf.DUMMYFUNCTION("""COMPUTED_VALUE"""),19922446)</f>
        <v>19922446</v>
      </c>
      <c r="J6" s="45" t="str">
        <f ca="1">IFERROR(__xludf.DUMMYFUNCTION("""COMPUTED_VALUE"""),"LM9AN5S")</f>
        <v>LM9AN5S</v>
      </c>
      <c r="K6" s="45" t="str">
        <f ca="1">IFERROR(__xludf.DUMMYFUNCTION("""COMPUTED_VALUE"""),"LM9AN5S-072248")</f>
        <v>LM9AN5S-072248</v>
      </c>
      <c r="L6" s="45">
        <f ca="1">IFERROR(__xludf.DUMMYFUNCTION("""COMPUTED_VALUE"""),6)</f>
        <v>6</v>
      </c>
      <c r="M6" s="45">
        <f ca="1">IFERROR(__xludf.DUMMYFUNCTION("""COMPUTED_VALUE"""),138)</f>
        <v>138</v>
      </c>
      <c r="N6" s="45">
        <f ca="1">IFERROR(__xludf.DUMMYFUNCTION("""COMPUTED_VALUE"""),77.03)</f>
        <v>77.03</v>
      </c>
      <c r="O6" s="45">
        <f ca="1">IFERROR(__xludf.DUMMYFUNCTION("""COMPUTED_VALUE"""),0.476)</f>
        <v>0.47599999999999998</v>
      </c>
      <c r="P6" s="45" t="str">
        <f ca="1">IFERROR(__xludf.DUMMYFUNCTION("""COMPUTED_VALUE"""),"Colombo, LK")</f>
        <v>Colombo, LK</v>
      </c>
      <c r="Q6" s="45" t="str">
        <f ca="1">IFERROR(__xludf.DUMMYFUNCTION("""COMPUTED_VALUE"""),"New York, NY, US")</f>
        <v>New York, NY, US</v>
      </c>
      <c r="R6" s="44">
        <f ca="1">IFERROR(__xludf.DUMMYFUNCTION("""COMPUTED_VALUE"""),45817)</f>
        <v>45817</v>
      </c>
      <c r="S6" s="44">
        <f ca="1">IFERROR(__xludf.DUMMYFUNCTION("""COMPUTED_VALUE"""),45876)</f>
        <v>45876</v>
      </c>
      <c r="T6" s="45" t="str">
        <f ca="1">IFERROR(__xludf.DUMMYFUNCTION("""COMPUTED_VALUE"""),"Mississauga, ON, CA")</f>
        <v>Mississauga, ON, CA</v>
      </c>
      <c r="U6" s="45"/>
      <c r="V6" s="45"/>
      <c r="W6" s="45"/>
      <c r="X6" s="45"/>
      <c r="Y6" s="46">
        <f ca="1">IFERROR(__xludf.DUMMYFUNCTION("""COMPUTED_VALUE"""),45825)</f>
        <v>45825</v>
      </c>
      <c r="Z6" s="46">
        <f ca="1">IFERROR(__xludf.DUMMYFUNCTION("""COMPUTED_VALUE"""),45854)</f>
        <v>45854</v>
      </c>
      <c r="AA6" s="46">
        <f ca="1">IFERROR(__xludf.DUMMYFUNCTION("""COMPUTED_VALUE"""),45867)</f>
        <v>45867</v>
      </c>
      <c r="AB6" s="45" t="str">
        <f ca="1">IFERROR(__xludf.DUMMYFUNCTION("""COMPUTED_VALUE"""),"3500 Argentia Road")</f>
        <v>3500 Argentia Road</v>
      </c>
      <c r="AC6" s="45"/>
      <c r="AD6" s="45" t="str">
        <f ca="1">IFERROR(__xludf.DUMMYFUNCTION("""COMPUTED_VALUE"""),"OCEAN")</f>
        <v>OCEAN</v>
      </c>
      <c r="AE6" s="45" t="str">
        <f ca="1">IFERROR(__xludf.DUMMYFUNCTION("""COMPUTED_VALUE"""),"N")</f>
        <v>N</v>
      </c>
      <c r="AF6" s="45"/>
      <c r="AG6" s="49" t="str">
        <f ca="1">IFERROR(__xludf.DUMMYFUNCTION("IFNA(vlookup(H6,IMPORTRANGE(""1vUGwO1n0QQGx9kKbO0_M5gmuhXZ6-LaxQxgrmJnzgP0"",""'TP# look up'!A:C""),3,0),"""")"),"")</f>
        <v/>
      </c>
      <c r="AH6" s="49" t="str">
        <f t="shared" ca="1" si="0"/>
        <v>LM</v>
      </c>
    </row>
    <row r="7" spans="1:49" ht="12.75" hidden="1">
      <c r="A7" s="45" t="str">
        <f ca="1">IFERROR(__xludf.DUMMYFUNCTION("""COMPUTED_VALUE"""),"Colombo")</f>
        <v>Colombo</v>
      </c>
      <c r="B7" s="45"/>
      <c r="C7" s="45">
        <f ca="1">IFERROR(__xludf.DUMMYFUNCTION("""COMPUTED_VALUE"""),3231352)</f>
        <v>3231352</v>
      </c>
      <c r="D7" s="45"/>
      <c r="E7" s="45" t="str">
        <f ca="1">IFERROR(__xludf.DUMMYFUNCTION("""COMPUTED_VALUE"""),"CFS")</f>
        <v>CFS</v>
      </c>
      <c r="F7" s="45" t="str">
        <f ca="1">IFERROR(__xludf.DUMMYFUNCTION("""COMPUTED_VALUE"""),"MAS AMITY PTE LTD")</f>
        <v>MAS AMITY PTE LTD</v>
      </c>
      <c r="G7" s="45" t="str">
        <f ca="1">IFERROR(__xludf.DUMMYFUNCTION("""COMPUTED_VALUE"""),"MAS Active (Pvt) Ltd – Sleekline")</f>
        <v>MAS Active (Pvt) Ltd – Sleekline</v>
      </c>
      <c r="H7" s="43">
        <f ca="1">IFERROR(__xludf.DUMMYFUNCTION("""COMPUTED_VALUE"""),450566133672)</f>
        <v>450566133672</v>
      </c>
      <c r="I7" s="45">
        <f ca="1">IFERROR(__xludf.DUMMYFUNCTION("""COMPUTED_VALUE"""),19922447)</f>
        <v>19922447</v>
      </c>
      <c r="J7" s="45" t="str">
        <f ca="1">IFERROR(__xludf.DUMMYFUNCTION("""COMPUTED_VALUE"""),"LM9AN5S")</f>
        <v>LM9AN5S</v>
      </c>
      <c r="K7" s="45" t="str">
        <f ca="1">IFERROR(__xludf.DUMMYFUNCTION("""COMPUTED_VALUE"""),"LM9AN5S-072248")</f>
        <v>LM9AN5S-072248</v>
      </c>
      <c r="L7" s="45">
        <f ca="1">IFERROR(__xludf.DUMMYFUNCTION("""COMPUTED_VALUE"""),5)</f>
        <v>5</v>
      </c>
      <c r="M7" s="45">
        <f ca="1">IFERROR(__xludf.DUMMYFUNCTION("""COMPUTED_VALUE"""),113)</f>
        <v>113</v>
      </c>
      <c r="N7" s="45">
        <f ca="1">IFERROR(__xludf.DUMMYFUNCTION("""COMPUTED_VALUE"""),63.2)</f>
        <v>63.2</v>
      </c>
      <c r="O7" s="45">
        <f ca="1">IFERROR(__xludf.DUMMYFUNCTION("""COMPUTED_VALUE"""),0.397)</f>
        <v>0.39700000000000002</v>
      </c>
      <c r="P7" s="45" t="str">
        <f ca="1">IFERROR(__xludf.DUMMYFUNCTION("""COMPUTED_VALUE"""),"Colombo, LK")</f>
        <v>Colombo, LK</v>
      </c>
      <c r="Q7" s="45" t="str">
        <f ca="1">IFERROR(__xludf.DUMMYFUNCTION("""COMPUTED_VALUE"""),"New York, NY, US")</f>
        <v>New York, NY, US</v>
      </c>
      <c r="R7" s="44">
        <f ca="1">IFERROR(__xludf.DUMMYFUNCTION("""COMPUTED_VALUE"""),45817)</f>
        <v>45817</v>
      </c>
      <c r="S7" s="44">
        <f ca="1">IFERROR(__xludf.DUMMYFUNCTION("""COMPUTED_VALUE"""),45876)</f>
        <v>45876</v>
      </c>
      <c r="T7" s="45" t="str">
        <f ca="1">IFERROR(__xludf.DUMMYFUNCTION("""COMPUTED_VALUE"""),"Mississauga, ON, CA")</f>
        <v>Mississauga, ON, CA</v>
      </c>
      <c r="U7" s="45"/>
      <c r="V7" s="45"/>
      <c r="W7" s="45"/>
      <c r="X7" s="45"/>
      <c r="Y7" s="46">
        <f ca="1">IFERROR(__xludf.DUMMYFUNCTION("""COMPUTED_VALUE"""),45825)</f>
        <v>45825</v>
      </c>
      <c r="Z7" s="46">
        <f ca="1">IFERROR(__xludf.DUMMYFUNCTION("""COMPUTED_VALUE"""),45854)</f>
        <v>45854</v>
      </c>
      <c r="AA7" s="46">
        <f ca="1">IFERROR(__xludf.DUMMYFUNCTION("""COMPUTED_VALUE"""),45867)</f>
        <v>45867</v>
      </c>
      <c r="AB7" s="45" t="str">
        <f ca="1">IFERROR(__xludf.DUMMYFUNCTION("""COMPUTED_VALUE"""),"3500 Argentia Road")</f>
        <v>3500 Argentia Road</v>
      </c>
      <c r="AC7" s="45"/>
      <c r="AD7" s="45" t="str">
        <f ca="1">IFERROR(__xludf.DUMMYFUNCTION("""COMPUTED_VALUE"""),"OCEAN")</f>
        <v>OCEAN</v>
      </c>
      <c r="AE7" s="45" t="str">
        <f ca="1">IFERROR(__xludf.DUMMYFUNCTION("""COMPUTED_VALUE"""),"N")</f>
        <v>N</v>
      </c>
      <c r="AF7" s="45"/>
      <c r="AG7" s="49" t="str">
        <f ca="1">IFERROR(__xludf.DUMMYFUNCTION("IFNA(vlookup(H7,IMPORTRANGE(""1vUGwO1n0QQGx9kKbO0_M5gmuhXZ6-LaxQxgrmJnzgP0"",""'TP# look up'!A:C""),3,0),"""")"),"")</f>
        <v/>
      </c>
      <c r="AH7" s="49" t="str">
        <f t="shared" ca="1" si="0"/>
        <v>LM</v>
      </c>
    </row>
    <row r="8" spans="1:49" ht="12.75" hidden="1">
      <c r="A8" s="45" t="str">
        <f ca="1">IFERROR(__xludf.DUMMYFUNCTION("""COMPUTED_VALUE"""),"Colombo")</f>
        <v>Colombo</v>
      </c>
      <c r="B8" s="45"/>
      <c r="C8" s="45">
        <f ca="1">IFERROR(__xludf.DUMMYFUNCTION("""COMPUTED_VALUE"""),3231352)</f>
        <v>3231352</v>
      </c>
      <c r="D8" s="45"/>
      <c r="E8" s="45" t="str">
        <f ca="1">IFERROR(__xludf.DUMMYFUNCTION("""COMPUTED_VALUE"""),"CFS")</f>
        <v>CFS</v>
      </c>
      <c r="F8" s="45" t="str">
        <f ca="1">IFERROR(__xludf.DUMMYFUNCTION("""COMPUTED_VALUE"""),"MAS AMITY PTE LTD")</f>
        <v>MAS AMITY PTE LTD</v>
      </c>
      <c r="G8" s="45" t="str">
        <f ca="1">IFERROR(__xludf.DUMMYFUNCTION("""COMPUTED_VALUE"""),"MAS Active (Pvt) Ltd – Sleekline")</f>
        <v>MAS Active (Pvt) Ltd – Sleekline</v>
      </c>
      <c r="H8" s="43">
        <f ca="1">IFERROR(__xludf.DUMMYFUNCTION("""COMPUTED_VALUE"""),450568366928)</f>
        <v>450568366928</v>
      </c>
      <c r="I8" s="45">
        <f ca="1">IFERROR(__xludf.DUMMYFUNCTION("""COMPUTED_VALUE"""),19926762)</f>
        <v>19926762</v>
      </c>
      <c r="J8" s="45" t="str">
        <f ca="1">IFERROR(__xludf.DUMMYFUNCTION("""COMPUTED_VALUE"""),"LM9AN8S")</f>
        <v>LM9AN8S</v>
      </c>
      <c r="K8" s="45" t="str">
        <f ca="1">IFERROR(__xludf.DUMMYFUNCTION("""COMPUTED_VALUE"""),"LM9AN8S-072476")</f>
        <v>LM9AN8S-072476</v>
      </c>
      <c r="L8" s="45">
        <f ca="1">IFERROR(__xludf.DUMMYFUNCTION("""COMPUTED_VALUE"""),3)</f>
        <v>3</v>
      </c>
      <c r="M8" s="45">
        <f ca="1">IFERROR(__xludf.DUMMYFUNCTION("""COMPUTED_VALUE"""),112)</f>
        <v>112</v>
      </c>
      <c r="N8" s="45">
        <f ca="1">IFERROR(__xludf.DUMMYFUNCTION("""COMPUTED_VALUE"""),34.67)</f>
        <v>34.67</v>
      </c>
      <c r="O8" s="45">
        <f ca="1">IFERROR(__xludf.DUMMYFUNCTION("""COMPUTED_VALUE"""),0.238)</f>
        <v>0.23799999999999999</v>
      </c>
      <c r="P8" s="45" t="str">
        <f ca="1">IFERROR(__xludf.DUMMYFUNCTION("""COMPUTED_VALUE"""),"Colombo, LK")</f>
        <v>Colombo, LK</v>
      </c>
      <c r="Q8" s="45" t="str">
        <f ca="1">IFERROR(__xludf.DUMMYFUNCTION("""COMPUTED_VALUE"""),"New York, NY, US")</f>
        <v>New York, NY, US</v>
      </c>
      <c r="R8" s="44">
        <f ca="1">IFERROR(__xludf.DUMMYFUNCTION("""COMPUTED_VALUE"""),45817)</f>
        <v>45817</v>
      </c>
      <c r="S8" s="44">
        <f ca="1">IFERROR(__xludf.DUMMYFUNCTION("""COMPUTED_VALUE"""),45876)</f>
        <v>45876</v>
      </c>
      <c r="T8" s="45" t="str">
        <f ca="1">IFERROR(__xludf.DUMMYFUNCTION("""COMPUTED_VALUE"""),"Mississauga, ON, CA")</f>
        <v>Mississauga, ON, CA</v>
      </c>
      <c r="U8" s="45"/>
      <c r="V8" s="45"/>
      <c r="W8" s="45"/>
      <c r="X8" s="45"/>
      <c r="Y8" s="46">
        <f ca="1">IFERROR(__xludf.DUMMYFUNCTION("""COMPUTED_VALUE"""),45825)</f>
        <v>45825</v>
      </c>
      <c r="Z8" s="46">
        <f ca="1">IFERROR(__xludf.DUMMYFUNCTION("""COMPUTED_VALUE"""),45854)</f>
        <v>45854</v>
      </c>
      <c r="AA8" s="46">
        <f ca="1">IFERROR(__xludf.DUMMYFUNCTION("""COMPUTED_VALUE"""),45867)</f>
        <v>45867</v>
      </c>
      <c r="AB8" s="45" t="str">
        <f ca="1">IFERROR(__xludf.DUMMYFUNCTION("""COMPUTED_VALUE"""),"3500 Argentia Road")</f>
        <v>3500 Argentia Road</v>
      </c>
      <c r="AC8" s="45"/>
      <c r="AD8" s="45" t="str">
        <f ca="1">IFERROR(__xludf.DUMMYFUNCTION("""COMPUTED_VALUE"""),"OCEAN")</f>
        <v>OCEAN</v>
      </c>
      <c r="AE8" s="45" t="str">
        <f ca="1">IFERROR(__xludf.DUMMYFUNCTION("""COMPUTED_VALUE"""),"N")</f>
        <v>N</v>
      </c>
      <c r="AF8" s="45"/>
      <c r="AG8" s="49" t="str">
        <f ca="1">IFERROR(__xludf.DUMMYFUNCTION("IFNA(vlookup(H8,IMPORTRANGE(""1vUGwO1n0QQGx9kKbO0_M5gmuhXZ6-LaxQxgrmJnzgP0"",""'TP# look up'!A:C""),3,0),"""")"),"")</f>
        <v/>
      </c>
      <c r="AH8" s="49" t="str">
        <f t="shared" ca="1" si="0"/>
        <v>LM</v>
      </c>
    </row>
    <row r="9" spans="1:49" ht="12.75" hidden="1">
      <c r="A9" s="45" t="str">
        <f ca="1">IFERROR(__xludf.DUMMYFUNCTION("""COMPUTED_VALUE"""),"Colombo")</f>
        <v>Colombo</v>
      </c>
      <c r="B9" s="45"/>
      <c r="C9" s="45">
        <f ca="1">IFERROR(__xludf.DUMMYFUNCTION("""COMPUTED_VALUE"""),3231352)</f>
        <v>3231352</v>
      </c>
      <c r="D9" s="45"/>
      <c r="E9" s="45" t="str">
        <f ca="1">IFERROR(__xludf.DUMMYFUNCTION("""COMPUTED_VALUE"""),"CFS")</f>
        <v>CFS</v>
      </c>
      <c r="F9" s="45" t="str">
        <f ca="1">IFERROR(__xludf.DUMMYFUNCTION("""COMPUTED_VALUE"""),"MAS AMITY PTE LTD")</f>
        <v>MAS AMITY PTE LTD</v>
      </c>
      <c r="G9" s="45" t="str">
        <f ca="1">IFERROR(__xludf.DUMMYFUNCTION("""COMPUTED_VALUE"""),"MAS Active (Pvt) Ltd – Sleekline")</f>
        <v>MAS Active (Pvt) Ltd – Sleekline</v>
      </c>
      <c r="H9" s="43">
        <f ca="1">IFERROR(__xludf.DUMMYFUNCTION("""COMPUTED_VALUE"""),450573886301)</f>
        <v>450573886301</v>
      </c>
      <c r="I9" s="45">
        <f ca="1">IFERROR(__xludf.DUMMYFUNCTION("""COMPUTED_VALUE"""),19927039)</f>
        <v>19927039</v>
      </c>
      <c r="J9" s="45" t="str">
        <f ca="1">IFERROR(__xludf.DUMMYFUNCTION("""COMPUTED_VALUE"""),"LM9AN5S")</f>
        <v>LM9AN5S</v>
      </c>
      <c r="K9" s="45" t="str">
        <f ca="1">IFERROR(__xludf.DUMMYFUNCTION("""COMPUTED_VALUE"""),"LM9AN5S-045958")</f>
        <v>LM9AN5S-045958</v>
      </c>
      <c r="L9" s="45">
        <f ca="1">IFERROR(__xludf.DUMMYFUNCTION("""COMPUTED_VALUE"""),5)</f>
        <v>5</v>
      </c>
      <c r="M9" s="45">
        <f ca="1">IFERROR(__xludf.DUMMYFUNCTION("""COMPUTED_VALUE"""),103)</f>
        <v>103</v>
      </c>
      <c r="N9" s="45">
        <f ca="1">IFERROR(__xludf.DUMMYFUNCTION("""COMPUTED_VALUE"""),58.11)</f>
        <v>58.11</v>
      </c>
      <c r="O9" s="45">
        <f ca="1">IFERROR(__xludf.DUMMYFUNCTION("""COMPUTED_VALUE"""),0.397)</f>
        <v>0.39700000000000002</v>
      </c>
      <c r="P9" s="45" t="str">
        <f ca="1">IFERROR(__xludf.DUMMYFUNCTION("""COMPUTED_VALUE"""),"Colombo, LK")</f>
        <v>Colombo, LK</v>
      </c>
      <c r="Q9" s="45" t="str">
        <f ca="1">IFERROR(__xludf.DUMMYFUNCTION("""COMPUTED_VALUE"""),"New York, NY, US")</f>
        <v>New York, NY, US</v>
      </c>
      <c r="R9" s="44">
        <f ca="1">IFERROR(__xludf.DUMMYFUNCTION("""COMPUTED_VALUE"""),45817)</f>
        <v>45817</v>
      </c>
      <c r="S9" s="44">
        <f ca="1">IFERROR(__xludf.DUMMYFUNCTION("""COMPUTED_VALUE"""),45876)</f>
        <v>45876</v>
      </c>
      <c r="T9" s="45" t="str">
        <f ca="1">IFERROR(__xludf.DUMMYFUNCTION("""COMPUTED_VALUE"""),"Mississauga, ON, CA")</f>
        <v>Mississauga, ON, CA</v>
      </c>
      <c r="U9" s="45"/>
      <c r="V9" s="45"/>
      <c r="W9" s="45"/>
      <c r="X9" s="45"/>
      <c r="Y9" s="46">
        <f ca="1">IFERROR(__xludf.DUMMYFUNCTION("""COMPUTED_VALUE"""),45825)</f>
        <v>45825</v>
      </c>
      <c r="Z9" s="46">
        <f ca="1">IFERROR(__xludf.DUMMYFUNCTION("""COMPUTED_VALUE"""),45854)</f>
        <v>45854</v>
      </c>
      <c r="AA9" s="46">
        <f ca="1">IFERROR(__xludf.DUMMYFUNCTION("""COMPUTED_VALUE"""),45867)</f>
        <v>45867</v>
      </c>
      <c r="AB9" s="45" t="str">
        <f ca="1">IFERROR(__xludf.DUMMYFUNCTION("""COMPUTED_VALUE"""),"3500 Argentia Road")</f>
        <v>3500 Argentia Road</v>
      </c>
      <c r="AC9" s="45"/>
      <c r="AD9" s="45" t="str">
        <f ca="1">IFERROR(__xludf.DUMMYFUNCTION("""COMPUTED_VALUE"""),"OCEAN")</f>
        <v>OCEAN</v>
      </c>
      <c r="AE9" s="45" t="str">
        <f ca="1">IFERROR(__xludf.DUMMYFUNCTION("""COMPUTED_VALUE"""),"N")</f>
        <v>N</v>
      </c>
      <c r="AF9" s="45"/>
      <c r="AG9" s="49" t="str">
        <f ca="1">IFERROR(__xludf.DUMMYFUNCTION("IFNA(vlookup(H9,IMPORTRANGE(""1vUGwO1n0QQGx9kKbO0_M5gmuhXZ6-LaxQxgrmJnzgP0"",""'TP# look up'!A:C""),3,0),"""")"),"")</f>
        <v/>
      </c>
      <c r="AH9" s="49" t="str">
        <f t="shared" ca="1" si="0"/>
        <v>LM</v>
      </c>
    </row>
    <row r="10" spans="1:49" ht="12.75" hidden="1">
      <c r="A10" s="45" t="str">
        <f ca="1">IFERROR(__xludf.DUMMYFUNCTION("""COMPUTED_VALUE"""),"Colombo")</f>
        <v>Colombo</v>
      </c>
      <c r="B10" s="45"/>
      <c r="C10" s="45">
        <f ca="1">IFERROR(__xludf.DUMMYFUNCTION("""COMPUTED_VALUE"""),3231352)</f>
        <v>3231352</v>
      </c>
      <c r="D10" s="45"/>
      <c r="E10" s="45" t="str">
        <f ca="1">IFERROR(__xludf.DUMMYFUNCTION("""COMPUTED_VALUE"""),"CFS")</f>
        <v>CFS</v>
      </c>
      <c r="F10" s="45" t="str">
        <f ca="1">IFERROR(__xludf.DUMMYFUNCTION("""COMPUTED_VALUE"""),"MAS AMITY PTE LTD")</f>
        <v>MAS AMITY PTE LTD</v>
      </c>
      <c r="G10" s="45" t="str">
        <f ca="1">IFERROR(__xludf.DUMMYFUNCTION("""COMPUTED_VALUE"""),"MAS Active (Pvt) Ltd – Sleekline")</f>
        <v>MAS Active (Pvt) Ltd – Sleekline</v>
      </c>
      <c r="H10" s="43">
        <f ca="1">IFERROR(__xludf.DUMMYFUNCTION("""COMPUTED_VALUE"""),450574531077)</f>
        <v>450574531077</v>
      </c>
      <c r="I10" s="45">
        <f ca="1">IFERROR(__xludf.DUMMYFUNCTION("""COMPUTED_VALUE"""),19927067)</f>
        <v>19927067</v>
      </c>
      <c r="J10" s="45" t="str">
        <f ca="1">IFERROR(__xludf.DUMMYFUNCTION("""COMPUTED_VALUE"""),"LM9AN8S")</f>
        <v>LM9AN8S</v>
      </c>
      <c r="K10" s="45" t="str">
        <f ca="1">IFERROR(__xludf.DUMMYFUNCTION("""COMPUTED_VALUE"""),"LM9AN8S-072476")</f>
        <v>LM9AN8S-072476</v>
      </c>
      <c r="L10" s="45">
        <f ca="1">IFERROR(__xludf.DUMMYFUNCTION("""COMPUTED_VALUE"""),4)</f>
        <v>4</v>
      </c>
      <c r="M10" s="45">
        <f ca="1">IFERROR(__xludf.DUMMYFUNCTION("""COMPUTED_VALUE"""),187)</f>
        <v>187</v>
      </c>
      <c r="N10" s="45">
        <f ca="1">IFERROR(__xludf.DUMMYFUNCTION("""COMPUTED_VALUE"""),56.91)</f>
        <v>56.91</v>
      </c>
      <c r="O10" s="45">
        <f ca="1">IFERROR(__xludf.DUMMYFUNCTION("""COMPUTED_VALUE"""),0.317)</f>
        <v>0.317</v>
      </c>
      <c r="P10" s="45" t="str">
        <f ca="1">IFERROR(__xludf.DUMMYFUNCTION("""COMPUTED_VALUE"""),"Colombo, LK")</f>
        <v>Colombo, LK</v>
      </c>
      <c r="Q10" s="45" t="str">
        <f ca="1">IFERROR(__xludf.DUMMYFUNCTION("""COMPUTED_VALUE"""),"New York, NY, US")</f>
        <v>New York, NY, US</v>
      </c>
      <c r="R10" s="44">
        <f ca="1">IFERROR(__xludf.DUMMYFUNCTION("""COMPUTED_VALUE"""),45817)</f>
        <v>45817</v>
      </c>
      <c r="S10" s="44">
        <f ca="1">IFERROR(__xludf.DUMMYFUNCTION("""COMPUTED_VALUE"""),45876)</f>
        <v>45876</v>
      </c>
      <c r="T10" s="45" t="str">
        <f ca="1">IFERROR(__xludf.DUMMYFUNCTION("""COMPUTED_VALUE"""),"Mississauga, ON, CA")</f>
        <v>Mississauga, ON, CA</v>
      </c>
      <c r="U10" s="45"/>
      <c r="V10" s="45"/>
      <c r="W10" s="45"/>
      <c r="X10" s="45"/>
      <c r="Y10" s="46">
        <f ca="1">IFERROR(__xludf.DUMMYFUNCTION("""COMPUTED_VALUE"""),45825)</f>
        <v>45825</v>
      </c>
      <c r="Z10" s="46">
        <f ca="1">IFERROR(__xludf.DUMMYFUNCTION("""COMPUTED_VALUE"""),45854)</f>
        <v>45854</v>
      </c>
      <c r="AA10" s="46">
        <f ca="1">IFERROR(__xludf.DUMMYFUNCTION("""COMPUTED_VALUE"""),45867)</f>
        <v>45867</v>
      </c>
      <c r="AB10" s="45" t="str">
        <f ca="1">IFERROR(__xludf.DUMMYFUNCTION("""COMPUTED_VALUE"""),"3500 Argentia Road")</f>
        <v>3500 Argentia Road</v>
      </c>
      <c r="AC10" s="45"/>
      <c r="AD10" s="45" t="str">
        <f ca="1">IFERROR(__xludf.DUMMYFUNCTION("""COMPUTED_VALUE"""),"OCEAN")</f>
        <v>OCEAN</v>
      </c>
      <c r="AE10" s="45" t="str">
        <f ca="1">IFERROR(__xludf.DUMMYFUNCTION("""COMPUTED_VALUE"""),"N")</f>
        <v>N</v>
      </c>
      <c r="AF10" s="45"/>
      <c r="AG10" s="49" t="str">
        <f ca="1">IFERROR(__xludf.DUMMYFUNCTION("IFNA(vlookup(H10,IMPORTRANGE(""1vUGwO1n0QQGx9kKbO0_M5gmuhXZ6-LaxQxgrmJnzgP0"",""'TP# look up'!A:C""),3,0),"""")"),"")</f>
        <v/>
      </c>
      <c r="AH10" s="49" t="str">
        <f t="shared" ca="1" si="0"/>
        <v>LM</v>
      </c>
    </row>
    <row r="11" spans="1:49" ht="12.75" hidden="1">
      <c r="A11" s="45" t="str">
        <f ca="1">IFERROR(__xludf.DUMMYFUNCTION("""COMPUTED_VALUE"""),"Colombo")</f>
        <v>Colombo</v>
      </c>
      <c r="B11" s="45"/>
      <c r="C11" s="45">
        <f ca="1">IFERROR(__xludf.DUMMYFUNCTION("""COMPUTED_VALUE"""),3231352)</f>
        <v>3231352</v>
      </c>
      <c r="D11" s="45"/>
      <c r="E11" s="45" t="str">
        <f ca="1">IFERROR(__xludf.DUMMYFUNCTION("""COMPUTED_VALUE"""),"CFS")</f>
        <v>CFS</v>
      </c>
      <c r="F11" s="45" t="str">
        <f ca="1">IFERROR(__xludf.DUMMYFUNCTION("""COMPUTED_VALUE"""),"MAS AMITY PTE LTD")</f>
        <v>MAS AMITY PTE LTD</v>
      </c>
      <c r="G11" s="45" t="str">
        <f ca="1">IFERROR(__xludf.DUMMYFUNCTION("""COMPUTED_VALUE"""),"MAS Active (Pvt) Ltd – Sleekline")</f>
        <v>MAS Active (Pvt) Ltd – Sleekline</v>
      </c>
      <c r="H11" s="43">
        <f ca="1">IFERROR(__xludf.DUMMYFUNCTION("""COMPUTED_VALUE"""),450577078407)</f>
        <v>450577078407</v>
      </c>
      <c r="I11" s="45">
        <f ca="1">IFERROR(__xludf.DUMMYFUNCTION("""COMPUTED_VALUE"""),19927182)</f>
        <v>19927182</v>
      </c>
      <c r="J11" s="45" t="str">
        <f ca="1">IFERROR(__xludf.DUMMYFUNCTION("""COMPUTED_VALUE"""),"LM9AZ0S")</f>
        <v>LM9AZ0S</v>
      </c>
      <c r="K11" s="45" t="str">
        <f ca="1">IFERROR(__xludf.DUMMYFUNCTION("""COMPUTED_VALUE"""),"LM9AZ0S-032489")</f>
        <v>LM9AZ0S-032489</v>
      </c>
      <c r="L11" s="45">
        <f ca="1">IFERROR(__xludf.DUMMYFUNCTION("""COMPUTED_VALUE"""),1)</f>
        <v>1</v>
      </c>
      <c r="M11" s="45">
        <f ca="1">IFERROR(__xludf.DUMMYFUNCTION("""COMPUTED_VALUE"""),144)</f>
        <v>144</v>
      </c>
      <c r="N11" s="45">
        <f ca="1">IFERROR(__xludf.DUMMYFUNCTION("""COMPUTED_VALUE"""),14.26)</f>
        <v>14.26</v>
      </c>
      <c r="O11" s="45">
        <f ca="1">IFERROR(__xludf.DUMMYFUNCTION("""COMPUTED_VALUE"""),0.079)</f>
        <v>7.9000000000000001E-2</v>
      </c>
      <c r="P11" s="45" t="str">
        <f ca="1">IFERROR(__xludf.DUMMYFUNCTION("""COMPUTED_VALUE"""),"Colombo, LK")</f>
        <v>Colombo, LK</v>
      </c>
      <c r="Q11" s="45" t="str">
        <f ca="1">IFERROR(__xludf.DUMMYFUNCTION("""COMPUTED_VALUE"""),"New York, NY, US")</f>
        <v>New York, NY, US</v>
      </c>
      <c r="R11" s="44">
        <f ca="1">IFERROR(__xludf.DUMMYFUNCTION("""COMPUTED_VALUE"""),45817)</f>
        <v>45817</v>
      </c>
      <c r="S11" s="44">
        <f ca="1">IFERROR(__xludf.DUMMYFUNCTION("""COMPUTED_VALUE"""),45876)</f>
        <v>45876</v>
      </c>
      <c r="T11" s="45" t="str">
        <f ca="1">IFERROR(__xludf.DUMMYFUNCTION("""COMPUTED_VALUE"""),"Mississauga, ON, CA")</f>
        <v>Mississauga, ON, CA</v>
      </c>
      <c r="U11" s="45"/>
      <c r="V11" s="45"/>
      <c r="W11" s="45"/>
      <c r="X11" s="45"/>
      <c r="Y11" s="46">
        <f ca="1">IFERROR(__xludf.DUMMYFUNCTION("""COMPUTED_VALUE"""),45825)</f>
        <v>45825</v>
      </c>
      <c r="Z11" s="46">
        <f ca="1">IFERROR(__xludf.DUMMYFUNCTION("""COMPUTED_VALUE"""),45854)</f>
        <v>45854</v>
      </c>
      <c r="AA11" s="46">
        <f ca="1">IFERROR(__xludf.DUMMYFUNCTION("""COMPUTED_VALUE"""),45867)</f>
        <v>45867</v>
      </c>
      <c r="AB11" s="45" t="str">
        <f ca="1">IFERROR(__xludf.DUMMYFUNCTION("""COMPUTED_VALUE"""),"3500 Argentia Road")</f>
        <v>3500 Argentia Road</v>
      </c>
      <c r="AC11" s="45"/>
      <c r="AD11" s="45" t="str">
        <f ca="1">IFERROR(__xludf.DUMMYFUNCTION("""COMPUTED_VALUE"""),"OCEAN")</f>
        <v>OCEAN</v>
      </c>
      <c r="AE11" s="45" t="str">
        <f ca="1">IFERROR(__xludf.DUMMYFUNCTION("""COMPUTED_VALUE"""),"N")</f>
        <v>N</v>
      </c>
      <c r="AF11" s="45"/>
      <c r="AG11" s="49" t="str">
        <f ca="1">IFERROR(__xludf.DUMMYFUNCTION("IFNA(vlookup(H11,IMPORTRANGE(""1vUGwO1n0QQGx9kKbO0_M5gmuhXZ6-LaxQxgrmJnzgP0"",""'TP# look up'!A:C""),3,0),"""")"),"")</f>
        <v/>
      </c>
      <c r="AH11" s="49" t="str">
        <f t="shared" ca="1" si="0"/>
        <v>LM</v>
      </c>
    </row>
    <row r="12" spans="1:49" ht="12.75" hidden="1">
      <c r="A12" s="45" t="str">
        <f ca="1">IFERROR(__xludf.DUMMYFUNCTION("""COMPUTED_VALUE"""),"Colombo")</f>
        <v>Colombo</v>
      </c>
      <c r="B12" s="45"/>
      <c r="C12" s="45">
        <f ca="1">IFERROR(__xludf.DUMMYFUNCTION("""COMPUTED_VALUE"""),3231352)</f>
        <v>3231352</v>
      </c>
      <c r="D12" s="45"/>
      <c r="E12" s="45" t="str">
        <f ca="1">IFERROR(__xludf.DUMMYFUNCTION("""COMPUTED_VALUE"""),"CFS")</f>
        <v>CFS</v>
      </c>
      <c r="F12" s="45" t="str">
        <f ca="1">IFERROR(__xludf.DUMMYFUNCTION("""COMPUTED_VALUE"""),"MAS AMITY PTE LTD")</f>
        <v>MAS AMITY PTE LTD</v>
      </c>
      <c r="G12" s="45" t="str">
        <f ca="1">IFERROR(__xludf.DUMMYFUNCTION("""COMPUTED_VALUE"""),"MAS Active (Pvt) Ltd – Sleekline")</f>
        <v>MAS Active (Pvt) Ltd – Sleekline</v>
      </c>
      <c r="H12" s="43">
        <f ca="1">IFERROR(__xludf.DUMMYFUNCTION("""COMPUTED_VALUE"""),450577190165)</f>
        <v>450577190165</v>
      </c>
      <c r="I12" s="45">
        <f ca="1">IFERROR(__xludf.DUMMYFUNCTION("""COMPUTED_VALUE"""),19927181)</f>
        <v>19927181</v>
      </c>
      <c r="J12" s="45" t="str">
        <f ca="1">IFERROR(__xludf.DUMMYFUNCTION("""COMPUTED_VALUE"""),"LM9AZ0S")</f>
        <v>LM9AZ0S</v>
      </c>
      <c r="K12" s="45" t="str">
        <f ca="1">IFERROR(__xludf.DUMMYFUNCTION("""COMPUTED_VALUE"""),"LM9AZ0S-032489")</f>
        <v>LM9AZ0S-032489</v>
      </c>
      <c r="L12" s="45">
        <f ca="1">IFERROR(__xludf.DUMMYFUNCTION("""COMPUTED_VALUE"""),2)</f>
        <v>2</v>
      </c>
      <c r="M12" s="45">
        <f ca="1">IFERROR(__xludf.DUMMYFUNCTION("""COMPUTED_VALUE"""),165)</f>
        <v>165</v>
      </c>
      <c r="N12" s="45">
        <f ca="1">IFERROR(__xludf.DUMMYFUNCTION("""COMPUTED_VALUE"""),17.06)</f>
        <v>17.059999999999999</v>
      </c>
      <c r="O12" s="45">
        <f ca="1">IFERROR(__xludf.DUMMYFUNCTION("""COMPUTED_VALUE"""),0.119)</f>
        <v>0.11899999999999999</v>
      </c>
      <c r="P12" s="45" t="str">
        <f ca="1">IFERROR(__xludf.DUMMYFUNCTION("""COMPUTED_VALUE"""),"Colombo, LK")</f>
        <v>Colombo, LK</v>
      </c>
      <c r="Q12" s="45" t="str">
        <f ca="1">IFERROR(__xludf.DUMMYFUNCTION("""COMPUTED_VALUE"""),"New York, NY, US")</f>
        <v>New York, NY, US</v>
      </c>
      <c r="R12" s="44">
        <f ca="1">IFERROR(__xludf.DUMMYFUNCTION("""COMPUTED_VALUE"""),45817)</f>
        <v>45817</v>
      </c>
      <c r="S12" s="44">
        <f ca="1">IFERROR(__xludf.DUMMYFUNCTION("""COMPUTED_VALUE"""),45876)</f>
        <v>45876</v>
      </c>
      <c r="T12" s="45" t="str">
        <f ca="1">IFERROR(__xludf.DUMMYFUNCTION("""COMPUTED_VALUE"""),"Mississauga, ON, CA")</f>
        <v>Mississauga, ON, CA</v>
      </c>
      <c r="U12" s="45"/>
      <c r="V12" s="45"/>
      <c r="W12" s="45"/>
      <c r="X12" s="45"/>
      <c r="Y12" s="46">
        <f ca="1">IFERROR(__xludf.DUMMYFUNCTION("""COMPUTED_VALUE"""),45825)</f>
        <v>45825</v>
      </c>
      <c r="Z12" s="46">
        <f ca="1">IFERROR(__xludf.DUMMYFUNCTION("""COMPUTED_VALUE"""),45854)</f>
        <v>45854</v>
      </c>
      <c r="AA12" s="46">
        <f ca="1">IFERROR(__xludf.DUMMYFUNCTION("""COMPUTED_VALUE"""),45867)</f>
        <v>45867</v>
      </c>
      <c r="AB12" s="45" t="str">
        <f ca="1">IFERROR(__xludf.DUMMYFUNCTION("""COMPUTED_VALUE"""),"3500 Argentia Road")</f>
        <v>3500 Argentia Road</v>
      </c>
      <c r="AC12" s="45"/>
      <c r="AD12" s="45" t="str">
        <f ca="1">IFERROR(__xludf.DUMMYFUNCTION("""COMPUTED_VALUE"""),"OCEAN")</f>
        <v>OCEAN</v>
      </c>
      <c r="AE12" s="45" t="str">
        <f ca="1">IFERROR(__xludf.DUMMYFUNCTION("""COMPUTED_VALUE"""),"N")</f>
        <v>N</v>
      </c>
      <c r="AF12" s="45"/>
      <c r="AG12" s="49" t="str">
        <f ca="1">IFERROR(__xludf.DUMMYFUNCTION("IFNA(vlookup(H12,IMPORTRANGE(""1vUGwO1n0QQGx9kKbO0_M5gmuhXZ6-LaxQxgrmJnzgP0"",""'TP# look up'!A:C""),3,0),"""")"),"")</f>
        <v/>
      </c>
      <c r="AH12" s="49" t="str">
        <f t="shared" ca="1" si="0"/>
        <v>LM</v>
      </c>
    </row>
    <row r="13" spans="1:49" ht="12.75" hidden="1">
      <c r="A13" s="45" t="str">
        <f ca="1">IFERROR(__xludf.DUMMYFUNCTION("""COMPUTED_VALUE"""),"Colombo")</f>
        <v>Colombo</v>
      </c>
      <c r="B13" s="45"/>
      <c r="C13" s="45">
        <f ca="1">IFERROR(__xludf.DUMMYFUNCTION("""COMPUTED_VALUE"""),3231352)</f>
        <v>3231352</v>
      </c>
      <c r="D13" s="45"/>
      <c r="E13" s="45" t="str">
        <f ca="1">IFERROR(__xludf.DUMMYFUNCTION("""COMPUTED_VALUE"""),"CFS")</f>
        <v>CFS</v>
      </c>
      <c r="F13" s="45" t="str">
        <f ca="1">IFERROR(__xludf.DUMMYFUNCTION("""COMPUTED_VALUE"""),"MAS AMITY PTE LTD")</f>
        <v>MAS AMITY PTE LTD</v>
      </c>
      <c r="G13" s="45" t="str">
        <f ca="1">IFERROR(__xludf.DUMMYFUNCTION("""COMPUTED_VALUE"""),"MAS Active (Pvt) Ltd – Sleekline")</f>
        <v>MAS Active (Pvt) Ltd – Sleekline</v>
      </c>
      <c r="H13" s="43">
        <f ca="1">IFERROR(__xludf.DUMMYFUNCTION("""COMPUTED_VALUE"""),450579067864)</f>
        <v>450579067864</v>
      </c>
      <c r="I13" s="45">
        <f ca="1">IFERROR(__xludf.DUMMYFUNCTION("""COMPUTED_VALUE"""),19940580)</f>
        <v>19940580</v>
      </c>
      <c r="J13" s="45" t="str">
        <f ca="1">IFERROR(__xludf.DUMMYFUNCTION("""COMPUTED_VALUE"""),"LM9AZ0S")</f>
        <v>LM9AZ0S</v>
      </c>
      <c r="K13" s="45" t="str">
        <f ca="1">IFERROR(__xludf.DUMMYFUNCTION("""COMPUTED_VALUE"""),"LM9AZ0S-032489")</f>
        <v>LM9AZ0S-032489</v>
      </c>
      <c r="L13" s="45">
        <f ca="1">IFERROR(__xludf.DUMMYFUNCTION("""COMPUTED_VALUE"""),1)</f>
        <v>1</v>
      </c>
      <c r="M13" s="45">
        <f ca="1">IFERROR(__xludf.DUMMYFUNCTION("""COMPUTED_VALUE"""),62)</f>
        <v>62</v>
      </c>
      <c r="N13" s="45">
        <f ca="1">IFERROR(__xludf.DUMMYFUNCTION("""COMPUTED_VALUE"""),6.76)</f>
        <v>6.76</v>
      </c>
      <c r="O13" s="45">
        <f ca="1">IFERROR(__xludf.DUMMYFUNCTION("""COMPUTED_VALUE"""),0.079)</f>
        <v>7.9000000000000001E-2</v>
      </c>
      <c r="P13" s="45" t="str">
        <f ca="1">IFERROR(__xludf.DUMMYFUNCTION("""COMPUTED_VALUE"""),"Colombo, LK")</f>
        <v>Colombo, LK</v>
      </c>
      <c r="Q13" s="45" t="str">
        <f ca="1">IFERROR(__xludf.DUMMYFUNCTION("""COMPUTED_VALUE"""),"New York, NY, US")</f>
        <v>New York, NY, US</v>
      </c>
      <c r="R13" s="44">
        <f ca="1">IFERROR(__xludf.DUMMYFUNCTION("""COMPUTED_VALUE"""),45817)</f>
        <v>45817</v>
      </c>
      <c r="S13" s="44">
        <f ca="1">IFERROR(__xludf.DUMMYFUNCTION("""COMPUTED_VALUE"""),45876)</f>
        <v>45876</v>
      </c>
      <c r="T13" s="45" t="str">
        <f ca="1">IFERROR(__xludf.DUMMYFUNCTION("""COMPUTED_VALUE"""),"Mississauga, ON, CA")</f>
        <v>Mississauga, ON, CA</v>
      </c>
      <c r="U13" s="45"/>
      <c r="V13" s="45"/>
      <c r="W13" s="45"/>
      <c r="X13" s="45"/>
      <c r="Y13" s="46">
        <f ca="1">IFERROR(__xludf.DUMMYFUNCTION("""COMPUTED_VALUE"""),45825)</f>
        <v>45825</v>
      </c>
      <c r="Z13" s="46">
        <f ca="1">IFERROR(__xludf.DUMMYFUNCTION("""COMPUTED_VALUE"""),45854)</f>
        <v>45854</v>
      </c>
      <c r="AA13" s="46">
        <f ca="1">IFERROR(__xludf.DUMMYFUNCTION("""COMPUTED_VALUE"""),45867)</f>
        <v>45867</v>
      </c>
      <c r="AB13" s="45" t="str">
        <f ca="1">IFERROR(__xludf.DUMMYFUNCTION("""COMPUTED_VALUE"""),"3500 Argentia Road")</f>
        <v>3500 Argentia Road</v>
      </c>
      <c r="AC13" s="45"/>
      <c r="AD13" s="45" t="str">
        <f ca="1">IFERROR(__xludf.DUMMYFUNCTION("""COMPUTED_VALUE"""),"OCEAN")</f>
        <v>OCEAN</v>
      </c>
      <c r="AE13" s="45" t="str">
        <f ca="1">IFERROR(__xludf.DUMMYFUNCTION("""COMPUTED_VALUE"""),"N")</f>
        <v>N</v>
      </c>
      <c r="AF13" s="45"/>
      <c r="AG13" s="49" t="str">
        <f ca="1">IFERROR(__xludf.DUMMYFUNCTION("IFNA(vlookup(H13,IMPORTRANGE(""1vUGwO1n0QQGx9kKbO0_M5gmuhXZ6-LaxQxgrmJnzgP0"",""'TP# look up'!A:C""),3,0),"""")"),"")</f>
        <v/>
      </c>
      <c r="AH13" s="49" t="str">
        <f t="shared" ca="1" si="0"/>
        <v>LM</v>
      </c>
    </row>
    <row r="14" spans="1:49" ht="12.75" hidden="1">
      <c r="A14" s="45" t="str">
        <f ca="1">IFERROR(__xludf.DUMMYFUNCTION("""COMPUTED_VALUE"""),"Colombo")</f>
        <v>Colombo</v>
      </c>
      <c r="B14" s="45"/>
      <c r="C14" s="45">
        <f ca="1">IFERROR(__xludf.DUMMYFUNCTION("""COMPUTED_VALUE"""),3231352)</f>
        <v>3231352</v>
      </c>
      <c r="D14" s="45"/>
      <c r="E14" s="45" t="str">
        <f ca="1">IFERROR(__xludf.DUMMYFUNCTION("""COMPUTED_VALUE"""),"CFS")</f>
        <v>CFS</v>
      </c>
      <c r="F14" s="45" t="str">
        <f ca="1">IFERROR(__xludf.DUMMYFUNCTION("""COMPUTED_VALUE"""),"MAS AMITY PTE LTD")</f>
        <v>MAS AMITY PTE LTD</v>
      </c>
      <c r="G14" s="45" t="str">
        <f ca="1">IFERROR(__xludf.DUMMYFUNCTION("""COMPUTED_VALUE"""),"MAS Active (Pvt) Ltd – Sleekline")</f>
        <v>MAS Active (Pvt) Ltd – Sleekline</v>
      </c>
      <c r="H14" s="43">
        <f ca="1">IFERROR(__xludf.DUMMYFUNCTION("""COMPUTED_VALUE"""),450579629885)</f>
        <v>450579629885</v>
      </c>
      <c r="I14" s="45">
        <f ca="1">IFERROR(__xludf.DUMMYFUNCTION("""COMPUTED_VALUE"""),19940654)</f>
        <v>19940654</v>
      </c>
      <c r="J14" s="45" t="str">
        <f ca="1">IFERROR(__xludf.DUMMYFUNCTION("""COMPUTED_VALUE"""),"LM9AN8S")</f>
        <v>LM9AN8S</v>
      </c>
      <c r="K14" s="45" t="str">
        <f ca="1">IFERROR(__xludf.DUMMYFUNCTION("""COMPUTED_VALUE"""),"LM9AN8S-045060")</f>
        <v>LM9AN8S-045060</v>
      </c>
      <c r="L14" s="45">
        <f ca="1">IFERROR(__xludf.DUMMYFUNCTION("""COMPUTED_VALUE"""),3)</f>
        <v>3</v>
      </c>
      <c r="M14" s="45">
        <f ca="1">IFERROR(__xludf.DUMMYFUNCTION("""COMPUTED_VALUE"""),134)</f>
        <v>134</v>
      </c>
      <c r="N14" s="45">
        <f ca="1">IFERROR(__xludf.DUMMYFUNCTION("""COMPUTED_VALUE"""),40.99)</f>
        <v>40.99</v>
      </c>
      <c r="O14" s="45">
        <f ca="1">IFERROR(__xludf.DUMMYFUNCTION("""COMPUTED_VALUE"""),0.238)</f>
        <v>0.23799999999999999</v>
      </c>
      <c r="P14" s="45" t="str">
        <f ca="1">IFERROR(__xludf.DUMMYFUNCTION("""COMPUTED_VALUE"""),"Colombo, LK")</f>
        <v>Colombo, LK</v>
      </c>
      <c r="Q14" s="45" t="str">
        <f ca="1">IFERROR(__xludf.DUMMYFUNCTION("""COMPUTED_VALUE"""),"New York, NY, US")</f>
        <v>New York, NY, US</v>
      </c>
      <c r="R14" s="44">
        <f ca="1">IFERROR(__xludf.DUMMYFUNCTION("""COMPUTED_VALUE"""),45817)</f>
        <v>45817</v>
      </c>
      <c r="S14" s="44">
        <f ca="1">IFERROR(__xludf.DUMMYFUNCTION("""COMPUTED_VALUE"""),45876)</f>
        <v>45876</v>
      </c>
      <c r="T14" s="45" t="str">
        <f ca="1">IFERROR(__xludf.DUMMYFUNCTION("""COMPUTED_VALUE"""),"Mississauga, ON, CA")</f>
        <v>Mississauga, ON, CA</v>
      </c>
      <c r="U14" s="45"/>
      <c r="V14" s="45"/>
      <c r="W14" s="45"/>
      <c r="X14" s="45"/>
      <c r="Y14" s="46">
        <f ca="1">IFERROR(__xludf.DUMMYFUNCTION("""COMPUTED_VALUE"""),45825)</f>
        <v>45825</v>
      </c>
      <c r="Z14" s="46">
        <f ca="1">IFERROR(__xludf.DUMMYFUNCTION("""COMPUTED_VALUE"""),45854)</f>
        <v>45854</v>
      </c>
      <c r="AA14" s="46">
        <f ca="1">IFERROR(__xludf.DUMMYFUNCTION("""COMPUTED_VALUE"""),45867)</f>
        <v>45867</v>
      </c>
      <c r="AB14" s="45" t="str">
        <f ca="1">IFERROR(__xludf.DUMMYFUNCTION("""COMPUTED_VALUE"""),"3500 Argentia Road")</f>
        <v>3500 Argentia Road</v>
      </c>
      <c r="AC14" s="45"/>
      <c r="AD14" s="45" t="str">
        <f ca="1">IFERROR(__xludf.DUMMYFUNCTION("""COMPUTED_VALUE"""),"OCEAN")</f>
        <v>OCEAN</v>
      </c>
      <c r="AE14" s="45" t="str">
        <f ca="1">IFERROR(__xludf.DUMMYFUNCTION("""COMPUTED_VALUE"""),"N")</f>
        <v>N</v>
      </c>
      <c r="AF14" s="45"/>
      <c r="AG14" s="49" t="str">
        <f ca="1">IFERROR(__xludf.DUMMYFUNCTION("IFNA(vlookup(H14,IMPORTRANGE(""1vUGwO1n0QQGx9kKbO0_M5gmuhXZ6-LaxQxgrmJnzgP0"",""'TP# look up'!A:C""),3,0),"""")"),"")</f>
        <v/>
      </c>
      <c r="AH14" s="49" t="str">
        <f t="shared" ca="1" si="0"/>
        <v>LM</v>
      </c>
    </row>
    <row r="15" spans="1:49" ht="12.75" hidden="1">
      <c r="A15" s="45" t="str">
        <f ca="1">IFERROR(__xludf.DUMMYFUNCTION("""COMPUTED_VALUE"""),"Colombo")</f>
        <v>Colombo</v>
      </c>
      <c r="B15" s="45"/>
      <c r="C15" s="45">
        <f ca="1">IFERROR(__xludf.DUMMYFUNCTION("""COMPUTED_VALUE"""),3231352)</f>
        <v>3231352</v>
      </c>
      <c r="D15" s="45"/>
      <c r="E15" s="45" t="str">
        <f ca="1">IFERROR(__xludf.DUMMYFUNCTION("""COMPUTED_VALUE"""),"CFS")</f>
        <v>CFS</v>
      </c>
      <c r="F15" s="45" t="str">
        <f ca="1">IFERROR(__xludf.DUMMYFUNCTION("""COMPUTED_VALUE"""),"Inqube Global (PVT) Ltd")</f>
        <v>Inqube Global (PVT) Ltd</v>
      </c>
      <c r="G15" s="45" t="str">
        <f ca="1">IFERROR(__xludf.DUMMYFUNCTION("""COMPUTED_VALUE"""),"BRANDIX APPAREL SOLUTION LTD - GIRITALE")</f>
        <v>BRANDIX APPAREL SOLUTION LTD - GIRITALE</v>
      </c>
      <c r="H15" s="43">
        <f ca="1">IFERROR(__xludf.DUMMYFUNCTION("""COMPUTED_VALUE"""),450934477140)</f>
        <v>450934477140</v>
      </c>
      <c r="I15" s="45">
        <f ca="1">IFERROR(__xludf.DUMMYFUNCTION("""COMPUTED_VALUE"""),19822623)</f>
        <v>19822623</v>
      </c>
      <c r="J15" s="45" t="str">
        <f ca="1">IFERROR(__xludf.DUMMYFUNCTION("""COMPUTED_VALUE"""),"LM5AO1S")</f>
        <v>LM5AO1S</v>
      </c>
      <c r="K15" s="45" t="str">
        <f ca="1">IFERROR(__xludf.DUMMYFUNCTION("""COMPUTED_VALUE"""),"LM5AO1S-043731")</f>
        <v>LM5AO1S-043731</v>
      </c>
      <c r="L15" s="45">
        <f ca="1">IFERROR(__xludf.DUMMYFUNCTION("""COMPUTED_VALUE"""),2)</f>
        <v>2</v>
      </c>
      <c r="M15" s="45">
        <f ca="1">IFERROR(__xludf.DUMMYFUNCTION("""COMPUTED_VALUE"""),71)</f>
        <v>71</v>
      </c>
      <c r="N15" s="45">
        <f ca="1">IFERROR(__xludf.DUMMYFUNCTION("""COMPUTED_VALUE"""),33.12)</f>
        <v>33.119999999999997</v>
      </c>
      <c r="O15" s="45">
        <f ca="1">IFERROR(__xludf.DUMMYFUNCTION("""COMPUTED_VALUE"""),0.165)</f>
        <v>0.16500000000000001</v>
      </c>
      <c r="P15" s="45" t="str">
        <f ca="1">IFERROR(__xludf.DUMMYFUNCTION("""COMPUTED_VALUE"""),"Colombo, LK")</f>
        <v>Colombo, LK</v>
      </c>
      <c r="Q15" s="45" t="str">
        <f ca="1">IFERROR(__xludf.DUMMYFUNCTION("""COMPUTED_VALUE"""),"New York, NY, US")</f>
        <v>New York, NY, US</v>
      </c>
      <c r="R15" s="44">
        <f ca="1">IFERROR(__xludf.DUMMYFUNCTION("""COMPUTED_VALUE"""),45817)</f>
        <v>45817</v>
      </c>
      <c r="S15" s="44">
        <f ca="1">IFERROR(__xludf.DUMMYFUNCTION("""COMPUTED_VALUE"""),45876)</f>
        <v>45876</v>
      </c>
      <c r="T15" s="45" t="str">
        <f ca="1">IFERROR(__xludf.DUMMYFUNCTION("""COMPUTED_VALUE"""),"Milton, ON, CA")</f>
        <v>Milton, ON, CA</v>
      </c>
      <c r="U15" s="45"/>
      <c r="V15" s="45"/>
      <c r="W15" s="45"/>
      <c r="X15" s="45"/>
      <c r="Y15" s="46">
        <f ca="1">IFERROR(__xludf.DUMMYFUNCTION("""COMPUTED_VALUE"""),45825)</f>
        <v>45825</v>
      </c>
      <c r="Z15" s="46">
        <f ca="1">IFERROR(__xludf.DUMMYFUNCTION("""COMPUTED_VALUE"""),45854)</f>
        <v>45854</v>
      </c>
      <c r="AA15" s="46">
        <f ca="1">IFERROR(__xludf.DUMMYFUNCTION("""COMPUTED_VALUE"""),45867)</f>
        <v>45867</v>
      </c>
      <c r="AB15" s="45" t="str">
        <f ca="1">IFERROR(__xludf.DUMMYFUNCTION("""COMPUTED_VALUE"""),"7211 Fifth Line")</f>
        <v>7211 Fifth Line</v>
      </c>
      <c r="AC15" s="45"/>
      <c r="AD15" s="45" t="str">
        <f ca="1">IFERROR(__xludf.DUMMYFUNCTION("""COMPUTED_VALUE"""),"OCEAN")</f>
        <v>OCEAN</v>
      </c>
      <c r="AE15" s="45" t="str">
        <f ca="1">IFERROR(__xludf.DUMMYFUNCTION("""COMPUTED_VALUE"""),"N")</f>
        <v>N</v>
      </c>
      <c r="AF15" s="45"/>
      <c r="AG15" s="49" t="str">
        <f ca="1">IFERROR(__xludf.DUMMYFUNCTION("IFNA(vlookup(H15,IMPORTRANGE(""1vUGwO1n0QQGx9kKbO0_M5gmuhXZ6-LaxQxgrmJnzgP0"",""'TP# look up'!A:C""),3,0),"""")"),"")</f>
        <v/>
      </c>
      <c r="AH15" s="49" t="str">
        <f t="shared" ca="1" si="0"/>
        <v>LM</v>
      </c>
    </row>
    <row r="16" spans="1:49" ht="12.75" hidden="1">
      <c r="A16" s="45" t="str">
        <f ca="1">IFERROR(__xludf.DUMMYFUNCTION("""COMPUTED_VALUE"""),"Colombo")</f>
        <v>Colombo</v>
      </c>
      <c r="B16" s="45"/>
      <c r="C16" s="45">
        <f ca="1">IFERROR(__xludf.DUMMYFUNCTION("""COMPUTED_VALUE"""),3231352)</f>
        <v>3231352</v>
      </c>
      <c r="D16" s="45"/>
      <c r="E16" s="45" t="str">
        <f ca="1">IFERROR(__xludf.DUMMYFUNCTION("""COMPUTED_VALUE"""),"CFS")</f>
        <v>CFS</v>
      </c>
      <c r="F16" s="45" t="str">
        <f ca="1">IFERROR(__xludf.DUMMYFUNCTION("""COMPUTED_VALUE"""),"Inqube Global (PVT) Ltd")</f>
        <v>Inqube Global (PVT) Ltd</v>
      </c>
      <c r="G16" s="45" t="str">
        <f ca="1">IFERROR(__xludf.DUMMYFUNCTION("""COMPUTED_VALUE"""),"BRANDIX APPAREL SOLUTION LTD - GIRITALE")</f>
        <v>BRANDIX APPAREL SOLUTION LTD - GIRITALE</v>
      </c>
      <c r="H16" s="43">
        <f ca="1">IFERROR(__xludf.DUMMYFUNCTION("""COMPUTED_VALUE"""),450939506553)</f>
        <v>450939506553</v>
      </c>
      <c r="I16" s="45">
        <f ca="1">IFERROR(__xludf.DUMMYFUNCTION("""COMPUTED_VALUE"""),19855627)</f>
        <v>19855627</v>
      </c>
      <c r="J16" s="45" t="str">
        <f ca="1">IFERROR(__xludf.DUMMYFUNCTION("""COMPUTED_VALUE"""),"LM5AQ9S")</f>
        <v>LM5AQ9S</v>
      </c>
      <c r="K16" s="45" t="str">
        <f ca="1">IFERROR(__xludf.DUMMYFUNCTION("""COMPUTED_VALUE"""),"LM5AQ9S-029283")</f>
        <v>LM5AQ9S-029283</v>
      </c>
      <c r="L16" s="45">
        <f ca="1">IFERROR(__xludf.DUMMYFUNCTION("""COMPUTED_VALUE"""),1)</f>
        <v>1</v>
      </c>
      <c r="M16" s="45">
        <f ca="1">IFERROR(__xludf.DUMMYFUNCTION("""COMPUTED_VALUE"""),40)</f>
        <v>40</v>
      </c>
      <c r="N16" s="45">
        <f ca="1">IFERROR(__xludf.DUMMYFUNCTION("""COMPUTED_VALUE"""),19.96)</f>
        <v>19.96</v>
      </c>
      <c r="O16" s="45">
        <f ca="1">IFERROR(__xludf.DUMMYFUNCTION("""COMPUTED_VALUE"""),0.083)</f>
        <v>8.3000000000000004E-2</v>
      </c>
      <c r="P16" s="45" t="str">
        <f ca="1">IFERROR(__xludf.DUMMYFUNCTION("""COMPUTED_VALUE"""),"Colombo, LK")</f>
        <v>Colombo, LK</v>
      </c>
      <c r="Q16" s="45" t="str">
        <f ca="1">IFERROR(__xludf.DUMMYFUNCTION("""COMPUTED_VALUE"""),"New York, NY, US")</f>
        <v>New York, NY, US</v>
      </c>
      <c r="R16" s="44">
        <f ca="1">IFERROR(__xludf.DUMMYFUNCTION("""COMPUTED_VALUE"""),45817)</f>
        <v>45817</v>
      </c>
      <c r="S16" s="44">
        <f ca="1">IFERROR(__xludf.DUMMYFUNCTION("""COMPUTED_VALUE"""),45876)</f>
        <v>45876</v>
      </c>
      <c r="T16" s="45" t="str">
        <f ca="1">IFERROR(__xludf.DUMMYFUNCTION("""COMPUTED_VALUE"""),"Mississauga, ON, CA")</f>
        <v>Mississauga, ON, CA</v>
      </c>
      <c r="U16" s="45"/>
      <c r="V16" s="45"/>
      <c r="W16" s="45"/>
      <c r="X16" s="45"/>
      <c r="Y16" s="46">
        <f ca="1">IFERROR(__xludf.DUMMYFUNCTION("""COMPUTED_VALUE"""),45825)</f>
        <v>45825</v>
      </c>
      <c r="Z16" s="46">
        <f ca="1">IFERROR(__xludf.DUMMYFUNCTION("""COMPUTED_VALUE"""),45854)</f>
        <v>45854</v>
      </c>
      <c r="AA16" s="46">
        <f ca="1">IFERROR(__xludf.DUMMYFUNCTION("""COMPUTED_VALUE"""),45867)</f>
        <v>45867</v>
      </c>
      <c r="AB16" s="45" t="str">
        <f ca="1">IFERROR(__xludf.DUMMYFUNCTION("""COMPUTED_VALUE"""),"3500 Argentia Road")</f>
        <v>3500 Argentia Road</v>
      </c>
      <c r="AC16" s="45"/>
      <c r="AD16" s="45" t="str">
        <f ca="1">IFERROR(__xludf.DUMMYFUNCTION("""COMPUTED_VALUE"""),"OCEAN")</f>
        <v>OCEAN</v>
      </c>
      <c r="AE16" s="45" t="str">
        <f ca="1">IFERROR(__xludf.DUMMYFUNCTION("""COMPUTED_VALUE"""),"N")</f>
        <v>N</v>
      </c>
      <c r="AF16" s="45"/>
      <c r="AG16" s="49" t="str">
        <f ca="1">IFERROR(__xludf.DUMMYFUNCTION("IFNA(vlookup(H16,IMPORTRANGE(""1vUGwO1n0QQGx9kKbO0_M5gmuhXZ6-LaxQxgrmJnzgP0"",""'TP# look up'!A:C""),3,0),"""")"),"")</f>
        <v/>
      </c>
      <c r="AH16" s="49" t="str">
        <f t="shared" ca="1" si="0"/>
        <v>LM</v>
      </c>
    </row>
    <row r="17" spans="1:34" ht="12.75" hidden="1">
      <c r="A17" s="45" t="str">
        <f ca="1">IFERROR(__xludf.DUMMYFUNCTION("""COMPUTED_VALUE"""),"Colombo")</f>
        <v>Colombo</v>
      </c>
      <c r="B17" s="45"/>
      <c r="C17" s="45">
        <f ca="1">IFERROR(__xludf.DUMMYFUNCTION("""COMPUTED_VALUE"""),3231352)</f>
        <v>3231352</v>
      </c>
      <c r="D17" s="45"/>
      <c r="E17" s="45" t="str">
        <f ca="1">IFERROR(__xludf.DUMMYFUNCTION("""COMPUTED_VALUE"""),"CFS")</f>
        <v>CFS</v>
      </c>
      <c r="F17" s="45" t="str">
        <f ca="1">IFERROR(__xludf.DUMMYFUNCTION("""COMPUTED_VALUE"""),"Inqube Global (PVT) Ltd")</f>
        <v>Inqube Global (PVT) Ltd</v>
      </c>
      <c r="G17" s="45" t="str">
        <f ca="1">IFERROR(__xludf.DUMMYFUNCTION("""COMPUTED_VALUE"""),"BRANDIX APPAREL SOLUTION LTD - GIRITALE")</f>
        <v>BRANDIX APPAREL SOLUTION LTD - GIRITALE</v>
      </c>
      <c r="H17" s="43">
        <f ca="1">IFERROR(__xludf.DUMMYFUNCTION("""COMPUTED_VALUE"""),450941696112)</f>
        <v>450941696112</v>
      </c>
      <c r="I17" s="45">
        <f ca="1">IFERROR(__xludf.DUMMYFUNCTION("""COMPUTED_VALUE"""),19855930)</f>
        <v>19855930</v>
      </c>
      <c r="J17" s="45" t="str">
        <f ca="1">IFERROR(__xludf.DUMMYFUNCTION("""COMPUTED_VALUE"""),"LM5AQ9S")</f>
        <v>LM5AQ9S</v>
      </c>
      <c r="K17" s="45" t="str">
        <f ca="1">IFERROR(__xludf.DUMMYFUNCTION("""COMPUTED_VALUE"""),"LM5AQ9S-029283")</f>
        <v>LM5AQ9S-029283</v>
      </c>
      <c r="L17" s="45">
        <f ca="1">IFERROR(__xludf.DUMMYFUNCTION("""COMPUTED_VALUE"""),7)</f>
        <v>7</v>
      </c>
      <c r="M17" s="45">
        <f ca="1">IFERROR(__xludf.DUMMYFUNCTION("""COMPUTED_VALUE"""),178)</f>
        <v>178</v>
      </c>
      <c r="N17" s="45">
        <f ca="1">IFERROR(__xludf.DUMMYFUNCTION("""COMPUTED_VALUE"""),90.37)</f>
        <v>90.37</v>
      </c>
      <c r="O17" s="45">
        <f ca="1">IFERROR(__xludf.DUMMYFUNCTION("""COMPUTED_VALUE"""),0.418)</f>
        <v>0.41799999999999998</v>
      </c>
      <c r="P17" s="45" t="str">
        <f ca="1">IFERROR(__xludf.DUMMYFUNCTION("""COMPUTED_VALUE"""),"Colombo, LK")</f>
        <v>Colombo, LK</v>
      </c>
      <c r="Q17" s="45" t="str">
        <f ca="1">IFERROR(__xludf.DUMMYFUNCTION("""COMPUTED_VALUE"""),"New York, NY, US")</f>
        <v>New York, NY, US</v>
      </c>
      <c r="R17" s="44">
        <f ca="1">IFERROR(__xludf.DUMMYFUNCTION("""COMPUTED_VALUE"""),45817)</f>
        <v>45817</v>
      </c>
      <c r="S17" s="44">
        <f ca="1">IFERROR(__xludf.DUMMYFUNCTION("""COMPUTED_VALUE"""),45876)</f>
        <v>45876</v>
      </c>
      <c r="T17" s="45" t="str">
        <f ca="1">IFERROR(__xludf.DUMMYFUNCTION("""COMPUTED_VALUE"""),"Mississauga, ON, CA")</f>
        <v>Mississauga, ON, CA</v>
      </c>
      <c r="U17" s="45"/>
      <c r="V17" s="45"/>
      <c r="W17" s="45"/>
      <c r="X17" s="45"/>
      <c r="Y17" s="46">
        <f ca="1">IFERROR(__xludf.DUMMYFUNCTION("""COMPUTED_VALUE"""),45825)</f>
        <v>45825</v>
      </c>
      <c r="Z17" s="46">
        <f ca="1">IFERROR(__xludf.DUMMYFUNCTION("""COMPUTED_VALUE"""),45854)</f>
        <v>45854</v>
      </c>
      <c r="AA17" s="46">
        <f ca="1">IFERROR(__xludf.DUMMYFUNCTION("""COMPUTED_VALUE"""),45867)</f>
        <v>45867</v>
      </c>
      <c r="AB17" s="45" t="str">
        <f ca="1">IFERROR(__xludf.DUMMYFUNCTION("""COMPUTED_VALUE"""),"3500 Argentia Road")</f>
        <v>3500 Argentia Road</v>
      </c>
      <c r="AC17" s="45"/>
      <c r="AD17" s="45" t="str">
        <f ca="1">IFERROR(__xludf.DUMMYFUNCTION("""COMPUTED_VALUE"""),"OCEAN")</f>
        <v>OCEAN</v>
      </c>
      <c r="AE17" s="45" t="str">
        <f ca="1">IFERROR(__xludf.DUMMYFUNCTION("""COMPUTED_VALUE"""),"N")</f>
        <v>N</v>
      </c>
      <c r="AF17" s="45"/>
      <c r="AG17" s="49" t="str">
        <f ca="1">IFERROR(__xludf.DUMMYFUNCTION("IFNA(vlookup(H17,IMPORTRANGE(""1vUGwO1n0QQGx9kKbO0_M5gmuhXZ6-LaxQxgrmJnzgP0"",""'TP# look up'!A:C""),3,0),"""")"),"")</f>
        <v/>
      </c>
      <c r="AH17" s="49" t="str">
        <f t="shared" ca="1" si="0"/>
        <v>LM</v>
      </c>
    </row>
    <row r="18" spans="1:34" ht="12.75" hidden="1">
      <c r="A18" s="45" t="str">
        <f ca="1">IFERROR(__xludf.DUMMYFUNCTION("""COMPUTED_VALUE"""),"Colombo")</f>
        <v>Colombo</v>
      </c>
      <c r="B18" s="45"/>
      <c r="C18" s="45">
        <f ca="1">IFERROR(__xludf.DUMMYFUNCTION("""COMPUTED_VALUE"""),3231352)</f>
        <v>3231352</v>
      </c>
      <c r="D18" s="45"/>
      <c r="E18" s="45" t="str">
        <f ca="1">IFERROR(__xludf.DUMMYFUNCTION("""COMPUTED_VALUE"""),"CFS")</f>
        <v>CFS</v>
      </c>
      <c r="F18" s="45" t="str">
        <f ca="1">IFERROR(__xludf.DUMMYFUNCTION("""COMPUTED_VALUE"""),"Inqube Global (PVT) Ltd")</f>
        <v>Inqube Global (PVT) Ltd</v>
      </c>
      <c r="G18" s="45" t="str">
        <f ca="1">IFERROR(__xludf.DUMMYFUNCTION("""COMPUTED_VALUE"""),"BRANDIX APPAREL SOLUTION LTD - GIRITALE")</f>
        <v>BRANDIX APPAREL SOLUTION LTD - GIRITALE</v>
      </c>
      <c r="H18" s="43">
        <f ca="1">IFERROR(__xludf.DUMMYFUNCTION("""COMPUTED_VALUE"""),450942425399)</f>
        <v>450942425399</v>
      </c>
      <c r="I18" s="45">
        <f ca="1">IFERROR(__xludf.DUMMYFUNCTION("""COMPUTED_VALUE"""),19855635)</f>
        <v>19855635</v>
      </c>
      <c r="J18" s="45" t="str">
        <f ca="1">IFERROR(__xludf.DUMMYFUNCTION("""COMPUTED_VALUE"""),"LM5AQ9S")</f>
        <v>LM5AQ9S</v>
      </c>
      <c r="K18" s="45" t="str">
        <f ca="1">IFERROR(__xludf.DUMMYFUNCTION("""COMPUTED_VALUE"""),"LM5AQ9S-031382")</f>
        <v>LM5AQ9S-031382</v>
      </c>
      <c r="L18" s="45">
        <f ca="1">IFERROR(__xludf.DUMMYFUNCTION("""COMPUTED_VALUE"""),9)</f>
        <v>9</v>
      </c>
      <c r="M18" s="45">
        <f ca="1">IFERROR(__xludf.DUMMYFUNCTION("""COMPUTED_VALUE"""),155)</f>
        <v>155</v>
      </c>
      <c r="N18" s="45">
        <f ca="1">IFERROR(__xludf.DUMMYFUNCTION("""COMPUTED_VALUE"""),81.15)</f>
        <v>81.150000000000006</v>
      </c>
      <c r="O18" s="45">
        <f ca="1">IFERROR(__xludf.DUMMYFUNCTION("""COMPUTED_VALUE"""),0.423)</f>
        <v>0.42299999999999999</v>
      </c>
      <c r="P18" s="45" t="str">
        <f ca="1">IFERROR(__xludf.DUMMYFUNCTION("""COMPUTED_VALUE"""),"Colombo, LK")</f>
        <v>Colombo, LK</v>
      </c>
      <c r="Q18" s="45" t="str">
        <f ca="1">IFERROR(__xludf.DUMMYFUNCTION("""COMPUTED_VALUE"""),"New York, NY, US")</f>
        <v>New York, NY, US</v>
      </c>
      <c r="R18" s="44">
        <f ca="1">IFERROR(__xludf.DUMMYFUNCTION("""COMPUTED_VALUE"""),45817)</f>
        <v>45817</v>
      </c>
      <c r="S18" s="44">
        <f ca="1">IFERROR(__xludf.DUMMYFUNCTION("""COMPUTED_VALUE"""),45876)</f>
        <v>45876</v>
      </c>
      <c r="T18" s="45" t="str">
        <f ca="1">IFERROR(__xludf.DUMMYFUNCTION("""COMPUTED_VALUE"""),"Milton, ON, CA")</f>
        <v>Milton, ON, CA</v>
      </c>
      <c r="U18" s="45"/>
      <c r="V18" s="45"/>
      <c r="W18" s="45"/>
      <c r="X18" s="45"/>
      <c r="Y18" s="46">
        <f ca="1">IFERROR(__xludf.DUMMYFUNCTION("""COMPUTED_VALUE"""),45825)</f>
        <v>45825</v>
      </c>
      <c r="Z18" s="46">
        <f ca="1">IFERROR(__xludf.DUMMYFUNCTION("""COMPUTED_VALUE"""),45854)</f>
        <v>45854</v>
      </c>
      <c r="AA18" s="46">
        <f ca="1">IFERROR(__xludf.DUMMYFUNCTION("""COMPUTED_VALUE"""),45867)</f>
        <v>45867</v>
      </c>
      <c r="AB18" s="45" t="str">
        <f ca="1">IFERROR(__xludf.DUMMYFUNCTION("""COMPUTED_VALUE"""),"7211 Fifth Line")</f>
        <v>7211 Fifth Line</v>
      </c>
      <c r="AC18" s="45"/>
      <c r="AD18" s="45" t="str">
        <f ca="1">IFERROR(__xludf.DUMMYFUNCTION("""COMPUTED_VALUE"""),"OCEAN")</f>
        <v>OCEAN</v>
      </c>
      <c r="AE18" s="45" t="str">
        <f ca="1">IFERROR(__xludf.DUMMYFUNCTION("""COMPUTED_VALUE"""),"N")</f>
        <v>N</v>
      </c>
      <c r="AF18" s="45"/>
      <c r="AG18" s="49" t="str">
        <f ca="1">IFERROR(__xludf.DUMMYFUNCTION("IFNA(vlookup(H18,IMPORTRANGE(""1vUGwO1n0QQGx9kKbO0_M5gmuhXZ6-LaxQxgrmJnzgP0"",""'TP# look up'!A:C""),3,0),"""")"),"")</f>
        <v/>
      </c>
      <c r="AH18" s="49" t="str">
        <f t="shared" ca="1" si="0"/>
        <v>LM</v>
      </c>
    </row>
    <row r="19" spans="1:34" ht="12.75" hidden="1">
      <c r="A19" s="45" t="str">
        <f ca="1">IFERROR(__xludf.DUMMYFUNCTION("""COMPUTED_VALUE"""),"Colombo")</f>
        <v>Colombo</v>
      </c>
      <c r="B19" s="45"/>
      <c r="C19" s="45">
        <f ca="1">IFERROR(__xludf.DUMMYFUNCTION("""COMPUTED_VALUE"""),3231352)</f>
        <v>3231352</v>
      </c>
      <c r="D19" s="45"/>
      <c r="E19" s="45" t="str">
        <f ca="1">IFERROR(__xludf.DUMMYFUNCTION("""COMPUTED_VALUE"""),"CFS")</f>
        <v>CFS</v>
      </c>
      <c r="F19" s="45" t="str">
        <f ca="1">IFERROR(__xludf.DUMMYFUNCTION("""COMPUTED_VALUE"""),"Inqube Global (PVT) Ltd")</f>
        <v>Inqube Global (PVT) Ltd</v>
      </c>
      <c r="G19" s="45" t="str">
        <f ca="1">IFERROR(__xludf.DUMMYFUNCTION("""COMPUTED_VALUE"""),"Brandix Apparel Solutions Limited - Minuwangoda")</f>
        <v>Brandix Apparel Solutions Limited - Minuwangoda</v>
      </c>
      <c r="H19" s="43">
        <f ca="1">IFERROR(__xludf.DUMMYFUNCTION("""COMPUTED_VALUE"""),450837918280)</f>
        <v>450837918280</v>
      </c>
      <c r="I19" s="45">
        <f ca="1">IFERROR(__xludf.DUMMYFUNCTION("""COMPUTED_VALUE"""),19897579)</f>
        <v>19897579</v>
      </c>
      <c r="J19" s="45" t="str">
        <f ca="1">IFERROR(__xludf.DUMMYFUNCTION("""COMPUTED_VALUE"""),"LW3IG8S")</f>
        <v>LW3IG8S</v>
      </c>
      <c r="K19" s="45" t="str">
        <f ca="1">IFERROR(__xludf.DUMMYFUNCTION("""COMPUTED_VALUE"""),"LW3IG8S-032493")</f>
        <v>LW3IG8S-032493</v>
      </c>
      <c r="L19" s="45">
        <f ca="1">IFERROR(__xludf.DUMMYFUNCTION("""COMPUTED_VALUE"""),13)</f>
        <v>13</v>
      </c>
      <c r="M19" s="45">
        <f ca="1">IFERROR(__xludf.DUMMYFUNCTION("""COMPUTED_VALUE"""),227)</f>
        <v>227</v>
      </c>
      <c r="N19" s="45">
        <f ca="1">IFERROR(__xludf.DUMMYFUNCTION("""COMPUTED_VALUE"""),152.07)</f>
        <v>152.07</v>
      </c>
      <c r="O19" s="45">
        <f ca="1">IFERROR(__xludf.DUMMYFUNCTION("""COMPUTED_VALUE"""),1.021)</f>
        <v>1.0209999999999999</v>
      </c>
      <c r="P19" s="45" t="str">
        <f ca="1">IFERROR(__xludf.DUMMYFUNCTION("""COMPUTED_VALUE"""),"Colombo, LK")</f>
        <v>Colombo, LK</v>
      </c>
      <c r="Q19" s="45" t="str">
        <f ca="1">IFERROR(__xludf.DUMMYFUNCTION("""COMPUTED_VALUE"""),"New York, NY, US")</f>
        <v>New York, NY, US</v>
      </c>
      <c r="R19" s="44">
        <f ca="1">IFERROR(__xludf.DUMMYFUNCTION("""COMPUTED_VALUE"""),45817)</f>
        <v>45817</v>
      </c>
      <c r="S19" s="44">
        <f ca="1">IFERROR(__xludf.DUMMYFUNCTION("""COMPUTED_VALUE"""),45876)</f>
        <v>45876</v>
      </c>
      <c r="T19" s="45" t="str">
        <f ca="1">IFERROR(__xludf.DUMMYFUNCTION("""COMPUTED_VALUE"""),"Milton, ON, CA")</f>
        <v>Milton, ON, CA</v>
      </c>
      <c r="U19" s="45"/>
      <c r="V19" s="45"/>
      <c r="W19" s="45"/>
      <c r="X19" s="45"/>
      <c r="Y19" s="46">
        <f ca="1">IFERROR(__xludf.DUMMYFUNCTION("""COMPUTED_VALUE"""),45825)</f>
        <v>45825</v>
      </c>
      <c r="Z19" s="46">
        <f ca="1">IFERROR(__xludf.DUMMYFUNCTION("""COMPUTED_VALUE"""),45854)</f>
        <v>45854</v>
      </c>
      <c r="AA19" s="46">
        <f ca="1">IFERROR(__xludf.DUMMYFUNCTION("""COMPUTED_VALUE"""),45867)</f>
        <v>45867</v>
      </c>
      <c r="AB19" s="45" t="str">
        <f ca="1">IFERROR(__xludf.DUMMYFUNCTION("""COMPUTED_VALUE"""),"7211 Fifth Line")</f>
        <v>7211 Fifth Line</v>
      </c>
      <c r="AC19" s="45"/>
      <c r="AD19" s="45" t="str">
        <f ca="1">IFERROR(__xludf.DUMMYFUNCTION("""COMPUTED_VALUE"""),"OCEAN")</f>
        <v>OCEAN</v>
      </c>
      <c r="AE19" s="45" t="str">
        <f ca="1">IFERROR(__xludf.DUMMYFUNCTION("""COMPUTED_VALUE"""),"N")</f>
        <v>N</v>
      </c>
      <c r="AF19" s="45"/>
      <c r="AG19" s="49" t="str">
        <f ca="1">IFERROR(__xludf.DUMMYFUNCTION("IFNA(vlookup(H19,IMPORTRANGE(""1vUGwO1n0QQGx9kKbO0_M5gmuhXZ6-LaxQxgrmJnzgP0"",""'TP# look up'!A:C""),3,0),"""")"),"")</f>
        <v/>
      </c>
      <c r="AH19" s="49" t="str">
        <f t="shared" ca="1" si="0"/>
        <v>LW</v>
      </c>
    </row>
    <row r="20" spans="1:34" ht="12.75" hidden="1">
      <c r="A20" s="45" t="str">
        <f ca="1">IFERROR(__xludf.DUMMYFUNCTION("""COMPUTED_VALUE"""),"Colombo")</f>
        <v>Colombo</v>
      </c>
      <c r="B20" s="45"/>
      <c r="C20" s="45">
        <f ca="1">IFERROR(__xludf.DUMMYFUNCTION("""COMPUTED_VALUE"""),3231352)</f>
        <v>3231352</v>
      </c>
      <c r="D20" s="45"/>
      <c r="E20" s="45" t="str">
        <f ca="1">IFERROR(__xludf.DUMMYFUNCTION("""COMPUTED_VALUE"""),"CFS")</f>
        <v>CFS</v>
      </c>
      <c r="F20" s="45" t="str">
        <f ca="1">IFERROR(__xludf.DUMMYFUNCTION("""COMPUTED_VALUE"""),"Inqube Global (PVT) Ltd")</f>
        <v>Inqube Global (PVT) Ltd</v>
      </c>
      <c r="G20" s="45" t="str">
        <f ca="1">IFERROR(__xludf.DUMMYFUNCTION("""COMPUTED_VALUE"""),"Brandix Apparel Solutions Limited - Minuwangoda")</f>
        <v>Brandix Apparel Solutions Limited - Minuwangoda</v>
      </c>
      <c r="H20" s="43">
        <f ca="1">IFERROR(__xludf.DUMMYFUNCTION("""COMPUTED_VALUE"""),450838167940)</f>
        <v>450838167940</v>
      </c>
      <c r="I20" s="45">
        <f ca="1">IFERROR(__xludf.DUMMYFUNCTION("""COMPUTED_VALUE"""),19897597)</f>
        <v>19897597</v>
      </c>
      <c r="J20" s="45" t="str">
        <f ca="1">IFERROR(__xludf.DUMMYFUNCTION("""COMPUTED_VALUE"""),"LW3JBFS")</f>
        <v>LW3JBFS</v>
      </c>
      <c r="K20" s="45" t="str">
        <f ca="1">IFERROR(__xludf.DUMMYFUNCTION("""COMPUTED_VALUE"""),"LW3JBFS-0002")</f>
        <v>LW3JBFS-0002</v>
      </c>
      <c r="L20" s="45">
        <f ca="1">IFERROR(__xludf.DUMMYFUNCTION("""COMPUTED_VALUE"""),62)</f>
        <v>62</v>
      </c>
      <c r="M20" s="45">
        <f ca="1">IFERROR(__xludf.DUMMYFUNCTION("""COMPUTED_VALUE"""),1528)</f>
        <v>1528</v>
      </c>
      <c r="N20" s="45">
        <f ca="1">IFERROR(__xludf.DUMMYFUNCTION("""COMPUTED_VALUE"""),742.96)</f>
        <v>742.96</v>
      </c>
      <c r="O20" s="45">
        <f ca="1">IFERROR(__xludf.DUMMYFUNCTION("""COMPUTED_VALUE"""),4.867)</f>
        <v>4.867</v>
      </c>
      <c r="P20" s="45" t="str">
        <f ca="1">IFERROR(__xludf.DUMMYFUNCTION("""COMPUTED_VALUE"""),"Colombo, LK")</f>
        <v>Colombo, LK</v>
      </c>
      <c r="Q20" s="45" t="str">
        <f ca="1">IFERROR(__xludf.DUMMYFUNCTION("""COMPUTED_VALUE"""),"New York, NY, US")</f>
        <v>New York, NY, US</v>
      </c>
      <c r="R20" s="44">
        <f ca="1">IFERROR(__xludf.DUMMYFUNCTION("""COMPUTED_VALUE"""),45817)</f>
        <v>45817</v>
      </c>
      <c r="S20" s="44">
        <f ca="1">IFERROR(__xludf.DUMMYFUNCTION("""COMPUTED_VALUE"""),45876)</f>
        <v>45876</v>
      </c>
      <c r="T20" s="45" t="str">
        <f ca="1">IFERROR(__xludf.DUMMYFUNCTION("""COMPUTED_VALUE"""),"Milton, ON, CA")</f>
        <v>Milton, ON, CA</v>
      </c>
      <c r="U20" s="45"/>
      <c r="V20" s="45"/>
      <c r="W20" s="45"/>
      <c r="X20" s="45"/>
      <c r="Y20" s="46">
        <f ca="1">IFERROR(__xludf.DUMMYFUNCTION("""COMPUTED_VALUE"""),45825)</f>
        <v>45825</v>
      </c>
      <c r="Z20" s="46">
        <f ca="1">IFERROR(__xludf.DUMMYFUNCTION("""COMPUTED_VALUE"""),45854)</f>
        <v>45854</v>
      </c>
      <c r="AA20" s="46">
        <f ca="1">IFERROR(__xludf.DUMMYFUNCTION("""COMPUTED_VALUE"""),45867)</f>
        <v>45867</v>
      </c>
      <c r="AB20" s="45" t="str">
        <f ca="1">IFERROR(__xludf.DUMMYFUNCTION("""COMPUTED_VALUE"""),"7211 Fifth Line")</f>
        <v>7211 Fifth Line</v>
      </c>
      <c r="AC20" s="45"/>
      <c r="AD20" s="45" t="str">
        <f ca="1">IFERROR(__xludf.DUMMYFUNCTION("""COMPUTED_VALUE"""),"OCEAN")</f>
        <v>OCEAN</v>
      </c>
      <c r="AE20" s="45" t="str">
        <f ca="1">IFERROR(__xludf.DUMMYFUNCTION("""COMPUTED_VALUE"""),"N")</f>
        <v>N</v>
      </c>
      <c r="AF20" s="45"/>
      <c r="AG20" s="49" t="str">
        <f ca="1">IFERROR(__xludf.DUMMYFUNCTION("IFNA(vlookup(H20,IMPORTRANGE(""1vUGwO1n0QQGx9kKbO0_M5gmuhXZ6-LaxQxgrmJnzgP0"",""'TP# look up'!A:C""),3,0),"""")"),"")</f>
        <v/>
      </c>
      <c r="AH20" s="49" t="str">
        <f t="shared" ca="1" si="0"/>
        <v>LW</v>
      </c>
    </row>
    <row r="21" spans="1:34" ht="12.75" hidden="1">
      <c r="A21" s="45" t="str">
        <f ca="1">IFERROR(__xludf.DUMMYFUNCTION("""COMPUTED_VALUE"""),"Colombo")</f>
        <v>Colombo</v>
      </c>
      <c r="B21" s="45"/>
      <c r="C21" s="45">
        <f ca="1">IFERROR(__xludf.DUMMYFUNCTION("""COMPUTED_VALUE"""),3231352)</f>
        <v>3231352</v>
      </c>
      <c r="D21" s="45"/>
      <c r="E21" s="45" t="str">
        <f ca="1">IFERROR(__xludf.DUMMYFUNCTION("""COMPUTED_VALUE"""),"CFS")</f>
        <v>CFS</v>
      </c>
      <c r="F21" s="45" t="str">
        <f ca="1">IFERROR(__xludf.DUMMYFUNCTION("""COMPUTED_VALUE"""),"MAS AMITY PTE LTD")</f>
        <v>MAS AMITY PTE LTD</v>
      </c>
      <c r="G21" s="45" t="str">
        <f ca="1">IFERROR(__xludf.DUMMYFUNCTION("""COMPUTED_VALUE"""),"MAS Active(Pvt) Ltd – CONTOURLINE")</f>
        <v>MAS Active(Pvt) Ltd – CONTOURLINE</v>
      </c>
      <c r="H21" s="43">
        <f ca="1">IFERROR(__xludf.DUMMYFUNCTION("""COMPUTED_VALUE"""),450906544001)</f>
        <v>450906544001</v>
      </c>
      <c r="I21" s="45">
        <f ca="1">IFERROR(__xludf.DUMMYFUNCTION("""COMPUTED_VALUE"""),19890680)</f>
        <v>19890680</v>
      </c>
      <c r="J21" s="45" t="str">
        <f ca="1">IFERROR(__xludf.DUMMYFUNCTION("""COMPUTED_VALUE"""),"LW7CNIS")</f>
        <v>LW7CNIS</v>
      </c>
      <c r="K21" s="45" t="str">
        <f ca="1">IFERROR(__xludf.DUMMYFUNCTION("""COMPUTED_VALUE"""),"LW7CNIS-0001")</f>
        <v>LW7CNIS-0001</v>
      </c>
      <c r="L21" s="45">
        <f ca="1">IFERROR(__xludf.DUMMYFUNCTION("""COMPUTED_VALUE"""),3)</f>
        <v>3</v>
      </c>
      <c r="M21" s="45">
        <f ca="1">IFERROR(__xludf.DUMMYFUNCTION("""COMPUTED_VALUE"""),215)</f>
        <v>215</v>
      </c>
      <c r="N21" s="45">
        <f ca="1">IFERROR(__xludf.DUMMYFUNCTION("""COMPUTED_VALUE"""),36.961)</f>
        <v>36.960999999999999</v>
      </c>
      <c r="O21" s="45">
        <f ca="1">IFERROR(__xludf.DUMMYFUNCTION("""COMPUTED_VALUE"""),0.237)</f>
        <v>0.23699999999999999</v>
      </c>
      <c r="P21" s="45" t="str">
        <f ca="1">IFERROR(__xludf.DUMMYFUNCTION("""COMPUTED_VALUE"""),"Colombo, LK")</f>
        <v>Colombo, LK</v>
      </c>
      <c r="Q21" s="45" t="str">
        <f ca="1">IFERROR(__xludf.DUMMYFUNCTION("""COMPUTED_VALUE"""),"New York, NY, US")</f>
        <v>New York, NY, US</v>
      </c>
      <c r="R21" s="44">
        <f ca="1">IFERROR(__xludf.DUMMYFUNCTION("""COMPUTED_VALUE"""),45817)</f>
        <v>45817</v>
      </c>
      <c r="S21" s="44">
        <f ca="1">IFERROR(__xludf.DUMMYFUNCTION("""COMPUTED_VALUE"""),45876)</f>
        <v>45876</v>
      </c>
      <c r="T21" s="45" t="str">
        <f ca="1">IFERROR(__xludf.DUMMYFUNCTION("""COMPUTED_VALUE"""),"Mississauga, ON, CA")</f>
        <v>Mississauga, ON, CA</v>
      </c>
      <c r="U21" s="45"/>
      <c r="V21" s="45"/>
      <c r="W21" s="45"/>
      <c r="X21" s="45"/>
      <c r="Y21" s="46">
        <f ca="1">IFERROR(__xludf.DUMMYFUNCTION("""COMPUTED_VALUE"""),45825)</f>
        <v>45825</v>
      </c>
      <c r="Z21" s="46">
        <f ca="1">IFERROR(__xludf.DUMMYFUNCTION("""COMPUTED_VALUE"""),45854)</f>
        <v>45854</v>
      </c>
      <c r="AA21" s="46">
        <f ca="1">IFERROR(__xludf.DUMMYFUNCTION("""COMPUTED_VALUE"""),45867)</f>
        <v>45867</v>
      </c>
      <c r="AB21" s="45" t="str">
        <f ca="1">IFERROR(__xludf.DUMMYFUNCTION("""COMPUTED_VALUE"""),"3500 Argentia Road")</f>
        <v>3500 Argentia Road</v>
      </c>
      <c r="AC21" s="45"/>
      <c r="AD21" s="45" t="str">
        <f ca="1">IFERROR(__xludf.DUMMYFUNCTION("""COMPUTED_VALUE"""),"OCEAN")</f>
        <v>OCEAN</v>
      </c>
      <c r="AE21" s="45" t="str">
        <f ca="1">IFERROR(__xludf.DUMMYFUNCTION("""COMPUTED_VALUE"""),"N")</f>
        <v>N</v>
      </c>
      <c r="AF21" s="45"/>
      <c r="AG21" s="49" t="str">
        <f ca="1">IFERROR(__xludf.DUMMYFUNCTION("IFNA(vlookup(H21,IMPORTRANGE(""1vUGwO1n0QQGx9kKbO0_M5gmuhXZ6-LaxQxgrmJnzgP0"",""'TP# look up'!A:C""),3,0),"""")"),"")</f>
        <v/>
      </c>
      <c r="AH21" s="49" t="str">
        <f t="shared" ca="1" si="0"/>
        <v>LW</v>
      </c>
    </row>
    <row r="22" spans="1:34" ht="12.75" hidden="1">
      <c r="A22" s="45" t="str">
        <f ca="1">IFERROR(__xludf.DUMMYFUNCTION("""COMPUTED_VALUE"""),"Colombo")</f>
        <v>Colombo</v>
      </c>
      <c r="B22" s="45"/>
      <c r="C22" s="45">
        <f ca="1">IFERROR(__xludf.DUMMYFUNCTION("""COMPUTED_VALUE"""),3231352)</f>
        <v>3231352</v>
      </c>
      <c r="D22" s="45"/>
      <c r="E22" s="45" t="str">
        <f ca="1">IFERROR(__xludf.DUMMYFUNCTION("""COMPUTED_VALUE"""),"CFS")</f>
        <v>CFS</v>
      </c>
      <c r="F22" s="45" t="str">
        <f ca="1">IFERROR(__xludf.DUMMYFUNCTION("""COMPUTED_VALUE"""),"MAS AMITY PTE LTD")</f>
        <v>MAS AMITY PTE LTD</v>
      </c>
      <c r="G22" s="45" t="str">
        <f ca="1">IFERROR(__xludf.DUMMYFUNCTION("""COMPUTED_VALUE"""),"MAS Active(Pvt) Ltd – CONTOURLINE")</f>
        <v>MAS Active(Pvt) Ltd – CONTOURLINE</v>
      </c>
      <c r="H22" s="43">
        <f ca="1">IFERROR(__xludf.DUMMYFUNCTION("""COMPUTED_VALUE"""),450912286421)</f>
        <v>450912286421</v>
      </c>
      <c r="I22" s="45">
        <f ca="1">IFERROR(__xludf.DUMMYFUNCTION("""COMPUTED_VALUE"""),19939801)</f>
        <v>19939801</v>
      </c>
      <c r="J22" s="45" t="str">
        <f ca="1">IFERROR(__xludf.DUMMYFUNCTION("""COMPUTED_VALUE"""),"LM7BCVS")</f>
        <v>LM7BCVS</v>
      </c>
      <c r="K22" s="45" t="str">
        <f ca="1">IFERROR(__xludf.DUMMYFUNCTION("""COMPUTED_VALUE"""),"LM7BCVS-063781")</f>
        <v>LM7BCVS-063781</v>
      </c>
      <c r="L22" s="45">
        <f ca="1">IFERROR(__xludf.DUMMYFUNCTION("""COMPUTED_VALUE"""),7)</f>
        <v>7</v>
      </c>
      <c r="M22" s="45">
        <f ca="1">IFERROR(__xludf.DUMMYFUNCTION("""COMPUTED_VALUE"""),330)</f>
        <v>330</v>
      </c>
      <c r="N22" s="45">
        <f ca="1">IFERROR(__xludf.DUMMYFUNCTION("""COMPUTED_VALUE"""),57.531)</f>
        <v>57.530999999999999</v>
      </c>
      <c r="O22" s="45">
        <f ca="1">IFERROR(__xludf.DUMMYFUNCTION("""COMPUTED_VALUE"""),0.553)</f>
        <v>0.55300000000000005</v>
      </c>
      <c r="P22" s="45" t="str">
        <f ca="1">IFERROR(__xludf.DUMMYFUNCTION("""COMPUTED_VALUE"""),"Colombo, LK")</f>
        <v>Colombo, LK</v>
      </c>
      <c r="Q22" s="45" t="str">
        <f ca="1">IFERROR(__xludf.DUMMYFUNCTION("""COMPUTED_VALUE"""),"New York, NY, US")</f>
        <v>New York, NY, US</v>
      </c>
      <c r="R22" s="44">
        <f ca="1">IFERROR(__xludf.DUMMYFUNCTION("""COMPUTED_VALUE"""),45817)</f>
        <v>45817</v>
      </c>
      <c r="S22" s="44">
        <f ca="1">IFERROR(__xludf.DUMMYFUNCTION("""COMPUTED_VALUE"""),45876)</f>
        <v>45876</v>
      </c>
      <c r="T22" s="45" t="str">
        <f ca="1">IFERROR(__xludf.DUMMYFUNCTION("""COMPUTED_VALUE"""),"Mississauga, ON, CA")</f>
        <v>Mississauga, ON, CA</v>
      </c>
      <c r="U22" s="45"/>
      <c r="V22" s="45"/>
      <c r="W22" s="45"/>
      <c r="X22" s="45"/>
      <c r="Y22" s="46">
        <f ca="1">IFERROR(__xludf.DUMMYFUNCTION("""COMPUTED_VALUE"""),45825)</f>
        <v>45825</v>
      </c>
      <c r="Z22" s="46">
        <f ca="1">IFERROR(__xludf.DUMMYFUNCTION("""COMPUTED_VALUE"""),45854)</f>
        <v>45854</v>
      </c>
      <c r="AA22" s="46">
        <f ca="1">IFERROR(__xludf.DUMMYFUNCTION("""COMPUTED_VALUE"""),45867)</f>
        <v>45867</v>
      </c>
      <c r="AB22" s="45" t="str">
        <f ca="1">IFERROR(__xludf.DUMMYFUNCTION("""COMPUTED_VALUE"""),"3500 Argentia Road")</f>
        <v>3500 Argentia Road</v>
      </c>
      <c r="AC22" s="45"/>
      <c r="AD22" s="45" t="str">
        <f ca="1">IFERROR(__xludf.DUMMYFUNCTION("""COMPUTED_VALUE"""),"OCEAN")</f>
        <v>OCEAN</v>
      </c>
      <c r="AE22" s="45" t="str">
        <f ca="1">IFERROR(__xludf.DUMMYFUNCTION("""COMPUTED_VALUE"""),"N")</f>
        <v>N</v>
      </c>
      <c r="AF22" s="45"/>
      <c r="AG22" s="49" t="str">
        <f ca="1">IFERROR(__xludf.DUMMYFUNCTION("IFNA(vlookup(H22,IMPORTRANGE(""1vUGwO1n0QQGx9kKbO0_M5gmuhXZ6-LaxQxgrmJnzgP0"",""'TP# look up'!A:C""),3,0),"""")"),"")</f>
        <v/>
      </c>
      <c r="AH22" s="49" t="str">
        <f t="shared" ca="1" si="0"/>
        <v>LM</v>
      </c>
    </row>
    <row r="23" spans="1:34" ht="12.75" hidden="1">
      <c r="A23" s="45" t="str">
        <f ca="1">IFERROR(__xludf.DUMMYFUNCTION("""COMPUTED_VALUE"""),"Colombo")</f>
        <v>Colombo</v>
      </c>
      <c r="B23" s="45"/>
      <c r="C23" s="45">
        <f ca="1">IFERROR(__xludf.DUMMYFUNCTION("""COMPUTED_VALUE"""),3231352)</f>
        <v>3231352</v>
      </c>
      <c r="D23" s="45"/>
      <c r="E23" s="45" t="str">
        <f ca="1">IFERROR(__xludf.DUMMYFUNCTION("""COMPUTED_VALUE"""),"CFS")</f>
        <v>CFS</v>
      </c>
      <c r="F23" s="45" t="str">
        <f ca="1">IFERROR(__xludf.DUMMYFUNCTION("""COMPUTED_VALUE"""),"MAS AMITY PTE LTD")</f>
        <v>MAS AMITY PTE LTD</v>
      </c>
      <c r="G23" s="45" t="str">
        <f ca="1">IFERROR(__xludf.DUMMYFUNCTION("""COMPUTED_VALUE"""),"MAS Active(Pvt) Ltd – CONTOURLINE")</f>
        <v>MAS Active(Pvt) Ltd – CONTOURLINE</v>
      </c>
      <c r="H23" s="43">
        <f ca="1">IFERROR(__xludf.DUMMYFUNCTION("""COMPUTED_VALUE"""),450915404383)</f>
        <v>450915404383</v>
      </c>
      <c r="I23" s="45">
        <f ca="1">IFERROR(__xludf.DUMMYFUNCTION("""COMPUTED_VALUE"""),19920764)</f>
        <v>19920764</v>
      </c>
      <c r="J23" s="45" t="str">
        <f ca="1">IFERROR(__xludf.DUMMYFUNCTION("""COMPUTED_VALUE"""),"LW6CP2S")</f>
        <v>LW6CP2S</v>
      </c>
      <c r="K23" s="45" t="str">
        <f ca="1">IFERROR(__xludf.DUMMYFUNCTION("""COMPUTED_VALUE"""),"LW6CP2S-031382")</f>
        <v>LW6CP2S-031382</v>
      </c>
      <c r="L23" s="45">
        <f ca="1">IFERROR(__xludf.DUMMYFUNCTION("""COMPUTED_VALUE"""),3)</f>
        <v>3</v>
      </c>
      <c r="M23" s="45">
        <f ca="1">IFERROR(__xludf.DUMMYFUNCTION("""COMPUTED_VALUE"""),118)</f>
        <v>118</v>
      </c>
      <c r="N23" s="45">
        <f ca="1">IFERROR(__xludf.DUMMYFUNCTION("""COMPUTED_VALUE"""),24.326)</f>
        <v>24.326000000000001</v>
      </c>
      <c r="O23" s="45">
        <f ca="1">IFERROR(__xludf.DUMMYFUNCTION("""COMPUTED_VALUE"""),0.158)</f>
        <v>0.158</v>
      </c>
      <c r="P23" s="45" t="str">
        <f ca="1">IFERROR(__xludf.DUMMYFUNCTION("""COMPUTED_VALUE"""),"Colombo, LK")</f>
        <v>Colombo, LK</v>
      </c>
      <c r="Q23" s="45" t="str">
        <f ca="1">IFERROR(__xludf.DUMMYFUNCTION("""COMPUTED_VALUE"""),"New York, NY, US")</f>
        <v>New York, NY, US</v>
      </c>
      <c r="R23" s="44">
        <f ca="1">IFERROR(__xludf.DUMMYFUNCTION("""COMPUTED_VALUE"""),45817)</f>
        <v>45817</v>
      </c>
      <c r="S23" s="44">
        <f ca="1">IFERROR(__xludf.DUMMYFUNCTION("""COMPUTED_VALUE"""),45876)</f>
        <v>45876</v>
      </c>
      <c r="T23" s="45" t="str">
        <f ca="1">IFERROR(__xludf.DUMMYFUNCTION("""COMPUTED_VALUE"""),"Mississauga, ON, CA")</f>
        <v>Mississauga, ON, CA</v>
      </c>
      <c r="U23" s="45"/>
      <c r="V23" s="45"/>
      <c r="W23" s="45"/>
      <c r="X23" s="45"/>
      <c r="Y23" s="46">
        <f ca="1">IFERROR(__xludf.DUMMYFUNCTION("""COMPUTED_VALUE"""),45825)</f>
        <v>45825</v>
      </c>
      <c r="Z23" s="46">
        <f ca="1">IFERROR(__xludf.DUMMYFUNCTION("""COMPUTED_VALUE"""),45854)</f>
        <v>45854</v>
      </c>
      <c r="AA23" s="46">
        <f ca="1">IFERROR(__xludf.DUMMYFUNCTION("""COMPUTED_VALUE"""),45867)</f>
        <v>45867</v>
      </c>
      <c r="AB23" s="45" t="str">
        <f ca="1">IFERROR(__xludf.DUMMYFUNCTION("""COMPUTED_VALUE"""),"3500 Argentia Road")</f>
        <v>3500 Argentia Road</v>
      </c>
      <c r="AC23" s="45"/>
      <c r="AD23" s="45" t="str">
        <f ca="1">IFERROR(__xludf.DUMMYFUNCTION("""COMPUTED_VALUE"""),"OCEAN")</f>
        <v>OCEAN</v>
      </c>
      <c r="AE23" s="45" t="str">
        <f ca="1">IFERROR(__xludf.DUMMYFUNCTION("""COMPUTED_VALUE"""),"N")</f>
        <v>N</v>
      </c>
      <c r="AF23" s="45"/>
      <c r="AG23" s="49" t="str">
        <f ca="1">IFERROR(__xludf.DUMMYFUNCTION("IFNA(vlookup(H23,IMPORTRANGE(""1vUGwO1n0QQGx9kKbO0_M5gmuhXZ6-LaxQxgrmJnzgP0"",""'TP# look up'!A:C""),3,0),"""")"),"")</f>
        <v/>
      </c>
      <c r="AH23" s="49" t="str">
        <f t="shared" ca="1" si="0"/>
        <v>LW</v>
      </c>
    </row>
    <row r="24" spans="1:34" ht="12.75" hidden="1">
      <c r="A24" s="45" t="str">
        <f ca="1">IFERROR(__xludf.DUMMYFUNCTION("""COMPUTED_VALUE"""),"Colombo")</f>
        <v>Colombo</v>
      </c>
      <c r="B24" s="45"/>
      <c r="C24" s="45">
        <f ca="1">IFERROR(__xludf.DUMMYFUNCTION("""COMPUTED_VALUE"""),3231352)</f>
        <v>3231352</v>
      </c>
      <c r="D24" s="45"/>
      <c r="E24" s="45" t="str">
        <f ca="1">IFERROR(__xludf.DUMMYFUNCTION("""COMPUTED_VALUE"""),"CFS")</f>
        <v>CFS</v>
      </c>
      <c r="F24" s="45" t="str">
        <f ca="1">IFERROR(__xludf.DUMMYFUNCTION("""COMPUTED_VALUE"""),"MAS AMITY PTE LTD")</f>
        <v>MAS AMITY PTE LTD</v>
      </c>
      <c r="G24" s="45" t="str">
        <f ca="1">IFERROR(__xludf.DUMMYFUNCTION("""COMPUTED_VALUE"""),"MAS Active(Pvt) Ltd – CONTOURLINE")</f>
        <v>MAS Active(Pvt) Ltd – CONTOURLINE</v>
      </c>
      <c r="H24" s="43">
        <f ca="1">IFERROR(__xludf.DUMMYFUNCTION("""COMPUTED_VALUE"""),450915929050)</f>
        <v>450915929050</v>
      </c>
      <c r="I24" s="45">
        <f ca="1">IFERROR(__xludf.DUMMYFUNCTION("""COMPUTED_VALUE"""),19925679)</f>
        <v>19925679</v>
      </c>
      <c r="J24" s="45" t="str">
        <f ca="1">IFERROR(__xludf.DUMMYFUNCTION("""COMPUTED_VALUE"""),"LW6CP2S")</f>
        <v>LW6CP2S</v>
      </c>
      <c r="K24" s="45" t="str">
        <f ca="1">IFERROR(__xludf.DUMMYFUNCTION("""COMPUTED_VALUE"""),"LW6CP2S-031382")</f>
        <v>LW6CP2S-031382</v>
      </c>
      <c r="L24" s="45">
        <f ca="1">IFERROR(__xludf.DUMMYFUNCTION("""COMPUTED_VALUE"""),6)</f>
        <v>6</v>
      </c>
      <c r="M24" s="45">
        <f ca="1">IFERROR(__xludf.DUMMYFUNCTION("""COMPUTED_VALUE"""),312)</f>
        <v>312</v>
      </c>
      <c r="N24" s="45">
        <f ca="1">IFERROR(__xludf.DUMMYFUNCTION("""COMPUTED_VALUE"""),63.697)</f>
        <v>63.697000000000003</v>
      </c>
      <c r="O24" s="45">
        <f ca="1">IFERROR(__xludf.DUMMYFUNCTION("""COMPUTED_VALUE"""),0.434)</f>
        <v>0.434</v>
      </c>
      <c r="P24" s="45" t="str">
        <f ca="1">IFERROR(__xludf.DUMMYFUNCTION("""COMPUTED_VALUE"""),"Colombo, LK")</f>
        <v>Colombo, LK</v>
      </c>
      <c r="Q24" s="45" t="str">
        <f ca="1">IFERROR(__xludf.DUMMYFUNCTION("""COMPUTED_VALUE"""),"New York, NY, US")</f>
        <v>New York, NY, US</v>
      </c>
      <c r="R24" s="44">
        <f ca="1">IFERROR(__xludf.DUMMYFUNCTION("""COMPUTED_VALUE"""),45817)</f>
        <v>45817</v>
      </c>
      <c r="S24" s="44">
        <f ca="1">IFERROR(__xludf.DUMMYFUNCTION("""COMPUTED_VALUE"""),45876)</f>
        <v>45876</v>
      </c>
      <c r="T24" s="45" t="str">
        <f ca="1">IFERROR(__xludf.DUMMYFUNCTION("""COMPUTED_VALUE"""),"Mississauga, ON, CA")</f>
        <v>Mississauga, ON, CA</v>
      </c>
      <c r="U24" s="45"/>
      <c r="V24" s="45"/>
      <c r="W24" s="45"/>
      <c r="X24" s="45"/>
      <c r="Y24" s="46">
        <f ca="1">IFERROR(__xludf.DUMMYFUNCTION("""COMPUTED_VALUE"""),45825)</f>
        <v>45825</v>
      </c>
      <c r="Z24" s="46">
        <f ca="1">IFERROR(__xludf.DUMMYFUNCTION("""COMPUTED_VALUE"""),45854)</f>
        <v>45854</v>
      </c>
      <c r="AA24" s="46">
        <f ca="1">IFERROR(__xludf.DUMMYFUNCTION("""COMPUTED_VALUE"""),45867)</f>
        <v>45867</v>
      </c>
      <c r="AB24" s="45" t="str">
        <f ca="1">IFERROR(__xludf.DUMMYFUNCTION("""COMPUTED_VALUE"""),"3500 Argentia Road")</f>
        <v>3500 Argentia Road</v>
      </c>
      <c r="AC24" s="45"/>
      <c r="AD24" s="45" t="str">
        <f ca="1">IFERROR(__xludf.DUMMYFUNCTION("""COMPUTED_VALUE"""),"OCEAN")</f>
        <v>OCEAN</v>
      </c>
      <c r="AE24" s="45" t="str">
        <f ca="1">IFERROR(__xludf.DUMMYFUNCTION("""COMPUTED_VALUE"""),"N")</f>
        <v>N</v>
      </c>
      <c r="AF24" s="45"/>
      <c r="AG24" s="49" t="str">
        <f ca="1">IFERROR(__xludf.DUMMYFUNCTION("IFNA(vlookup(H24,IMPORTRANGE(""1vUGwO1n0QQGx9kKbO0_M5gmuhXZ6-LaxQxgrmJnzgP0"",""'TP# look up'!A:C""),3,0),"""")"),"")</f>
        <v/>
      </c>
      <c r="AH24" s="49" t="str">
        <f t="shared" ca="1" si="0"/>
        <v>LW</v>
      </c>
    </row>
    <row r="25" spans="1:34" ht="12.75" hidden="1">
      <c r="A25" s="45" t="str">
        <f ca="1">IFERROR(__xludf.DUMMYFUNCTION("""COMPUTED_VALUE"""),"Colombo")</f>
        <v>Colombo</v>
      </c>
      <c r="B25" s="45"/>
      <c r="C25" s="45">
        <f ca="1">IFERROR(__xludf.DUMMYFUNCTION("""COMPUTED_VALUE"""),3231352)</f>
        <v>3231352</v>
      </c>
      <c r="D25" s="45"/>
      <c r="E25" s="45" t="str">
        <f ca="1">IFERROR(__xludf.DUMMYFUNCTION("""COMPUTED_VALUE"""),"CFS")</f>
        <v>CFS</v>
      </c>
      <c r="F25" s="45" t="str">
        <f ca="1">IFERROR(__xludf.DUMMYFUNCTION("""COMPUTED_VALUE"""),"MAS AMITY PTE LTD")</f>
        <v>MAS AMITY PTE LTD</v>
      </c>
      <c r="G25" s="45" t="str">
        <f ca="1">IFERROR(__xludf.DUMMYFUNCTION("""COMPUTED_VALUE"""),"MAS Active(Pvt) Ltd – CONTOURLINE")</f>
        <v>MAS Active(Pvt) Ltd – CONTOURLINE</v>
      </c>
      <c r="H25" s="43">
        <f ca="1">IFERROR(__xludf.DUMMYFUNCTION("""COMPUTED_VALUE"""),450916985726)</f>
        <v>450916985726</v>
      </c>
      <c r="I25" s="45">
        <f ca="1">IFERROR(__xludf.DUMMYFUNCTION("""COMPUTED_VALUE"""),19920795)</f>
        <v>19920795</v>
      </c>
      <c r="J25" s="45" t="str">
        <f ca="1">IFERROR(__xludf.DUMMYFUNCTION("""COMPUTED_VALUE"""),"LM7BCVS")</f>
        <v>LM7BCVS</v>
      </c>
      <c r="K25" s="45" t="str">
        <f ca="1">IFERROR(__xludf.DUMMYFUNCTION("""COMPUTED_VALUE"""),"LM7BCVS-063781")</f>
        <v>LM7BCVS-063781</v>
      </c>
      <c r="L25" s="45">
        <f ca="1">IFERROR(__xludf.DUMMYFUNCTION("""COMPUTED_VALUE"""),1)</f>
        <v>1</v>
      </c>
      <c r="M25" s="45">
        <f ca="1">IFERROR(__xludf.DUMMYFUNCTION("""COMPUTED_VALUE"""),59)</f>
        <v>59</v>
      </c>
      <c r="N25" s="45">
        <f ca="1">IFERROR(__xludf.DUMMYFUNCTION("""COMPUTED_VALUE"""),9.984)</f>
        <v>9.984</v>
      </c>
      <c r="O25" s="45">
        <f ca="1">IFERROR(__xludf.DUMMYFUNCTION("""COMPUTED_VALUE"""),0.079)</f>
        <v>7.9000000000000001E-2</v>
      </c>
      <c r="P25" s="45" t="str">
        <f ca="1">IFERROR(__xludf.DUMMYFUNCTION("""COMPUTED_VALUE"""),"Colombo, LK")</f>
        <v>Colombo, LK</v>
      </c>
      <c r="Q25" s="45" t="str">
        <f ca="1">IFERROR(__xludf.DUMMYFUNCTION("""COMPUTED_VALUE"""),"New York, NY, US")</f>
        <v>New York, NY, US</v>
      </c>
      <c r="R25" s="44">
        <f ca="1">IFERROR(__xludf.DUMMYFUNCTION("""COMPUTED_VALUE"""),45817)</f>
        <v>45817</v>
      </c>
      <c r="S25" s="44">
        <f ca="1">IFERROR(__xludf.DUMMYFUNCTION("""COMPUTED_VALUE"""),45876)</f>
        <v>45876</v>
      </c>
      <c r="T25" s="45" t="str">
        <f ca="1">IFERROR(__xludf.DUMMYFUNCTION("""COMPUTED_VALUE"""),"Mississauga, ON, CA")</f>
        <v>Mississauga, ON, CA</v>
      </c>
      <c r="U25" s="45"/>
      <c r="V25" s="45"/>
      <c r="W25" s="45"/>
      <c r="X25" s="45"/>
      <c r="Y25" s="46">
        <f ca="1">IFERROR(__xludf.DUMMYFUNCTION("""COMPUTED_VALUE"""),45825)</f>
        <v>45825</v>
      </c>
      <c r="Z25" s="46">
        <f ca="1">IFERROR(__xludf.DUMMYFUNCTION("""COMPUTED_VALUE"""),45854)</f>
        <v>45854</v>
      </c>
      <c r="AA25" s="46">
        <f ca="1">IFERROR(__xludf.DUMMYFUNCTION("""COMPUTED_VALUE"""),45867)</f>
        <v>45867</v>
      </c>
      <c r="AB25" s="45" t="str">
        <f ca="1">IFERROR(__xludf.DUMMYFUNCTION("""COMPUTED_VALUE"""),"3500 Argentia Road")</f>
        <v>3500 Argentia Road</v>
      </c>
      <c r="AC25" s="45"/>
      <c r="AD25" s="45" t="str">
        <f ca="1">IFERROR(__xludf.DUMMYFUNCTION("""COMPUTED_VALUE"""),"OCEAN")</f>
        <v>OCEAN</v>
      </c>
      <c r="AE25" s="45" t="str">
        <f ca="1">IFERROR(__xludf.DUMMYFUNCTION("""COMPUTED_VALUE"""),"N")</f>
        <v>N</v>
      </c>
      <c r="AF25" s="45"/>
      <c r="AG25" s="49" t="str">
        <f ca="1">IFERROR(__xludf.DUMMYFUNCTION("IFNA(vlookup(H25,IMPORTRANGE(""1vUGwO1n0QQGx9kKbO0_M5gmuhXZ6-LaxQxgrmJnzgP0"",""'TP# look up'!A:C""),3,0),"""")"),"")</f>
        <v/>
      </c>
      <c r="AH25" s="49" t="str">
        <f t="shared" ca="1" si="0"/>
        <v>LM</v>
      </c>
    </row>
    <row r="26" spans="1:34" ht="12.75" hidden="1">
      <c r="A26" s="45" t="str">
        <f ca="1">IFERROR(__xludf.DUMMYFUNCTION("""COMPUTED_VALUE"""),"Colombo")</f>
        <v>Colombo</v>
      </c>
      <c r="B26" s="45"/>
      <c r="C26" s="45">
        <f ca="1">IFERROR(__xludf.DUMMYFUNCTION("""COMPUTED_VALUE"""),3231352)</f>
        <v>3231352</v>
      </c>
      <c r="D26" s="45"/>
      <c r="E26" s="45" t="str">
        <f ca="1">IFERROR(__xludf.DUMMYFUNCTION("""COMPUTED_VALUE"""),"CFS")</f>
        <v>CFS</v>
      </c>
      <c r="F26" s="45" t="str">
        <f ca="1">IFERROR(__xludf.DUMMYFUNCTION("""COMPUTED_VALUE"""),"MAS AMITY PTE LTD")</f>
        <v>MAS AMITY PTE LTD</v>
      </c>
      <c r="G26" s="45" t="str">
        <f ca="1">IFERROR(__xludf.DUMMYFUNCTION("""COMPUTED_VALUE"""),"MAS Active(Pvt) Ltd – CONTOURLINE")</f>
        <v>MAS Active(Pvt) Ltd – CONTOURLINE</v>
      </c>
      <c r="H26" s="43">
        <f ca="1">IFERROR(__xludf.DUMMYFUNCTION("""COMPUTED_VALUE"""),450917032524)</f>
        <v>450917032524</v>
      </c>
      <c r="I26" s="45">
        <f ca="1">IFERROR(__xludf.DUMMYFUNCTION("""COMPUTED_VALUE"""),19920796)</f>
        <v>19920796</v>
      </c>
      <c r="J26" s="45" t="str">
        <f ca="1">IFERROR(__xludf.DUMMYFUNCTION("""COMPUTED_VALUE"""),"LM7BCVS")</f>
        <v>LM7BCVS</v>
      </c>
      <c r="K26" s="45" t="str">
        <f ca="1">IFERROR(__xludf.DUMMYFUNCTION("""COMPUTED_VALUE"""),"LM7BCVS-063781")</f>
        <v>LM7BCVS-063781</v>
      </c>
      <c r="L26" s="45">
        <f ca="1">IFERROR(__xludf.DUMMYFUNCTION("""COMPUTED_VALUE"""),2)</f>
        <v>2</v>
      </c>
      <c r="M26" s="45">
        <f ca="1">IFERROR(__xludf.DUMMYFUNCTION("""COMPUTED_VALUE"""),68)</f>
        <v>68</v>
      </c>
      <c r="N26" s="45">
        <f ca="1">IFERROR(__xludf.DUMMYFUNCTION("""COMPUTED_VALUE"""),12.168)</f>
        <v>12.167999999999999</v>
      </c>
      <c r="O26" s="45">
        <f ca="1">IFERROR(__xludf.DUMMYFUNCTION("""COMPUTED_VALUE"""),0.118)</f>
        <v>0.11799999999999999</v>
      </c>
      <c r="P26" s="45" t="str">
        <f ca="1">IFERROR(__xludf.DUMMYFUNCTION("""COMPUTED_VALUE"""),"Colombo, LK")</f>
        <v>Colombo, LK</v>
      </c>
      <c r="Q26" s="45" t="str">
        <f ca="1">IFERROR(__xludf.DUMMYFUNCTION("""COMPUTED_VALUE"""),"New York, NY, US")</f>
        <v>New York, NY, US</v>
      </c>
      <c r="R26" s="44">
        <f ca="1">IFERROR(__xludf.DUMMYFUNCTION("""COMPUTED_VALUE"""),45817)</f>
        <v>45817</v>
      </c>
      <c r="S26" s="44">
        <f ca="1">IFERROR(__xludf.DUMMYFUNCTION("""COMPUTED_VALUE"""),45876)</f>
        <v>45876</v>
      </c>
      <c r="T26" s="45" t="str">
        <f ca="1">IFERROR(__xludf.DUMMYFUNCTION("""COMPUTED_VALUE"""),"Mississauga, ON, CA")</f>
        <v>Mississauga, ON, CA</v>
      </c>
      <c r="U26" s="45"/>
      <c r="V26" s="45"/>
      <c r="W26" s="45"/>
      <c r="X26" s="45"/>
      <c r="Y26" s="46">
        <f ca="1">IFERROR(__xludf.DUMMYFUNCTION("""COMPUTED_VALUE"""),45825)</f>
        <v>45825</v>
      </c>
      <c r="Z26" s="46">
        <f ca="1">IFERROR(__xludf.DUMMYFUNCTION("""COMPUTED_VALUE"""),45854)</f>
        <v>45854</v>
      </c>
      <c r="AA26" s="46">
        <f ca="1">IFERROR(__xludf.DUMMYFUNCTION("""COMPUTED_VALUE"""),45867)</f>
        <v>45867</v>
      </c>
      <c r="AB26" s="45" t="str">
        <f ca="1">IFERROR(__xludf.DUMMYFUNCTION("""COMPUTED_VALUE"""),"3500 Argentia Road")</f>
        <v>3500 Argentia Road</v>
      </c>
      <c r="AC26" s="45"/>
      <c r="AD26" s="45" t="str">
        <f ca="1">IFERROR(__xludf.DUMMYFUNCTION("""COMPUTED_VALUE"""),"OCEAN")</f>
        <v>OCEAN</v>
      </c>
      <c r="AE26" s="45" t="str">
        <f ca="1">IFERROR(__xludf.DUMMYFUNCTION("""COMPUTED_VALUE"""),"N")</f>
        <v>N</v>
      </c>
      <c r="AF26" s="45"/>
      <c r="AG26" s="49" t="str">
        <f ca="1">IFERROR(__xludf.DUMMYFUNCTION("IFNA(vlookup(H26,IMPORTRANGE(""1vUGwO1n0QQGx9kKbO0_M5gmuhXZ6-LaxQxgrmJnzgP0"",""'TP# look up'!A:C""),3,0),"""")"),"")</f>
        <v/>
      </c>
      <c r="AH26" s="49" t="str">
        <f t="shared" ca="1" si="0"/>
        <v>LM</v>
      </c>
    </row>
    <row r="27" spans="1:34" ht="12.75" hidden="1">
      <c r="A27" s="45" t="str">
        <f ca="1">IFERROR(__xludf.DUMMYFUNCTION("""COMPUTED_VALUE"""),"Colombo")</f>
        <v>Colombo</v>
      </c>
      <c r="B27" s="45"/>
      <c r="C27" s="45">
        <f ca="1">IFERROR(__xludf.DUMMYFUNCTION("""COMPUTED_VALUE"""),3231352)</f>
        <v>3231352</v>
      </c>
      <c r="D27" s="45"/>
      <c r="E27" s="45" t="str">
        <f ca="1">IFERROR(__xludf.DUMMYFUNCTION("""COMPUTED_VALUE"""),"CFS")</f>
        <v>CFS</v>
      </c>
      <c r="F27" s="45" t="str">
        <f ca="1">IFERROR(__xludf.DUMMYFUNCTION("""COMPUTED_VALUE"""),"MAS AMITY PTE LTD")</f>
        <v>MAS AMITY PTE LTD</v>
      </c>
      <c r="G27" s="45" t="str">
        <f ca="1">IFERROR(__xludf.DUMMYFUNCTION("""COMPUTED_VALUE"""),"MAS Active(Pvt) Ltd – CONTOURLINE")</f>
        <v>MAS Active(Pvt) Ltd – CONTOURLINE</v>
      </c>
      <c r="H27" s="43">
        <f ca="1">IFERROR(__xludf.DUMMYFUNCTION("""COMPUTED_VALUE"""),450917279870)</f>
        <v>450917279870</v>
      </c>
      <c r="I27" s="45">
        <f ca="1">IFERROR(__xludf.DUMMYFUNCTION("""COMPUTED_VALUE"""),19890769)</f>
        <v>19890769</v>
      </c>
      <c r="J27" s="45" t="str">
        <f ca="1">IFERROR(__xludf.DUMMYFUNCTION("""COMPUTED_VALUE"""),"LW7CPPS")</f>
        <v>LW7CPPS</v>
      </c>
      <c r="K27" s="45" t="str">
        <f ca="1">IFERROR(__xludf.DUMMYFUNCTION("""COMPUTED_VALUE"""),"LW7CPPS-049106")</f>
        <v>LW7CPPS-049106</v>
      </c>
      <c r="L27" s="45">
        <f ca="1">IFERROR(__xludf.DUMMYFUNCTION("""COMPUTED_VALUE"""),1)</f>
        <v>1</v>
      </c>
      <c r="M27" s="45">
        <f ca="1">IFERROR(__xludf.DUMMYFUNCTION("""COMPUTED_VALUE"""),13)</f>
        <v>13</v>
      </c>
      <c r="N27" s="45">
        <f ca="1">IFERROR(__xludf.DUMMYFUNCTION("""COMPUTED_VALUE"""),2.582)</f>
        <v>2.5819999999999999</v>
      </c>
      <c r="O27" s="45">
        <f ca="1">IFERROR(__xludf.DUMMYFUNCTION("""COMPUTED_VALUE"""),0.039)</f>
        <v>3.9E-2</v>
      </c>
      <c r="P27" s="45" t="str">
        <f ca="1">IFERROR(__xludf.DUMMYFUNCTION("""COMPUTED_VALUE"""),"Colombo, LK")</f>
        <v>Colombo, LK</v>
      </c>
      <c r="Q27" s="45" t="str">
        <f ca="1">IFERROR(__xludf.DUMMYFUNCTION("""COMPUTED_VALUE"""),"New York, NY, US")</f>
        <v>New York, NY, US</v>
      </c>
      <c r="R27" s="44">
        <f ca="1">IFERROR(__xludf.DUMMYFUNCTION("""COMPUTED_VALUE"""),45817)</f>
        <v>45817</v>
      </c>
      <c r="S27" s="44">
        <f ca="1">IFERROR(__xludf.DUMMYFUNCTION("""COMPUTED_VALUE"""),45876)</f>
        <v>45876</v>
      </c>
      <c r="T27" s="45" t="str">
        <f ca="1">IFERROR(__xludf.DUMMYFUNCTION("""COMPUTED_VALUE"""),"Milton, ON, CA")</f>
        <v>Milton, ON, CA</v>
      </c>
      <c r="U27" s="45"/>
      <c r="V27" s="45"/>
      <c r="W27" s="45"/>
      <c r="X27" s="45"/>
      <c r="Y27" s="46">
        <f ca="1">IFERROR(__xludf.DUMMYFUNCTION("""COMPUTED_VALUE"""),45825)</f>
        <v>45825</v>
      </c>
      <c r="Z27" s="46">
        <f ca="1">IFERROR(__xludf.DUMMYFUNCTION("""COMPUTED_VALUE"""),45854)</f>
        <v>45854</v>
      </c>
      <c r="AA27" s="46">
        <f ca="1">IFERROR(__xludf.DUMMYFUNCTION("""COMPUTED_VALUE"""),45867)</f>
        <v>45867</v>
      </c>
      <c r="AB27" s="45" t="str">
        <f ca="1">IFERROR(__xludf.DUMMYFUNCTION("""COMPUTED_VALUE"""),"7211 Fifth Line")</f>
        <v>7211 Fifth Line</v>
      </c>
      <c r="AC27" s="45"/>
      <c r="AD27" s="45" t="str">
        <f ca="1">IFERROR(__xludf.DUMMYFUNCTION("""COMPUTED_VALUE"""),"OCEAN")</f>
        <v>OCEAN</v>
      </c>
      <c r="AE27" s="45" t="str">
        <f ca="1">IFERROR(__xludf.DUMMYFUNCTION("""COMPUTED_VALUE"""),"N")</f>
        <v>N</v>
      </c>
      <c r="AF27" s="45"/>
      <c r="AG27" s="49" t="str">
        <f ca="1">IFERROR(__xludf.DUMMYFUNCTION("IFNA(vlookup(H27,IMPORTRANGE(""1vUGwO1n0QQGx9kKbO0_M5gmuhXZ6-LaxQxgrmJnzgP0"",""'TP# look up'!A:C""),3,0),"""")"),"")</f>
        <v/>
      </c>
      <c r="AH27" s="49" t="str">
        <f t="shared" ca="1" si="0"/>
        <v>LW</v>
      </c>
    </row>
    <row r="28" spans="1:34" ht="12.75" hidden="1">
      <c r="A28" s="45" t="str">
        <f ca="1">IFERROR(__xludf.DUMMYFUNCTION("""COMPUTED_VALUE"""),"Colombo")</f>
        <v>Colombo</v>
      </c>
      <c r="B28" s="45"/>
      <c r="C28" s="45">
        <f ca="1">IFERROR(__xludf.DUMMYFUNCTION("""COMPUTED_VALUE"""),3231352)</f>
        <v>3231352</v>
      </c>
      <c r="D28" s="45"/>
      <c r="E28" s="45" t="str">
        <f ca="1">IFERROR(__xludf.DUMMYFUNCTION("""COMPUTED_VALUE"""),"CFS")</f>
        <v>CFS</v>
      </c>
      <c r="F28" s="45" t="str">
        <f ca="1">IFERROR(__xludf.DUMMYFUNCTION("""COMPUTED_VALUE"""),"MAS AMITY PTE LTD")</f>
        <v>MAS AMITY PTE LTD</v>
      </c>
      <c r="G28" s="45" t="str">
        <f ca="1">IFERROR(__xludf.DUMMYFUNCTION("""COMPUTED_VALUE"""),"MAS Active(Pvt) Ltd – CONTOURLINE")</f>
        <v>MAS Active(Pvt) Ltd – CONTOURLINE</v>
      </c>
      <c r="H28" s="43">
        <f ca="1">IFERROR(__xludf.DUMMYFUNCTION("""COMPUTED_VALUE"""),450918979842)</f>
        <v>450918979842</v>
      </c>
      <c r="I28" s="45">
        <f ca="1">IFERROR(__xludf.DUMMYFUNCTION("""COMPUTED_VALUE"""),19890773)</f>
        <v>19890773</v>
      </c>
      <c r="J28" s="45" t="str">
        <f ca="1">IFERROR(__xludf.DUMMYFUNCTION("""COMPUTED_VALUE"""),"LW7CPPS")</f>
        <v>LW7CPPS</v>
      </c>
      <c r="K28" s="45" t="str">
        <f ca="1">IFERROR(__xludf.DUMMYFUNCTION("""COMPUTED_VALUE"""),"LW7CPPS-049106")</f>
        <v>LW7CPPS-049106</v>
      </c>
      <c r="L28" s="45">
        <f ca="1">IFERROR(__xludf.DUMMYFUNCTION("""COMPUTED_VALUE"""),4)</f>
        <v>4</v>
      </c>
      <c r="M28" s="45">
        <f ca="1">IFERROR(__xludf.DUMMYFUNCTION("""COMPUTED_VALUE"""),202)</f>
        <v>202</v>
      </c>
      <c r="N28" s="45">
        <f ca="1">IFERROR(__xludf.DUMMYFUNCTION("""COMPUTED_VALUE"""),32.334)</f>
        <v>32.334000000000003</v>
      </c>
      <c r="O28" s="45">
        <f ca="1">IFERROR(__xludf.DUMMYFUNCTION("""COMPUTED_VALUE"""),0.276)</f>
        <v>0.27600000000000002</v>
      </c>
      <c r="P28" s="45" t="str">
        <f ca="1">IFERROR(__xludf.DUMMYFUNCTION("""COMPUTED_VALUE"""),"Colombo, LK")</f>
        <v>Colombo, LK</v>
      </c>
      <c r="Q28" s="45" t="str">
        <f ca="1">IFERROR(__xludf.DUMMYFUNCTION("""COMPUTED_VALUE"""),"New York, NY, US")</f>
        <v>New York, NY, US</v>
      </c>
      <c r="R28" s="44">
        <f ca="1">IFERROR(__xludf.DUMMYFUNCTION("""COMPUTED_VALUE"""),45817)</f>
        <v>45817</v>
      </c>
      <c r="S28" s="44">
        <f ca="1">IFERROR(__xludf.DUMMYFUNCTION("""COMPUTED_VALUE"""),45876)</f>
        <v>45876</v>
      </c>
      <c r="T28" s="45" t="str">
        <f ca="1">IFERROR(__xludf.DUMMYFUNCTION("""COMPUTED_VALUE"""),"Mississauga, ON, CA")</f>
        <v>Mississauga, ON, CA</v>
      </c>
      <c r="U28" s="45"/>
      <c r="V28" s="45"/>
      <c r="W28" s="45"/>
      <c r="X28" s="45"/>
      <c r="Y28" s="46">
        <f ca="1">IFERROR(__xludf.DUMMYFUNCTION("""COMPUTED_VALUE"""),45825)</f>
        <v>45825</v>
      </c>
      <c r="Z28" s="46">
        <f ca="1">IFERROR(__xludf.DUMMYFUNCTION("""COMPUTED_VALUE"""),45854)</f>
        <v>45854</v>
      </c>
      <c r="AA28" s="46">
        <f ca="1">IFERROR(__xludf.DUMMYFUNCTION("""COMPUTED_VALUE"""),45867)</f>
        <v>45867</v>
      </c>
      <c r="AB28" s="45" t="str">
        <f ca="1">IFERROR(__xludf.DUMMYFUNCTION("""COMPUTED_VALUE"""),"3500 Argentia Road")</f>
        <v>3500 Argentia Road</v>
      </c>
      <c r="AC28" s="45"/>
      <c r="AD28" s="45" t="str">
        <f ca="1">IFERROR(__xludf.DUMMYFUNCTION("""COMPUTED_VALUE"""),"OCEAN")</f>
        <v>OCEAN</v>
      </c>
      <c r="AE28" s="45" t="str">
        <f ca="1">IFERROR(__xludf.DUMMYFUNCTION("""COMPUTED_VALUE"""),"N")</f>
        <v>N</v>
      </c>
      <c r="AF28" s="45"/>
      <c r="AG28" s="49" t="str">
        <f ca="1">IFERROR(__xludf.DUMMYFUNCTION("IFNA(vlookup(H28,IMPORTRANGE(""1vUGwO1n0QQGx9kKbO0_M5gmuhXZ6-LaxQxgrmJnzgP0"",""'TP# look up'!A:C""),3,0),"""")"),"")</f>
        <v/>
      </c>
      <c r="AH28" s="49" t="str">
        <f t="shared" ca="1" si="0"/>
        <v>LW</v>
      </c>
    </row>
    <row r="29" spans="1:34" ht="12.75" hidden="1">
      <c r="A29" s="45" t="str">
        <f ca="1">IFERROR(__xludf.DUMMYFUNCTION("""COMPUTED_VALUE"""),"Colombo")</f>
        <v>Colombo</v>
      </c>
      <c r="B29" s="45"/>
      <c r="C29" s="45">
        <f ca="1">IFERROR(__xludf.DUMMYFUNCTION("""COMPUTED_VALUE"""),3231352)</f>
        <v>3231352</v>
      </c>
      <c r="D29" s="45"/>
      <c r="E29" s="45" t="str">
        <f ca="1">IFERROR(__xludf.DUMMYFUNCTION("""COMPUTED_VALUE"""),"CFS")</f>
        <v>CFS</v>
      </c>
      <c r="F29" s="45" t="str">
        <f ca="1">IFERROR(__xludf.DUMMYFUNCTION("""COMPUTED_VALUE"""),"MAS AMITY PTE LTD")</f>
        <v>MAS AMITY PTE LTD</v>
      </c>
      <c r="G29" s="45" t="str">
        <f ca="1">IFERROR(__xludf.DUMMYFUNCTION("""COMPUTED_VALUE"""),"MAS Active(Pvt) Ltd – CONTOURLINE")</f>
        <v>MAS Active(Pvt) Ltd – CONTOURLINE</v>
      </c>
      <c r="H29" s="43">
        <f ca="1">IFERROR(__xludf.DUMMYFUNCTION("""COMPUTED_VALUE"""),450920505807)</f>
        <v>450920505807</v>
      </c>
      <c r="I29" s="45">
        <f ca="1">IFERROR(__xludf.DUMMYFUNCTION("""COMPUTED_VALUE"""),19920827)</f>
        <v>19920827</v>
      </c>
      <c r="J29" s="45" t="str">
        <f ca="1">IFERROR(__xludf.DUMMYFUNCTION("""COMPUTED_VALUE"""),"LW5EPSS")</f>
        <v>LW5EPSS</v>
      </c>
      <c r="K29" s="45" t="str">
        <f ca="1">IFERROR(__xludf.DUMMYFUNCTION("""COMPUTED_VALUE"""),"LW5EPSS-041179")</f>
        <v>LW5EPSS-041179</v>
      </c>
      <c r="L29" s="45">
        <f ca="1">IFERROR(__xludf.DUMMYFUNCTION("""COMPUTED_VALUE"""),8)</f>
        <v>8</v>
      </c>
      <c r="M29" s="45">
        <f ca="1">IFERROR(__xludf.DUMMYFUNCTION("""COMPUTED_VALUE"""),390)</f>
        <v>390</v>
      </c>
      <c r="N29" s="45">
        <f ca="1">IFERROR(__xludf.DUMMYFUNCTION("""COMPUTED_VALUE"""),88.385)</f>
        <v>88.385000000000005</v>
      </c>
      <c r="O29" s="45">
        <f ca="1">IFERROR(__xludf.DUMMYFUNCTION("""COMPUTED_VALUE"""),0.553)</f>
        <v>0.55300000000000005</v>
      </c>
      <c r="P29" s="45" t="str">
        <f ca="1">IFERROR(__xludf.DUMMYFUNCTION("""COMPUTED_VALUE"""),"Colombo, LK")</f>
        <v>Colombo, LK</v>
      </c>
      <c r="Q29" s="45" t="str">
        <f ca="1">IFERROR(__xludf.DUMMYFUNCTION("""COMPUTED_VALUE"""),"New York, NY, US")</f>
        <v>New York, NY, US</v>
      </c>
      <c r="R29" s="44">
        <f ca="1">IFERROR(__xludf.DUMMYFUNCTION("""COMPUTED_VALUE"""),45817)</f>
        <v>45817</v>
      </c>
      <c r="S29" s="44">
        <f ca="1">IFERROR(__xludf.DUMMYFUNCTION("""COMPUTED_VALUE"""),45876)</f>
        <v>45876</v>
      </c>
      <c r="T29" s="45" t="str">
        <f ca="1">IFERROR(__xludf.DUMMYFUNCTION("""COMPUTED_VALUE"""),"Mississauga, ON, CA")</f>
        <v>Mississauga, ON, CA</v>
      </c>
      <c r="U29" s="45"/>
      <c r="V29" s="45"/>
      <c r="W29" s="45"/>
      <c r="X29" s="45"/>
      <c r="Y29" s="46">
        <f ca="1">IFERROR(__xludf.DUMMYFUNCTION("""COMPUTED_VALUE"""),45825)</f>
        <v>45825</v>
      </c>
      <c r="Z29" s="46">
        <f ca="1">IFERROR(__xludf.DUMMYFUNCTION("""COMPUTED_VALUE"""),45854)</f>
        <v>45854</v>
      </c>
      <c r="AA29" s="46">
        <f ca="1">IFERROR(__xludf.DUMMYFUNCTION("""COMPUTED_VALUE"""),45867)</f>
        <v>45867</v>
      </c>
      <c r="AB29" s="45" t="str">
        <f ca="1">IFERROR(__xludf.DUMMYFUNCTION("""COMPUTED_VALUE"""),"3500 Argentia Road")</f>
        <v>3500 Argentia Road</v>
      </c>
      <c r="AC29" s="45"/>
      <c r="AD29" s="45" t="str">
        <f ca="1">IFERROR(__xludf.DUMMYFUNCTION("""COMPUTED_VALUE"""),"OCEAN")</f>
        <v>OCEAN</v>
      </c>
      <c r="AE29" s="45" t="str">
        <f ca="1">IFERROR(__xludf.DUMMYFUNCTION("""COMPUTED_VALUE"""),"N")</f>
        <v>N</v>
      </c>
      <c r="AF29" s="45"/>
      <c r="AG29" s="49" t="str">
        <f ca="1">IFERROR(__xludf.DUMMYFUNCTION("IFNA(vlookup(H29,IMPORTRANGE(""1vUGwO1n0QQGx9kKbO0_M5gmuhXZ6-LaxQxgrmJnzgP0"",""'TP# look up'!A:C""),3,0),"""")"),"")</f>
        <v/>
      </c>
      <c r="AH29" s="49" t="str">
        <f t="shared" ca="1" si="0"/>
        <v>LW</v>
      </c>
    </row>
    <row r="30" spans="1:34" ht="12.75" hidden="1">
      <c r="A30" s="45" t="str">
        <f ca="1">IFERROR(__xludf.DUMMYFUNCTION("""COMPUTED_VALUE"""),"Colombo")</f>
        <v>Colombo</v>
      </c>
      <c r="B30" s="45"/>
      <c r="C30" s="45">
        <f ca="1">IFERROR(__xludf.DUMMYFUNCTION("""COMPUTED_VALUE"""),3231352)</f>
        <v>3231352</v>
      </c>
      <c r="D30" s="45"/>
      <c r="E30" s="45" t="str">
        <f ca="1">IFERROR(__xludf.DUMMYFUNCTION("""COMPUTED_VALUE"""),"CFS")</f>
        <v>CFS</v>
      </c>
      <c r="F30" s="45" t="str">
        <f ca="1">IFERROR(__xludf.DUMMYFUNCTION("""COMPUTED_VALUE"""),"MAS AMITY PTE LTD")</f>
        <v>MAS AMITY PTE LTD</v>
      </c>
      <c r="G30" s="45" t="str">
        <f ca="1">IFERROR(__xludf.DUMMYFUNCTION("""COMPUTED_VALUE"""),"MAS Active(Pvt) Ltd – CONTOURLINE")</f>
        <v>MAS Active(Pvt) Ltd – CONTOURLINE</v>
      </c>
      <c r="H30" s="43">
        <f ca="1">IFERROR(__xludf.DUMMYFUNCTION("""COMPUTED_VALUE"""),450922839952)</f>
        <v>450922839952</v>
      </c>
      <c r="I30" s="45">
        <f ca="1">IFERROR(__xludf.DUMMYFUNCTION("""COMPUTED_VALUE"""),19939402)</f>
        <v>19939402</v>
      </c>
      <c r="J30" s="45" t="str">
        <f ca="1">IFERROR(__xludf.DUMMYFUNCTION("""COMPUTED_VALUE"""),"LM7BI2S")</f>
        <v>LM7BI2S</v>
      </c>
      <c r="K30" s="45" t="str">
        <f ca="1">IFERROR(__xludf.DUMMYFUNCTION("""COMPUTED_VALUE"""),"LM7BI2S-041179")</f>
        <v>LM7BI2S-041179</v>
      </c>
      <c r="L30" s="45">
        <f ca="1">IFERROR(__xludf.DUMMYFUNCTION("""COMPUTED_VALUE"""),1)</f>
        <v>1</v>
      </c>
      <c r="M30" s="45">
        <f ca="1">IFERROR(__xludf.DUMMYFUNCTION("""COMPUTED_VALUE"""),52)</f>
        <v>52</v>
      </c>
      <c r="N30" s="45">
        <f ca="1">IFERROR(__xludf.DUMMYFUNCTION("""COMPUTED_VALUE"""),12.182)</f>
        <v>12.182</v>
      </c>
      <c r="O30" s="45">
        <f ca="1">IFERROR(__xludf.DUMMYFUNCTION("""COMPUTED_VALUE"""),0.079)</f>
        <v>7.9000000000000001E-2</v>
      </c>
      <c r="P30" s="45" t="str">
        <f ca="1">IFERROR(__xludf.DUMMYFUNCTION("""COMPUTED_VALUE"""),"Colombo, LK")</f>
        <v>Colombo, LK</v>
      </c>
      <c r="Q30" s="45" t="str">
        <f ca="1">IFERROR(__xludf.DUMMYFUNCTION("""COMPUTED_VALUE"""),"New York, NY, US")</f>
        <v>New York, NY, US</v>
      </c>
      <c r="R30" s="44">
        <f ca="1">IFERROR(__xludf.DUMMYFUNCTION("""COMPUTED_VALUE"""),45817)</f>
        <v>45817</v>
      </c>
      <c r="S30" s="44">
        <f ca="1">IFERROR(__xludf.DUMMYFUNCTION("""COMPUTED_VALUE"""),45876)</f>
        <v>45876</v>
      </c>
      <c r="T30" s="45" t="str">
        <f ca="1">IFERROR(__xludf.DUMMYFUNCTION("""COMPUTED_VALUE"""),"Mississauga, ON, CA")</f>
        <v>Mississauga, ON, CA</v>
      </c>
      <c r="U30" s="45"/>
      <c r="V30" s="45"/>
      <c r="W30" s="45"/>
      <c r="X30" s="45"/>
      <c r="Y30" s="46">
        <f ca="1">IFERROR(__xludf.DUMMYFUNCTION("""COMPUTED_VALUE"""),45825)</f>
        <v>45825</v>
      </c>
      <c r="Z30" s="46">
        <f ca="1">IFERROR(__xludf.DUMMYFUNCTION("""COMPUTED_VALUE"""),45854)</f>
        <v>45854</v>
      </c>
      <c r="AA30" s="46">
        <f ca="1">IFERROR(__xludf.DUMMYFUNCTION("""COMPUTED_VALUE"""),45867)</f>
        <v>45867</v>
      </c>
      <c r="AB30" s="45" t="str">
        <f ca="1">IFERROR(__xludf.DUMMYFUNCTION("""COMPUTED_VALUE"""),"3500 Argentia Road")</f>
        <v>3500 Argentia Road</v>
      </c>
      <c r="AC30" s="45"/>
      <c r="AD30" s="45" t="str">
        <f ca="1">IFERROR(__xludf.DUMMYFUNCTION("""COMPUTED_VALUE"""),"OCEAN")</f>
        <v>OCEAN</v>
      </c>
      <c r="AE30" s="45" t="str">
        <f ca="1">IFERROR(__xludf.DUMMYFUNCTION("""COMPUTED_VALUE"""),"N")</f>
        <v>N</v>
      </c>
      <c r="AF30" s="45"/>
      <c r="AG30" s="49" t="str">
        <f ca="1">IFERROR(__xludf.DUMMYFUNCTION("IFNA(vlookup(H30,IMPORTRANGE(""1vUGwO1n0QQGx9kKbO0_M5gmuhXZ6-LaxQxgrmJnzgP0"",""'TP# look up'!A:C""),3,0),"""")"),"")</f>
        <v/>
      </c>
      <c r="AH30" s="49" t="str">
        <f t="shared" ca="1" si="0"/>
        <v>LM</v>
      </c>
    </row>
    <row r="31" spans="1:34" ht="12.75" hidden="1">
      <c r="A31" s="45" t="str">
        <f ca="1">IFERROR(__xludf.DUMMYFUNCTION("""COMPUTED_VALUE"""),"Colombo")</f>
        <v>Colombo</v>
      </c>
      <c r="B31" s="45"/>
      <c r="C31" s="45">
        <f ca="1">IFERROR(__xludf.DUMMYFUNCTION("""COMPUTED_VALUE"""),3231352)</f>
        <v>3231352</v>
      </c>
      <c r="D31" s="45"/>
      <c r="E31" s="45" t="str">
        <f ca="1">IFERROR(__xludf.DUMMYFUNCTION("""COMPUTED_VALUE"""),"CFS")</f>
        <v>CFS</v>
      </c>
      <c r="F31" s="45" t="str">
        <f ca="1">IFERROR(__xludf.DUMMYFUNCTION("""COMPUTED_VALUE"""),"MAS AMITY PTE LTD")</f>
        <v>MAS AMITY PTE LTD</v>
      </c>
      <c r="G31" s="45" t="str">
        <f ca="1">IFERROR(__xludf.DUMMYFUNCTION("""COMPUTED_VALUE"""),"MAS Active(Pvt) Ltd – CONTOURLINE")</f>
        <v>MAS Active(Pvt) Ltd – CONTOURLINE</v>
      </c>
      <c r="H31" s="43">
        <f ca="1">IFERROR(__xludf.DUMMYFUNCTION("""COMPUTED_VALUE"""),450924605569)</f>
        <v>450924605569</v>
      </c>
      <c r="I31" s="45">
        <f ca="1">IFERROR(__xludf.DUMMYFUNCTION("""COMPUTED_VALUE"""),19920933)</f>
        <v>19920933</v>
      </c>
      <c r="J31" s="45" t="str">
        <f ca="1">IFERROR(__xludf.DUMMYFUNCTION("""COMPUTED_VALUE"""),"LM7BI2S")</f>
        <v>LM7BI2S</v>
      </c>
      <c r="K31" s="45" t="str">
        <f ca="1">IFERROR(__xludf.DUMMYFUNCTION("""COMPUTED_VALUE"""),"LM7BI2S-041179")</f>
        <v>LM7BI2S-041179</v>
      </c>
      <c r="L31" s="45">
        <f ca="1">IFERROR(__xludf.DUMMYFUNCTION("""COMPUTED_VALUE"""),9)</f>
        <v>9</v>
      </c>
      <c r="M31" s="45">
        <f ca="1">IFERROR(__xludf.DUMMYFUNCTION("""COMPUTED_VALUE"""),399)</f>
        <v>399</v>
      </c>
      <c r="N31" s="45">
        <f ca="1">IFERROR(__xludf.DUMMYFUNCTION("""COMPUTED_VALUE"""),94.691)</f>
        <v>94.691000000000003</v>
      </c>
      <c r="O31" s="45">
        <f ca="1">IFERROR(__xludf.DUMMYFUNCTION("""COMPUTED_VALUE"""),0.671)</f>
        <v>0.67100000000000004</v>
      </c>
      <c r="P31" s="45" t="str">
        <f ca="1">IFERROR(__xludf.DUMMYFUNCTION("""COMPUTED_VALUE"""),"Colombo, LK")</f>
        <v>Colombo, LK</v>
      </c>
      <c r="Q31" s="45" t="str">
        <f ca="1">IFERROR(__xludf.DUMMYFUNCTION("""COMPUTED_VALUE"""),"New York, NY, US")</f>
        <v>New York, NY, US</v>
      </c>
      <c r="R31" s="44">
        <f ca="1">IFERROR(__xludf.DUMMYFUNCTION("""COMPUTED_VALUE"""),45817)</f>
        <v>45817</v>
      </c>
      <c r="S31" s="44">
        <f ca="1">IFERROR(__xludf.DUMMYFUNCTION("""COMPUTED_VALUE"""),45876)</f>
        <v>45876</v>
      </c>
      <c r="T31" s="45" t="str">
        <f ca="1">IFERROR(__xludf.DUMMYFUNCTION("""COMPUTED_VALUE"""),"Mississauga, ON, CA")</f>
        <v>Mississauga, ON, CA</v>
      </c>
      <c r="U31" s="45"/>
      <c r="V31" s="45"/>
      <c r="W31" s="45"/>
      <c r="X31" s="45"/>
      <c r="Y31" s="46">
        <f ca="1">IFERROR(__xludf.DUMMYFUNCTION("""COMPUTED_VALUE"""),45825)</f>
        <v>45825</v>
      </c>
      <c r="Z31" s="46">
        <f ca="1">IFERROR(__xludf.DUMMYFUNCTION("""COMPUTED_VALUE"""),45854)</f>
        <v>45854</v>
      </c>
      <c r="AA31" s="46">
        <f ca="1">IFERROR(__xludf.DUMMYFUNCTION("""COMPUTED_VALUE"""),45867)</f>
        <v>45867</v>
      </c>
      <c r="AB31" s="45" t="str">
        <f ca="1">IFERROR(__xludf.DUMMYFUNCTION("""COMPUTED_VALUE"""),"3500 Argentia Road")</f>
        <v>3500 Argentia Road</v>
      </c>
      <c r="AC31" s="45"/>
      <c r="AD31" s="45" t="str">
        <f ca="1">IFERROR(__xludf.DUMMYFUNCTION("""COMPUTED_VALUE"""),"OCEAN")</f>
        <v>OCEAN</v>
      </c>
      <c r="AE31" s="45" t="str">
        <f ca="1">IFERROR(__xludf.DUMMYFUNCTION("""COMPUTED_VALUE"""),"N")</f>
        <v>N</v>
      </c>
      <c r="AF31" s="45"/>
      <c r="AG31" s="49" t="str">
        <f ca="1">IFERROR(__xludf.DUMMYFUNCTION("IFNA(vlookup(H31,IMPORTRANGE(""1vUGwO1n0QQGx9kKbO0_M5gmuhXZ6-LaxQxgrmJnzgP0"",""'TP# look up'!A:C""),3,0),"""")"),"")</f>
        <v/>
      </c>
      <c r="AH31" s="49" t="str">
        <f t="shared" ca="1" si="0"/>
        <v>LM</v>
      </c>
    </row>
    <row r="32" spans="1:34" ht="12.75" hidden="1">
      <c r="A32" s="45" t="str">
        <f ca="1">IFERROR(__xludf.DUMMYFUNCTION("""COMPUTED_VALUE"""),"Colombo")</f>
        <v>Colombo</v>
      </c>
      <c r="B32" s="45"/>
      <c r="C32" s="45">
        <f ca="1">IFERROR(__xludf.DUMMYFUNCTION("""COMPUTED_VALUE"""),3231352)</f>
        <v>3231352</v>
      </c>
      <c r="D32" s="45"/>
      <c r="E32" s="45" t="str">
        <f ca="1">IFERROR(__xludf.DUMMYFUNCTION("""COMPUTED_VALUE"""),"CFS")</f>
        <v>CFS</v>
      </c>
      <c r="F32" s="45" t="str">
        <f ca="1">IFERROR(__xludf.DUMMYFUNCTION("""COMPUTED_VALUE"""),"MAS AMITY PTE LTD")</f>
        <v>MAS AMITY PTE LTD</v>
      </c>
      <c r="G32" s="45" t="str">
        <f ca="1">IFERROR(__xludf.DUMMYFUNCTION("""COMPUTED_VALUE"""),"MAS Active(Pvt) Ltd – CONTOURLINE")</f>
        <v>MAS Active(Pvt) Ltd – CONTOURLINE</v>
      </c>
      <c r="H32" s="43">
        <f ca="1">IFERROR(__xludf.DUMMYFUNCTION("""COMPUTED_VALUE"""),450925481954)</f>
        <v>450925481954</v>
      </c>
      <c r="I32" s="45">
        <f ca="1">IFERROR(__xludf.DUMMYFUNCTION("""COMPUTED_VALUE"""),19920742)</f>
        <v>19920742</v>
      </c>
      <c r="J32" s="45" t="str">
        <f ca="1">IFERROR(__xludf.DUMMYFUNCTION("""COMPUTED_VALUE"""),"LW5EPSS")</f>
        <v>LW5EPSS</v>
      </c>
      <c r="K32" s="45" t="str">
        <f ca="1">IFERROR(__xludf.DUMMYFUNCTION("""COMPUTED_VALUE"""),"LW5EPSS-071195")</f>
        <v>LW5EPSS-071195</v>
      </c>
      <c r="L32" s="45">
        <f ca="1">IFERROR(__xludf.DUMMYFUNCTION("""COMPUTED_VALUE"""),2)</f>
        <v>2</v>
      </c>
      <c r="M32" s="45">
        <f ca="1">IFERROR(__xludf.DUMMYFUNCTION("""COMPUTED_VALUE"""),85)</f>
        <v>85</v>
      </c>
      <c r="N32" s="45">
        <f ca="1">IFERROR(__xludf.DUMMYFUNCTION("""COMPUTED_VALUE"""),19.608)</f>
        <v>19.608000000000001</v>
      </c>
      <c r="O32" s="45">
        <f ca="1">IFERROR(__xludf.DUMMYFUNCTION("""COMPUTED_VALUE"""),0.118)</f>
        <v>0.11799999999999999</v>
      </c>
      <c r="P32" s="45" t="str">
        <f ca="1">IFERROR(__xludf.DUMMYFUNCTION("""COMPUTED_VALUE"""),"Colombo, LK")</f>
        <v>Colombo, LK</v>
      </c>
      <c r="Q32" s="45" t="str">
        <f ca="1">IFERROR(__xludf.DUMMYFUNCTION("""COMPUTED_VALUE"""),"New York, NY, US")</f>
        <v>New York, NY, US</v>
      </c>
      <c r="R32" s="44">
        <f ca="1">IFERROR(__xludf.DUMMYFUNCTION("""COMPUTED_VALUE"""),45817)</f>
        <v>45817</v>
      </c>
      <c r="S32" s="44">
        <f ca="1">IFERROR(__xludf.DUMMYFUNCTION("""COMPUTED_VALUE"""),45876)</f>
        <v>45876</v>
      </c>
      <c r="T32" s="45" t="str">
        <f ca="1">IFERROR(__xludf.DUMMYFUNCTION("""COMPUTED_VALUE"""),"Mississauga, ON, CA")</f>
        <v>Mississauga, ON, CA</v>
      </c>
      <c r="U32" s="45"/>
      <c r="V32" s="45"/>
      <c r="W32" s="45"/>
      <c r="X32" s="45"/>
      <c r="Y32" s="46">
        <f ca="1">IFERROR(__xludf.DUMMYFUNCTION("""COMPUTED_VALUE"""),45825)</f>
        <v>45825</v>
      </c>
      <c r="Z32" s="46">
        <f ca="1">IFERROR(__xludf.DUMMYFUNCTION("""COMPUTED_VALUE"""),45854)</f>
        <v>45854</v>
      </c>
      <c r="AA32" s="46">
        <f ca="1">IFERROR(__xludf.DUMMYFUNCTION("""COMPUTED_VALUE"""),45867)</f>
        <v>45867</v>
      </c>
      <c r="AB32" s="45" t="str">
        <f ca="1">IFERROR(__xludf.DUMMYFUNCTION("""COMPUTED_VALUE"""),"3500 Argentia Road")</f>
        <v>3500 Argentia Road</v>
      </c>
      <c r="AC32" s="45"/>
      <c r="AD32" s="45" t="str">
        <f ca="1">IFERROR(__xludf.DUMMYFUNCTION("""COMPUTED_VALUE"""),"OCEAN")</f>
        <v>OCEAN</v>
      </c>
      <c r="AE32" s="45" t="str">
        <f ca="1">IFERROR(__xludf.DUMMYFUNCTION("""COMPUTED_VALUE"""),"N")</f>
        <v>N</v>
      </c>
      <c r="AF32" s="45"/>
      <c r="AG32" s="49" t="str">
        <f ca="1">IFERROR(__xludf.DUMMYFUNCTION("IFNA(vlookup(H32,IMPORTRANGE(""1vUGwO1n0QQGx9kKbO0_M5gmuhXZ6-LaxQxgrmJnzgP0"",""'TP# look up'!A:C""),3,0),"""")"),"")</f>
        <v/>
      </c>
      <c r="AH32" s="49" t="str">
        <f t="shared" ca="1" si="0"/>
        <v>LW</v>
      </c>
    </row>
    <row r="33" spans="1:34" ht="12.75" hidden="1">
      <c r="A33" s="45" t="str">
        <f ca="1">IFERROR(__xludf.DUMMYFUNCTION("""COMPUTED_VALUE"""),"Colombo")</f>
        <v>Colombo</v>
      </c>
      <c r="B33" s="45"/>
      <c r="C33" s="45">
        <f ca="1">IFERROR(__xludf.DUMMYFUNCTION("""COMPUTED_VALUE"""),3231352)</f>
        <v>3231352</v>
      </c>
      <c r="D33" s="45"/>
      <c r="E33" s="45" t="str">
        <f ca="1">IFERROR(__xludf.DUMMYFUNCTION("""COMPUTED_VALUE"""),"CFS")</f>
        <v>CFS</v>
      </c>
      <c r="F33" s="45" t="str">
        <f ca="1">IFERROR(__xludf.DUMMYFUNCTION("""COMPUTED_VALUE"""),"MAS AMITY PTE LTD")</f>
        <v>MAS AMITY PTE LTD</v>
      </c>
      <c r="G33" s="45" t="str">
        <f ca="1">IFERROR(__xludf.DUMMYFUNCTION("""COMPUTED_VALUE"""),"MAS Active(Pvt) Ltd – CONTOURLINE")</f>
        <v>MAS Active(Pvt) Ltd – CONTOURLINE</v>
      </c>
      <c r="H33" s="43">
        <f ca="1">IFERROR(__xludf.DUMMYFUNCTION("""COMPUTED_VALUE"""),450925482154)</f>
        <v>450925482154</v>
      </c>
      <c r="I33" s="45">
        <f ca="1">IFERROR(__xludf.DUMMYFUNCTION("""COMPUTED_VALUE"""),19939531)</f>
        <v>19939531</v>
      </c>
      <c r="J33" s="45" t="str">
        <f ca="1">IFERROR(__xludf.DUMMYFUNCTION("""COMPUTED_VALUE"""),"LW5EPSS")</f>
        <v>LW5EPSS</v>
      </c>
      <c r="K33" s="45" t="str">
        <f ca="1">IFERROR(__xludf.DUMMYFUNCTION("""COMPUTED_VALUE"""),"LW5EPSS-071195")</f>
        <v>LW5EPSS-071195</v>
      </c>
      <c r="L33" s="45">
        <f ca="1">IFERROR(__xludf.DUMMYFUNCTION("""COMPUTED_VALUE"""),5)</f>
        <v>5</v>
      </c>
      <c r="M33" s="45">
        <f ca="1">IFERROR(__xludf.DUMMYFUNCTION("""COMPUTED_VALUE"""),278)</f>
        <v>278</v>
      </c>
      <c r="N33" s="45">
        <f ca="1">IFERROR(__xludf.DUMMYFUNCTION("""COMPUTED_VALUE"""),62.257)</f>
        <v>62.256999999999998</v>
      </c>
      <c r="O33" s="45">
        <f ca="1">IFERROR(__xludf.DUMMYFUNCTION("""COMPUTED_VALUE"""),0.355)</f>
        <v>0.35499999999999998</v>
      </c>
      <c r="P33" s="45" t="str">
        <f ca="1">IFERROR(__xludf.DUMMYFUNCTION("""COMPUTED_VALUE"""),"Colombo, LK")</f>
        <v>Colombo, LK</v>
      </c>
      <c r="Q33" s="45" t="str">
        <f ca="1">IFERROR(__xludf.DUMMYFUNCTION("""COMPUTED_VALUE"""),"New York, NY, US")</f>
        <v>New York, NY, US</v>
      </c>
      <c r="R33" s="44">
        <f ca="1">IFERROR(__xludf.DUMMYFUNCTION("""COMPUTED_VALUE"""),45817)</f>
        <v>45817</v>
      </c>
      <c r="S33" s="44">
        <f ca="1">IFERROR(__xludf.DUMMYFUNCTION("""COMPUTED_VALUE"""),45876)</f>
        <v>45876</v>
      </c>
      <c r="T33" s="45" t="str">
        <f ca="1">IFERROR(__xludf.DUMMYFUNCTION("""COMPUTED_VALUE"""),"Mississauga, ON, CA")</f>
        <v>Mississauga, ON, CA</v>
      </c>
      <c r="U33" s="45"/>
      <c r="V33" s="45"/>
      <c r="W33" s="45"/>
      <c r="X33" s="45"/>
      <c r="Y33" s="46">
        <f ca="1">IFERROR(__xludf.DUMMYFUNCTION("""COMPUTED_VALUE"""),45825)</f>
        <v>45825</v>
      </c>
      <c r="Z33" s="46">
        <f ca="1">IFERROR(__xludf.DUMMYFUNCTION("""COMPUTED_VALUE"""),45854)</f>
        <v>45854</v>
      </c>
      <c r="AA33" s="46">
        <f ca="1">IFERROR(__xludf.DUMMYFUNCTION("""COMPUTED_VALUE"""),45867)</f>
        <v>45867</v>
      </c>
      <c r="AB33" s="45" t="str">
        <f ca="1">IFERROR(__xludf.DUMMYFUNCTION("""COMPUTED_VALUE"""),"3500 Argentia Road")</f>
        <v>3500 Argentia Road</v>
      </c>
      <c r="AC33" s="45"/>
      <c r="AD33" s="45" t="str">
        <f ca="1">IFERROR(__xludf.DUMMYFUNCTION("""COMPUTED_VALUE"""),"OCEAN")</f>
        <v>OCEAN</v>
      </c>
      <c r="AE33" s="45" t="str">
        <f ca="1">IFERROR(__xludf.DUMMYFUNCTION("""COMPUTED_VALUE"""),"N")</f>
        <v>N</v>
      </c>
      <c r="AF33" s="45"/>
      <c r="AG33" s="49" t="str">
        <f ca="1">IFERROR(__xludf.DUMMYFUNCTION("IFNA(vlookup(H33,IMPORTRANGE(""1vUGwO1n0QQGx9kKbO0_M5gmuhXZ6-LaxQxgrmJnzgP0"",""'TP# look up'!A:C""),3,0),"""")"),"")</f>
        <v/>
      </c>
      <c r="AH33" s="49" t="str">
        <f t="shared" ca="1" si="0"/>
        <v>LW</v>
      </c>
    </row>
    <row r="34" spans="1:34" ht="12.75" hidden="1">
      <c r="A34" s="45" t="str">
        <f ca="1">IFERROR(__xludf.DUMMYFUNCTION("""COMPUTED_VALUE"""),"Colombo")</f>
        <v>Colombo</v>
      </c>
      <c r="B34" s="45"/>
      <c r="C34" s="45">
        <f ca="1">IFERROR(__xludf.DUMMYFUNCTION("""COMPUTED_VALUE"""),3231352)</f>
        <v>3231352</v>
      </c>
      <c r="D34" s="45"/>
      <c r="E34" s="45" t="str">
        <f ca="1">IFERROR(__xludf.DUMMYFUNCTION("""COMPUTED_VALUE"""),"CFS")</f>
        <v>CFS</v>
      </c>
      <c r="F34" s="45" t="str">
        <f ca="1">IFERROR(__xludf.DUMMYFUNCTION("""COMPUTED_VALUE"""),"MAS AMITY PTE LTD")</f>
        <v>MAS AMITY PTE LTD</v>
      </c>
      <c r="G34" s="45" t="str">
        <f ca="1">IFERROR(__xludf.DUMMYFUNCTION("""COMPUTED_VALUE"""),"MAS Active(Pvt) Ltd – CONTOURLINE")</f>
        <v>MAS Active(Pvt) Ltd – CONTOURLINE</v>
      </c>
      <c r="H34" s="43">
        <f ca="1">IFERROR(__xludf.DUMMYFUNCTION("""COMPUTED_VALUE"""),450926171338)</f>
        <v>450926171338</v>
      </c>
      <c r="I34" s="45">
        <f ca="1">IFERROR(__xludf.DUMMYFUNCTION("""COMPUTED_VALUE"""),19913609)</f>
        <v>19913609</v>
      </c>
      <c r="J34" s="45" t="str">
        <f ca="1">IFERROR(__xludf.DUMMYFUNCTION("""COMPUTED_VALUE"""),"LW1DRKS")</f>
        <v>LW1DRKS</v>
      </c>
      <c r="K34" s="45" t="str">
        <f ca="1">IFERROR(__xludf.DUMMYFUNCTION("""COMPUTED_VALUE"""),"LW1DRKS-071150")</f>
        <v>LW1DRKS-071150</v>
      </c>
      <c r="L34" s="45">
        <f ca="1">IFERROR(__xludf.DUMMYFUNCTION("""COMPUTED_VALUE"""),7)</f>
        <v>7</v>
      </c>
      <c r="M34" s="45">
        <f ca="1">IFERROR(__xludf.DUMMYFUNCTION("""COMPUTED_VALUE"""),582)</f>
        <v>582</v>
      </c>
      <c r="N34" s="45">
        <f ca="1">IFERROR(__xludf.DUMMYFUNCTION("""COMPUTED_VALUE"""),73.762)</f>
        <v>73.762</v>
      </c>
      <c r="O34" s="45">
        <f ca="1">IFERROR(__xludf.DUMMYFUNCTION("""COMPUTED_VALUE"""),0.513)</f>
        <v>0.51300000000000001</v>
      </c>
      <c r="P34" s="45" t="str">
        <f ca="1">IFERROR(__xludf.DUMMYFUNCTION("""COMPUTED_VALUE"""),"Colombo, LK")</f>
        <v>Colombo, LK</v>
      </c>
      <c r="Q34" s="45" t="str">
        <f ca="1">IFERROR(__xludf.DUMMYFUNCTION("""COMPUTED_VALUE"""),"New York, NY, US")</f>
        <v>New York, NY, US</v>
      </c>
      <c r="R34" s="44">
        <f ca="1">IFERROR(__xludf.DUMMYFUNCTION("""COMPUTED_VALUE"""),45817)</f>
        <v>45817</v>
      </c>
      <c r="S34" s="44">
        <f ca="1">IFERROR(__xludf.DUMMYFUNCTION("""COMPUTED_VALUE"""),45876)</f>
        <v>45876</v>
      </c>
      <c r="T34" s="45" t="str">
        <f ca="1">IFERROR(__xludf.DUMMYFUNCTION("""COMPUTED_VALUE"""),"Mississauga, ON, CA")</f>
        <v>Mississauga, ON, CA</v>
      </c>
      <c r="U34" s="45"/>
      <c r="V34" s="45"/>
      <c r="W34" s="45"/>
      <c r="X34" s="45"/>
      <c r="Y34" s="46">
        <f ca="1">IFERROR(__xludf.DUMMYFUNCTION("""COMPUTED_VALUE"""),45825)</f>
        <v>45825</v>
      </c>
      <c r="Z34" s="46">
        <f ca="1">IFERROR(__xludf.DUMMYFUNCTION("""COMPUTED_VALUE"""),45854)</f>
        <v>45854</v>
      </c>
      <c r="AA34" s="46">
        <f ca="1">IFERROR(__xludf.DUMMYFUNCTION("""COMPUTED_VALUE"""),45867)</f>
        <v>45867</v>
      </c>
      <c r="AB34" s="45" t="str">
        <f ca="1">IFERROR(__xludf.DUMMYFUNCTION("""COMPUTED_VALUE"""),"3500 Argentia Road")</f>
        <v>3500 Argentia Road</v>
      </c>
      <c r="AC34" s="45"/>
      <c r="AD34" s="45" t="str">
        <f ca="1">IFERROR(__xludf.DUMMYFUNCTION("""COMPUTED_VALUE"""),"OCEAN")</f>
        <v>OCEAN</v>
      </c>
      <c r="AE34" s="45" t="str">
        <f ca="1">IFERROR(__xludf.DUMMYFUNCTION("""COMPUTED_VALUE"""),"N")</f>
        <v>N</v>
      </c>
      <c r="AF34" s="45"/>
      <c r="AG34" s="49" t="str">
        <f ca="1">IFERROR(__xludf.DUMMYFUNCTION("IFNA(vlookup(H34,IMPORTRANGE(""1vUGwO1n0QQGx9kKbO0_M5gmuhXZ6-LaxQxgrmJnzgP0"",""'TP# look up'!A:C""),3,0),"""")"),"")</f>
        <v/>
      </c>
      <c r="AH34" s="49" t="str">
        <f t="shared" ca="1" si="0"/>
        <v>LW</v>
      </c>
    </row>
    <row r="35" spans="1:34" ht="12.75" hidden="1">
      <c r="A35" s="45" t="str">
        <f ca="1">IFERROR(__xludf.DUMMYFUNCTION("""COMPUTED_VALUE"""),"Colombo")</f>
        <v>Colombo</v>
      </c>
      <c r="B35" s="45"/>
      <c r="C35" s="45">
        <f ca="1">IFERROR(__xludf.DUMMYFUNCTION("""COMPUTED_VALUE"""),3231352)</f>
        <v>3231352</v>
      </c>
      <c r="D35" s="45"/>
      <c r="E35" s="45" t="str">
        <f ca="1">IFERROR(__xludf.DUMMYFUNCTION("""COMPUTED_VALUE"""),"CFS")</f>
        <v>CFS</v>
      </c>
      <c r="F35" s="45" t="str">
        <f ca="1">IFERROR(__xludf.DUMMYFUNCTION("""COMPUTED_VALUE"""),"MAS AMITY PTE LTD")</f>
        <v>MAS AMITY PTE LTD</v>
      </c>
      <c r="G35" s="45" t="str">
        <f ca="1">IFERROR(__xludf.DUMMYFUNCTION("""COMPUTED_VALUE"""),"MAS Active(Pvt) Ltd – CONTOURLINE")</f>
        <v>MAS Active(Pvt) Ltd – CONTOURLINE</v>
      </c>
      <c r="H35" s="43">
        <f ca="1">IFERROR(__xludf.DUMMYFUNCTION("""COMPUTED_VALUE"""),450927429107)</f>
        <v>450927429107</v>
      </c>
      <c r="I35" s="45">
        <f ca="1">IFERROR(__xludf.DUMMYFUNCTION("""COMPUTED_VALUE"""),19897891)</f>
        <v>19897891</v>
      </c>
      <c r="J35" s="45" t="str">
        <f ca="1">IFERROR(__xludf.DUMMYFUNCTION("""COMPUTED_VALUE"""),"LM3FBSS")</f>
        <v>LM3FBSS</v>
      </c>
      <c r="K35" s="45" t="str">
        <f ca="1">IFERROR(__xludf.DUMMYFUNCTION("""COMPUTED_VALUE"""),"LM3FBSS-0002")</f>
        <v>LM3FBSS-0002</v>
      </c>
      <c r="L35" s="45">
        <f ca="1">IFERROR(__xludf.DUMMYFUNCTION("""COMPUTED_VALUE"""),3)</f>
        <v>3</v>
      </c>
      <c r="M35" s="45">
        <f ca="1">IFERROR(__xludf.DUMMYFUNCTION("""COMPUTED_VALUE"""),85)</f>
        <v>85</v>
      </c>
      <c r="N35" s="45">
        <f ca="1">IFERROR(__xludf.DUMMYFUNCTION("""COMPUTED_VALUE"""),29.352)</f>
        <v>29.352</v>
      </c>
      <c r="O35" s="45">
        <f ca="1">IFERROR(__xludf.DUMMYFUNCTION("""COMPUTED_VALUE"""),0.237)</f>
        <v>0.23699999999999999</v>
      </c>
      <c r="P35" s="45" t="str">
        <f ca="1">IFERROR(__xludf.DUMMYFUNCTION("""COMPUTED_VALUE"""),"Colombo, LK")</f>
        <v>Colombo, LK</v>
      </c>
      <c r="Q35" s="45" t="str">
        <f ca="1">IFERROR(__xludf.DUMMYFUNCTION("""COMPUTED_VALUE"""),"New York, NY, US")</f>
        <v>New York, NY, US</v>
      </c>
      <c r="R35" s="44">
        <f ca="1">IFERROR(__xludf.DUMMYFUNCTION("""COMPUTED_VALUE"""),45817)</f>
        <v>45817</v>
      </c>
      <c r="S35" s="44">
        <f ca="1">IFERROR(__xludf.DUMMYFUNCTION("""COMPUTED_VALUE"""),45876)</f>
        <v>45876</v>
      </c>
      <c r="T35" s="45" t="str">
        <f ca="1">IFERROR(__xludf.DUMMYFUNCTION("""COMPUTED_VALUE"""),"Milton, ON, CA")</f>
        <v>Milton, ON, CA</v>
      </c>
      <c r="U35" s="45"/>
      <c r="V35" s="45"/>
      <c r="W35" s="45"/>
      <c r="X35" s="45"/>
      <c r="Y35" s="46">
        <f ca="1">IFERROR(__xludf.DUMMYFUNCTION("""COMPUTED_VALUE"""),45825)</f>
        <v>45825</v>
      </c>
      <c r="Z35" s="46">
        <f ca="1">IFERROR(__xludf.DUMMYFUNCTION("""COMPUTED_VALUE"""),45854)</f>
        <v>45854</v>
      </c>
      <c r="AA35" s="46">
        <f ca="1">IFERROR(__xludf.DUMMYFUNCTION("""COMPUTED_VALUE"""),45867)</f>
        <v>45867</v>
      </c>
      <c r="AB35" s="45" t="str">
        <f ca="1">IFERROR(__xludf.DUMMYFUNCTION("""COMPUTED_VALUE"""),"7211 Fifth Line")</f>
        <v>7211 Fifth Line</v>
      </c>
      <c r="AC35" s="45"/>
      <c r="AD35" s="45" t="str">
        <f ca="1">IFERROR(__xludf.DUMMYFUNCTION("""COMPUTED_VALUE"""),"OCEAN")</f>
        <v>OCEAN</v>
      </c>
      <c r="AE35" s="45" t="str">
        <f ca="1">IFERROR(__xludf.DUMMYFUNCTION("""COMPUTED_VALUE"""),"N")</f>
        <v>N</v>
      </c>
      <c r="AF35" s="45"/>
      <c r="AG35" s="49" t="str">
        <f ca="1">IFERROR(__xludf.DUMMYFUNCTION("IFNA(vlookup(H35,IMPORTRANGE(""1vUGwO1n0QQGx9kKbO0_M5gmuhXZ6-LaxQxgrmJnzgP0"",""'TP# look up'!A:C""),3,0),"""")"),"")</f>
        <v/>
      </c>
      <c r="AH35" s="49" t="str">
        <f t="shared" ca="1" si="0"/>
        <v>LM</v>
      </c>
    </row>
    <row r="36" spans="1:34" ht="12.75" hidden="1">
      <c r="A36" s="45" t="str">
        <f ca="1">IFERROR(__xludf.DUMMYFUNCTION("""COMPUTED_VALUE"""),"Colombo")</f>
        <v>Colombo</v>
      </c>
      <c r="B36" s="45"/>
      <c r="C36" s="45">
        <f ca="1">IFERROR(__xludf.DUMMYFUNCTION("""COMPUTED_VALUE"""),3231352)</f>
        <v>3231352</v>
      </c>
      <c r="D36" s="45"/>
      <c r="E36" s="45" t="str">
        <f ca="1">IFERROR(__xludf.DUMMYFUNCTION("""COMPUTED_VALUE"""),"CFS")</f>
        <v>CFS</v>
      </c>
      <c r="F36" s="45" t="str">
        <f ca="1">IFERROR(__xludf.DUMMYFUNCTION("""COMPUTED_VALUE"""),"MAS AMITY PTE LTD")</f>
        <v>MAS AMITY PTE LTD</v>
      </c>
      <c r="G36" s="45" t="str">
        <f ca="1">IFERROR(__xludf.DUMMYFUNCTION("""COMPUTED_VALUE"""),"MAS Active(Pvt) Ltd – CONTOURLINE")</f>
        <v>MAS Active(Pvt) Ltd – CONTOURLINE</v>
      </c>
      <c r="H36" s="43">
        <f ca="1">IFERROR(__xludf.DUMMYFUNCTION("""COMPUTED_VALUE"""),450928434302)</f>
        <v>450928434302</v>
      </c>
      <c r="I36" s="45">
        <f ca="1">IFERROR(__xludf.DUMMYFUNCTION("""COMPUTED_VALUE"""),19890824)</f>
        <v>19890824</v>
      </c>
      <c r="J36" s="45" t="str">
        <f ca="1">IFERROR(__xludf.DUMMYFUNCTION("""COMPUTED_VALUE"""),"LW2EB3S")</f>
        <v>LW2EB3S</v>
      </c>
      <c r="K36" s="45" t="str">
        <f ca="1">IFERROR(__xludf.DUMMYFUNCTION("""COMPUTED_VALUE"""),"LW2EB3S-071200")</f>
        <v>LW2EB3S-071200</v>
      </c>
      <c r="L36" s="45">
        <f ca="1">IFERROR(__xludf.DUMMYFUNCTION("""COMPUTED_VALUE"""),7)</f>
        <v>7</v>
      </c>
      <c r="M36" s="45">
        <f ca="1">IFERROR(__xludf.DUMMYFUNCTION("""COMPUTED_VALUE"""),540)</f>
        <v>540</v>
      </c>
      <c r="N36" s="45">
        <f ca="1">IFERROR(__xludf.DUMMYFUNCTION("""COMPUTED_VALUE"""),66.433)</f>
        <v>66.433000000000007</v>
      </c>
      <c r="O36" s="45">
        <f ca="1">IFERROR(__xludf.DUMMYFUNCTION("""COMPUTED_VALUE"""),0.513)</f>
        <v>0.51300000000000001</v>
      </c>
      <c r="P36" s="45" t="str">
        <f ca="1">IFERROR(__xludf.DUMMYFUNCTION("""COMPUTED_VALUE"""),"Colombo, LK")</f>
        <v>Colombo, LK</v>
      </c>
      <c r="Q36" s="45" t="str">
        <f ca="1">IFERROR(__xludf.DUMMYFUNCTION("""COMPUTED_VALUE"""),"New York, NY, US")</f>
        <v>New York, NY, US</v>
      </c>
      <c r="R36" s="44">
        <f ca="1">IFERROR(__xludf.DUMMYFUNCTION("""COMPUTED_VALUE"""),45817)</f>
        <v>45817</v>
      </c>
      <c r="S36" s="44">
        <f ca="1">IFERROR(__xludf.DUMMYFUNCTION("""COMPUTED_VALUE"""),45876)</f>
        <v>45876</v>
      </c>
      <c r="T36" s="45" t="str">
        <f ca="1">IFERROR(__xludf.DUMMYFUNCTION("""COMPUTED_VALUE"""),"Milton, ON, CA")</f>
        <v>Milton, ON, CA</v>
      </c>
      <c r="U36" s="45"/>
      <c r="V36" s="45"/>
      <c r="W36" s="45"/>
      <c r="X36" s="45"/>
      <c r="Y36" s="46">
        <f ca="1">IFERROR(__xludf.DUMMYFUNCTION("""COMPUTED_VALUE"""),45825)</f>
        <v>45825</v>
      </c>
      <c r="Z36" s="46">
        <f ca="1">IFERROR(__xludf.DUMMYFUNCTION("""COMPUTED_VALUE"""),45854)</f>
        <v>45854</v>
      </c>
      <c r="AA36" s="46">
        <f ca="1">IFERROR(__xludf.DUMMYFUNCTION("""COMPUTED_VALUE"""),45867)</f>
        <v>45867</v>
      </c>
      <c r="AB36" s="45" t="str">
        <f ca="1">IFERROR(__xludf.DUMMYFUNCTION("""COMPUTED_VALUE"""),"7211 Fifth Line")</f>
        <v>7211 Fifth Line</v>
      </c>
      <c r="AC36" s="45"/>
      <c r="AD36" s="45" t="str">
        <f ca="1">IFERROR(__xludf.DUMMYFUNCTION("""COMPUTED_VALUE"""),"OCEAN")</f>
        <v>OCEAN</v>
      </c>
      <c r="AE36" s="45" t="str">
        <f ca="1">IFERROR(__xludf.DUMMYFUNCTION("""COMPUTED_VALUE"""),"N")</f>
        <v>N</v>
      </c>
      <c r="AF36" s="45"/>
      <c r="AG36" s="49" t="str">
        <f ca="1">IFERROR(__xludf.DUMMYFUNCTION("IFNA(vlookup(H36,IMPORTRANGE(""1vUGwO1n0QQGx9kKbO0_M5gmuhXZ6-LaxQxgrmJnzgP0"",""'TP# look up'!A:C""),3,0),"""")"),"")</f>
        <v/>
      </c>
      <c r="AH36" s="49" t="str">
        <f t="shared" ca="1" si="0"/>
        <v>LW</v>
      </c>
    </row>
    <row r="37" spans="1:34" ht="12.75" hidden="1">
      <c r="A37" s="45" t="str">
        <f ca="1">IFERROR(__xludf.DUMMYFUNCTION("""COMPUTED_VALUE"""),"Colombo")</f>
        <v>Colombo</v>
      </c>
      <c r="B37" s="45"/>
      <c r="C37" s="45">
        <f ca="1">IFERROR(__xludf.DUMMYFUNCTION("""COMPUTED_VALUE"""),3231352)</f>
        <v>3231352</v>
      </c>
      <c r="D37" s="45"/>
      <c r="E37" s="45" t="str">
        <f ca="1">IFERROR(__xludf.DUMMYFUNCTION("""COMPUTED_VALUE"""),"CFS")</f>
        <v>CFS</v>
      </c>
      <c r="F37" s="45" t="str">
        <f ca="1">IFERROR(__xludf.DUMMYFUNCTION("""COMPUTED_VALUE"""),"MAS AMITY PTE LTD")</f>
        <v>MAS AMITY PTE LTD</v>
      </c>
      <c r="G37" s="45" t="str">
        <f ca="1">IFERROR(__xludf.DUMMYFUNCTION("""COMPUTED_VALUE"""),"MAS Active(Pvt) Ltd – CONTOURLINE")</f>
        <v>MAS Active(Pvt) Ltd – CONTOURLINE</v>
      </c>
      <c r="H37" s="43">
        <f ca="1">IFERROR(__xludf.DUMMYFUNCTION("""COMPUTED_VALUE"""),450931545691)</f>
        <v>450931545691</v>
      </c>
      <c r="I37" s="45">
        <f ca="1">IFERROR(__xludf.DUMMYFUNCTION("""COMPUTED_VALUE"""),19920775)</f>
        <v>19920775</v>
      </c>
      <c r="J37" s="45" t="str">
        <f ca="1">IFERROR(__xludf.DUMMYFUNCTION("""COMPUTED_VALUE"""),"LM3FBSS")</f>
        <v>LM3FBSS</v>
      </c>
      <c r="K37" s="45" t="str">
        <f ca="1">IFERROR(__xludf.DUMMYFUNCTION("""COMPUTED_VALUE"""),"LM3FBSS-0002")</f>
        <v>LM3FBSS-0002</v>
      </c>
      <c r="L37" s="45">
        <f ca="1">IFERROR(__xludf.DUMMYFUNCTION("""COMPUTED_VALUE"""),2)</f>
        <v>2</v>
      </c>
      <c r="M37" s="45">
        <f ca="1">IFERROR(__xludf.DUMMYFUNCTION("""COMPUTED_VALUE"""),59)</f>
        <v>59</v>
      </c>
      <c r="N37" s="45">
        <f ca="1">IFERROR(__xludf.DUMMYFUNCTION("""COMPUTED_VALUE"""),20.379)</f>
        <v>20.379000000000001</v>
      </c>
      <c r="O37" s="45">
        <f ca="1">IFERROR(__xludf.DUMMYFUNCTION("""COMPUTED_VALUE"""),0.118)</f>
        <v>0.11799999999999999</v>
      </c>
      <c r="P37" s="45" t="str">
        <f ca="1">IFERROR(__xludf.DUMMYFUNCTION("""COMPUTED_VALUE"""),"Colombo, LK")</f>
        <v>Colombo, LK</v>
      </c>
      <c r="Q37" s="45" t="str">
        <f ca="1">IFERROR(__xludf.DUMMYFUNCTION("""COMPUTED_VALUE"""),"New York, NY, US")</f>
        <v>New York, NY, US</v>
      </c>
      <c r="R37" s="44">
        <f ca="1">IFERROR(__xludf.DUMMYFUNCTION("""COMPUTED_VALUE"""),45817)</f>
        <v>45817</v>
      </c>
      <c r="S37" s="44">
        <f ca="1">IFERROR(__xludf.DUMMYFUNCTION("""COMPUTED_VALUE"""),45876)</f>
        <v>45876</v>
      </c>
      <c r="T37" s="45" t="str">
        <f ca="1">IFERROR(__xludf.DUMMYFUNCTION("""COMPUTED_VALUE"""),"Mississauga, ON, CA")</f>
        <v>Mississauga, ON, CA</v>
      </c>
      <c r="U37" s="45"/>
      <c r="V37" s="45"/>
      <c r="W37" s="45"/>
      <c r="X37" s="45"/>
      <c r="Y37" s="46">
        <f ca="1">IFERROR(__xludf.DUMMYFUNCTION("""COMPUTED_VALUE"""),45825)</f>
        <v>45825</v>
      </c>
      <c r="Z37" s="46">
        <f ca="1">IFERROR(__xludf.DUMMYFUNCTION("""COMPUTED_VALUE"""),45854)</f>
        <v>45854</v>
      </c>
      <c r="AA37" s="46">
        <f ca="1">IFERROR(__xludf.DUMMYFUNCTION("""COMPUTED_VALUE"""),45867)</f>
        <v>45867</v>
      </c>
      <c r="AB37" s="45" t="str">
        <f ca="1">IFERROR(__xludf.DUMMYFUNCTION("""COMPUTED_VALUE"""),"3500 Argentia Road")</f>
        <v>3500 Argentia Road</v>
      </c>
      <c r="AC37" s="45"/>
      <c r="AD37" s="45" t="str">
        <f ca="1">IFERROR(__xludf.DUMMYFUNCTION("""COMPUTED_VALUE"""),"OCEAN")</f>
        <v>OCEAN</v>
      </c>
      <c r="AE37" s="45" t="str">
        <f ca="1">IFERROR(__xludf.DUMMYFUNCTION("""COMPUTED_VALUE"""),"N")</f>
        <v>N</v>
      </c>
      <c r="AF37" s="45"/>
      <c r="AG37" s="49" t="str">
        <f ca="1">IFERROR(__xludf.DUMMYFUNCTION("IFNA(vlookup(H37,IMPORTRANGE(""1vUGwO1n0QQGx9kKbO0_M5gmuhXZ6-LaxQxgrmJnzgP0"",""'TP# look up'!A:C""),3,0),"""")"),"")</f>
        <v/>
      </c>
      <c r="AH37" s="49" t="str">
        <f t="shared" ca="1" si="0"/>
        <v>LM</v>
      </c>
    </row>
    <row r="38" spans="1:34" ht="12.75" hidden="1">
      <c r="A38" s="45" t="str">
        <f ca="1">IFERROR(__xludf.DUMMYFUNCTION("""COMPUTED_VALUE"""),"Colombo")</f>
        <v>Colombo</v>
      </c>
      <c r="B38" s="45"/>
      <c r="C38" s="45">
        <f ca="1">IFERROR(__xludf.DUMMYFUNCTION("""COMPUTED_VALUE"""),3231352)</f>
        <v>3231352</v>
      </c>
      <c r="D38" s="45"/>
      <c r="E38" s="45" t="str">
        <f ca="1">IFERROR(__xludf.DUMMYFUNCTION("""COMPUTED_VALUE"""),"CFS")</f>
        <v>CFS</v>
      </c>
      <c r="F38" s="45" t="str">
        <f ca="1">IFERROR(__xludf.DUMMYFUNCTION("""COMPUTED_VALUE"""),"MAS AMITY PTE LTD")</f>
        <v>MAS AMITY PTE LTD</v>
      </c>
      <c r="G38" s="45" t="str">
        <f ca="1">IFERROR(__xludf.DUMMYFUNCTION("""COMPUTED_VALUE"""),"MAS Active(Pvt) Ltd – CONTOURLINE")</f>
        <v>MAS Active(Pvt) Ltd – CONTOURLINE</v>
      </c>
      <c r="H38" s="43">
        <f ca="1">IFERROR(__xludf.DUMMYFUNCTION("""COMPUTED_VALUE"""),450932256930)</f>
        <v>450932256930</v>
      </c>
      <c r="I38" s="45">
        <f ca="1">IFERROR(__xludf.DUMMYFUNCTION("""COMPUTED_VALUE"""),19922430)</f>
        <v>19922430</v>
      </c>
      <c r="J38" s="45" t="str">
        <f ca="1">IFERROR(__xludf.DUMMYFUNCTION("""COMPUTED_VALUE"""),"LM3FBSS")</f>
        <v>LM3FBSS</v>
      </c>
      <c r="K38" s="45" t="str">
        <f ca="1">IFERROR(__xludf.DUMMYFUNCTION("""COMPUTED_VALUE"""),"LM3FBSS-0002")</f>
        <v>LM3FBSS-0002</v>
      </c>
      <c r="L38" s="45">
        <f ca="1">IFERROR(__xludf.DUMMYFUNCTION("""COMPUTED_VALUE"""),7)</f>
        <v>7</v>
      </c>
      <c r="M38" s="45">
        <f ca="1">IFERROR(__xludf.DUMMYFUNCTION("""COMPUTED_VALUE"""),256)</f>
        <v>256</v>
      </c>
      <c r="N38" s="45">
        <f ca="1">IFERROR(__xludf.DUMMYFUNCTION("""COMPUTED_VALUE"""),88.398)</f>
        <v>88.397999999999996</v>
      </c>
      <c r="O38" s="45">
        <f ca="1">IFERROR(__xludf.DUMMYFUNCTION("""COMPUTED_VALUE"""),0.513)</f>
        <v>0.51300000000000001</v>
      </c>
      <c r="P38" s="45" t="str">
        <f ca="1">IFERROR(__xludf.DUMMYFUNCTION("""COMPUTED_VALUE"""),"Colombo, LK")</f>
        <v>Colombo, LK</v>
      </c>
      <c r="Q38" s="45" t="str">
        <f ca="1">IFERROR(__xludf.DUMMYFUNCTION("""COMPUTED_VALUE"""),"New York, NY, US")</f>
        <v>New York, NY, US</v>
      </c>
      <c r="R38" s="44">
        <f ca="1">IFERROR(__xludf.DUMMYFUNCTION("""COMPUTED_VALUE"""),45817)</f>
        <v>45817</v>
      </c>
      <c r="S38" s="44">
        <f ca="1">IFERROR(__xludf.DUMMYFUNCTION("""COMPUTED_VALUE"""),45876)</f>
        <v>45876</v>
      </c>
      <c r="T38" s="45" t="str">
        <f ca="1">IFERROR(__xludf.DUMMYFUNCTION("""COMPUTED_VALUE"""),"Mississauga, ON, CA")</f>
        <v>Mississauga, ON, CA</v>
      </c>
      <c r="U38" s="45"/>
      <c r="V38" s="45"/>
      <c r="W38" s="45"/>
      <c r="X38" s="45"/>
      <c r="Y38" s="46">
        <f ca="1">IFERROR(__xludf.DUMMYFUNCTION("""COMPUTED_VALUE"""),45825)</f>
        <v>45825</v>
      </c>
      <c r="Z38" s="46">
        <f ca="1">IFERROR(__xludf.DUMMYFUNCTION("""COMPUTED_VALUE"""),45854)</f>
        <v>45854</v>
      </c>
      <c r="AA38" s="46">
        <f ca="1">IFERROR(__xludf.DUMMYFUNCTION("""COMPUTED_VALUE"""),45867)</f>
        <v>45867</v>
      </c>
      <c r="AB38" s="45" t="str">
        <f ca="1">IFERROR(__xludf.DUMMYFUNCTION("""COMPUTED_VALUE"""),"3500 Argentia Road")</f>
        <v>3500 Argentia Road</v>
      </c>
      <c r="AC38" s="45"/>
      <c r="AD38" s="45" t="str">
        <f ca="1">IFERROR(__xludf.DUMMYFUNCTION("""COMPUTED_VALUE"""),"OCEAN")</f>
        <v>OCEAN</v>
      </c>
      <c r="AE38" s="45" t="str">
        <f ca="1">IFERROR(__xludf.DUMMYFUNCTION("""COMPUTED_VALUE"""),"N")</f>
        <v>N</v>
      </c>
      <c r="AF38" s="45"/>
      <c r="AG38" s="49" t="str">
        <f ca="1">IFERROR(__xludf.DUMMYFUNCTION("IFNA(vlookup(H38,IMPORTRANGE(""1vUGwO1n0QQGx9kKbO0_M5gmuhXZ6-LaxQxgrmJnzgP0"",""'TP# look up'!A:C""),3,0),"""")"),"")</f>
        <v/>
      </c>
      <c r="AH38" s="49" t="str">
        <f t="shared" ca="1" si="0"/>
        <v>LM</v>
      </c>
    </row>
    <row r="39" spans="1:34" ht="12.75" hidden="1">
      <c r="A39" s="45" t="str">
        <f ca="1">IFERROR(__xludf.DUMMYFUNCTION("""COMPUTED_VALUE"""),"Colombo")</f>
        <v>Colombo</v>
      </c>
      <c r="B39" s="45"/>
      <c r="C39" s="45">
        <f ca="1">IFERROR(__xludf.DUMMYFUNCTION("""COMPUTED_VALUE"""),3231352)</f>
        <v>3231352</v>
      </c>
      <c r="D39" s="45"/>
      <c r="E39" s="45" t="str">
        <f ca="1">IFERROR(__xludf.DUMMYFUNCTION("""COMPUTED_VALUE"""),"CFS")</f>
        <v>CFS</v>
      </c>
      <c r="F39" s="45" t="str">
        <f ca="1">IFERROR(__xludf.DUMMYFUNCTION("""COMPUTED_VALUE"""),"MAS AMITY PTE LTD")</f>
        <v>MAS AMITY PTE LTD</v>
      </c>
      <c r="G39" s="45" t="str">
        <f ca="1">IFERROR(__xludf.DUMMYFUNCTION("""COMPUTED_VALUE"""),"MAS Active(Pvt) Ltd – CONTOURLINE")</f>
        <v>MAS Active(Pvt) Ltd – CONTOURLINE</v>
      </c>
      <c r="H39" s="43">
        <f ca="1">IFERROR(__xludf.DUMMYFUNCTION("""COMPUTED_VALUE"""),450934477699)</f>
        <v>450934477699</v>
      </c>
      <c r="I39" s="45">
        <f ca="1">IFERROR(__xludf.DUMMYFUNCTION("""COMPUTED_VALUE"""),19925144)</f>
        <v>19925144</v>
      </c>
      <c r="J39" s="45" t="str">
        <f ca="1">IFERROR(__xludf.DUMMYFUNCTION("""COMPUTED_VALUE"""),"LW5EPSS")</f>
        <v>LW5EPSS</v>
      </c>
      <c r="K39" s="45" t="str">
        <f ca="1">IFERROR(__xludf.DUMMYFUNCTION("""COMPUTED_VALUE"""),"LW5EPSS-035487")</f>
        <v>LW5EPSS-035487</v>
      </c>
      <c r="L39" s="45">
        <f ca="1">IFERROR(__xludf.DUMMYFUNCTION("""COMPUTED_VALUE"""),4)</f>
        <v>4</v>
      </c>
      <c r="M39" s="45">
        <f ca="1">IFERROR(__xludf.DUMMYFUNCTION("""COMPUTED_VALUE"""),143)</f>
        <v>143</v>
      </c>
      <c r="N39" s="45">
        <f ca="1">IFERROR(__xludf.DUMMYFUNCTION("""COMPUTED_VALUE"""),33.468)</f>
        <v>33.468000000000004</v>
      </c>
      <c r="O39" s="45">
        <f ca="1">IFERROR(__xludf.DUMMYFUNCTION("""COMPUTED_VALUE"""),0.237)</f>
        <v>0.23699999999999999</v>
      </c>
      <c r="P39" s="45" t="str">
        <f ca="1">IFERROR(__xludf.DUMMYFUNCTION("""COMPUTED_VALUE"""),"Colombo, LK")</f>
        <v>Colombo, LK</v>
      </c>
      <c r="Q39" s="45" t="str">
        <f ca="1">IFERROR(__xludf.DUMMYFUNCTION("""COMPUTED_VALUE"""),"New York, NY, US")</f>
        <v>New York, NY, US</v>
      </c>
      <c r="R39" s="44">
        <f ca="1">IFERROR(__xludf.DUMMYFUNCTION("""COMPUTED_VALUE"""),45817)</f>
        <v>45817</v>
      </c>
      <c r="S39" s="44">
        <f ca="1">IFERROR(__xludf.DUMMYFUNCTION("""COMPUTED_VALUE"""),45876)</f>
        <v>45876</v>
      </c>
      <c r="T39" s="45" t="str">
        <f ca="1">IFERROR(__xludf.DUMMYFUNCTION("""COMPUTED_VALUE"""),"Mississauga, ON, CA")</f>
        <v>Mississauga, ON, CA</v>
      </c>
      <c r="U39" s="45"/>
      <c r="V39" s="45"/>
      <c r="W39" s="45"/>
      <c r="X39" s="45"/>
      <c r="Y39" s="46">
        <f ca="1">IFERROR(__xludf.DUMMYFUNCTION("""COMPUTED_VALUE"""),45825)</f>
        <v>45825</v>
      </c>
      <c r="Z39" s="46">
        <f ca="1">IFERROR(__xludf.DUMMYFUNCTION("""COMPUTED_VALUE"""),45854)</f>
        <v>45854</v>
      </c>
      <c r="AA39" s="46">
        <f ca="1">IFERROR(__xludf.DUMMYFUNCTION("""COMPUTED_VALUE"""),45867)</f>
        <v>45867</v>
      </c>
      <c r="AB39" s="45" t="str">
        <f ca="1">IFERROR(__xludf.DUMMYFUNCTION("""COMPUTED_VALUE"""),"3500 Argentia Road")</f>
        <v>3500 Argentia Road</v>
      </c>
      <c r="AC39" s="45"/>
      <c r="AD39" s="45" t="str">
        <f ca="1">IFERROR(__xludf.DUMMYFUNCTION("""COMPUTED_VALUE"""),"OCEAN")</f>
        <v>OCEAN</v>
      </c>
      <c r="AE39" s="45" t="str">
        <f ca="1">IFERROR(__xludf.DUMMYFUNCTION("""COMPUTED_VALUE"""),"N")</f>
        <v>N</v>
      </c>
      <c r="AF39" s="45"/>
      <c r="AG39" s="49" t="str">
        <f ca="1">IFERROR(__xludf.DUMMYFUNCTION("IFNA(vlookup(H39,IMPORTRANGE(""1vUGwO1n0QQGx9kKbO0_M5gmuhXZ6-LaxQxgrmJnzgP0"",""'TP# look up'!A:C""),3,0),"""")"),"")</f>
        <v/>
      </c>
      <c r="AH39" s="49" t="str">
        <f t="shared" ca="1" si="0"/>
        <v>LW</v>
      </c>
    </row>
    <row r="40" spans="1:34" ht="12.75" hidden="1">
      <c r="A40" s="45" t="str">
        <f ca="1">IFERROR(__xludf.DUMMYFUNCTION("""COMPUTED_VALUE"""),"Colombo")</f>
        <v>Colombo</v>
      </c>
      <c r="B40" s="45"/>
      <c r="C40" s="45">
        <f ca="1">IFERROR(__xludf.DUMMYFUNCTION("""COMPUTED_VALUE"""),3231352)</f>
        <v>3231352</v>
      </c>
      <c r="D40" s="45"/>
      <c r="E40" s="45" t="str">
        <f ca="1">IFERROR(__xludf.DUMMYFUNCTION("""COMPUTED_VALUE"""),"CFS")</f>
        <v>CFS</v>
      </c>
      <c r="F40" s="45" t="str">
        <f ca="1">IFERROR(__xludf.DUMMYFUNCTION("""COMPUTED_VALUE"""),"MAS AMITY PTE LTD")</f>
        <v>MAS AMITY PTE LTD</v>
      </c>
      <c r="G40" s="45" t="str">
        <f ca="1">IFERROR(__xludf.DUMMYFUNCTION("""COMPUTED_VALUE"""),"MAS Active(Pvt) Ltd – CONTOURLINE")</f>
        <v>MAS Active(Pvt) Ltd – CONTOURLINE</v>
      </c>
      <c r="H40" s="43">
        <f ca="1">IFERROR(__xludf.DUMMYFUNCTION("""COMPUTED_VALUE"""),450934998656)</f>
        <v>450934998656</v>
      </c>
      <c r="I40" s="45">
        <f ca="1">IFERROR(__xludf.DUMMYFUNCTION("""COMPUTED_VALUE"""),19890828)</f>
        <v>19890828</v>
      </c>
      <c r="J40" s="45" t="str">
        <f ca="1">IFERROR(__xludf.DUMMYFUNCTION("""COMPUTED_VALUE"""),"LW2EB3S")</f>
        <v>LW2EB3S</v>
      </c>
      <c r="K40" s="45" t="str">
        <f ca="1">IFERROR(__xludf.DUMMYFUNCTION("""COMPUTED_VALUE"""),"LW2EB3S-071200")</f>
        <v>LW2EB3S-071200</v>
      </c>
      <c r="L40" s="45">
        <f ca="1">IFERROR(__xludf.DUMMYFUNCTION("""COMPUTED_VALUE"""),3)</f>
        <v>3</v>
      </c>
      <c r="M40" s="45">
        <f ca="1">IFERROR(__xludf.DUMMYFUNCTION("""COMPUTED_VALUE"""),126)</f>
        <v>126</v>
      </c>
      <c r="N40" s="45">
        <f ca="1">IFERROR(__xludf.DUMMYFUNCTION("""COMPUTED_VALUE"""),17.083)</f>
        <v>17.082999999999998</v>
      </c>
      <c r="O40" s="45">
        <f ca="1">IFERROR(__xludf.DUMMYFUNCTION("""COMPUTED_VALUE"""),0.158)</f>
        <v>0.158</v>
      </c>
      <c r="P40" s="45" t="str">
        <f ca="1">IFERROR(__xludf.DUMMYFUNCTION("""COMPUTED_VALUE"""),"Colombo, LK")</f>
        <v>Colombo, LK</v>
      </c>
      <c r="Q40" s="45" t="str">
        <f ca="1">IFERROR(__xludf.DUMMYFUNCTION("""COMPUTED_VALUE"""),"New York, NY, US")</f>
        <v>New York, NY, US</v>
      </c>
      <c r="R40" s="44">
        <f ca="1">IFERROR(__xludf.DUMMYFUNCTION("""COMPUTED_VALUE"""),45817)</f>
        <v>45817</v>
      </c>
      <c r="S40" s="44">
        <f ca="1">IFERROR(__xludf.DUMMYFUNCTION("""COMPUTED_VALUE"""),45876)</f>
        <v>45876</v>
      </c>
      <c r="T40" s="45" t="str">
        <f ca="1">IFERROR(__xludf.DUMMYFUNCTION("""COMPUTED_VALUE"""),"Mississauga, ON, CA")</f>
        <v>Mississauga, ON, CA</v>
      </c>
      <c r="U40" s="45"/>
      <c r="V40" s="45"/>
      <c r="W40" s="45"/>
      <c r="X40" s="45"/>
      <c r="Y40" s="46">
        <f ca="1">IFERROR(__xludf.DUMMYFUNCTION("""COMPUTED_VALUE"""),45825)</f>
        <v>45825</v>
      </c>
      <c r="Z40" s="46">
        <f ca="1">IFERROR(__xludf.DUMMYFUNCTION("""COMPUTED_VALUE"""),45854)</f>
        <v>45854</v>
      </c>
      <c r="AA40" s="46">
        <f ca="1">IFERROR(__xludf.DUMMYFUNCTION("""COMPUTED_VALUE"""),45867)</f>
        <v>45867</v>
      </c>
      <c r="AB40" s="45" t="str">
        <f ca="1">IFERROR(__xludf.DUMMYFUNCTION("""COMPUTED_VALUE"""),"3500 Argentia Road")</f>
        <v>3500 Argentia Road</v>
      </c>
      <c r="AC40" s="45"/>
      <c r="AD40" s="45" t="str">
        <f ca="1">IFERROR(__xludf.DUMMYFUNCTION("""COMPUTED_VALUE"""),"OCEAN")</f>
        <v>OCEAN</v>
      </c>
      <c r="AE40" s="45" t="str">
        <f ca="1">IFERROR(__xludf.DUMMYFUNCTION("""COMPUTED_VALUE"""),"N")</f>
        <v>N</v>
      </c>
      <c r="AF40" s="45"/>
      <c r="AG40" s="49" t="str">
        <f ca="1">IFERROR(__xludf.DUMMYFUNCTION("IFNA(vlookup(H40,IMPORTRANGE(""1vUGwO1n0QQGx9kKbO0_M5gmuhXZ6-LaxQxgrmJnzgP0"",""'TP# look up'!A:C""),3,0),"""")"),"")</f>
        <v/>
      </c>
      <c r="AH40" s="49" t="str">
        <f t="shared" ca="1" si="0"/>
        <v>LW</v>
      </c>
    </row>
    <row r="41" spans="1:34" ht="12.75" hidden="1">
      <c r="A41" s="45" t="str">
        <f ca="1">IFERROR(__xludf.DUMMYFUNCTION("""COMPUTED_VALUE"""),"Colombo")</f>
        <v>Colombo</v>
      </c>
      <c r="B41" s="45"/>
      <c r="C41" s="45">
        <f ca="1">IFERROR(__xludf.DUMMYFUNCTION("""COMPUTED_VALUE"""),3231352)</f>
        <v>3231352</v>
      </c>
      <c r="D41" s="45"/>
      <c r="E41" s="45" t="str">
        <f ca="1">IFERROR(__xludf.DUMMYFUNCTION("""COMPUTED_VALUE"""),"CFS")</f>
        <v>CFS</v>
      </c>
      <c r="F41" s="45" t="str">
        <f ca="1">IFERROR(__xludf.DUMMYFUNCTION("""COMPUTED_VALUE"""),"MAS AMITY PTE LTD")</f>
        <v>MAS AMITY PTE LTD</v>
      </c>
      <c r="G41" s="45" t="str">
        <f ca="1">IFERROR(__xludf.DUMMYFUNCTION("""COMPUTED_VALUE"""),"MAS Active(Pvt) Ltd – CONTOURLINE")</f>
        <v>MAS Active(Pvt) Ltd – CONTOURLINE</v>
      </c>
      <c r="H41" s="43">
        <f ca="1">IFERROR(__xludf.DUMMYFUNCTION("""COMPUTED_VALUE"""),450936929517)</f>
        <v>450936929517</v>
      </c>
      <c r="I41" s="45">
        <f ca="1">IFERROR(__xludf.DUMMYFUNCTION("""COMPUTED_VALUE"""),19939515)</f>
        <v>19939515</v>
      </c>
      <c r="J41" s="45" t="str">
        <f ca="1">IFERROR(__xludf.DUMMYFUNCTION("""COMPUTED_VALUE"""),"LW5EPSS")</f>
        <v>LW5EPSS</v>
      </c>
      <c r="K41" s="45" t="str">
        <f ca="1">IFERROR(__xludf.DUMMYFUNCTION("""COMPUTED_VALUE"""),"LW5EPSS-035487")</f>
        <v>LW5EPSS-035487</v>
      </c>
      <c r="L41" s="45">
        <f ca="1">IFERROR(__xludf.DUMMYFUNCTION("""COMPUTED_VALUE"""),8)</f>
        <v>8</v>
      </c>
      <c r="M41" s="45">
        <f ca="1">IFERROR(__xludf.DUMMYFUNCTION("""COMPUTED_VALUE"""),416)</f>
        <v>416</v>
      </c>
      <c r="N41" s="45">
        <f ca="1">IFERROR(__xludf.DUMMYFUNCTION("""COMPUTED_VALUE"""),93.721)</f>
        <v>93.721000000000004</v>
      </c>
      <c r="O41" s="45">
        <f ca="1">IFERROR(__xludf.DUMMYFUNCTION("""COMPUTED_VALUE"""),0.553)</f>
        <v>0.55300000000000005</v>
      </c>
      <c r="P41" s="45" t="str">
        <f ca="1">IFERROR(__xludf.DUMMYFUNCTION("""COMPUTED_VALUE"""),"Colombo, LK")</f>
        <v>Colombo, LK</v>
      </c>
      <c r="Q41" s="45" t="str">
        <f ca="1">IFERROR(__xludf.DUMMYFUNCTION("""COMPUTED_VALUE"""),"New York, NY, US")</f>
        <v>New York, NY, US</v>
      </c>
      <c r="R41" s="44">
        <f ca="1">IFERROR(__xludf.DUMMYFUNCTION("""COMPUTED_VALUE"""),45817)</f>
        <v>45817</v>
      </c>
      <c r="S41" s="44">
        <f ca="1">IFERROR(__xludf.DUMMYFUNCTION("""COMPUTED_VALUE"""),45876)</f>
        <v>45876</v>
      </c>
      <c r="T41" s="45" t="str">
        <f ca="1">IFERROR(__xludf.DUMMYFUNCTION("""COMPUTED_VALUE"""),"Mississauga, ON, CA")</f>
        <v>Mississauga, ON, CA</v>
      </c>
      <c r="U41" s="45"/>
      <c r="V41" s="45"/>
      <c r="W41" s="45"/>
      <c r="X41" s="45"/>
      <c r="Y41" s="46">
        <f ca="1">IFERROR(__xludf.DUMMYFUNCTION("""COMPUTED_VALUE"""),45825)</f>
        <v>45825</v>
      </c>
      <c r="Z41" s="46">
        <f ca="1">IFERROR(__xludf.DUMMYFUNCTION("""COMPUTED_VALUE"""),45854)</f>
        <v>45854</v>
      </c>
      <c r="AA41" s="46">
        <f ca="1">IFERROR(__xludf.DUMMYFUNCTION("""COMPUTED_VALUE"""),45867)</f>
        <v>45867</v>
      </c>
      <c r="AB41" s="45" t="str">
        <f ca="1">IFERROR(__xludf.DUMMYFUNCTION("""COMPUTED_VALUE"""),"3500 Argentia Road")</f>
        <v>3500 Argentia Road</v>
      </c>
      <c r="AC41" s="45"/>
      <c r="AD41" s="45" t="str">
        <f ca="1">IFERROR(__xludf.DUMMYFUNCTION("""COMPUTED_VALUE"""),"OCEAN")</f>
        <v>OCEAN</v>
      </c>
      <c r="AE41" s="45" t="str">
        <f ca="1">IFERROR(__xludf.DUMMYFUNCTION("""COMPUTED_VALUE"""),"N")</f>
        <v>N</v>
      </c>
      <c r="AF41" s="45"/>
      <c r="AG41" s="49" t="str">
        <f ca="1">IFERROR(__xludf.DUMMYFUNCTION("IFNA(vlookup(H41,IMPORTRANGE(""1vUGwO1n0QQGx9kKbO0_M5gmuhXZ6-LaxQxgrmJnzgP0"",""'TP# look up'!A:C""),3,0),"""")"),"")</f>
        <v/>
      </c>
      <c r="AH41" s="49" t="str">
        <f t="shared" ca="1" si="0"/>
        <v>LW</v>
      </c>
    </row>
    <row r="42" spans="1:34" ht="12.75" hidden="1">
      <c r="A42" s="45" t="str">
        <f ca="1">IFERROR(__xludf.DUMMYFUNCTION("""COMPUTED_VALUE"""),"Colombo")</f>
        <v>Colombo</v>
      </c>
      <c r="B42" s="45"/>
      <c r="C42" s="45">
        <f ca="1">IFERROR(__xludf.DUMMYFUNCTION("""COMPUTED_VALUE"""),3231352)</f>
        <v>3231352</v>
      </c>
      <c r="D42" s="45"/>
      <c r="E42" s="45" t="str">
        <f ca="1">IFERROR(__xludf.DUMMYFUNCTION("""COMPUTED_VALUE"""),"CFS")</f>
        <v>CFS</v>
      </c>
      <c r="F42" s="45" t="str">
        <f ca="1">IFERROR(__xludf.DUMMYFUNCTION("""COMPUTED_VALUE"""),"MAS AMITY PTE LTD")</f>
        <v>MAS AMITY PTE LTD</v>
      </c>
      <c r="G42" s="45" t="str">
        <f ca="1">IFERROR(__xludf.DUMMYFUNCTION("""COMPUTED_VALUE"""),"MAS Active(Pvt) Ltd – CONTOURLINE")</f>
        <v>MAS Active(Pvt) Ltd – CONTOURLINE</v>
      </c>
      <c r="H42" s="43">
        <f ca="1">IFERROR(__xludf.DUMMYFUNCTION("""COMPUTED_VALUE"""),450939644084)</f>
        <v>450939644084</v>
      </c>
      <c r="I42" s="45">
        <f ca="1">IFERROR(__xludf.DUMMYFUNCTION("""COMPUTED_VALUE"""),19905274)</f>
        <v>19905274</v>
      </c>
      <c r="J42" s="45" t="str">
        <f ca="1">IFERROR(__xludf.DUMMYFUNCTION("""COMPUTED_VALUE"""),"LW5EPSS")</f>
        <v>LW5EPSS</v>
      </c>
      <c r="K42" s="45" t="str">
        <f ca="1">IFERROR(__xludf.DUMMYFUNCTION("""COMPUTED_VALUE"""),"LW5EPSS-068585")</f>
        <v>LW5EPSS-068585</v>
      </c>
      <c r="L42" s="45">
        <f ca="1">IFERROR(__xludf.DUMMYFUNCTION("""COMPUTED_VALUE"""),8)</f>
        <v>8</v>
      </c>
      <c r="M42" s="45">
        <f ca="1">IFERROR(__xludf.DUMMYFUNCTION("""COMPUTED_VALUE"""),424)</f>
        <v>424</v>
      </c>
      <c r="N42" s="45">
        <f ca="1">IFERROR(__xludf.DUMMYFUNCTION("""COMPUTED_VALUE"""),95.337)</f>
        <v>95.337000000000003</v>
      </c>
      <c r="O42" s="45">
        <f ca="1">IFERROR(__xludf.DUMMYFUNCTION("""COMPUTED_VALUE"""),0.553)</f>
        <v>0.55300000000000005</v>
      </c>
      <c r="P42" s="45" t="str">
        <f ca="1">IFERROR(__xludf.DUMMYFUNCTION("""COMPUTED_VALUE"""),"Colombo, LK")</f>
        <v>Colombo, LK</v>
      </c>
      <c r="Q42" s="45" t="str">
        <f ca="1">IFERROR(__xludf.DUMMYFUNCTION("""COMPUTED_VALUE"""),"New York, NY, US")</f>
        <v>New York, NY, US</v>
      </c>
      <c r="R42" s="44">
        <f ca="1">IFERROR(__xludf.DUMMYFUNCTION("""COMPUTED_VALUE"""),45817)</f>
        <v>45817</v>
      </c>
      <c r="S42" s="44">
        <f ca="1">IFERROR(__xludf.DUMMYFUNCTION("""COMPUTED_VALUE"""),45876)</f>
        <v>45876</v>
      </c>
      <c r="T42" s="45" t="str">
        <f ca="1">IFERROR(__xludf.DUMMYFUNCTION("""COMPUTED_VALUE"""),"Mississauga, ON, CA")</f>
        <v>Mississauga, ON, CA</v>
      </c>
      <c r="U42" s="45"/>
      <c r="V42" s="45"/>
      <c r="W42" s="45"/>
      <c r="X42" s="45"/>
      <c r="Y42" s="46">
        <f ca="1">IFERROR(__xludf.DUMMYFUNCTION("""COMPUTED_VALUE"""),45825)</f>
        <v>45825</v>
      </c>
      <c r="Z42" s="46">
        <f ca="1">IFERROR(__xludf.DUMMYFUNCTION("""COMPUTED_VALUE"""),45854)</f>
        <v>45854</v>
      </c>
      <c r="AA42" s="46">
        <f ca="1">IFERROR(__xludf.DUMMYFUNCTION("""COMPUTED_VALUE"""),45867)</f>
        <v>45867</v>
      </c>
      <c r="AB42" s="45" t="str">
        <f ca="1">IFERROR(__xludf.DUMMYFUNCTION("""COMPUTED_VALUE"""),"3500 Argentia Road")</f>
        <v>3500 Argentia Road</v>
      </c>
      <c r="AC42" s="45"/>
      <c r="AD42" s="45" t="str">
        <f ca="1">IFERROR(__xludf.DUMMYFUNCTION("""COMPUTED_VALUE"""),"OCEAN")</f>
        <v>OCEAN</v>
      </c>
      <c r="AE42" s="45" t="str">
        <f ca="1">IFERROR(__xludf.DUMMYFUNCTION("""COMPUTED_VALUE"""),"N")</f>
        <v>N</v>
      </c>
      <c r="AF42" s="45"/>
      <c r="AG42" s="49" t="str">
        <f ca="1">IFERROR(__xludf.DUMMYFUNCTION("IFNA(vlookup(H42,IMPORTRANGE(""1vUGwO1n0QQGx9kKbO0_M5gmuhXZ6-LaxQxgrmJnzgP0"",""'TP# look up'!A:C""),3,0),"""")"),"")</f>
        <v/>
      </c>
      <c r="AH42" s="49" t="str">
        <f t="shared" ca="1" si="0"/>
        <v>LW</v>
      </c>
    </row>
    <row r="43" spans="1:34" ht="12.75" hidden="1">
      <c r="A43" s="45" t="str">
        <f ca="1">IFERROR(__xludf.DUMMYFUNCTION("""COMPUTED_VALUE"""),"Colombo")</f>
        <v>Colombo</v>
      </c>
      <c r="B43" s="45"/>
      <c r="C43" s="45">
        <f ca="1">IFERROR(__xludf.DUMMYFUNCTION("""COMPUTED_VALUE"""),3231352)</f>
        <v>3231352</v>
      </c>
      <c r="D43" s="45"/>
      <c r="E43" s="45" t="str">
        <f ca="1">IFERROR(__xludf.DUMMYFUNCTION("""COMPUTED_VALUE"""),"CFS")</f>
        <v>CFS</v>
      </c>
      <c r="F43" s="45" t="str">
        <f ca="1">IFERROR(__xludf.DUMMYFUNCTION("""COMPUTED_VALUE"""),"MAS AMITY PTE LTD")</f>
        <v>MAS AMITY PTE LTD</v>
      </c>
      <c r="G43" s="45" t="str">
        <f ca="1">IFERROR(__xludf.DUMMYFUNCTION("""COMPUTED_VALUE"""),"MAS Active(Pvt) Ltd – CONTOURLINE")</f>
        <v>MAS Active(Pvt) Ltd – CONTOURLINE</v>
      </c>
      <c r="H43" s="43">
        <f ca="1">IFERROR(__xludf.DUMMYFUNCTION("""COMPUTED_VALUE"""),450941935646)</f>
        <v>450941935646</v>
      </c>
      <c r="I43" s="45">
        <f ca="1">IFERROR(__xludf.DUMMYFUNCTION("""COMPUTED_VALUE"""),19925116)</f>
        <v>19925116</v>
      </c>
      <c r="J43" s="45" t="str">
        <f ca="1">IFERROR(__xludf.DUMMYFUNCTION("""COMPUTED_VALUE"""),"LW5ENMS")</f>
        <v>LW5ENMS</v>
      </c>
      <c r="K43" s="45" t="str">
        <f ca="1">IFERROR(__xludf.DUMMYFUNCTION("""COMPUTED_VALUE"""),"LW5ENMS-070108")</f>
        <v>LW5ENMS-070108</v>
      </c>
      <c r="L43" s="45">
        <f ca="1">IFERROR(__xludf.DUMMYFUNCTION("""COMPUTED_VALUE"""),8)</f>
        <v>8</v>
      </c>
      <c r="M43" s="45">
        <f ca="1">IFERROR(__xludf.DUMMYFUNCTION("""COMPUTED_VALUE"""),325)</f>
        <v>325</v>
      </c>
      <c r="N43" s="45">
        <f ca="1">IFERROR(__xludf.DUMMYFUNCTION("""COMPUTED_VALUE"""),93.265)</f>
        <v>93.265000000000001</v>
      </c>
      <c r="O43" s="45">
        <f ca="1">IFERROR(__xludf.DUMMYFUNCTION("""COMPUTED_VALUE"""),0.513)</f>
        <v>0.51300000000000001</v>
      </c>
      <c r="P43" s="45" t="str">
        <f ca="1">IFERROR(__xludf.DUMMYFUNCTION("""COMPUTED_VALUE"""),"Colombo, LK")</f>
        <v>Colombo, LK</v>
      </c>
      <c r="Q43" s="45" t="str">
        <f ca="1">IFERROR(__xludf.DUMMYFUNCTION("""COMPUTED_VALUE"""),"New York, NY, US")</f>
        <v>New York, NY, US</v>
      </c>
      <c r="R43" s="44">
        <f ca="1">IFERROR(__xludf.DUMMYFUNCTION("""COMPUTED_VALUE"""),45817)</f>
        <v>45817</v>
      </c>
      <c r="S43" s="44">
        <f ca="1">IFERROR(__xludf.DUMMYFUNCTION("""COMPUTED_VALUE"""),45876)</f>
        <v>45876</v>
      </c>
      <c r="T43" s="45" t="str">
        <f ca="1">IFERROR(__xludf.DUMMYFUNCTION("""COMPUTED_VALUE"""),"Mississauga, ON, CA")</f>
        <v>Mississauga, ON, CA</v>
      </c>
      <c r="U43" s="45"/>
      <c r="V43" s="45"/>
      <c r="W43" s="45"/>
      <c r="X43" s="45"/>
      <c r="Y43" s="46">
        <f ca="1">IFERROR(__xludf.DUMMYFUNCTION("""COMPUTED_VALUE"""),45825)</f>
        <v>45825</v>
      </c>
      <c r="Z43" s="46">
        <f ca="1">IFERROR(__xludf.DUMMYFUNCTION("""COMPUTED_VALUE"""),45854)</f>
        <v>45854</v>
      </c>
      <c r="AA43" s="46">
        <f ca="1">IFERROR(__xludf.DUMMYFUNCTION("""COMPUTED_VALUE"""),45867)</f>
        <v>45867</v>
      </c>
      <c r="AB43" s="45" t="str">
        <f ca="1">IFERROR(__xludf.DUMMYFUNCTION("""COMPUTED_VALUE"""),"3500 Argentia Road")</f>
        <v>3500 Argentia Road</v>
      </c>
      <c r="AC43" s="45"/>
      <c r="AD43" s="45" t="str">
        <f ca="1">IFERROR(__xludf.DUMMYFUNCTION("""COMPUTED_VALUE"""),"OCEAN")</f>
        <v>OCEAN</v>
      </c>
      <c r="AE43" s="45" t="str">
        <f ca="1">IFERROR(__xludf.DUMMYFUNCTION("""COMPUTED_VALUE"""),"N")</f>
        <v>N</v>
      </c>
      <c r="AF43" s="45"/>
      <c r="AG43" s="49" t="str">
        <f ca="1">IFERROR(__xludf.DUMMYFUNCTION("IFNA(vlookup(H43,IMPORTRANGE(""1vUGwO1n0QQGx9kKbO0_M5gmuhXZ6-LaxQxgrmJnzgP0"",""'TP# look up'!A:C""),3,0),"""")"),"")</f>
        <v/>
      </c>
      <c r="AH43" s="49" t="str">
        <f t="shared" ca="1" si="0"/>
        <v>LW</v>
      </c>
    </row>
    <row r="44" spans="1:34" ht="12.75" hidden="1">
      <c r="A44" s="45" t="str">
        <f ca="1">IFERROR(__xludf.DUMMYFUNCTION("""COMPUTED_VALUE"""),"Colombo")</f>
        <v>Colombo</v>
      </c>
      <c r="B44" s="45"/>
      <c r="C44" s="45">
        <f ca="1">IFERROR(__xludf.DUMMYFUNCTION("""COMPUTED_VALUE"""),3231352)</f>
        <v>3231352</v>
      </c>
      <c r="D44" s="45"/>
      <c r="E44" s="45" t="str">
        <f ca="1">IFERROR(__xludf.DUMMYFUNCTION("""COMPUTED_VALUE"""),"CFS")</f>
        <v>CFS</v>
      </c>
      <c r="F44" s="45" t="str">
        <f ca="1">IFERROR(__xludf.DUMMYFUNCTION("""COMPUTED_VALUE"""),"MAS AMITY PTE LTD")</f>
        <v>MAS AMITY PTE LTD</v>
      </c>
      <c r="G44" s="45" t="str">
        <f ca="1">IFERROR(__xludf.DUMMYFUNCTION("""COMPUTED_VALUE"""),"MAS Active(Pvt) Ltd – CONTOURLINE")</f>
        <v>MAS Active(Pvt) Ltd – CONTOURLINE</v>
      </c>
      <c r="H44" s="43">
        <f ca="1">IFERROR(__xludf.DUMMYFUNCTION("""COMPUTED_VALUE"""),450941936244)</f>
        <v>450941936244</v>
      </c>
      <c r="I44" s="45">
        <f ca="1">IFERROR(__xludf.DUMMYFUNCTION("""COMPUTED_VALUE"""),19920916)</f>
        <v>19920916</v>
      </c>
      <c r="J44" s="45" t="str">
        <f ca="1">IFERROR(__xludf.DUMMYFUNCTION("""COMPUTED_VALUE"""),"LM3FBSS")</f>
        <v>LM3FBSS</v>
      </c>
      <c r="K44" s="45" t="str">
        <f ca="1">IFERROR(__xludf.DUMMYFUNCTION("""COMPUTED_VALUE"""),"LM3FBSS-070108")</f>
        <v>LM3FBSS-070108</v>
      </c>
      <c r="L44" s="45">
        <f ca="1">IFERROR(__xludf.DUMMYFUNCTION("""COMPUTED_VALUE"""),6)</f>
        <v>6</v>
      </c>
      <c r="M44" s="45">
        <f ca="1">IFERROR(__xludf.DUMMYFUNCTION("""COMPUTED_VALUE"""),216)</f>
        <v>216</v>
      </c>
      <c r="N44" s="45">
        <f ca="1">IFERROR(__xludf.DUMMYFUNCTION("""COMPUTED_VALUE"""),74.973)</f>
        <v>74.972999999999999</v>
      </c>
      <c r="O44" s="45">
        <f ca="1">IFERROR(__xludf.DUMMYFUNCTION("""COMPUTED_VALUE"""),0.474)</f>
        <v>0.47399999999999998</v>
      </c>
      <c r="P44" s="45" t="str">
        <f ca="1">IFERROR(__xludf.DUMMYFUNCTION("""COMPUTED_VALUE"""),"Colombo, LK")</f>
        <v>Colombo, LK</v>
      </c>
      <c r="Q44" s="45" t="str">
        <f ca="1">IFERROR(__xludf.DUMMYFUNCTION("""COMPUTED_VALUE"""),"New York, NY, US")</f>
        <v>New York, NY, US</v>
      </c>
      <c r="R44" s="44">
        <f ca="1">IFERROR(__xludf.DUMMYFUNCTION("""COMPUTED_VALUE"""),45817)</f>
        <v>45817</v>
      </c>
      <c r="S44" s="44">
        <f ca="1">IFERROR(__xludf.DUMMYFUNCTION("""COMPUTED_VALUE"""),45876)</f>
        <v>45876</v>
      </c>
      <c r="T44" s="45" t="str">
        <f ca="1">IFERROR(__xludf.DUMMYFUNCTION("""COMPUTED_VALUE"""),"Mississauga, ON, CA")</f>
        <v>Mississauga, ON, CA</v>
      </c>
      <c r="U44" s="45"/>
      <c r="V44" s="45"/>
      <c r="W44" s="45"/>
      <c r="X44" s="45"/>
      <c r="Y44" s="46">
        <f ca="1">IFERROR(__xludf.DUMMYFUNCTION("""COMPUTED_VALUE"""),45825)</f>
        <v>45825</v>
      </c>
      <c r="Z44" s="46">
        <f ca="1">IFERROR(__xludf.DUMMYFUNCTION("""COMPUTED_VALUE"""),45854)</f>
        <v>45854</v>
      </c>
      <c r="AA44" s="46">
        <f ca="1">IFERROR(__xludf.DUMMYFUNCTION("""COMPUTED_VALUE"""),45867)</f>
        <v>45867</v>
      </c>
      <c r="AB44" s="45" t="str">
        <f ca="1">IFERROR(__xludf.DUMMYFUNCTION("""COMPUTED_VALUE"""),"3500 Argentia Road")</f>
        <v>3500 Argentia Road</v>
      </c>
      <c r="AC44" s="45"/>
      <c r="AD44" s="45" t="str">
        <f ca="1">IFERROR(__xludf.DUMMYFUNCTION("""COMPUTED_VALUE"""),"OCEAN")</f>
        <v>OCEAN</v>
      </c>
      <c r="AE44" s="45" t="str">
        <f ca="1">IFERROR(__xludf.DUMMYFUNCTION("""COMPUTED_VALUE"""),"N")</f>
        <v>N</v>
      </c>
      <c r="AF44" s="45"/>
      <c r="AG44" s="49" t="str">
        <f ca="1">IFERROR(__xludf.DUMMYFUNCTION("IFNA(vlookup(H44,IMPORTRANGE(""1vUGwO1n0QQGx9kKbO0_M5gmuhXZ6-LaxQxgrmJnzgP0"",""'TP# look up'!A:C""),3,0),"""")"),"")</f>
        <v/>
      </c>
      <c r="AH44" s="49" t="str">
        <f t="shared" ca="1" si="0"/>
        <v>LM</v>
      </c>
    </row>
    <row r="45" spans="1:34" ht="12.75" hidden="1">
      <c r="A45" s="45" t="str">
        <f ca="1">IFERROR(__xludf.DUMMYFUNCTION("""COMPUTED_VALUE"""),"Colombo")</f>
        <v>Colombo</v>
      </c>
      <c r="B45" s="45"/>
      <c r="C45" s="45">
        <f ca="1">IFERROR(__xludf.DUMMYFUNCTION("""COMPUTED_VALUE"""),3231352)</f>
        <v>3231352</v>
      </c>
      <c r="D45" s="45"/>
      <c r="E45" s="45" t="str">
        <f ca="1">IFERROR(__xludf.DUMMYFUNCTION("""COMPUTED_VALUE"""),"CFS")</f>
        <v>CFS</v>
      </c>
      <c r="F45" s="45" t="str">
        <f ca="1">IFERROR(__xludf.DUMMYFUNCTION("""COMPUTED_VALUE"""),"MAS AMITY PTE LTD")</f>
        <v>MAS AMITY PTE LTD</v>
      </c>
      <c r="G45" s="45" t="str">
        <f ca="1">IFERROR(__xludf.DUMMYFUNCTION("""COMPUTED_VALUE"""),"MAS Active(Pvt) Ltd – CONTOURLINE")</f>
        <v>MAS Active(Pvt) Ltd – CONTOURLINE</v>
      </c>
      <c r="H45" s="43">
        <f ca="1">IFERROR(__xludf.DUMMYFUNCTION("""COMPUTED_VALUE"""),450943948873)</f>
        <v>450943948873</v>
      </c>
      <c r="I45" s="45">
        <f ca="1">IFERROR(__xludf.DUMMYFUNCTION("""COMPUTED_VALUE"""),19925327)</f>
        <v>19925327</v>
      </c>
      <c r="J45" s="45" t="str">
        <f ca="1">IFERROR(__xludf.DUMMYFUNCTION("""COMPUTED_VALUE"""),"LW5ENMS")</f>
        <v>LW5ENMS</v>
      </c>
      <c r="K45" s="45" t="str">
        <f ca="1">IFERROR(__xludf.DUMMYFUNCTION("""COMPUTED_VALUE"""),"LW5ENMS-049106")</f>
        <v>LW5ENMS-049106</v>
      </c>
      <c r="L45" s="45">
        <f ca="1">IFERROR(__xludf.DUMMYFUNCTION("""COMPUTED_VALUE"""),10)</f>
        <v>10</v>
      </c>
      <c r="M45" s="45">
        <f ca="1">IFERROR(__xludf.DUMMYFUNCTION("""COMPUTED_VALUE"""),474)</f>
        <v>474</v>
      </c>
      <c r="N45" s="45">
        <f ca="1">IFERROR(__xludf.DUMMYFUNCTION("""COMPUTED_VALUE"""),135.18)</f>
        <v>135.18</v>
      </c>
      <c r="O45" s="45">
        <f ca="1">IFERROR(__xludf.DUMMYFUNCTION("""COMPUTED_VALUE"""),0.75)</f>
        <v>0.75</v>
      </c>
      <c r="P45" s="45" t="str">
        <f ca="1">IFERROR(__xludf.DUMMYFUNCTION("""COMPUTED_VALUE"""),"Colombo, LK")</f>
        <v>Colombo, LK</v>
      </c>
      <c r="Q45" s="45" t="str">
        <f ca="1">IFERROR(__xludf.DUMMYFUNCTION("""COMPUTED_VALUE"""),"New York, NY, US")</f>
        <v>New York, NY, US</v>
      </c>
      <c r="R45" s="44">
        <f ca="1">IFERROR(__xludf.DUMMYFUNCTION("""COMPUTED_VALUE"""),45817)</f>
        <v>45817</v>
      </c>
      <c r="S45" s="44">
        <f ca="1">IFERROR(__xludf.DUMMYFUNCTION("""COMPUTED_VALUE"""),45876)</f>
        <v>45876</v>
      </c>
      <c r="T45" s="45" t="str">
        <f ca="1">IFERROR(__xludf.DUMMYFUNCTION("""COMPUTED_VALUE"""),"Mississauga, ON, CA")</f>
        <v>Mississauga, ON, CA</v>
      </c>
      <c r="U45" s="45"/>
      <c r="V45" s="45"/>
      <c r="W45" s="45"/>
      <c r="X45" s="45"/>
      <c r="Y45" s="46">
        <f ca="1">IFERROR(__xludf.DUMMYFUNCTION("""COMPUTED_VALUE"""),45825)</f>
        <v>45825</v>
      </c>
      <c r="Z45" s="46">
        <f ca="1">IFERROR(__xludf.DUMMYFUNCTION("""COMPUTED_VALUE"""),45854)</f>
        <v>45854</v>
      </c>
      <c r="AA45" s="46">
        <f ca="1">IFERROR(__xludf.DUMMYFUNCTION("""COMPUTED_VALUE"""),45867)</f>
        <v>45867</v>
      </c>
      <c r="AB45" s="45" t="str">
        <f ca="1">IFERROR(__xludf.DUMMYFUNCTION("""COMPUTED_VALUE"""),"3500 Argentia Road")</f>
        <v>3500 Argentia Road</v>
      </c>
      <c r="AC45" s="45"/>
      <c r="AD45" s="45" t="str">
        <f ca="1">IFERROR(__xludf.DUMMYFUNCTION("""COMPUTED_VALUE"""),"OCEAN")</f>
        <v>OCEAN</v>
      </c>
      <c r="AE45" s="45" t="str">
        <f ca="1">IFERROR(__xludf.DUMMYFUNCTION("""COMPUTED_VALUE"""),"N")</f>
        <v>N</v>
      </c>
      <c r="AF45" s="45"/>
      <c r="AG45" s="49" t="str">
        <f ca="1">IFERROR(__xludf.DUMMYFUNCTION("IFNA(vlookup(H45,IMPORTRANGE(""1vUGwO1n0QQGx9kKbO0_M5gmuhXZ6-LaxQxgrmJnzgP0"",""'TP# look up'!A:C""),3,0),"""")"),"")</f>
        <v/>
      </c>
      <c r="AH45" s="49" t="str">
        <f t="shared" ca="1" si="0"/>
        <v>LW</v>
      </c>
    </row>
    <row r="46" spans="1:34" ht="12.75" hidden="1">
      <c r="A46" s="45" t="str">
        <f ca="1">IFERROR(__xludf.DUMMYFUNCTION("""COMPUTED_VALUE"""),"Colombo")</f>
        <v>Colombo</v>
      </c>
      <c r="B46" s="45"/>
      <c r="C46" s="45">
        <f ca="1">IFERROR(__xludf.DUMMYFUNCTION("""COMPUTED_VALUE"""),3231352)</f>
        <v>3231352</v>
      </c>
      <c r="D46" s="45"/>
      <c r="E46" s="45" t="str">
        <f ca="1">IFERROR(__xludf.DUMMYFUNCTION("""COMPUTED_VALUE"""),"CFS")</f>
        <v>CFS</v>
      </c>
      <c r="F46" s="45" t="str">
        <f ca="1">IFERROR(__xludf.DUMMYFUNCTION("""COMPUTED_VALUE"""),"MAS AMITY PTE LTD")</f>
        <v>MAS AMITY PTE LTD</v>
      </c>
      <c r="G46" s="45" t="str">
        <f ca="1">IFERROR(__xludf.DUMMYFUNCTION("""COMPUTED_VALUE"""),"MAS Active(Pvt) Ltd – CONTOURLINE")</f>
        <v>MAS Active(Pvt) Ltd – CONTOURLINE</v>
      </c>
      <c r="H46" s="43">
        <f ca="1">IFERROR(__xludf.DUMMYFUNCTION("""COMPUTED_VALUE"""),450943948957)</f>
        <v>450943948957</v>
      </c>
      <c r="I46" s="45">
        <f ca="1">IFERROR(__xludf.DUMMYFUNCTION("""COMPUTED_VALUE"""),19925328)</f>
        <v>19925328</v>
      </c>
      <c r="J46" s="45" t="str">
        <f ca="1">IFERROR(__xludf.DUMMYFUNCTION("""COMPUTED_VALUE"""),"LW5ENMS")</f>
        <v>LW5ENMS</v>
      </c>
      <c r="K46" s="45" t="str">
        <f ca="1">IFERROR(__xludf.DUMMYFUNCTION("""COMPUTED_VALUE"""),"LW5ENMS-049106")</f>
        <v>LW5ENMS-049106</v>
      </c>
      <c r="L46" s="45">
        <f ca="1">IFERROR(__xludf.DUMMYFUNCTION("""COMPUTED_VALUE"""),13)</f>
        <v>13</v>
      </c>
      <c r="M46" s="45">
        <f ca="1">IFERROR(__xludf.DUMMYFUNCTION("""COMPUTED_VALUE"""),568)</f>
        <v>568</v>
      </c>
      <c r="N46" s="45">
        <f ca="1">IFERROR(__xludf.DUMMYFUNCTION("""COMPUTED_VALUE"""),162.288)</f>
        <v>162.28800000000001</v>
      </c>
      <c r="O46" s="45">
        <f ca="1">IFERROR(__xludf.DUMMYFUNCTION("""COMPUTED_VALUE"""),0.869)</f>
        <v>0.86899999999999999</v>
      </c>
      <c r="P46" s="45" t="str">
        <f ca="1">IFERROR(__xludf.DUMMYFUNCTION("""COMPUTED_VALUE"""),"Colombo, LK")</f>
        <v>Colombo, LK</v>
      </c>
      <c r="Q46" s="45" t="str">
        <f ca="1">IFERROR(__xludf.DUMMYFUNCTION("""COMPUTED_VALUE"""),"New York, NY, US")</f>
        <v>New York, NY, US</v>
      </c>
      <c r="R46" s="44">
        <f ca="1">IFERROR(__xludf.DUMMYFUNCTION("""COMPUTED_VALUE"""),45817)</f>
        <v>45817</v>
      </c>
      <c r="S46" s="44">
        <f ca="1">IFERROR(__xludf.DUMMYFUNCTION("""COMPUTED_VALUE"""),45876)</f>
        <v>45876</v>
      </c>
      <c r="T46" s="45" t="str">
        <f ca="1">IFERROR(__xludf.DUMMYFUNCTION("""COMPUTED_VALUE"""),"Mississauga, ON, CA")</f>
        <v>Mississauga, ON, CA</v>
      </c>
      <c r="U46" s="45"/>
      <c r="V46" s="45"/>
      <c r="W46" s="45"/>
      <c r="X46" s="45"/>
      <c r="Y46" s="46">
        <f ca="1">IFERROR(__xludf.DUMMYFUNCTION("""COMPUTED_VALUE"""),45825)</f>
        <v>45825</v>
      </c>
      <c r="Z46" s="46">
        <f ca="1">IFERROR(__xludf.DUMMYFUNCTION("""COMPUTED_VALUE"""),45854)</f>
        <v>45854</v>
      </c>
      <c r="AA46" s="46">
        <f ca="1">IFERROR(__xludf.DUMMYFUNCTION("""COMPUTED_VALUE"""),45867)</f>
        <v>45867</v>
      </c>
      <c r="AB46" s="45" t="str">
        <f ca="1">IFERROR(__xludf.DUMMYFUNCTION("""COMPUTED_VALUE"""),"3500 Argentia Road")</f>
        <v>3500 Argentia Road</v>
      </c>
      <c r="AC46" s="45"/>
      <c r="AD46" s="45" t="str">
        <f ca="1">IFERROR(__xludf.DUMMYFUNCTION("""COMPUTED_VALUE"""),"OCEAN")</f>
        <v>OCEAN</v>
      </c>
      <c r="AE46" s="45" t="str">
        <f ca="1">IFERROR(__xludf.DUMMYFUNCTION("""COMPUTED_VALUE"""),"N")</f>
        <v>N</v>
      </c>
      <c r="AF46" s="45"/>
      <c r="AG46" s="49" t="str">
        <f ca="1">IFERROR(__xludf.DUMMYFUNCTION("IFNA(vlookup(H46,IMPORTRANGE(""1vUGwO1n0QQGx9kKbO0_M5gmuhXZ6-LaxQxgrmJnzgP0"",""'TP# look up'!A:C""),3,0),"""")"),"")</f>
        <v/>
      </c>
      <c r="AH46" s="49" t="str">
        <f t="shared" ca="1" si="0"/>
        <v>LW</v>
      </c>
    </row>
    <row r="47" spans="1:34" ht="12.75" hidden="1">
      <c r="A47" s="45" t="str">
        <f ca="1">IFERROR(__xludf.DUMMYFUNCTION("""COMPUTED_VALUE"""),"Colombo")</f>
        <v>Colombo</v>
      </c>
      <c r="B47" s="45"/>
      <c r="C47" s="45">
        <f ca="1">IFERROR(__xludf.DUMMYFUNCTION("""COMPUTED_VALUE"""),3231352)</f>
        <v>3231352</v>
      </c>
      <c r="D47" s="45"/>
      <c r="E47" s="45" t="str">
        <f ca="1">IFERROR(__xludf.DUMMYFUNCTION("""COMPUTED_VALUE"""),"CFS")</f>
        <v>CFS</v>
      </c>
      <c r="F47" s="45" t="str">
        <f ca="1">IFERROR(__xludf.DUMMYFUNCTION("""COMPUTED_VALUE"""),"MAS AMITY PTE LTD")</f>
        <v>MAS AMITY PTE LTD</v>
      </c>
      <c r="G47" s="45" t="str">
        <f ca="1">IFERROR(__xludf.DUMMYFUNCTION("""COMPUTED_VALUE"""),"MAS Active(Pvt) Ltd – CONTOURLINE")</f>
        <v>MAS Active(Pvt) Ltd – CONTOURLINE</v>
      </c>
      <c r="H47" s="43">
        <f ca="1">IFERROR(__xludf.DUMMYFUNCTION("""COMPUTED_VALUE"""),450944938609)</f>
        <v>450944938609</v>
      </c>
      <c r="I47" s="45">
        <f ca="1">IFERROR(__xludf.DUMMYFUNCTION("""COMPUTED_VALUE"""),19920813)</f>
        <v>19920813</v>
      </c>
      <c r="J47" s="45" t="str">
        <f ca="1">IFERROR(__xludf.DUMMYFUNCTION("""COMPUTED_VALUE"""),"LW5EPSS")</f>
        <v>LW5EPSS</v>
      </c>
      <c r="K47" s="45" t="str">
        <f ca="1">IFERROR(__xludf.DUMMYFUNCTION("""COMPUTED_VALUE"""),"LW5EPSS-071168")</f>
        <v>LW5EPSS-071168</v>
      </c>
      <c r="L47" s="45">
        <f ca="1">IFERROR(__xludf.DUMMYFUNCTION("""COMPUTED_VALUE"""),7)</f>
        <v>7</v>
      </c>
      <c r="M47" s="45">
        <f ca="1">IFERROR(__xludf.DUMMYFUNCTION("""COMPUTED_VALUE"""),325)</f>
        <v>325</v>
      </c>
      <c r="N47" s="45">
        <f ca="1">IFERROR(__xludf.DUMMYFUNCTION("""COMPUTED_VALUE"""),73.424)</f>
        <v>73.424000000000007</v>
      </c>
      <c r="O47" s="45">
        <f ca="1">IFERROR(__xludf.DUMMYFUNCTION("""COMPUTED_VALUE"""),0.395)</f>
        <v>0.39500000000000002</v>
      </c>
      <c r="P47" s="45" t="str">
        <f ca="1">IFERROR(__xludf.DUMMYFUNCTION("""COMPUTED_VALUE"""),"Colombo, LK")</f>
        <v>Colombo, LK</v>
      </c>
      <c r="Q47" s="45" t="str">
        <f ca="1">IFERROR(__xludf.DUMMYFUNCTION("""COMPUTED_VALUE"""),"New York, NY, US")</f>
        <v>New York, NY, US</v>
      </c>
      <c r="R47" s="44">
        <f ca="1">IFERROR(__xludf.DUMMYFUNCTION("""COMPUTED_VALUE"""),45817)</f>
        <v>45817</v>
      </c>
      <c r="S47" s="44">
        <f ca="1">IFERROR(__xludf.DUMMYFUNCTION("""COMPUTED_VALUE"""),45876)</f>
        <v>45876</v>
      </c>
      <c r="T47" s="45" t="str">
        <f ca="1">IFERROR(__xludf.DUMMYFUNCTION("""COMPUTED_VALUE"""),"Mississauga, ON, CA")</f>
        <v>Mississauga, ON, CA</v>
      </c>
      <c r="U47" s="45"/>
      <c r="V47" s="45"/>
      <c r="W47" s="45"/>
      <c r="X47" s="45"/>
      <c r="Y47" s="46">
        <f ca="1">IFERROR(__xludf.DUMMYFUNCTION("""COMPUTED_VALUE"""),45825)</f>
        <v>45825</v>
      </c>
      <c r="Z47" s="46">
        <f ca="1">IFERROR(__xludf.DUMMYFUNCTION("""COMPUTED_VALUE"""),45854)</f>
        <v>45854</v>
      </c>
      <c r="AA47" s="46">
        <f ca="1">IFERROR(__xludf.DUMMYFUNCTION("""COMPUTED_VALUE"""),45867)</f>
        <v>45867</v>
      </c>
      <c r="AB47" s="45" t="str">
        <f ca="1">IFERROR(__xludf.DUMMYFUNCTION("""COMPUTED_VALUE"""),"3500 Argentia Road")</f>
        <v>3500 Argentia Road</v>
      </c>
      <c r="AC47" s="45"/>
      <c r="AD47" s="45" t="str">
        <f ca="1">IFERROR(__xludf.DUMMYFUNCTION("""COMPUTED_VALUE"""),"OCEAN")</f>
        <v>OCEAN</v>
      </c>
      <c r="AE47" s="45" t="str">
        <f ca="1">IFERROR(__xludf.DUMMYFUNCTION("""COMPUTED_VALUE"""),"N")</f>
        <v>N</v>
      </c>
      <c r="AF47" s="45" t="str">
        <f ca="1">IFERROR(__xludf.DUMMYFUNCTION("""COMPUTED_VALUE"""),"Qty changed from 361 to 325.0, Volume changed from 0.474 to 0.395, Gross Volume changed from 0.474 to 0.395, Weight changed from 81.369 to 73.424, Gross Weight changed from 81.369 to 73.424")</f>
        <v>Qty changed from 361 to 325.0, Volume changed from 0.474 to 0.395, Gross Volume changed from 0.474 to 0.395, Weight changed from 81.369 to 73.424, Gross Weight changed from 81.369 to 73.424</v>
      </c>
      <c r="AG47" s="49" t="str">
        <f ca="1">IFERROR(__xludf.DUMMYFUNCTION("IFNA(vlookup(H47,IMPORTRANGE(""1vUGwO1n0QQGx9kKbO0_M5gmuhXZ6-LaxQxgrmJnzgP0"",""'TP# look up'!A:C""),3,0),"""")"),"")</f>
        <v/>
      </c>
      <c r="AH47" s="49" t="str">
        <f t="shared" ca="1" si="0"/>
        <v>LW</v>
      </c>
    </row>
    <row r="48" spans="1:34" ht="12.75" hidden="1">
      <c r="A48" s="45" t="str">
        <f ca="1">IFERROR(__xludf.DUMMYFUNCTION("""COMPUTED_VALUE"""),"Colombo")</f>
        <v>Colombo</v>
      </c>
      <c r="B48" s="45"/>
      <c r="C48" s="45">
        <f ca="1">IFERROR(__xludf.DUMMYFUNCTION("""COMPUTED_VALUE"""),3231352)</f>
        <v>3231352</v>
      </c>
      <c r="D48" s="45"/>
      <c r="E48" s="45" t="str">
        <f ca="1">IFERROR(__xludf.DUMMYFUNCTION("""COMPUTED_VALUE"""),"CFS")</f>
        <v>CFS</v>
      </c>
      <c r="F48" s="45" t="str">
        <f ca="1">IFERROR(__xludf.DUMMYFUNCTION("""COMPUTED_VALUE"""),"MAS AMITY PTE LTD")</f>
        <v>MAS AMITY PTE LTD</v>
      </c>
      <c r="G48" s="45" t="str">
        <f ca="1">IFERROR(__xludf.DUMMYFUNCTION("""COMPUTED_VALUE"""),"MAS Active(Pvt) Ltd – CONTOURLINE")</f>
        <v>MAS Active(Pvt) Ltd – CONTOURLINE</v>
      </c>
      <c r="H48" s="43">
        <f ca="1">IFERROR(__xludf.DUMMYFUNCTION("""COMPUTED_VALUE"""),450947455199)</f>
        <v>450947455199</v>
      </c>
      <c r="I48" s="45">
        <f ca="1">IFERROR(__xludf.DUMMYFUNCTION("""COMPUTED_VALUE"""),19920779)</f>
        <v>19920779</v>
      </c>
      <c r="J48" s="45" t="str">
        <f ca="1">IFERROR(__xludf.DUMMYFUNCTION("""COMPUTED_VALUE"""),"LM3FBSS")</f>
        <v>LM3FBSS</v>
      </c>
      <c r="K48" s="45" t="str">
        <f ca="1">IFERROR(__xludf.DUMMYFUNCTION("""COMPUTED_VALUE"""),"LM3FBSS-070108")</f>
        <v>LM3FBSS-070108</v>
      </c>
      <c r="L48" s="45">
        <f ca="1">IFERROR(__xludf.DUMMYFUNCTION("""COMPUTED_VALUE"""),2)</f>
        <v>2</v>
      </c>
      <c r="M48" s="45">
        <f ca="1">IFERROR(__xludf.DUMMYFUNCTION("""COMPUTED_VALUE"""),56)</f>
        <v>56</v>
      </c>
      <c r="N48" s="45">
        <f ca="1">IFERROR(__xludf.DUMMYFUNCTION("""COMPUTED_VALUE"""),19.489)</f>
        <v>19.489000000000001</v>
      </c>
      <c r="O48" s="45">
        <f ca="1">IFERROR(__xludf.DUMMYFUNCTION("""COMPUTED_VALUE"""),0.118)</f>
        <v>0.11799999999999999</v>
      </c>
      <c r="P48" s="45" t="str">
        <f ca="1">IFERROR(__xludf.DUMMYFUNCTION("""COMPUTED_VALUE"""),"Colombo, LK")</f>
        <v>Colombo, LK</v>
      </c>
      <c r="Q48" s="45" t="str">
        <f ca="1">IFERROR(__xludf.DUMMYFUNCTION("""COMPUTED_VALUE"""),"New York, NY, US")</f>
        <v>New York, NY, US</v>
      </c>
      <c r="R48" s="44">
        <f ca="1">IFERROR(__xludf.DUMMYFUNCTION("""COMPUTED_VALUE"""),45817)</f>
        <v>45817</v>
      </c>
      <c r="S48" s="44">
        <f ca="1">IFERROR(__xludf.DUMMYFUNCTION("""COMPUTED_VALUE"""),45876)</f>
        <v>45876</v>
      </c>
      <c r="T48" s="45" t="str">
        <f ca="1">IFERROR(__xludf.DUMMYFUNCTION("""COMPUTED_VALUE"""),"Mississauga, ON, CA")</f>
        <v>Mississauga, ON, CA</v>
      </c>
      <c r="U48" s="45"/>
      <c r="V48" s="45"/>
      <c r="W48" s="45"/>
      <c r="X48" s="45"/>
      <c r="Y48" s="46">
        <f ca="1">IFERROR(__xludf.DUMMYFUNCTION("""COMPUTED_VALUE"""),45825)</f>
        <v>45825</v>
      </c>
      <c r="Z48" s="46">
        <f ca="1">IFERROR(__xludf.DUMMYFUNCTION("""COMPUTED_VALUE"""),45854)</f>
        <v>45854</v>
      </c>
      <c r="AA48" s="46">
        <f ca="1">IFERROR(__xludf.DUMMYFUNCTION("""COMPUTED_VALUE"""),45867)</f>
        <v>45867</v>
      </c>
      <c r="AB48" s="45" t="str">
        <f ca="1">IFERROR(__xludf.DUMMYFUNCTION("""COMPUTED_VALUE"""),"3500 Argentia Road")</f>
        <v>3500 Argentia Road</v>
      </c>
      <c r="AC48" s="45"/>
      <c r="AD48" s="45" t="str">
        <f ca="1">IFERROR(__xludf.DUMMYFUNCTION("""COMPUTED_VALUE"""),"OCEAN")</f>
        <v>OCEAN</v>
      </c>
      <c r="AE48" s="45" t="str">
        <f ca="1">IFERROR(__xludf.DUMMYFUNCTION("""COMPUTED_VALUE"""),"N")</f>
        <v>N</v>
      </c>
      <c r="AF48" s="45"/>
      <c r="AG48" s="49" t="str">
        <f ca="1">IFERROR(__xludf.DUMMYFUNCTION("IFNA(vlookup(H48,IMPORTRANGE(""1vUGwO1n0QQGx9kKbO0_M5gmuhXZ6-LaxQxgrmJnzgP0"",""'TP# look up'!A:C""),3,0),"""")"),"")</f>
        <v/>
      </c>
      <c r="AH48" s="49" t="str">
        <f t="shared" ca="1" si="0"/>
        <v>LM</v>
      </c>
    </row>
    <row r="49" spans="1:34" ht="12.75" hidden="1">
      <c r="A49" s="45" t="str">
        <f ca="1">IFERROR(__xludf.DUMMYFUNCTION("""COMPUTED_VALUE"""),"Colombo")</f>
        <v>Colombo</v>
      </c>
      <c r="B49" s="45"/>
      <c r="C49" s="45">
        <f ca="1">IFERROR(__xludf.DUMMYFUNCTION("""COMPUTED_VALUE"""),3231352)</f>
        <v>3231352</v>
      </c>
      <c r="D49" s="45"/>
      <c r="E49" s="45" t="str">
        <f ca="1">IFERROR(__xludf.DUMMYFUNCTION("""COMPUTED_VALUE"""),"CFS")</f>
        <v>CFS</v>
      </c>
      <c r="F49" s="45" t="str">
        <f ca="1">IFERROR(__xludf.DUMMYFUNCTION("""COMPUTED_VALUE"""),"MAS AMITY PTE LTD")</f>
        <v>MAS AMITY PTE LTD</v>
      </c>
      <c r="G49" s="45" t="str">
        <f ca="1">IFERROR(__xludf.DUMMYFUNCTION("""COMPUTED_VALUE"""),"MAS Active(Pvt) Ltd – CONTOURLINE")</f>
        <v>MAS Active(Pvt) Ltd – CONTOURLINE</v>
      </c>
      <c r="H49" s="43">
        <f ca="1">IFERROR(__xludf.DUMMYFUNCTION("""COMPUTED_VALUE"""),450948675462)</f>
        <v>450948675462</v>
      </c>
      <c r="I49" s="45">
        <f ca="1">IFERROR(__xludf.DUMMYFUNCTION("""COMPUTED_VALUE"""),19890820)</f>
        <v>19890820</v>
      </c>
      <c r="J49" s="45" t="str">
        <f ca="1">IFERROR(__xludf.DUMMYFUNCTION("""COMPUTED_VALUE"""),"LW2EB3S")</f>
        <v>LW2EB3S</v>
      </c>
      <c r="K49" s="45" t="str">
        <f ca="1">IFERROR(__xludf.DUMMYFUNCTION("""COMPUTED_VALUE"""),"LW2EB3S-035486")</f>
        <v>LW2EB3S-035486</v>
      </c>
      <c r="L49" s="45">
        <f ca="1">IFERROR(__xludf.DUMMYFUNCTION("""COMPUTED_VALUE"""),5)</f>
        <v>5</v>
      </c>
      <c r="M49" s="45">
        <f ca="1">IFERROR(__xludf.DUMMYFUNCTION("""COMPUTED_VALUE"""),339)</f>
        <v>339</v>
      </c>
      <c r="N49" s="45">
        <f ca="1">IFERROR(__xludf.DUMMYFUNCTION("""COMPUTED_VALUE"""),43.698)</f>
        <v>43.698</v>
      </c>
      <c r="O49" s="45">
        <f ca="1">IFERROR(__xludf.DUMMYFUNCTION("""COMPUTED_VALUE"""),0.395)</f>
        <v>0.39500000000000002</v>
      </c>
      <c r="P49" s="45" t="str">
        <f ca="1">IFERROR(__xludf.DUMMYFUNCTION("""COMPUTED_VALUE"""),"Colombo, LK")</f>
        <v>Colombo, LK</v>
      </c>
      <c r="Q49" s="45" t="str">
        <f ca="1">IFERROR(__xludf.DUMMYFUNCTION("""COMPUTED_VALUE"""),"New York, NY, US")</f>
        <v>New York, NY, US</v>
      </c>
      <c r="R49" s="44">
        <f ca="1">IFERROR(__xludf.DUMMYFUNCTION("""COMPUTED_VALUE"""),45817)</f>
        <v>45817</v>
      </c>
      <c r="S49" s="44">
        <f ca="1">IFERROR(__xludf.DUMMYFUNCTION("""COMPUTED_VALUE"""),45876)</f>
        <v>45876</v>
      </c>
      <c r="T49" s="45" t="str">
        <f ca="1">IFERROR(__xludf.DUMMYFUNCTION("""COMPUTED_VALUE"""),"Mississauga, ON, CA")</f>
        <v>Mississauga, ON, CA</v>
      </c>
      <c r="U49" s="45"/>
      <c r="V49" s="45"/>
      <c r="W49" s="45"/>
      <c r="X49" s="45"/>
      <c r="Y49" s="46">
        <f ca="1">IFERROR(__xludf.DUMMYFUNCTION("""COMPUTED_VALUE"""),45825)</f>
        <v>45825</v>
      </c>
      <c r="Z49" s="46">
        <f ca="1">IFERROR(__xludf.DUMMYFUNCTION("""COMPUTED_VALUE"""),45854)</f>
        <v>45854</v>
      </c>
      <c r="AA49" s="46">
        <f ca="1">IFERROR(__xludf.DUMMYFUNCTION("""COMPUTED_VALUE"""),45867)</f>
        <v>45867</v>
      </c>
      <c r="AB49" s="45" t="str">
        <f ca="1">IFERROR(__xludf.DUMMYFUNCTION("""COMPUTED_VALUE"""),"3500 Argentia Road")</f>
        <v>3500 Argentia Road</v>
      </c>
      <c r="AC49" s="45"/>
      <c r="AD49" s="45" t="str">
        <f ca="1">IFERROR(__xludf.DUMMYFUNCTION("""COMPUTED_VALUE"""),"OCEAN")</f>
        <v>OCEAN</v>
      </c>
      <c r="AE49" s="45" t="str">
        <f ca="1">IFERROR(__xludf.DUMMYFUNCTION("""COMPUTED_VALUE"""),"N")</f>
        <v>N</v>
      </c>
      <c r="AF49" s="45"/>
      <c r="AG49" s="49" t="str">
        <f ca="1">IFERROR(__xludf.DUMMYFUNCTION("IFNA(vlookup(H49,IMPORTRANGE(""1vUGwO1n0QQGx9kKbO0_M5gmuhXZ6-LaxQxgrmJnzgP0"",""'TP# look up'!A:C""),3,0),"""")"),"")</f>
        <v/>
      </c>
      <c r="AH49" s="49" t="str">
        <f t="shared" ca="1" si="0"/>
        <v>LW</v>
      </c>
    </row>
    <row r="50" spans="1:34" ht="12.75" hidden="1">
      <c r="A50" s="45" t="str">
        <f ca="1">IFERROR(__xludf.DUMMYFUNCTION("""COMPUTED_VALUE"""),"Colombo")</f>
        <v>Colombo</v>
      </c>
      <c r="B50" s="45"/>
      <c r="C50" s="45">
        <f ca="1">IFERROR(__xludf.DUMMYFUNCTION("""COMPUTED_VALUE"""),3231352)</f>
        <v>3231352</v>
      </c>
      <c r="D50" s="45"/>
      <c r="E50" s="45" t="str">
        <f ca="1">IFERROR(__xludf.DUMMYFUNCTION("""COMPUTED_VALUE"""),"CFS")</f>
        <v>CFS</v>
      </c>
      <c r="F50" s="45" t="str">
        <f ca="1">IFERROR(__xludf.DUMMYFUNCTION("""COMPUTED_VALUE"""),"MAS AMITY PTE LTD")</f>
        <v>MAS AMITY PTE LTD</v>
      </c>
      <c r="G50" s="45" t="str">
        <f ca="1">IFERROR(__xludf.DUMMYFUNCTION("""COMPUTED_VALUE"""),"MAS Active(Pvt) Ltd – CONTOURLINE")</f>
        <v>MAS Active(Pvt) Ltd – CONTOURLINE</v>
      </c>
      <c r="H50" s="43">
        <f ca="1">IFERROR(__xludf.DUMMYFUNCTION("""COMPUTED_VALUE"""),450950437015)</f>
        <v>450950437015</v>
      </c>
      <c r="I50" s="45">
        <f ca="1">IFERROR(__xludf.DUMMYFUNCTION("""COMPUTED_VALUE"""),19890775)</f>
        <v>19890775</v>
      </c>
      <c r="J50" s="45" t="str">
        <f ca="1">IFERROR(__xludf.DUMMYFUNCTION("""COMPUTED_VALUE"""),"LW7CPPS")</f>
        <v>LW7CPPS</v>
      </c>
      <c r="K50" s="45" t="str">
        <f ca="1">IFERROR(__xludf.DUMMYFUNCTION("""COMPUTED_VALUE"""),"LW7CPPS-049106")</f>
        <v>LW7CPPS-049106</v>
      </c>
      <c r="L50" s="45">
        <f ca="1">IFERROR(__xludf.DUMMYFUNCTION("""COMPUTED_VALUE"""),5)</f>
        <v>5</v>
      </c>
      <c r="M50" s="45">
        <f ca="1">IFERROR(__xludf.DUMMYFUNCTION("""COMPUTED_VALUE"""),334)</f>
        <v>334</v>
      </c>
      <c r="N50" s="45">
        <f ca="1">IFERROR(__xludf.DUMMYFUNCTION("""COMPUTED_VALUE"""),51.947)</f>
        <v>51.947000000000003</v>
      </c>
      <c r="O50" s="45">
        <f ca="1">IFERROR(__xludf.DUMMYFUNCTION("""COMPUTED_VALUE"""),0.355)</f>
        <v>0.35499999999999998</v>
      </c>
      <c r="P50" s="45" t="str">
        <f ca="1">IFERROR(__xludf.DUMMYFUNCTION("""COMPUTED_VALUE"""),"Colombo, LK")</f>
        <v>Colombo, LK</v>
      </c>
      <c r="Q50" s="45" t="str">
        <f ca="1">IFERROR(__xludf.DUMMYFUNCTION("""COMPUTED_VALUE"""),"New York, NY, US")</f>
        <v>New York, NY, US</v>
      </c>
      <c r="R50" s="44">
        <f ca="1">IFERROR(__xludf.DUMMYFUNCTION("""COMPUTED_VALUE"""),45817)</f>
        <v>45817</v>
      </c>
      <c r="S50" s="44">
        <f ca="1">IFERROR(__xludf.DUMMYFUNCTION("""COMPUTED_VALUE"""),45876)</f>
        <v>45876</v>
      </c>
      <c r="T50" s="45" t="str">
        <f ca="1">IFERROR(__xludf.DUMMYFUNCTION("""COMPUTED_VALUE"""),"Mississauga, ON, CA")</f>
        <v>Mississauga, ON, CA</v>
      </c>
      <c r="U50" s="45"/>
      <c r="V50" s="45"/>
      <c r="W50" s="45"/>
      <c r="X50" s="45"/>
      <c r="Y50" s="46">
        <f ca="1">IFERROR(__xludf.DUMMYFUNCTION("""COMPUTED_VALUE"""),45825)</f>
        <v>45825</v>
      </c>
      <c r="Z50" s="46">
        <f ca="1">IFERROR(__xludf.DUMMYFUNCTION("""COMPUTED_VALUE"""),45854)</f>
        <v>45854</v>
      </c>
      <c r="AA50" s="46">
        <f ca="1">IFERROR(__xludf.DUMMYFUNCTION("""COMPUTED_VALUE"""),45867)</f>
        <v>45867</v>
      </c>
      <c r="AB50" s="45" t="str">
        <f ca="1">IFERROR(__xludf.DUMMYFUNCTION("""COMPUTED_VALUE"""),"3500 Argentia Road")</f>
        <v>3500 Argentia Road</v>
      </c>
      <c r="AC50" s="45"/>
      <c r="AD50" s="45" t="str">
        <f ca="1">IFERROR(__xludf.DUMMYFUNCTION("""COMPUTED_VALUE"""),"OCEAN")</f>
        <v>OCEAN</v>
      </c>
      <c r="AE50" s="45" t="str">
        <f ca="1">IFERROR(__xludf.DUMMYFUNCTION("""COMPUTED_VALUE"""),"N")</f>
        <v>N</v>
      </c>
      <c r="AF50" s="45"/>
      <c r="AG50" s="49" t="str">
        <f ca="1">IFERROR(__xludf.DUMMYFUNCTION("IFNA(vlookup(H50,IMPORTRANGE(""1vUGwO1n0QQGx9kKbO0_M5gmuhXZ6-LaxQxgrmJnzgP0"",""'TP# look up'!A:C""),3,0),"""")"),"")</f>
        <v/>
      </c>
      <c r="AH50" s="49" t="str">
        <f t="shared" ca="1" si="0"/>
        <v>LW</v>
      </c>
    </row>
    <row r="51" spans="1:34" ht="12.75" hidden="1">
      <c r="A51" s="45" t="str">
        <f ca="1">IFERROR(__xludf.DUMMYFUNCTION("""COMPUTED_VALUE"""),"Colombo")</f>
        <v>Colombo</v>
      </c>
      <c r="B51" s="45"/>
      <c r="C51" s="45">
        <f ca="1">IFERROR(__xludf.DUMMYFUNCTION("""COMPUTED_VALUE"""),3231352)</f>
        <v>3231352</v>
      </c>
      <c r="D51" s="45"/>
      <c r="E51" s="45" t="str">
        <f ca="1">IFERROR(__xludf.DUMMYFUNCTION("""COMPUTED_VALUE"""),"CFS")</f>
        <v>CFS</v>
      </c>
      <c r="F51" s="45" t="str">
        <f ca="1">IFERROR(__xludf.DUMMYFUNCTION("""COMPUTED_VALUE"""),"MAS AMITY PTE LTD")</f>
        <v>MAS AMITY PTE LTD</v>
      </c>
      <c r="G51" s="45" t="str">
        <f ca="1">IFERROR(__xludf.DUMMYFUNCTION("""COMPUTED_VALUE"""),"MAS Active(Pvt) Ltd – CONTOURLINE")</f>
        <v>MAS Active(Pvt) Ltd – CONTOURLINE</v>
      </c>
      <c r="H51" s="43">
        <f ca="1">IFERROR(__xludf.DUMMYFUNCTION("""COMPUTED_VALUE"""),450950935396)</f>
        <v>450950935396</v>
      </c>
      <c r="I51" s="45">
        <f ca="1">IFERROR(__xludf.DUMMYFUNCTION("""COMPUTED_VALUE"""),19920737)</f>
        <v>19920737</v>
      </c>
      <c r="J51" s="45" t="str">
        <f ca="1">IFERROR(__xludf.DUMMYFUNCTION("""COMPUTED_VALUE"""),"LW5ENMS")</f>
        <v>LW5ENMS</v>
      </c>
      <c r="K51" s="45" t="str">
        <f ca="1">IFERROR(__xludf.DUMMYFUNCTION("""COMPUTED_VALUE"""),"LW5ENMS-049106")</f>
        <v>LW5ENMS-049106</v>
      </c>
      <c r="L51" s="45">
        <f ca="1">IFERROR(__xludf.DUMMYFUNCTION("""COMPUTED_VALUE"""),8)</f>
        <v>8</v>
      </c>
      <c r="M51" s="45">
        <f ca="1">IFERROR(__xludf.DUMMYFUNCTION("""COMPUTED_VALUE"""),324)</f>
        <v>324</v>
      </c>
      <c r="N51" s="45">
        <f ca="1">IFERROR(__xludf.DUMMYFUNCTION("""COMPUTED_VALUE"""),93.009)</f>
        <v>93.009</v>
      </c>
      <c r="O51" s="45">
        <f ca="1">IFERROR(__xludf.DUMMYFUNCTION("""COMPUTED_VALUE"""),0.513)</f>
        <v>0.51300000000000001</v>
      </c>
      <c r="P51" s="45" t="str">
        <f ca="1">IFERROR(__xludf.DUMMYFUNCTION("""COMPUTED_VALUE"""),"Colombo, LK")</f>
        <v>Colombo, LK</v>
      </c>
      <c r="Q51" s="45" t="str">
        <f ca="1">IFERROR(__xludf.DUMMYFUNCTION("""COMPUTED_VALUE"""),"New York, NY, US")</f>
        <v>New York, NY, US</v>
      </c>
      <c r="R51" s="44">
        <f ca="1">IFERROR(__xludf.DUMMYFUNCTION("""COMPUTED_VALUE"""),45817)</f>
        <v>45817</v>
      </c>
      <c r="S51" s="44">
        <f ca="1">IFERROR(__xludf.DUMMYFUNCTION("""COMPUTED_VALUE"""),45876)</f>
        <v>45876</v>
      </c>
      <c r="T51" s="45" t="str">
        <f ca="1">IFERROR(__xludf.DUMMYFUNCTION("""COMPUTED_VALUE"""),"Mississauga, ON, CA")</f>
        <v>Mississauga, ON, CA</v>
      </c>
      <c r="U51" s="45"/>
      <c r="V51" s="45"/>
      <c r="W51" s="45"/>
      <c r="X51" s="45"/>
      <c r="Y51" s="46">
        <f ca="1">IFERROR(__xludf.DUMMYFUNCTION("""COMPUTED_VALUE"""),45825)</f>
        <v>45825</v>
      </c>
      <c r="Z51" s="46">
        <f ca="1">IFERROR(__xludf.DUMMYFUNCTION("""COMPUTED_VALUE"""),45854)</f>
        <v>45854</v>
      </c>
      <c r="AA51" s="46">
        <f ca="1">IFERROR(__xludf.DUMMYFUNCTION("""COMPUTED_VALUE"""),45867)</f>
        <v>45867</v>
      </c>
      <c r="AB51" s="45" t="str">
        <f ca="1">IFERROR(__xludf.DUMMYFUNCTION("""COMPUTED_VALUE"""),"3500 Argentia Road")</f>
        <v>3500 Argentia Road</v>
      </c>
      <c r="AC51" s="45"/>
      <c r="AD51" s="45" t="str">
        <f ca="1">IFERROR(__xludf.DUMMYFUNCTION("""COMPUTED_VALUE"""),"OCEAN")</f>
        <v>OCEAN</v>
      </c>
      <c r="AE51" s="45" t="str">
        <f ca="1">IFERROR(__xludf.DUMMYFUNCTION("""COMPUTED_VALUE"""),"N")</f>
        <v>N</v>
      </c>
      <c r="AF51" s="45"/>
      <c r="AG51" s="49" t="str">
        <f ca="1">IFERROR(__xludf.DUMMYFUNCTION("IFNA(vlookup(H51,IMPORTRANGE(""1vUGwO1n0QQGx9kKbO0_M5gmuhXZ6-LaxQxgrmJnzgP0"",""'TP# look up'!A:C""),3,0),"""")"),"")</f>
        <v/>
      </c>
      <c r="AH51" s="49" t="str">
        <f t="shared" ca="1" si="0"/>
        <v>LW</v>
      </c>
    </row>
    <row r="52" spans="1:34" ht="12.75" hidden="1">
      <c r="A52" s="45" t="str">
        <f ca="1">IFERROR(__xludf.DUMMYFUNCTION("""COMPUTED_VALUE"""),"Colombo")</f>
        <v>Colombo</v>
      </c>
      <c r="B52" s="45"/>
      <c r="C52" s="45">
        <f ca="1">IFERROR(__xludf.DUMMYFUNCTION("""COMPUTED_VALUE"""),3231352)</f>
        <v>3231352</v>
      </c>
      <c r="D52" s="45"/>
      <c r="E52" s="45" t="str">
        <f ca="1">IFERROR(__xludf.DUMMYFUNCTION("""COMPUTED_VALUE"""),"CFS")</f>
        <v>CFS</v>
      </c>
      <c r="F52" s="45" t="str">
        <f ca="1">IFERROR(__xludf.DUMMYFUNCTION("""COMPUTED_VALUE"""),"MAS AMITY PTE LTD")</f>
        <v>MAS AMITY PTE LTD</v>
      </c>
      <c r="G52" s="45" t="str">
        <f ca="1">IFERROR(__xludf.DUMMYFUNCTION("""COMPUTED_VALUE"""),"MAS Active(Pvt) Ltd – CONTOURLINE")</f>
        <v>MAS Active(Pvt) Ltd – CONTOURLINE</v>
      </c>
      <c r="H52" s="43">
        <f ca="1">IFERROR(__xludf.DUMMYFUNCTION("""COMPUTED_VALUE"""),450951721044)</f>
        <v>450951721044</v>
      </c>
      <c r="I52" s="45">
        <f ca="1">IFERROR(__xludf.DUMMYFUNCTION("""COMPUTED_VALUE"""),19890814)</f>
        <v>19890814</v>
      </c>
      <c r="J52" s="45" t="str">
        <f ca="1">IFERROR(__xludf.DUMMYFUNCTION("""COMPUTED_VALUE"""),"LW2EB3S")</f>
        <v>LW2EB3S</v>
      </c>
      <c r="K52" s="45" t="str">
        <f ca="1">IFERROR(__xludf.DUMMYFUNCTION("""COMPUTED_VALUE"""),"LW2EB3S-035486")</f>
        <v>LW2EB3S-035486</v>
      </c>
      <c r="L52" s="45">
        <f ca="1">IFERROR(__xludf.DUMMYFUNCTION("""COMPUTED_VALUE"""),6)</f>
        <v>6</v>
      </c>
      <c r="M52" s="45">
        <f ca="1">IFERROR(__xludf.DUMMYFUNCTION("""COMPUTED_VALUE"""),513)</f>
        <v>513</v>
      </c>
      <c r="N52" s="45">
        <f ca="1">IFERROR(__xludf.DUMMYFUNCTION("""COMPUTED_VALUE"""),62.605)</f>
        <v>62.604999999999997</v>
      </c>
      <c r="O52" s="45">
        <f ca="1">IFERROR(__xludf.DUMMYFUNCTION("""COMPUTED_VALUE"""),0.474)</f>
        <v>0.47399999999999998</v>
      </c>
      <c r="P52" s="45" t="str">
        <f ca="1">IFERROR(__xludf.DUMMYFUNCTION("""COMPUTED_VALUE"""),"Colombo, LK")</f>
        <v>Colombo, LK</v>
      </c>
      <c r="Q52" s="45" t="str">
        <f ca="1">IFERROR(__xludf.DUMMYFUNCTION("""COMPUTED_VALUE"""),"New York, NY, US")</f>
        <v>New York, NY, US</v>
      </c>
      <c r="R52" s="44">
        <f ca="1">IFERROR(__xludf.DUMMYFUNCTION("""COMPUTED_VALUE"""),45817)</f>
        <v>45817</v>
      </c>
      <c r="S52" s="44">
        <f ca="1">IFERROR(__xludf.DUMMYFUNCTION("""COMPUTED_VALUE"""),45876)</f>
        <v>45876</v>
      </c>
      <c r="T52" s="45" t="str">
        <f ca="1">IFERROR(__xludf.DUMMYFUNCTION("""COMPUTED_VALUE"""),"Milton, ON, CA")</f>
        <v>Milton, ON, CA</v>
      </c>
      <c r="U52" s="45"/>
      <c r="V52" s="45"/>
      <c r="W52" s="45"/>
      <c r="X52" s="45"/>
      <c r="Y52" s="46">
        <f ca="1">IFERROR(__xludf.DUMMYFUNCTION("""COMPUTED_VALUE"""),45825)</f>
        <v>45825</v>
      </c>
      <c r="Z52" s="46">
        <f ca="1">IFERROR(__xludf.DUMMYFUNCTION("""COMPUTED_VALUE"""),45854)</f>
        <v>45854</v>
      </c>
      <c r="AA52" s="46">
        <f ca="1">IFERROR(__xludf.DUMMYFUNCTION("""COMPUTED_VALUE"""),45867)</f>
        <v>45867</v>
      </c>
      <c r="AB52" s="45" t="str">
        <f ca="1">IFERROR(__xludf.DUMMYFUNCTION("""COMPUTED_VALUE"""),"7211 Fifth Line")</f>
        <v>7211 Fifth Line</v>
      </c>
      <c r="AC52" s="45"/>
      <c r="AD52" s="45" t="str">
        <f ca="1">IFERROR(__xludf.DUMMYFUNCTION("""COMPUTED_VALUE"""),"OCEAN")</f>
        <v>OCEAN</v>
      </c>
      <c r="AE52" s="45" t="str">
        <f ca="1">IFERROR(__xludf.DUMMYFUNCTION("""COMPUTED_VALUE"""),"N")</f>
        <v>N</v>
      </c>
      <c r="AF52" s="45"/>
      <c r="AG52" s="49" t="str">
        <f ca="1">IFERROR(__xludf.DUMMYFUNCTION("IFNA(vlookup(H52,IMPORTRANGE(""1vUGwO1n0QQGx9kKbO0_M5gmuhXZ6-LaxQxgrmJnzgP0"",""'TP# look up'!A:C""),3,0),"""")"),"")</f>
        <v/>
      </c>
      <c r="AH52" s="49" t="str">
        <f t="shared" ca="1" si="0"/>
        <v>LW</v>
      </c>
    </row>
    <row r="53" spans="1:34" ht="12.75" hidden="1">
      <c r="A53" s="45" t="str">
        <f ca="1">IFERROR(__xludf.DUMMYFUNCTION("""COMPUTED_VALUE"""),"Colombo")</f>
        <v>Colombo</v>
      </c>
      <c r="B53" s="45"/>
      <c r="C53" s="45">
        <f ca="1">IFERROR(__xludf.DUMMYFUNCTION("""COMPUTED_VALUE"""),3231352)</f>
        <v>3231352</v>
      </c>
      <c r="D53" s="45"/>
      <c r="E53" s="45" t="str">
        <f ca="1">IFERROR(__xludf.DUMMYFUNCTION("""COMPUTED_VALUE"""),"CFS")</f>
        <v>CFS</v>
      </c>
      <c r="F53" s="45" t="str">
        <f ca="1">IFERROR(__xludf.DUMMYFUNCTION("""COMPUTED_VALUE"""),"MAS AMITY PTE LTD")</f>
        <v>MAS AMITY PTE LTD</v>
      </c>
      <c r="G53" s="45" t="str">
        <f ca="1">IFERROR(__xludf.DUMMYFUNCTION("""COMPUTED_VALUE"""),"MAS Active(Pvt) Ltd – CONTOURLINE")</f>
        <v>MAS Active(Pvt) Ltd – CONTOURLINE</v>
      </c>
      <c r="H53" s="43">
        <f ca="1">IFERROR(__xludf.DUMMYFUNCTION("""COMPUTED_VALUE"""),450951721727)</f>
        <v>450951721727</v>
      </c>
      <c r="I53" s="45">
        <f ca="1">IFERROR(__xludf.DUMMYFUNCTION("""COMPUTED_VALUE"""),19890818)</f>
        <v>19890818</v>
      </c>
      <c r="J53" s="45" t="str">
        <f ca="1">IFERROR(__xludf.DUMMYFUNCTION("""COMPUTED_VALUE"""),"LW2EB3S")</f>
        <v>LW2EB3S</v>
      </c>
      <c r="K53" s="45" t="str">
        <f ca="1">IFERROR(__xludf.DUMMYFUNCTION("""COMPUTED_VALUE"""),"LW2EB3S-035486")</f>
        <v>LW2EB3S-035486</v>
      </c>
      <c r="L53" s="45">
        <f ca="1">IFERROR(__xludf.DUMMYFUNCTION("""COMPUTED_VALUE"""),3)</f>
        <v>3</v>
      </c>
      <c r="M53" s="45">
        <f ca="1">IFERROR(__xludf.DUMMYFUNCTION("""COMPUTED_VALUE"""),186)</f>
        <v>186</v>
      </c>
      <c r="N53" s="45">
        <f ca="1">IFERROR(__xludf.DUMMYFUNCTION("""COMPUTED_VALUE"""),24.534)</f>
        <v>24.533999999999999</v>
      </c>
      <c r="O53" s="45">
        <f ca="1">IFERROR(__xludf.DUMMYFUNCTION("""COMPUTED_VALUE"""),0.237)</f>
        <v>0.23699999999999999</v>
      </c>
      <c r="P53" s="45" t="str">
        <f ca="1">IFERROR(__xludf.DUMMYFUNCTION("""COMPUTED_VALUE"""),"Colombo, LK")</f>
        <v>Colombo, LK</v>
      </c>
      <c r="Q53" s="45" t="str">
        <f ca="1">IFERROR(__xludf.DUMMYFUNCTION("""COMPUTED_VALUE"""),"New York, NY, US")</f>
        <v>New York, NY, US</v>
      </c>
      <c r="R53" s="44">
        <f ca="1">IFERROR(__xludf.DUMMYFUNCTION("""COMPUTED_VALUE"""),45817)</f>
        <v>45817</v>
      </c>
      <c r="S53" s="44">
        <f ca="1">IFERROR(__xludf.DUMMYFUNCTION("""COMPUTED_VALUE"""),45876)</f>
        <v>45876</v>
      </c>
      <c r="T53" s="45" t="str">
        <f ca="1">IFERROR(__xludf.DUMMYFUNCTION("""COMPUTED_VALUE"""),"Mississauga, ON, CA")</f>
        <v>Mississauga, ON, CA</v>
      </c>
      <c r="U53" s="45"/>
      <c r="V53" s="45"/>
      <c r="W53" s="45"/>
      <c r="X53" s="45"/>
      <c r="Y53" s="46">
        <f ca="1">IFERROR(__xludf.DUMMYFUNCTION("""COMPUTED_VALUE"""),45825)</f>
        <v>45825</v>
      </c>
      <c r="Z53" s="46">
        <f ca="1">IFERROR(__xludf.DUMMYFUNCTION("""COMPUTED_VALUE"""),45854)</f>
        <v>45854</v>
      </c>
      <c r="AA53" s="46">
        <f ca="1">IFERROR(__xludf.DUMMYFUNCTION("""COMPUTED_VALUE"""),45867)</f>
        <v>45867</v>
      </c>
      <c r="AB53" s="45" t="str">
        <f ca="1">IFERROR(__xludf.DUMMYFUNCTION("""COMPUTED_VALUE"""),"3500 Argentia Road")</f>
        <v>3500 Argentia Road</v>
      </c>
      <c r="AC53" s="45"/>
      <c r="AD53" s="45" t="str">
        <f ca="1">IFERROR(__xludf.DUMMYFUNCTION("""COMPUTED_VALUE"""),"OCEAN")</f>
        <v>OCEAN</v>
      </c>
      <c r="AE53" s="45" t="str">
        <f ca="1">IFERROR(__xludf.DUMMYFUNCTION("""COMPUTED_VALUE"""),"N")</f>
        <v>N</v>
      </c>
      <c r="AF53" s="45"/>
      <c r="AG53" s="49" t="str">
        <f ca="1">IFERROR(__xludf.DUMMYFUNCTION("IFNA(vlookup(H53,IMPORTRANGE(""1vUGwO1n0QQGx9kKbO0_M5gmuhXZ6-LaxQxgrmJnzgP0"",""'TP# look up'!A:C""),3,0),"""")"),"")</f>
        <v/>
      </c>
      <c r="AH53" s="49" t="str">
        <f t="shared" ca="1" si="0"/>
        <v>LW</v>
      </c>
    </row>
    <row r="54" spans="1:34" ht="12.75" hidden="1">
      <c r="A54" s="45" t="str">
        <f ca="1">IFERROR(__xludf.DUMMYFUNCTION("""COMPUTED_VALUE"""),"Colombo")</f>
        <v>Colombo</v>
      </c>
      <c r="B54" s="45"/>
      <c r="C54" s="45">
        <f ca="1">IFERROR(__xludf.DUMMYFUNCTION("""COMPUTED_VALUE"""),3231352)</f>
        <v>3231352</v>
      </c>
      <c r="D54" s="45"/>
      <c r="E54" s="45" t="str">
        <f ca="1">IFERROR(__xludf.DUMMYFUNCTION("""COMPUTED_VALUE"""),"CFS")</f>
        <v>CFS</v>
      </c>
      <c r="F54" s="45" t="str">
        <f ca="1">IFERROR(__xludf.DUMMYFUNCTION("""COMPUTED_VALUE"""),"MAS AMITY PTE LTD")</f>
        <v>MAS AMITY PTE LTD</v>
      </c>
      <c r="G54" s="45" t="str">
        <f ca="1">IFERROR(__xludf.DUMMYFUNCTION("""COMPUTED_VALUE"""),"MAS Active(Pvt) Ltd – CONTOURLINE")</f>
        <v>MAS Active(Pvt) Ltd – CONTOURLINE</v>
      </c>
      <c r="H54" s="43">
        <f ca="1">IFERROR(__xludf.DUMMYFUNCTION("""COMPUTED_VALUE"""),450953096271)</f>
        <v>450953096271</v>
      </c>
      <c r="I54" s="45">
        <f ca="1">IFERROR(__xludf.DUMMYFUNCTION("""COMPUTED_VALUE"""),19897844)</f>
        <v>19897844</v>
      </c>
      <c r="J54" s="45" t="str">
        <f ca="1">IFERROR(__xludf.DUMMYFUNCTION("""COMPUTED_VALUE"""),"LW5ENMS")</f>
        <v>LW5ENMS</v>
      </c>
      <c r="K54" s="45" t="str">
        <f ca="1">IFERROR(__xludf.DUMMYFUNCTION("""COMPUTED_VALUE"""),"LW5ENMS-049106")</f>
        <v>LW5ENMS-049106</v>
      </c>
      <c r="L54" s="45">
        <f ca="1">IFERROR(__xludf.DUMMYFUNCTION("""COMPUTED_VALUE"""),10)</f>
        <v>10</v>
      </c>
      <c r="M54" s="45">
        <f ca="1">IFERROR(__xludf.DUMMYFUNCTION("""COMPUTED_VALUE"""),428)</f>
        <v>428</v>
      </c>
      <c r="N54" s="45">
        <f ca="1">IFERROR(__xludf.DUMMYFUNCTION("""COMPUTED_VALUE"""),122.447)</f>
        <v>122.447</v>
      </c>
      <c r="O54" s="45">
        <f ca="1">IFERROR(__xludf.DUMMYFUNCTION("""COMPUTED_VALUE"""),0.711)</f>
        <v>0.71099999999999997</v>
      </c>
      <c r="P54" s="45" t="str">
        <f ca="1">IFERROR(__xludf.DUMMYFUNCTION("""COMPUTED_VALUE"""),"Colombo, LK")</f>
        <v>Colombo, LK</v>
      </c>
      <c r="Q54" s="45" t="str">
        <f ca="1">IFERROR(__xludf.DUMMYFUNCTION("""COMPUTED_VALUE"""),"New York, NY, US")</f>
        <v>New York, NY, US</v>
      </c>
      <c r="R54" s="44">
        <f ca="1">IFERROR(__xludf.DUMMYFUNCTION("""COMPUTED_VALUE"""),45817)</f>
        <v>45817</v>
      </c>
      <c r="S54" s="44">
        <f ca="1">IFERROR(__xludf.DUMMYFUNCTION("""COMPUTED_VALUE"""),45876)</f>
        <v>45876</v>
      </c>
      <c r="T54" s="45" t="str">
        <f ca="1">IFERROR(__xludf.DUMMYFUNCTION("""COMPUTED_VALUE"""),"Milton, ON, CA")</f>
        <v>Milton, ON, CA</v>
      </c>
      <c r="U54" s="45"/>
      <c r="V54" s="45"/>
      <c r="W54" s="45"/>
      <c r="X54" s="45"/>
      <c r="Y54" s="46">
        <f ca="1">IFERROR(__xludf.DUMMYFUNCTION("""COMPUTED_VALUE"""),45825)</f>
        <v>45825</v>
      </c>
      <c r="Z54" s="46">
        <f ca="1">IFERROR(__xludf.DUMMYFUNCTION("""COMPUTED_VALUE"""),45854)</f>
        <v>45854</v>
      </c>
      <c r="AA54" s="46">
        <f ca="1">IFERROR(__xludf.DUMMYFUNCTION("""COMPUTED_VALUE"""),45867)</f>
        <v>45867</v>
      </c>
      <c r="AB54" s="45" t="str">
        <f ca="1">IFERROR(__xludf.DUMMYFUNCTION("""COMPUTED_VALUE"""),"7211 Fifth Line")</f>
        <v>7211 Fifth Line</v>
      </c>
      <c r="AC54" s="45"/>
      <c r="AD54" s="45" t="str">
        <f ca="1">IFERROR(__xludf.DUMMYFUNCTION("""COMPUTED_VALUE"""),"OCEAN")</f>
        <v>OCEAN</v>
      </c>
      <c r="AE54" s="45" t="str">
        <f ca="1">IFERROR(__xludf.DUMMYFUNCTION("""COMPUTED_VALUE"""),"N")</f>
        <v>N</v>
      </c>
      <c r="AF54" s="45"/>
      <c r="AG54" s="49" t="str">
        <f ca="1">IFERROR(__xludf.DUMMYFUNCTION("IFNA(vlookup(H54,IMPORTRANGE(""1vUGwO1n0QQGx9kKbO0_M5gmuhXZ6-LaxQxgrmJnzgP0"",""'TP# look up'!A:C""),3,0),"""")"),"")</f>
        <v/>
      </c>
      <c r="AH54" s="49" t="str">
        <f t="shared" ca="1" si="0"/>
        <v>LW</v>
      </c>
    </row>
    <row r="55" spans="1:34" ht="12.75" hidden="1">
      <c r="A55" s="45" t="str">
        <f ca="1">IFERROR(__xludf.DUMMYFUNCTION("""COMPUTED_VALUE"""),"Colombo")</f>
        <v>Colombo</v>
      </c>
      <c r="B55" s="45"/>
      <c r="C55" s="45">
        <f ca="1">IFERROR(__xludf.DUMMYFUNCTION("""COMPUTED_VALUE"""),3231352)</f>
        <v>3231352</v>
      </c>
      <c r="D55" s="45"/>
      <c r="E55" s="45" t="str">
        <f ca="1">IFERROR(__xludf.DUMMYFUNCTION("""COMPUTED_VALUE"""),"CFS")</f>
        <v>CFS</v>
      </c>
      <c r="F55" s="45" t="str">
        <f ca="1">IFERROR(__xludf.DUMMYFUNCTION("""COMPUTED_VALUE"""),"MAS AMITY PTE LTD")</f>
        <v>MAS AMITY PTE LTD</v>
      </c>
      <c r="G55" s="45" t="str">
        <f ca="1">IFERROR(__xludf.DUMMYFUNCTION("""COMPUTED_VALUE"""),"MAS Active(Pvt) Ltd – CONTOURLINE")</f>
        <v>MAS Active(Pvt) Ltd – CONTOURLINE</v>
      </c>
      <c r="H55" s="43">
        <f ca="1">IFERROR(__xludf.DUMMYFUNCTION("""COMPUTED_VALUE"""),450954951469)</f>
        <v>450954951469</v>
      </c>
      <c r="I55" s="45">
        <f ca="1">IFERROR(__xludf.DUMMYFUNCTION("""COMPUTED_VALUE"""),19920801)</f>
        <v>19920801</v>
      </c>
      <c r="J55" s="45" t="str">
        <f ca="1">IFERROR(__xludf.DUMMYFUNCTION("""COMPUTED_VALUE"""),"LM7BI2S")</f>
        <v>LM7BI2S</v>
      </c>
      <c r="K55" s="45" t="str">
        <f ca="1">IFERROR(__xludf.DUMMYFUNCTION("""COMPUTED_VALUE"""),"LM7BI2S-068578")</f>
        <v>LM7BI2S-068578</v>
      </c>
      <c r="L55" s="45">
        <f ca="1">IFERROR(__xludf.DUMMYFUNCTION("""COMPUTED_VALUE"""),1)</f>
        <v>1</v>
      </c>
      <c r="M55" s="45">
        <f ca="1">IFERROR(__xludf.DUMMYFUNCTION("""COMPUTED_VALUE"""),42)</f>
        <v>42</v>
      </c>
      <c r="N55" s="45">
        <f ca="1">IFERROR(__xludf.DUMMYFUNCTION("""COMPUTED_VALUE"""),10.059)</f>
        <v>10.058999999999999</v>
      </c>
      <c r="O55" s="45">
        <f ca="1">IFERROR(__xludf.DUMMYFUNCTION("""COMPUTED_VALUE"""),0.079)</f>
        <v>7.9000000000000001E-2</v>
      </c>
      <c r="P55" s="45" t="str">
        <f ca="1">IFERROR(__xludf.DUMMYFUNCTION("""COMPUTED_VALUE"""),"Colombo, LK")</f>
        <v>Colombo, LK</v>
      </c>
      <c r="Q55" s="45" t="str">
        <f ca="1">IFERROR(__xludf.DUMMYFUNCTION("""COMPUTED_VALUE"""),"New York, NY, US")</f>
        <v>New York, NY, US</v>
      </c>
      <c r="R55" s="44">
        <f ca="1">IFERROR(__xludf.DUMMYFUNCTION("""COMPUTED_VALUE"""),45817)</f>
        <v>45817</v>
      </c>
      <c r="S55" s="44">
        <f ca="1">IFERROR(__xludf.DUMMYFUNCTION("""COMPUTED_VALUE"""),45876)</f>
        <v>45876</v>
      </c>
      <c r="T55" s="45" t="str">
        <f ca="1">IFERROR(__xludf.DUMMYFUNCTION("""COMPUTED_VALUE"""),"Mississauga, ON, CA")</f>
        <v>Mississauga, ON, CA</v>
      </c>
      <c r="U55" s="45"/>
      <c r="V55" s="45"/>
      <c r="W55" s="45"/>
      <c r="X55" s="45"/>
      <c r="Y55" s="46">
        <f ca="1">IFERROR(__xludf.DUMMYFUNCTION("""COMPUTED_VALUE"""),45825)</f>
        <v>45825</v>
      </c>
      <c r="Z55" s="46">
        <f ca="1">IFERROR(__xludf.DUMMYFUNCTION("""COMPUTED_VALUE"""),45854)</f>
        <v>45854</v>
      </c>
      <c r="AA55" s="46">
        <f ca="1">IFERROR(__xludf.DUMMYFUNCTION("""COMPUTED_VALUE"""),45867)</f>
        <v>45867</v>
      </c>
      <c r="AB55" s="45" t="str">
        <f ca="1">IFERROR(__xludf.DUMMYFUNCTION("""COMPUTED_VALUE"""),"3500 Argentia Road")</f>
        <v>3500 Argentia Road</v>
      </c>
      <c r="AC55" s="45"/>
      <c r="AD55" s="45" t="str">
        <f ca="1">IFERROR(__xludf.DUMMYFUNCTION("""COMPUTED_VALUE"""),"OCEAN")</f>
        <v>OCEAN</v>
      </c>
      <c r="AE55" s="45" t="str">
        <f ca="1">IFERROR(__xludf.DUMMYFUNCTION("""COMPUTED_VALUE"""),"N")</f>
        <v>N</v>
      </c>
      <c r="AF55" s="45"/>
      <c r="AG55" s="49" t="str">
        <f ca="1">IFERROR(__xludf.DUMMYFUNCTION("IFNA(vlookup(H55,IMPORTRANGE(""1vUGwO1n0QQGx9kKbO0_M5gmuhXZ6-LaxQxgrmJnzgP0"",""'TP# look up'!A:C""),3,0),"""")"),"")</f>
        <v/>
      </c>
      <c r="AH55" s="49" t="str">
        <f t="shared" ca="1" si="0"/>
        <v>LM</v>
      </c>
    </row>
    <row r="56" spans="1:34" ht="12.75" hidden="1">
      <c r="A56" s="45" t="str">
        <f ca="1">IFERROR(__xludf.DUMMYFUNCTION("""COMPUTED_VALUE"""),"Colombo")</f>
        <v>Colombo</v>
      </c>
      <c r="B56" s="45"/>
      <c r="C56" s="45">
        <f ca="1">IFERROR(__xludf.DUMMYFUNCTION("""COMPUTED_VALUE"""),3231352)</f>
        <v>3231352</v>
      </c>
      <c r="D56" s="45"/>
      <c r="E56" s="45" t="str">
        <f ca="1">IFERROR(__xludf.DUMMYFUNCTION("""COMPUTED_VALUE"""),"CFS")</f>
        <v>CFS</v>
      </c>
      <c r="F56" s="45" t="str">
        <f ca="1">IFERROR(__xludf.DUMMYFUNCTION("""COMPUTED_VALUE"""),"MAS AMITY PTE LTD")</f>
        <v>MAS AMITY PTE LTD</v>
      </c>
      <c r="G56" s="45" t="str">
        <f ca="1">IFERROR(__xludf.DUMMYFUNCTION("""COMPUTED_VALUE"""),"MAS Active(Pvt) Ltd – CONTOURLINE")</f>
        <v>MAS Active(Pvt) Ltd – CONTOURLINE</v>
      </c>
      <c r="H56" s="43">
        <f ca="1">IFERROR(__xludf.DUMMYFUNCTION("""COMPUTED_VALUE"""),450954995172)</f>
        <v>450954995172</v>
      </c>
      <c r="I56" s="45">
        <f ca="1">IFERROR(__xludf.DUMMYFUNCTION("""COMPUTED_VALUE"""),19920802)</f>
        <v>19920802</v>
      </c>
      <c r="J56" s="45" t="str">
        <f ca="1">IFERROR(__xludf.DUMMYFUNCTION("""COMPUTED_VALUE"""),"LM7BI2S")</f>
        <v>LM7BI2S</v>
      </c>
      <c r="K56" s="45" t="str">
        <f ca="1">IFERROR(__xludf.DUMMYFUNCTION("""COMPUTED_VALUE"""),"LM7BI2S-068578")</f>
        <v>LM7BI2S-068578</v>
      </c>
      <c r="L56" s="45">
        <f ca="1">IFERROR(__xludf.DUMMYFUNCTION("""COMPUTED_VALUE"""),2)</f>
        <v>2</v>
      </c>
      <c r="M56" s="45">
        <f ca="1">IFERROR(__xludf.DUMMYFUNCTION("""COMPUTED_VALUE"""),70)</f>
        <v>70</v>
      </c>
      <c r="N56" s="45">
        <f ca="1">IFERROR(__xludf.DUMMYFUNCTION("""COMPUTED_VALUE"""),16.822)</f>
        <v>16.821999999999999</v>
      </c>
      <c r="O56" s="45">
        <f ca="1">IFERROR(__xludf.DUMMYFUNCTION("""COMPUTED_VALUE"""),0.118)</f>
        <v>0.11799999999999999</v>
      </c>
      <c r="P56" s="45" t="str">
        <f ca="1">IFERROR(__xludf.DUMMYFUNCTION("""COMPUTED_VALUE"""),"Colombo, LK")</f>
        <v>Colombo, LK</v>
      </c>
      <c r="Q56" s="45" t="str">
        <f ca="1">IFERROR(__xludf.DUMMYFUNCTION("""COMPUTED_VALUE"""),"New York, NY, US")</f>
        <v>New York, NY, US</v>
      </c>
      <c r="R56" s="44">
        <f ca="1">IFERROR(__xludf.DUMMYFUNCTION("""COMPUTED_VALUE"""),45817)</f>
        <v>45817</v>
      </c>
      <c r="S56" s="44">
        <f ca="1">IFERROR(__xludf.DUMMYFUNCTION("""COMPUTED_VALUE"""),45876)</f>
        <v>45876</v>
      </c>
      <c r="T56" s="45" t="str">
        <f ca="1">IFERROR(__xludf.DUMMYFUNCTION("""COMPUTED_VALUE"""),"Mississauga, ON, CA")</f>
        <v>Mississauga, ON, CA</v>
      </c>
      <c r="U56" s="45"/>
      <c r="V56" s="45"/>
      <c r="W56" s="45"/>
      <c r="X56" s="45"/>
      <c r="Y56" s="46">
        <f ca="1">IFERROR(__xludf.DUMMYFUNCTION("""COMPUTED_VALUE"""),45825)</f>
        <v>45825</v>
      </c>
      <c r="Z56" s="46">
        <f ca="1">IFERROR(__xludf.DUMMYFUNCTION("""COMPUTED_VALUE"""),45854)</f>
        <v>45854</v>
      </c>
      <c r="AA56" s="46">
        <f ca="1">IFERROR(__xludf.DUMMYFUNCTION("""COMPUTED_VALUE"""),45867)</f>
        <v>45867</v>
      </c>
      <c r="AB56" s="45" t="str">
        <f ca="1">IFERROR(__xludf.DUMMYFUNCTION("""COMPUTED_VALUE"""),"3500 Argentia Road")</f>
        <v>3500 Argentia Road</v>
      </c>
      <c r="AC56" s="45"/>
      <c r="AD56" s="45" t="str">
        <f ca="1">IFERROR(__xludf.DUMMYFUNCTION("""COMPUTED_VALUE"""),"OCEAN")</f>
        <v>OCEAN</v>
      </c>
      <c r="AE56" s="45" t="str">
        <f ca="1">IFERROR(__xludf.DUMMYFUNCTION("""COMPUTED_VALUE"""),"N")</f>
        <v>N</v>
      </c>
      <c r="AF56" s="45"/>
      <c r="AG56" s="49" t="str">
        <f ca="1">IFERROR(__xludf.DUMMYFUNCTION("IFNA(vlookup(H56,IMPORTRANGE(""1vUGwO1n0QQGx9kKbO0_M5gmuhXZ6-LaxQxgrmJnzgP0"",""'TP# look up'!A:C""),3,0),"""")"),"")</f>
        <v/>
      </c>
      <c r="AH56" s="49" t="str">
        <f t="shared" ca="1" si="0"/>
        <v>LM</v>
      </c>
    </row>
    <row r="57" spans="1:34" ht="12.75" hidden="1">
      <c r="A57" s="45" t="str">
        <f ca="1">IFERROR(__xludf.DUMMYFUNCTION("""COMPUTED_VALUE"""),"Colombo")</f>
        <v>Colombo</v>
      </c>
      <c r="B57" s="45"/>
      <c r="C57" s="45">
        <f ca="1">IFERROR(__xludf.DUMMYFUNCTION("""COMPUTED_VALUE"""),3231352)</f>
        <v>3231352</v>
      </c>
      <c r="D57" s="45"/>
      <c r="E57" s="45" t="str">
        <f ca="1">IFERROR(__xludf.DUMMYFUNCTION("""COMPUTED_VALUE"""),"CFS")</f>
        <v>CFS</v>
      </c>
      <c r="F57" s="45" t="str">
        <f ca="1">IFERROR(__xludf.DUMMYFUNCTION("""COMPUTED_VALUE"""),"MAS AMITY PTE LTD")</f>
        <v>MAS AMITY PTE LTD</v>
      </c>
      <c r="G57" s="45" t="str">
        <f ca="1">IFERROR(__xludf.DUMMYFUNCTION("""COMPUTED_VALUE"""),"MAS Active(Pvt) Ltd – CONTOURLINE")</f>
        <v>MAS Active(Pvt) Ltd – CONTOURLINE</v>
      </c>
      <c r="H57" s="43">
        <f ca="1">IFERROR(__xludf.DUMMYFUNCTION("""COMPUTED_VALUE"""),450955084822)</f>
        <v>450955084822</v>
      </c>
      <c r="I57" s="45">
        <f ca="1">IFERROR(__xludf.DUMMYFUNCTION("""COMPUTED_VALUE"""),19920800)</f>
        <v>19920800</v>
      </c>
      <c r="J57" s="45" t="str">
        <f ca="1">IFERROR(__xludf.DUMMYFUNCTION("""COMPUTED_VALUE"""),"LM7BI2S")</f>
        <v>LM7BI2S</v>
      </c>
      <c r="K57" s="45" t="str">
        <f ca="1">IFERROR(__xludf.DUMMYFUNCTION("""COMPUTED_VALUE"""),"LM7BI2S-068578")</f>
        <v>LM7BI2S-068578</v>
      </c>
      <c r="L57" s="45">
        <f ca="1">IFERROR(__xludf.DUMMYFUNCTION("""COMPUTED_VALUE"""),2)</f>
        <v>2</v>
      </c>
      <c r="M57" s="45">
        <f ca="1">IFERROR(__xludf.DUMMYFUNCTION("""COMPUTED_VALUE"""),59)</f>
        <v>59</v>
      </c>
      <c r="N57" s="45">
        <f ca="1">IFERROR(__xludf.DUMMYFUNCTION("""COMPUTED_VALUE"""),14.471)</f>
        <v>14.471</v>
      </c>
      <c r="O57" s="45">
        <f ca="1">IFERROR(__xludf.DUMMYFUNCTION("""COMPUTED_VALUE"""),0.118)</f>
        <v>0.11799999999999999</v>
      </c>
      <c r="P57" s="45" t="str">
        <f ca="1">IFERROR(__xludf.DUMMYFUNCTION("""COMPUTED_VALUE"""),"Colombo, LK")</f>
        <v>Colombo, LK</v>
      </c>
      <c r="Q57" s="45" t="str">
        <f ca="1">IFERROR(__xludf.DUMMYFUNCTION("""COMPUTED_VALUE"""),"New York, NY, US")</f>
        <v>New York, NY, US</v>
      </c>
      <c r="R57" s="44">
        <f ca="1">IFERROR(__xludf.DUMMYFUNCTION("""COMPUTED_VALUE"""),45817)</f>
        <v>45817</v>
      </c>
      <c r="S57" s="44">
        <f ca="1">IFERROR(__xludf.DUMMYFUNCTION("""COMPUTED_VALUE"""),45876)</f>
        <v>45876</v>
      </c>
      <c r="T57" s="45" t="str">
        <f ca="1">IFERROR(__xludf.DUMMYFUNCTION("""COMPUTED_VALUE"""),"Mississauga, ON, CA")</f>
        <v>Mississauga, ON, CA</v>
      </c>
      <c r="U57" s="45"/>
      <c r="V57" s="45"/>
      <c r="W57" s="45"/>
      <c r="X57" s="45"/>
      <c r="Y57" s="46">
        <f ca="1">IFERROR(__xludf.DUMMYFUNCTION("""COMPUTED_VALUE"""),45825)</f>
        <v>45825</v>
      </c>
      <c r="Z57" s="46">
        <f ca="1">IFERROR(__xludf.DUMMYFUNCTION("""COMPUTED_VALUE"""),45854)</f>
        <v>45854</v>
      </c>
      <c r="AA57" s="46">
        <f ca="1">IFERROR(__xludf.DUMMYFUNCTION("""COMPUTED_VALUE"""),45867)</f>
        <v>45867</v>
      </c>
      <c r="AB57" s="45" t="str">
        <f ca="1">IFERROR(__xludf.DUMMYFUNCTION("""COMPUTED_VALUE"""),"3500 Argentia Road")</f>
        <v>3500 Argentia Road</v>
      </c>
      <c r="AC57" s="45"/>
      <c r="AD57" s="45" t="str">
        <f ca="1">IFERROR(__xludf.DUMMYFUNCTION("""COMPUTED_VALUE"""),"OCEAN")</f>
        <v>OCEAN</v>
      </c>
      <c r="AE57" s="45" t="str">
        <f ca="1">IFERROR(__xludf.DUMMYFUNCTION("""COMPUTED_VALUE"""),"N")</f>
        <v>N</v>
      </c>
      <c r="AF57" s="45"/>
      <c r="AG57" s="49" t="str">
        <f ca="1">IFERROR(__xludf.DUMMYFUNCTION("IFNA(vlookup(H57,IMPORTRANGE(""1vUGwO1n0QQGx9kKbO0_M5gmuhXZ6-LaxQxgrmJnzgP0"",""'TP# look up'!A:C""),3,0),"""")"),"")</f>
        <v/>
      </c>
      <c r="AH57" s="49" t="str">
        <f t="shared" ca="1" si="0"/>
        <v>LM</v>
      </c>
    </row>
    <row r="58" spans="1:34" ht="12.75" hidden="1">
      <c r="A58" s="45" t="str">
        <f ca="1">IFERROR(__xludf.DUMMYFUNCTION("""COMPUTED_VALUE"""),"Colombo")</f>
        <v>Colombo</v>
      </c>
      <c r="B58" s="45"/>
      <c r="C58" s="45">
        <f ca="1">IFERROR(__xludf.DUMMYFUNCTION("""COMPUTED_VALUE"""),3231352)</f>
        <v>3231352</v>
      </c>
      <c r="D58" s="45"/>
      <c r="E58" s="45" t="str">
        <f ca="1">IFERROR(__xludf.DUMMYFUNCTION("""COMPUTED_VALUE"""),"CFS")</f>
        <v>CFS</v>
      </c>
      <c r="F58" s="45" t="str">
        <f ca="1">IFERROR(__xludf.DUMMYFUNCTION("""COMPUTED_VALUE"""),"MAS AMITY PTE LTD")</f>
        <v>MAS AMITY PTE LTD</v>
      </c>
      <c r="G58" s="45" t="str">
        <f ca="1">IFERROR(__xludf.DUMMYFUNCTION("""COMPUTED_VALUE"""),"MAS Active(Pvt) Ltd – CONTOURLINE")</f>
        <v>MAS Active(Pvt) Ltd – CONTOURLINE</v>
      </c>
      <c r="H58" s="43">
        <f ca="1">IFERROR(__xludf.DUMMYFUNCTION("""COMPUTED_VALUE"""),450955905214)</f>
        <v>450955905214</v>
      </c>
      <c r="I58" s="45">
        <f ca="1">IFERROR(__xludf.DUMMYFUNCTION("""COMPUTED_VALUE"""),19939842)</f>
        <v>19939842</v>
      </c>
      <c r="J58" s="45" t="str">
        <f ca="1">IFERROR(__xludf.DUMMYFUNCTION("""COMPUTED_VALUE"""),"LM7BI2S")</f>
        <v>LM7BI2S</v>
      </c>
      <c r="K58" s="45" t="str">
        <f ca="1">IFERROR(__xludf.DUMMYFUNCTION("""COMPUTED_VALUE"""),"LM7BI2S-068578")</f>
        <v>LM7BI2S-068578</v>
      </c>
      <c r="L58" s="45">
        <f ca="1">IFERROR(__xludf.DUMMYFUNCTION("""COMPUTED_VALUE"""),6)</f>
        <v>6</v>
      </c>
      <c r="M58" s="45">
        <f ca="1">IFERROR(__xludf.DUMMYFUNCTION("""COMPUTED_VALUE"""),244)</f>
        <v>244</v>
      </c>
      <c r="N58" s="45">
        <f ca="1">IFERROR(__xludf.DUMMYFUNCTION("""COMPUTED_VALUE"""),58.608)</f>
        <v>58.607999999999997</v>
      </c>
      <c r="O58" s="45">
        <f ca="1">IFERROR(__xludf.DUMMYFUNCTION("""COMPUTED_VALUE"""),0.474)</f>
        <v>0.47399999999999998</v>
      </c>
      <c r="P58" s="45" t="str">
        <f ca="1">IFERROR(__xludf.DUMMYFUNCTION("""COMPUTED_VALUE"""),"Colombo, LK")</f>
        <v>Colombo, LK</v>
      </c>
      <c r="Q58" s="45" t="str">
        <f ca="1">IFERROR(__xludf.DUMMYFUNCTION("""COMPUTED_VALUE"""),"New York, NY, US")</f>
        <v>New York, NY, US</v>
      </c>
      <c r="R58" s="44">
        <f ca="1">IFERROR(__xludf.DUMMYFUNCTION("""COMPUTED_VALUE"""),45817)</f>
        <v>45817</v>
      </c>
      <c r="S58" s="44">
        <f ca="1">IFERROR(__xludf.DUMMYFUNCTION("""COMPUTED_VALUE"""),45876)</f>
        <v>45876</v>
      </c>
      <c r="T58" s="45" t="str">
        <f ca="1">IFERROR(__xludf.DUMMYFUNCTION("""COMPUTED_VALUE"""),"Mississauga, ON, CA")</f>
        <v>Mississauga, ON, CA</v>
      </c>
      <c r="U58" s="45"/>
      <c r="V58" s="45"/>
      <c r="W58" s="45"/>
      <c r="X58" s="45"/>
      <c r="Y58" s="46">
        <f ca="1">IFERROR(__xludf.DUMMYFUNCTION("""COMPUTED_VALUE"""),45825)</f>
        <v>45825</v>
      </c>
      <c r="Z58" s="46">
        <f ca="1">IFERROR(__xludf.DUMMYFUNCTION("""COMPUTED_VALUE"""),45854)</f>
        <v>45854</v>
      </c>
      <c r="AA58" s="46">
        <f ca="1">IFERROR(__xludf.DUMMYFUNCTION("""COMPUTED_VALUE"""),45867)</f>
        <v>45867</v>
      </c>
      <c r="AB58" s="45" t="str">
        <f ca="1">IFERROR(__xludf.DUMMYFUNCTION("""COMPUTED_VALUE"""),"3500 Argentia Road")</f>
        <v>3500 Argentia Road</v>
      </c>
      <c r="AC58" s="45"/>
      <c r="AD58" s="45" t="str">
        <f ca="1">IFERROR(__xludf.DUMMYFUNCTION("""COMPUTED_VALUE"""),"OCEAN")</f>
        <v>OCEAN</v>
      </c>
      <c r="AE58" s="45" t="str">
        <f ca="1">IFERROR(__xludf.DUMMYFUNCTION("""COMPUTED_VALUE"""),"N")</f>
        <v>N</v>
      </c>
      <c r="AF58" s="45"/>
      <c r="AG58" s="49" t="str">
        <f ca="1">IFERROR(__xludf.DUMMYFUNCTION("IFNA(vlookup(H58,IMPORTRANGE(""1vUGwO1n0QQGx9kKbO0_M5gmuhXZ6-LaxQxgrmJnzgP0"",""'TP# look up'!A:C""),3,0),"""")"),"")</f>
        <v/>
      </c>
      <c r="AH58" s="49" t="str">
        <f t="shared" ca="1" si="0"/>
        <v>LM</v>
      </c>
    </row>
    <row r="59" spans="1:34" ht="12.75" hidden="1">
      <c r="A59" s="45" t="str">
        <f ca="1">IFERROR(__xludf.DUMMYFUNCTION("""COMPUTED_VALUE"""),"Colombo")</f>
        <v>Colombo</v>
      </c>
      <c r="B59" s="45"/>
      <c r="C59" s="45">
        <f ca="1">IFERROR(__xludf.DUMMYFUNCTION("""COMPUTED_VALUE"""),3231352)</f>
        <v>3231352</v>
      </c>
      <c r="D59" s="45"/>
      <c r="E59" s="45" t="str">
        <f ca="1">IFERROR(__xludf.DUMMYFUNCTION("""COMPUTED_VALUE"""),"CFS")</f>
        <v>CFS</v>
      </c>
      <c r="F59" s="45" t="str">
        <f ca="1">IFERROR(__xludf.DUMMYFUNCTION("""COMPUTED_VALUE"""),"MAS AMITY PTE LTD")</f>
        <v>MAS AMITY PTE LTD</v>
      </c>
      <c r="G59" s="45" t="str">
        <f ca="1">IFERROR(__xludf.DUMMYFUNCTION("""COMPUTED_VALUE"""),"MAS Active(Pvt) Ltd – CONTOURLINE")</f>
        <v>MAS Active(Pvt) Ltd – CONTOURLINE</v>
      </c>
      <c r="H59" s="43">
        <f ca="1">IFERROR(__xludf.DUMMYFUNCTION("""COMPUTED_VALUE"""),450956056776)</f>
        <v>450956056776</v>
      </c>
      <c r="I59" s="45">
        <f ca="1">IFERROR(__xludf.DUMMYFUNCTION("""COMPUTED_VALUE"""),19939838)</f>
        <v>19939838</v>
      </c>
      <c r="J59" s="45" t="str">
        <f ca="1">IFERROR(__xludf.DUMMYFUNCTION("""COMPUTED_VALUE"""),"LM7BI2S")</f>
        <v>LM7BI2S</v>
      </c>
      <c r="K59" s="45" t="str">
        <f ca="1">IFERROR(__xludf.DUMMYFUNCTION("""COMPUTED_VALUE"""),"LM7BI2S-068578")</f>
        <v>LM7BI2S-068578</v>
      </c>
      <c r="L59" s="45">
        <f ca="1">IFERROR(__xludf.DUMMYFUNCTION("""COMPUTED_VALUE"""),8)</f>
        <v>8</v>
      </c>
      <c r="M59" s="45">
        <f ca="1">IFERROR(__xludf.DUMMYFUNCTION("""COMPUTED_VALUE"""),355)</f>
        <v>355</v>
      </c>
      <c r="N59" s="45">
        <f ca="1">IFERROR(__xludf.DUMMYFUNCTION("""COMPUTED_VALUE"""),84.247)</f>
        <v>84.247</v>
      </c>
      <c r="O59" s="45">
        <f ca="1">IFERROR(__xludf.DUMMYFUNCTION("""COMPUTED_VALUE"""),0.592)</f>
        <v>0.59199999999999997</v>
      </c>
      <c r="P59" s="45" t="str">
        <f ca="1">IFERROR(__xludf.DUMMYFUNCTION("""COMPUTED_VALUE"""),"Colombo, LK")</f>
        <v>Colombo, LK</v>
      </c>
      <c r="Q59" s="45" t="str">
        <f ca="1">IFERROR(__xludf.DUMMYFUNCTION("""COMPUTED_VALUE"""),"New York, NY, US")</f>
        <v>New York, NY, US</v>
      </c>
      <c r="R59" s="44">
        <f ca="1">IFERROR(__xludf.DUMMYFUNCTION("""COMPUTED_VALUE"""),45817)</f>
        <v>45817</v>
      </c>
      <c r="S59" s="44">
        <f ca="1">IFERROR(__xludf.DUMMYFUNCTION("""COMPUTED_VALUE"""),45876)</f>
        <v>45876</v>
      </c>
      <c r="T59" s="45" t="str">
        <f ca="1">IFERROR(__xludf.DUMMYFUNCTION("""COMPUTED_VALUE"""),"Mississauga, ON, CA")</f>
        <v>Mississauga, ON, CA</v>
      </c>
      <c r="U59" s="45"/>
      <c r="V59" s="45"/>
      <c r="W59" s="45"/>
      <c r="X59" s="45"/>
      <c r="Y59" s="46">
        <f ca="1">IFERROR(__xludf.DUMMYFUNCTION("""COMPUTED_VALUE"""),45825)</f>
        <v>45825</v>
      </c>
      <c r="Z59" s="46">
        <f ca="1">IFERROR(__xludf.DUMMYFUNCTION("""COMPUTED_VALUE"""),45854)</f>
        <v>45854</v>
      </c>
      <c r="AA59" s="46">
        <f ca="1">IFERROR(__xludf.DUMMYFUNCTION("""COMPUTED_VALUE"""),45867)</f>
        <v>45867</v>
      </c>
      <c r="AB59" s="45" t="str">
        <f ca="1">IFERROR(__xludf.DUMMYFUNCTION("""COMPUTED_VALUE"""),"3500 Argentia Road")</f>
        <v>3500 Argentia Road</v>
      </c>
      <c r="AC59" s="45"/>
      <c r="AD59" s="45" t="str">
        <f ca="1">IFERROR(__xludf.DUMMYFUNCTION("""COMPUTED_VALUE"""),"OCEAN")</f>
        <v>OCEAN</v>
      </c>
      <c r="AE59" s="45" t="str">
        <f ca="1">IFERROR(__xludf.DUMMYFUNCTION("""COMPUTED_VALUE"""),"N")</f>
        <v>N</v>
      </c>
      <c r="AF59" s="45"/>
      <c r="AG59" s="49" t="str">
        <f ca="1">IFERROR(__xludf.DUMMYFUNCTION("IFNA(vlookup(H59,IMPORTRANGE(""1vUGwO1n0QQGx9kKbO0_M5gmuhXZ6-LaxQxgrmJnzgP0"",""'TP# look up'!A:C""),3,0),"""")"),"")</f>
        <v/>
      </c>
      <c r="AH59" s="49" t="str">
        <f t="shared" ca="1" si="0"/>
        <v>LM</v>
      </c>
    </row>
    <row r="60" spans="1:34" ht="12.75" hidden="1">
      <c r="A60" s="45" t="str">
        <f ca="1">IFERROR(__xludf.DUMMYFUNCTION("""COMPUTED_VALUE"""),"Colombo")</f>
        <v>Colombo</v>
      </c>
      <c r="B60" s="45"/>
      <c r="C60" s="45">
        <f ca="1">IFERROR(__xludf.DUMMYFUNCTION("""COMPUTED_VALUE"""),3231352)</f>
        <v>3231352</v>
      </c>
      <c r="D60" s="45"/>
      <c r="E60" s="45" t="str">
        <f ca="1">IFERROR(__xludf.DUMMYFUNCTION("""COMPUTED_VALUE"""),"CFS")</f>
        <v>CFS</v>
      </c>
      <c r="F60" s="45" t="str">
        <f ca="1">IFERROR(__xludf.DUMMYFUNCTION("""COMPUTED_VALUE"""),"MAS AMITY PTE LTD")</f>
        <v>MAS AMITY PTE LTD</v>
      </c>
      <c r="G60" s="45" t="str">
        <f ca="1">IFERROR(__xludf.DUMMYFUNCTION("""COMPUTED_VALUE"""),"MAS Active(Pvt) Ltd – CONTOURLINE")</f>
        <v>MAS Active(Pvt) Ltd – CONTOURLINE</v>
      </c>
      <c r="H60" s="43">
        <f ca="1">IFERROR(__xludf.DUMMYFUNCTION("""COMPUTED_VALUE"""),450958349540)</f>
        <v>450958349540</v>
      </c>
      <c r="I60" s="45">
        <f ca="1">IFERROR(__xludf.DUMMYFUNCTION("""COMPUTED_VALUE"""),19925512)</f>
        <v>19925512</v>
      </c>
      <c r="J60" s="45" t="str">
        <f ca="1">IFERROR(__xludf.DUMMYFUNCTION("""COMPUTED_VALUE"""),"LW5FARS")</f>
        <v>LW5FARS</v>
      </c>
      <c r="K60" s="45" t="str">
        <f ca="1">IFERROR(__xludf.DUMMYFUNCTION("""COMPUTED_VALUE"""),"LW5FARS-035487")</f>
        <v>LW5FARS-035487</v>
      </c>
      <c r="L60" s="45">
        <f ca="1">IFERROR(__xludf.DUMMYFUNCTION("""COMPUTED_VALUE"""),12)</f>
        <v>12</v>
      </c>
      <c r="M60" s="45">
        <f ca="1">IFERROR(__xludf.DUMMYFUNCTION("""COMPUTED_VALUE"""),734)</f>
        <v>734</v>
      </c>
      <c r="N60" s="45">
        <f ca="1">IFERROR(__xludf.DUMMYFUNCTION("""COMPUTED_VALUE"""),156.812)</f>
        <v>156.81200000000001</v>
      </c>
      <c r="O60" s="45">
        <f ca="1">IFERROR(__xludf.DUMMYFUNCTION("""COMPUTED_VALUE"""),0.908)</f>
        <v>0.90800000000000003</v>
      </c>
      <c r="P60" s="45" t="str">
        <f ca="1">IFERROR(__xludf.DUMMYFUNCTION("""COMPUTED_VALUE"""),"Colombo, LK")</f>
        <v>Colombo, LK</v>
      </c>
      <c r="Q60" s="45" t="str">
        <f ca="1">IFERROR(__xludf.DUMMYFUNCTION("""COMPUTED_VALUE"""),"New York, NY, US")</f>
        <v>New York, NY, US</v>
      </c>
      <c r="R60" s="44">
        <f ca="1">IFERROR(__xludf.DUMMYFUNCTION("""COMPUTED_VALUE"""),45817)</f>
        <v>45817</v>
      </c>
      <c r="S60" s="44">
        <f ca="1">IFERROR(__xludf.DUMMYFUNCTION("""COMPUTED_VALUE"""),45876)</f>
        <v>45876</v>
      </c>
      <c r="T60" s="45" t="str">
        <f ca="1">IFERROR(__xludf.DUMMYFUNCTION("""COMPUTED_VALUE"""),"Mississauga, ON, CA")</f>
        <v>Mississauga, ON, CA</v>
      </c>
      <c r="U60" s="45"/>
      <c r="V60" s="45"/>
      <c r="W60" s="45"/>
      <c r="X60" s="45"/>
      <c r="Y60" s="46">
        <f ca="1">IFERROR(__xludf.DUMMYFUNCTION("""COMPUTED_VALUE"""),45825)</f>
        <v>45825</v>
      </c>
      <c r="Z60" s="46">
        <f ca="1">IFERROR(__xludf.DUMMYFUNCTION("""COMPUTED_VALUE"""),45854)</f>
        <v>45854</v>
      </c>
      <c r="AA60" s="46">
        <f ca="1">IFERROR(__xludf.DUMMYFUNCTION("""COMPUTED_VALUE"""),45867)</f>
        <v>45867</v>
      </c>
      <c r="AB60" s="45" t="str">
        <f ca="1">IFERROR(__xludf.DUMMYFUNCTION("""COMPUTED_VALUE"""),"3500 Argentia Road")</f>
        <v>3500 Argentia Road</v>
      </c>
      <c r="AC60" s="45"/>
      <c r="AD60" s="45" t="str">
        <f ca="1">IFERROR(__xludf.DUMMYFUNCTION("""COMPUTED_VALUE"""),"OCEAN")</f>
        <v>OCEAN</v>
      </c>
      <c r="AE60" s="45" t="str">
        <f ca="1">IFERROR(__xludf.DUMMYFUNCTION("""COMPUTED_VALUE"""),"N")</f>
        <v>N</v>
      </c>
      <c r="AF60" s="45"/>
      <c r="AG60" s="49" t="str">
        <f ca="1">IFERROR(__xludf.DUMMYFUNCTION("IFNA(vlookup(H60,IMPORTRANGE(""1vUGwO1n0QQGx9kKbO0_M5gmuhXZ6-LaxQxgrmJnzgP0"",""'TP# look up'!A:C""),3,0),"""")"),"")</f>
        <v/>
      </c>
      <c r="AH60" s="49" t="str">
        <f t="shared" ca="1" si="0"/>
        <v>LW</v>
      </c>
    </row>
    <row r="61" spans="1:34" ht="12.75" hidden="1">
      <c r="A61" s="45" t="str">
        <f ca="1">IFERROR(__xludf.DUMMYFUNCTION("""COMPUTED_VALUE"""),"Colombo")</f>
        <v>Colombo</v>
      </c>
      <c r="B61" s="45"/>
      <c r="C61" s="45">
        <f ca="1">IFERROR(__xludf.DUMMYFUNCTION("""COMPUTED_VALUE"""),3231352)</f>
        <v>3231352</v>
      </c>
      <c r="D61" s="45"/>
      <c r="E61" s="45" t="str">
        <f ca="1">IFERROR(__xludf.DUMMYFUNCTION("""COMPUTED_VALUE"""),"CFS")</f>
        <v>CFS</v>
      </c>
      <c r="F61" s="45" t="str">
        <f ca="1">IFERROR(__xludf.DUMMYFUNCTION("""COMPUTED_VALUE"""),"MAS AMITY PTE LTD")</f>
        <v>MAS AMITY PTE LTD</v>
      </c>
      <c r="G61" s="45" t="str">
        <f ca="1">IFERROR(__xludf.DUMMYFUNCTION("""COMPUTED_VALUE"""),"MAS Active(Pvt) Ltd – CONTOURLINE")</f>
        <v>MAS Active(Pvt) Ltd – CONTOURLINE</v>
      </c>
      <c r="H61" s="43">
        <f ca="1">IFERROR(__xludf.DUMMYFUNCTION("""COMPUTED_VALUE"""),450958615115)</f>
        <v>450958615115</v>
      </c>
      <c r="I61" s="45">
        <f ca="1">IFERROR(__xludf.DUMMYFUNCTION("""COMPUTED_VALUE"""),19939771)</f>
        <v>19939771</v>
      </c>
      <c r="J61" s="45" t="str">
        <f ca="1">IFERROR(__xludf.DUMMYFUNCTION("""COMPUTED_VALUE"""),"LM3FGKS")</f>
        <v>LM3FGKS</v>
      </c>
      <c r="K61" s="45" t="str">
        <f ca="1">IFERROR(__xludf.DUMMYFUNCTION("""COMPUTED_VALUE"""),"LM3FGKS-033454")</f>
        <v>LM3FGKS-033454</v>
      </c>
      <c r="L61" s="45">
        <f ca="1">IFERROR(__xludf.DUMMYFUNCTION("""COMPUTED_VALUE"""),7)</f>
        <v>7</v>
      </c>
      <c r="M61" s="45">
        <f ca="1">IFERROR(__xludf.DUMMYFUNCTION("""COMPUTED_VALUE"""),318)</f>
        <v>318</v>
      </c>
      <c r="N61" s="45">
        <f ca="1">IFERROR(__xludf.DUMMYFUNCTION("""COMPUTED_VALUE"""),76.121)</f>
        <v>76.120999999999995</v>
      </c>
      <c r="O61" s="45">
        <f ca="1">IFERROR(__xludf.DUMMYFUNCTION("""COMPUTED_VALUE"""),0.474)</f>
        <v>0.47399999999999998</v>
      </c>
      <c r="P61" s="45" t="str">
        <f ca="1">IFERROR(__xludf.DUMMYFUNCTION("""COMPUTED_VALUE"""),"Colombo, LK")</f>
        <v>Colombo, LK</v>
      </c>
      <c r="Q61" s="45" t="str">
        <f ca="1">IFERROR(__xludf.DUMMYFUNCTION("""COMPUTED_VALUE"""),"New York, NY, US")</f>
        <v>New York, NY, US</v>
      </c>
      <c r="R61" s="44">
        <f ca="1">IFERROR(__xludf.DUMMYFUNCTION("""COMPUTED_VALUE"""),45817)</f>
        <v>45817</v>
      </c>
      <c r="S61" s="44">
        <f ca="1">IFERROR(__xludf.DUMMYFUNCTION("""COMPUTED_VALUE"""),45876)</f>
        <v>45876</v>
      </c>
      <c r="T61" s="45" t="str">
        <f ca="1">IFERROR(__xludf.DUMMYFUNCTION("""COMPUTED_VALUE"""),"Mississauga, ON, CA")</f>
        <v>Mississauga, ON, CA</v>
      </c>
      <c r="U61" s="45"/>
      <c r="V61" s="45"/>
      <c r="W61" s="45"/>
      <c r="X61" s="45"/>
      <c r="Y61" s="46">
        <f ca="1">IFERROR(__xludf.DUMMYFUNCTION("""COMPUTED_VALUE"""),45825)</f>
        <v>45825</v>
      </c>
      <c r="Z61" s="46">
        <f ca="1">IFERROR(__xludf.DUMMYFUNCTION("""COMPUTED_VALUE"""),45854)</f>
        <v>45854</v>
      </c>
      <c r="AA61" s="46">
        <f ca="1">IFERROR(__xludf.DUMMYFUNCTION("""COMPUTED_VALUE"""),45867)</f>
        <v>45867</v>
      </c>
      <c r="AB61" s="45" t="str">
        <f ca="1">IFERROR(__xludf.DUMMYFUNCTION("""COMPUTED_VALUE"""),"3500 Argentia Road")</f>
        <v>3500 Argentia Road</v>
      </c>
      <c r="AC61" s="45"/>
      <c r="AD61" s="45" t="str">
        <f ca="1">IFERROR(__xludf.DUMMYFUNCTION("""COMPUTED_VALUE"""),"OCEAN")</f>
        <v>OCEAN</v>
      </c>
      <c r="AE61" s="45" t="str">
        <f ca="1">IFERROR(__xludf.DUMMYFUNCTION("""COMPUTED_VALUE"""),"N")</f>
        <v>N</v>
      </c>
      <c r="AF61" s="45"/>
      <c r="AG61" s="49" t="str">
        <f ca="1">IFERROR(__xludf.DUMMYFUNCTION("IFNA(vlookup(H61,IMPORTRANGE(""1vUGwO1n0QQGx9kKbO0_M5gmuhXZ6-LaxQxgrmJnzgP0"",""'TP# look up'!A:C""),3,0),"""")"),"")</f>
        <v/>
      </c>
      <c r="AH61" s="49" t="str">
        <f t="shared" ca="1" si="0"/>
        <v>LM</v>
      </c>
    </row>
    <row r="62" spans="1:34" ht="12.75" hidden="1">
      <c r="A62" s="45" t="str">
        <f ca="1">IFERROR(__xludf.DUMMYFUNCTION("""COMPUTED_VALUE"""),"Colombo")</f>
        <v>Colombo</v>
      </c>
      <c r="B62" s="45"/>
      <c r="C62" s="45">
        <f ca="1">IFERROR(__xludf.DUMMYFUNCTION("""COMPUTED_VALUE"""),3231352)</f>
        <v>3231352</v>
      </c>
      <c r="D62" s="45"/>
      <c r="E62" s="45" t="str">
        <f ca="1">IFERROR(__xludf.DUMMYFUNCTION("""COMPUTED_VALUE"""),"CFS")</f>
        <v>CFS</v>
      </c>
      <c r="F62" s="45" t="str">
        <f ca="1">IFERROR(__xludf.DUMMYFUNCTION("""COMPUTED_VALUE"""),"Bodyline Trading (Private) Limited")</f>
        <v>Bodyline Trading (Private) Limited</v>
      </c>
      <c r="G62" s="45" t="str">
        <f ca="1">IFERROR(__xludf.DUMMYFUNCTION("""COMPUTED_VALUE"""),"Bodyline (Private) Limited")</f>
        <v>Bodyline (Private) Limited</v>
      </c>
      <c r="H62" s="43">
        <f ca="1">IFERROR(__xludf.DUMMYFUNCTION("""COMPUTED_VALUE"""),451148993331)</f>
        <v>451148993331</v>
      </c>
      <c r="I62" s="45">
        <f ca="1">IFERROR(__xludf.DUMMYFUNCTION("""COMPUTED_VALUE"""),19878375)</f>
        <v>19878375</v>
      </c>
      <c r="J62" s="45" t="str">
        <f ca="1">IFERROR(__xludf.DUMMYFUNCTION("""COMPUTED_VALUE"""),"LW2731S")</f>
        <v>LW2731S</v>
      </c>
      <c r="K62" s="45" t="str">
        <f ca="1">IFERROR(__xludf.DUMMYFUNCTION("""COMPUTED_VALUE"""),"LW2731S-071152")</f>
        <v>LW2731S-071152</v>
      </c>
      <c r="L62" s="45">
        <f ca="1">IFERROR(__xludf.DUMMYFUNCTION("""COMPUTED_VALUE"""),9)</f>
        <v>9</v>
      </c>
      <c r="M62" s="45">
        <f ca="1">IFERROR(__xludf.DUMMYFUNCTION("""COMPUTED_VALUE"""),532)</f>
        <v>532</v>
      </c>
      <c r="N62" s="45">
        <f ca="1">IFERROR(__xludf.DUMMYFUNCTION("""COMPUTED_VALUE"""),55.588)</f>
        <v>55.588000000000001</v>
      </c>
      <c r="O62" s="45">
        <f ca="1">IFERROR(__xludf.DUMMYFUNCTION("""COMPUTED_VALUE"""),0.725)</f>
        <v>0.72499999999999998</v>
      </c>
      <c r="P62" s="45" t="str">
        <f ca="1">IFERROR(__xludf.DUMMYFUNCTION("""COMPUTED_VALUE"""),"Colombo, LK")</f>
        <v>Colombo, LK</v>
      </c>
      <c r="Q62" s="45" t="str">
        <f ca="1">IFERROR(__xludf.DUMMYFUNCTION("""COMPUTED_VALUE"""),"New York, NY, US")</f>
        <v>New York, NY, US</v>
      </c>
      <c r="R62" s="44">
        <f ca="1">IFERROR(__xludf.DUMMYFUNCTION("""COMPUTED_VALUE"""),45817)</f>
        <v>45817</v>
      </c>
      <c r="S62" s="44">
        <f ca="1">IFERROR(__xludf.DUMMYFUNCTION("""COMPUTED_VALUE"""),45876)</f>
        <v>45876</v>
      </c>
      <c r="T62" s="45" t="str">
        <f ca="1">IFERROR(__xludf.DUMMYFUNCTION("""COMPUTED_VALUE"""),"Mississauga, ON, CA")</f>
        <v>Mississauga, ON, CA</v>
      </c>
      <c r="U62" s="45"/>
      <c r="V62" s="45"/>
      <c r="W62" s="45"/>
      <c r="X62" s="45"/>
      <c r="Y62" s="46">
        <f ca="1">IFERROR(__xludf.DUMMYFUNCTION("""COMPUTED_VALUE"""),45825)</f>
        <v>45825</v>
      </c>
      <c r="Z62" s="46">
        <f ca="1">IFERROR(__xludf.DUMMYFUNCTION("""COMPUTED_VALUE"""),45854)</f>
        <v>45854</v>
      </c>
      <c r="AA62" s="46">
        <f ca="1">IFERROR(__xludf.DUMMYFUNCTION("""COMPUTED_VALUE"""),45867)</f>
        <v>45867</v>
      </c>
      <c r="AB62" s="45" t="str">
        <f ca="1">IFERROR(__xludf.DUMMYFUNCTION("""COMPUTED_VALUE"""),"3500 Argentia Road")</f>
        <v>3500 Argentia Road</v>
      </c>
      <c r="AC62" s="45"/>
      <c r="AD62" s="45" t="str">
        <f ca="1">IFERROR(__xludf.DUMMYFUNCTION("""COMPUTED_VALUE"""),"OCEAN")</f>
        <v>OCEAN</v>
      </c>
      <c r="AE62" s="45" t="str">
        <f ca="1">IFERROR(__xludf.DUMMYFUNCTION("""COMPUTED_VALUE"""),"N")</f>
        <v>N</v>
      </c>
      <c r="AF62" s="45"/>
      <c r="AG62" s="49" t="str">
        <f ca="1">IFERROR(__xludf.DUMMYFUNCTION("IFNA(vlookup(H62,IMPORTRANGE(""1vUGwO1n0QQGx9kKbO0_M5gmuhXZ6-LaxQxgrmJnzgP0"",""'TP# look up'!A:C""),3,0),"""")"),"")</f>
        <v/>
      </c>
      <c r="AH62" s="49" t="str">
        <f t="shared" ca="1" si="0"/>
        <v>LW</v>
      </c>
    </row>
    <row r="63" spans="1:34" ht="12.75" hidden="1">
      <c r="A63" s="45" t="str">
        <f ca="1">IFERROR(__xludf.DUMMYFUNCTION("""COMPUTED_VALUE"""),"Colombo")</f>
        <v>Colombo</v>
      </c>
      <c r="B63" s="45"/>
      <c r="C63" s="45">
        <f ca="1">IFERROR(__xludf.DUMMYFUNCTION("""COMPUTED_VALUE"""),3231352)</f>
        <v>3231352</v>
      </c>
      <c r="D63" s="45"/>
      <c r="E63" s="45" t="str">
        <f ca="1">IFERROR(__xludf.DUMMYFUNCTION("""COMPUTED_VALUE"""),"CFS")</f>
        <v>CFS</v>
      </c>
      <c r="F63" s="45" t="str">
        <f ca="1">IFERROR(__xludf.DUMMYFUNCTION("""COMPUTED_VALUE"""),"Bodyline Trading (Private) Limited")</f>
        <v>Bodyline Trading (Private) Limited</v>
      </c>
      <c r="G63" s="45" t="str">
        <f ca="1">IFERROR(__xludf.DUMMYFUNCTION("""COMPUTED_VALUE"""),"Bodyline (Private) Limited")</f>
        <v>Bodyline (Private) Limited</v>
      </c>
      <c r="H63" s="43">
        <f ca="1">IFERROR(__xludf.DUMMYFUNCTION("""COMPUTED_VALUE"""),451150784375)</f>
        <v>451150784375</v>
      </c>
      <c r="I63" s="45">
        <f ca="1">IFERROR(__xludf.DUMMYFUNCTION("""COMPUTED_VALUE"""),19843787)</f>
        <v>19843787</v>
      </c>
      <c r="J63" s="45" t="str">
        <f ca="1">IFERROR(__xludf.DUMMYFUNCTION("""COMPUTED_VALUE"""),"LW2DQ0S")</f>
        <v>LW2DQ0S</v>
      </c>
      <c r="K63" s="45" t="str">
        <f ca="1">IFERROR(__xludf.DUMMYFUNCTION("""COMPUTED_VALUE"""),"LW2DQ0S-062214")</f>
        <v>LW2DQ0S-062214</v>
      </c>
      <c r="L63" s="45">
        <f ca="1">IFERROR(__xludf.DUMMYFUNCTION("""COMPUTED_VALUE"""),1)</f>
        <v>1</v>
      </c>
      <c r="M63" s="45">
        <f ca="1">IFERROR(__xludf.DUMMYFUNCTION("""COMPUTED_VALUE"""),12)</f>
        <v>12</v>
      </c>
      <c r="N63" s="45">
        <f ca="1">IFERROR(__xludf.DUMMYFUNCTION("""COMPUTED_VALUE"""),2.057)</f>
        <v>2.0569999999999999</v>
      </c>
      <c r="O63" s="45">
        <f ca="1">IFERROR(__xludf.DUMMYFUNCTION("""COMPUTED_VALUE"""),0.044)</f>
        <v>4.3999999999999997E-2</v>
      </c>
      <c r="P63" s="45" t="str">
        <f ca="1">IFERROR(__xludf.DUMMYFUNCTION("""COMPUTED_VALUE"""),"Colombo, LK")</f>
        <v>Colombo, LK</v>
      </c>
      <c r="Q63" s="45" t="str">
        <f ca="1">IFERROR(__xludf.DUMMYFUNCTION("""COMPUTED_VALUE"""),"New York, NY, US")</f>
        <v>New York, NY, US</v>
      </c>
      <c r="R63" s="44">
        <f ca="1">IFERROR(__xludf.DUMMYFUNCTION("""COMPUTED_VALUE"""),45817)</f>
        <v>45817</v>
      </c>
      <c r="S63" s="44">
        <f ca="1">IFERROR(__xludf.DUMMYFUNCTION("""COMPUTED_VALUE"""),45876)</f>
        <v>45876</v>
      </c>
      <c r="T63" s="45" t="str">
        <f ca="1">IFERROR(__xludf.DUMMYFUNCTION("""COMPUTED_VALUE"""),"Milton, ON, CA")</f>
        <v>Milton, ON, CA</v>
      </c>
      <c r="U63" s="45"/>
      <c r="V63" s="45"/>
      <c r="W63" s="45"/>
      <c r="X63" s="45"/>
      <c r="Y63" s="46">
        <f ca="1">IFERROR(__xludf.DUMMYFUNCTION("""COMPUTED_VALUE"""),45825)</f>
        <v>45825</v>
      </c>
      <c r="Z63" s="46">
        <f ca="1">IFERROR(__xludf.DUMMYFUNCTION("""COMPUTED_VALUE"""),45854)</f>
        <v>45854</v>
      </c>
      <c r="AA63" s="46">
        <f ca="1">IFERROR(__xludf.DUMMYFUNCTION("""COMPUTED_VALUE"""),45867)</f>
        <v>45867</v>
      </c>
      <c r="AB63" s="45" t="str">
        <f ca="1">IFERROR(__xludf.DUMMYFUNCTION("""COMPUTED_VALUE"""),"7211 Fifth Line")</f>
        <v>7211 Fifth Line</v>
      </c>
      <c r="AC63" s="45"/>
      <c r="AD63" s="45" t="str">
        <f ca="1">IFERROR(__xludf.DUMMYFUNCTION("""COMPUTED_VALUE"""),"OCEAN")</f>
        <v>OCEAN</v>
      </c>
      <c r="AE63" s="45" t="str">
        <f ca="1">IFERROR(__xludf.DUMMYFUNCTION("""COMPUTED_VALUE"""),"N")</f>
        <v>N</v>
      </c>
      <c r="AF63" s="45"/>
      <c r="AG63" s="49" t="str">
        <f ca="1">IFERROR(__xludf.DUMMYFUNCTION("IFNA(vlookup(H63,IMPORTRANGE(""1vUGwO1n0QQGx9kKbO0_M5gmuhXZ6-LaxQxgrmJnzgP0"",""'TP# look up'!A:C""),3,0),"""")"),"")</f>
        <v/>
      </c>
      <c r="AH63" s="49" t="str">
        <f t="shared" ca="1" si="0"/>
        <v>LW</v>
      </c>
    </row>
    <row r="64" spans="1:34" ht="12.75" hidden="1">
      <c r="A64" s="45" t="str">
        <f ca="1">IFERROR(__xludf.DUMMYFUNCTION("""COMPUTED_VALUE"""),"Colombo")</f>
        <v>Colombo</v>
      </c>
      <c r="B64" s="45"/>
      <c r="C64" s="45">
        <f ca="1">IFERROR(__xludf.DUMMYFUNCTION("""COMPUTED_VALUE"""),3231352)</f>
        <v>3231352</v>
      </c>
      <c r="D64" s="45"/>
      <c r="E64" s="45" t="str">
        <f ca="1">IFERROR(__xludf.DUMMYFUNCTION("""COMPUTED_VALUE"""),"CFS")</f>
        <v>CFS</v>
      </c>
      <c r="F64" s="45" t="str">
        <f ca="1">IFERROR(__xludf.DUMMYFUNCTION("""COMPUTED_VALUE"""),"Bodyline Trading (Private) Limited")</f>
        <v>Bodyline Trading (Private) Limited</v>
      </c>
      <c r="G64" s="45" t="str">
        <f ca="1">IFERROR(__xludf.DUMMYFUNCTION("""COMPUTED_VALUE"""),"Bodyline (Private) Limited")</f>
        <v>Bodyline (Private) Limited</v>
      </c>
      <c r="H64" s="43">
        <f ca="1">IFERROR(__xludf.DUMMYFUNCTION("""COMPUTED_VALUE"""),451150820308)</f>
        <v>451150820308</v>
      </c>
      <c r="I64" s="45">
        <f ca="1">IFERROR(__xludf.DUMMYFUNCTION("""COMPUTED_VALUE"""),19878595)</f>
        <v>19878595</v>
      </c>
      <c r="J64" s="45" t="str">
        <f ca="1">IFERROR(__xludf.DUMMYFUNCTION("""COMPUTED_VALUE"""),"LW2731S")</f>
        <v>LW2731S</v>
      </c>
      <c r="K64" s="45" t="str">
        <f ca="1">IFERROR(__xludf.DUMMYFUNCTION("""COMPUTED_VALUE"""),"LW2731S-071152")</f>
        <v>LW2731S-071152</v>
      </c>
      <c r="L64" s="45">
        <f ca="1">IFERROR(__xludf.DUMMYFUNCTION("""COMPUTED_VALUE"""),21)</f>
        <v>21</v>
      </c>
      <c r="M64" s="45">
        <f ca="1">IFERROR(__xludf.DUMMYFUNCTION("""COMPUTED_VALUE"""),1271)</f>
        <v>1271</v>
      </c>
      <c r="N64" s="45">
        <f ca="1">IFERROR(__xludf.DUMMYFUNCTION("""COMPUTED_VALUE"""),130.084)</f>
        <v>130.084</v>
      </c>
      <c r="O64" s="45">
        <f ca="1">IFERROR(__xludf.DUMMYFUNCTION("""COMPUTED_VALUE"""),1.654)</f>
        <v>1.6539999999999999</v>
      </c>
      <c r="P64" s="45" t="str">
        <f ca="1">IFERROR(__xludf.DUMMYFUNCTION("""COMPUTED_VALUE"""),"Colombo, LK")</f>
        <v>Colombo, LK</v>
      </c>
      <c r="Q64" s="45" t="str">
        <f ca="1">IFERROR(__xludf.DUMMYFUNCTION("""COMPUTED_VALUE"""),"New York, NY, US")</f>
        <v>New York, NY, US</v>
      </c>
      <c r="R64" s="44">
        <f ca="1">IFERROR(__xludf.DUMMYFUNCTION("""COMPUTED_VALUE"""),45817)</f>
        <v>45817</v>
      </c>
      <c r="S64" s="44">
        <f ca="1">IFERROR(__xludf.DUMMYFUNCTION("""COMPUTED_VALUE"""),45876)</f>
        <v>45876</v>
      </c>
      <c r="T64" s="45" t="str">
        <f ca="1">IFERROR(__xludf.DUMMYFUNCTION("""COMPUTED_VALUE"""),"Mississauga, ON, CA")</f>
        <v>Mississauga, ON, CA</v>
      </c>
      <c r="U64" s="45"/>
      <c r="V64" s="45"/>
      <c r="W64" s="45"/>
      <c r="X64" s="45"/>
      <c r="Y64" s="46">
        <f ca="1">IFERROR(__xludf.DUMMYFUNCTION("""COMPUTED_VALUE"""),45825)</f>
        <v>45825</v>
      </c>
      <c r="Z64" s="46">
        <f ca="1">IFERROR(__xludf.DUMMYFUNCTION("""COMPUTED_VALUE"""),45854)</f>
        <v>45854</v>
      </c>
      <c r="AA64" s="46">
        <f ca="1">IFERROR(__xludf.DUMMYFUNCTION("""COMPUTED_VALUE"""),45867)</f>
        <v>45867</v>
      </c>
      <c r="AB64" s="45" t="str">
        <f ca="1">IFERROR(__xludf.DUMMYFUNCTION("""COMPUTED_VALUE"""),"3500 Argentia Road")</f>
        <v>3500 Argentia Road</v>
      </c>
      <c r="AC64" s="45"/>
      <c r="AD64" s="45" t="str">
        <f ca="1">IFERROR(__xludf.DUMMYFUNCTION("""COMPUTED_VALUE"""),"OCEAN")</f>
        <v>OCEAN</v>
      </c>
      <c r="AE64" s="45" t="str">
        <f ca="1">IFERROR(__xludf.DUMMYFUNCTION("""COMPUTED_VALUE"""),"N")</f>
        <v>N</v>
      </c>
      <c r="AF64" s="45"/>
      <c r="AG64" s="49" t="str">
        <f ca="1">IFERROR(__xludf.DUMMYFUNCTION("IFNA(vlookup(H64,IMPORTRANGE(""1vUGwO1n0QQGx9kKbO0_M5gmuhXZ6-LaxQxgrmJnzgP0"",""'TP# look up'!A:C""),3,0),"""")"),"")</f>
        <v/>
      </c>
      <c r="AH64" s="49" t="str">
        <f t="shared" ca="1" si="0"/>
        <v>LW</v>
      </c>
    </row>
    <row r="65" spans="1:34" ht="12.75" hidden="1">
      <c r="A65" s="45" t="str">
        <f ca="1">IFERROR(__xludf.DUMMYFUNCTION("""COMPUTED_VALUE"""),"Colombo")</f>
        <v>Colombo</v>
      </c>
      <c r="B65" s="45"/>
      <c r="C65" s="45">
        <f ca="1">IFERROR(__xludf.DUMMYFUNCTION("""COMPUTED_VALUE"""),3231352)</f>
        <v>3231352</v>
      </c>
      <c r="D65" s="45"/>
      <c r="E65" s="45" t="str">
        <f ca="1">IFERROR(__xludf.DUMMYFUNCTION("""COMPUTED_VALUE"""),"CFS")</f>
        <v>CFS</v>
      </c>
      <c r="F65" s="45" t="str">
        <f ca="1">IFERROR(__xludf.DUMMYFUNCTION("""COMPUTED_VALUE"""),"Bodyline Trading (Private) Limited")</f>
        <v>Bodyline Trading (Private) Limited</v>
      </c>
      <c r="G65" s="45" t="str">
        <f ca="1">IFERROR(__xludf.DUMMYFUNCTION("""COMPUTED_VALUE"""),"Bodyline (Private) Limited")</f>
        <v>Bodyline (Private) Limited</v>
      </c>
      <c r="H65" s="43">
        <f ca="1">IFERROR(__xludf.DUMMYFUNCTION("""COMPUTED_VALUE"""),451152070269)</f>
        <v>451152070269</v>
      </c>
      <c r="I65" s="45">
        <f ca="1">IFERROR(__xludf.DUMMYFUNCTION("""COMPUTED_VALUE"""),19878569)</f>
        <v>19878569</v>
      </c>
      <c r="J65" s="45" t="str">
        <f ca="1">IFERROR(__xludf.DUMMYFUNCTION("""COMPUTED_VALUE"""),"LW2DQ0S")</f>
        <v>LW2DQ0S</v>
      </c>
      <c r="K65" s="45" t="str">
        <f ca="1">IFERROR(__xludf.DUMMYFUNCTION("""COMPUTED_VALUE"""),"LW2DQ0S-068585")</f>
        <v>LW2DQ0S-068585</v>
      </c>
      <c r="L65" s="45">
        <f ca="1">IFERROR(__xludf.DUMMYFUNCTION("""COMPUTED_VALUE"""),5)</f>
        <v>5</v>
      </c>
      <c r="M65" s="45">
        <f ca="1">IFERROR(__xludf.DUMMYFUNCTION("""COMPUTED_VALUE"""),234)</f>
        <v>234</v>
      </c>
      <c r="N65" s="45">
        <f ca="1">IFERROR(__xludf.DUMMYFUNCTION("""COMPUTED_VALUE"""),28.517)</f>
        <v>28.516999999999999</v>
      </c>
      <c r="O65" s="45">
        <f ca="1">IFERROR(__xludf.DUMMYFUNCTION("""COMPUTED_VALUE"""),0.366)</f>
        <v>0.36599999999999999</v>
      </c>
      <c r="P65" s="45" t="str">
        <f ca="1">IFERROR(__xludf.DUMMYFUNCTION("""COMPUTED_VALUE"""),"Colombo, LK")</f>
        <v>Colombo, LK</v>
      </c>
      <c r="Q65" s="45" t="str">
        <f ca="1">IFERROR(__xludf.DUMMYFUNCTION("""COMPUTED_VALUE"""),"New York, NY, US")</f>
        <v>New York, NY, US</v>
      </c>
      <c r="R65" s="44">
        <f ca="1">IFERROR(__xludf.DUMMYFUNCTION("""COMPUTED_VALUE"""),45817)</f>
        <v>45817</v>
      </c>
      <c r="S65" s="44">
        <f ca="1">IFERROR(__xludf.DUMMYFUNCTION("""COMPUTED_VALUE"""),45876)</f>
        <v>45876</v>
      </c>
      <c r="T65" s="45" t="str">
        <f ca="1">IFERROR(__xludf.DUMMYFUNCTION("""COMPUTED_VALUE"""),"Mississauga, ON, CA")</f>
        <v>Mississauga, ON, CA</v>
      </c>
      <c r="U65" s="45"/>
      <c r="V65" s="45"/>
      <c r="W65" s="45"/>
      <c r="X65" s="45"/>
      <c r="Y65" s="46">
        <f ca="1">IFERROR(__xludf.DUMMYFUNCTION("""COMPUTED_VALUE"""),45825)</f>
        <v>45825</v>
      </c>
      <c r="Z65" s="46">
        <f ca="1">IFERROR(__xludf.DUMMYFUNCTION("""COMPUTED_VALUE"""),45854)</f>
        <v>45854</v>
      </c>
      <c r="AA65" s="46">
        <f ca="1">IFERROR(__xludf.DUMMYFUNCTION("""COMPUTED_VALUE"""),45867)</f>
        <v>45867</v>
      </c>
      <c r="AB65" s="45" t="str">
        <f ca="1">IFERROR(__xludf.DUMMYFUNCTION("""COMPUTED_VALUE"""),"3500 Argentia Road")</f>
        <v>3500 Argentia Road</v>
      </c>
      <c r="AC65" s="45"/>
      <c r="AD65" s="45" t="str">
        <f ca="1">IFERROR(__xludf.DUMMYFUNCTION("""COMPUTED_VALUE"""),"OCEAN")</f>
        <v>OCEAN</v>
      </c>
      <c r="AE65" s="45" t="str">
        <f ca="1">IFERROR(__xludf.DUMMYFUNCTION("""COMPUTED_VALUE"""),"N")</f>
        <v>N</v>
      </c>
      <c r="AF65" s="45"/>
      <c r="AG65" s="49" t="str">
        <f ca="1">IFERROR(__xludf.DUMMYFUNCTION("IFNA(vlookup(H65,IMPORTRANGE(""1vUGwO1n0QQGx9kKbO0_M5gmuhXZ6-LaxQxgrmJnzgP0"",""'TP# look up'!A:C""),3,0),"""")"),"")</f>
        <v/>
      </c>
      <c r="AH65" s="49" t="str">
        <f t="shared" ca="1" si="0"/>
        <v>LW</v>
      </c>
    </row>
    <row r="66" spans="1:34" ht="12.75" hidden="1">
      <c r="A66" s="45" t="str">
        <f ca="1">IFERROR(__xludf.DUMMYFUNCTION("""COMPUTED_VALUE"""),"Colombo")</f>
        <v>Colombo</v>
      </c>
      <c r="B66" s="45"/>
      <c r="C66" s="45">
        <f ca="1">IFERROR(__xludf.DUMMYFUNCTION("""COMPUTED_VALUE"""),3231352)</f>
        <v>3231352</v>
      </c>
      <c r="D66" s="45"/>
      <c r="E66" s="45" t="str">
        <f ca="1">IFERROR(__xludf.DUMMYFUNCTION("""COMPUTED_VALUE"""),"CFS")</f>
        <v>CFS</v>
      </c>
      <c r="F66" s="45" t="str">
        <f ca="1">IFERROR(__xludf.DUMMYFUNCTION("""COMPUTED_VALUE"""),"Bodyline Trading (Private) Limited")</f>
        <v>Bodyline Trading (Private) Limited</v>
      </c>
      <c r="G66" s="45" t="str">
        <f ca="1">IFERROR(__xludf.DUMMYFUNCTION("""COMPUTED_VALUE"""),"Bodyline (Private) Limited")</f>
        <v>Bodyline (Private) Limited</v>
      </c>
      <c r="H66" s="43">
        <f ca="1">IFERROR(__xludf.DUMMYFUNCTION("""COMPUTED_VALUE"""),451153036977)</f>
        <v>451153036977</v>
      </c>
      <c r="I66" s="45">
        <f ca="1">IFERROR(__xludf.DUMMYFUNCTION("""COMPUTED_VALUE"""),19878803)</f>
        <v>19878803</v>
      </c>
      <c r="J66" s="45" t="str">
        <f ca="1">IFERROR(__xludf.DUMMYFUNCTION("""COMPUTED_VALUE"""),"LW2DQ0S")</f>
        <v>LW2DQ0S</v>
      </c>
      <c r="K66" s="45" t="str">
        <f ca="1">IFERROR(__xludf.DUMMYFUNCTION("""COMPUTED_VALUE"""),"LW2DQ0S-068585")</f>
        <v>LW2DQ0S-068585</v>
      </c>
      <c r="L66" s="45">
        <f ca="1">IFERROR(__xludf.DUMMYFUNCTION("""COMPUTED_VALUE"""),10)</f>
        <v>10</v>
      </c>
      <c r="M66" s="45">
        <f ca="1">IFERROR(__xludf.DUMMYFUNCTION("""COMPUTED_VALUE"""),556)</f>
        <v>556</v>
      </c>
      <c r="N66" s="45">
        <f ca="1">IFERROR(__xludf.DUMMYFUNCTION("""COMPUTED_VALUE"""),65.687)</f>
        <v>65.686999999999998</v>
      </c>
      <c r="O66" s="45">
        <f ca="1">IFERROR(__xludf.DUMMYFUNCTION("""COMPUTED_VALUE"""),0.805)</f>
        <v>0.80500000000000005</v>
      </c>
      <c r="P66" s="45" t="str">
        <f ca="1">IFERROR(__xludf.DUMMYFUNCTION("""COMPUTED_VALUE"""),"Colombo, LK")</f>
        <v>Colombo, LK</v>
      </c>
      <c r="Q66" s="45" t="str">
        <f ca="1">IFERROR(__xludf.DUMMYFUNCTION("""COMPUTED_VALUE"""),"New York, NY, US")</f>
        <v>New York, NY, US</v>
      </c>
      <c r="R66" s="44">
        <f ca="1">IFERROR(__xludf.DUMMYFUNCTION("""COMPUTED_VALUE"""),45817)</f>
        <v>45817</v>
      </c>
      <c r="S66" s="44">
        <f ca="1">IFERROR(__xludf.DUMMYFUNCTION("""COMPUTED_VALUE"""),45876)</f>
        <v>45876</v>
      </c>
      <c r="T66" s="45" t="str">
        <f ca="1">IFERROR(__xludf.DUMMYFUNCTION("""COMPUTED_VALUE"""),"Mississauga, ON, CA")</f>
        <v>Mississauga, ON, CA</v>
      </c>
      <c r="U66" s="45"/>
      <c r="V66" s="45"/>
      <c r="W66" s="45"/>
      <c r="X66" s="45"/>
      <c r="Y66" s="46">
        <f ca="1">IFERROR(__xludf.DUMMYFUNCTION("""COMPUTED_VALUE"""),45825)</f>
        <v>45825</v>
      </c>
      <c r="Z66" s="46">
        <f ca="1">IFERROR(__xludf.DUMMYFUNCTION("""COMPUTED_VALUE"""),45854)</f>
        <v>45854</v>
      </c>
      <c r="AA66" s="46">
        <f ca="1">IFERROR(__xludf.DUMMYFUNCTION("""COMPUTED_VALUE"""),45867)</f>
        <v>45867</v>
      </c>
      <c r="AB66" s="45" t="str">
        <f ca="1">IFERROR(__xludf.DUMMYFUNCTION("""COMPUTED_VALUE"""),"3500 Argentia Road")</f>
        <v>3500 Argentia Road</v>
      </c>
      <c r="AC66" s="45"/>
      <c r="AD66" s="45" t="str">
        <f ca="1">IFERROR(__xludf.DUMMYFUNCTION("""COMPUTED_VALUE"""),"OCEAN")</f>
        <v>OCEAN</v>
      </c>
      <c r="AE66" s="45" t="str">
        <f ca="1">IFERROR(__xludf.DUMMYFUNCTION("""COMPUTED_VALUE"""),"N")</f>
        <v>N</v>
      </c>
      <c r="AF66" s="45"/>
      <c r="AG66" s="49" t="str">
        <f ca="1">IFERROR(__xludf.DUMMYFUNCTION("IFNA(vlookup(H66,IMPORTRANGE(""1vUGwO1n0QQGx9kKbO0_M5gmuhXZ6-LaxQxgrmJnzgP0"",""'TP# look up'!A:C""),3,0),"""")"),"")</f>
        <v/>
      </c>
      <c r="AH66" s="49" t="str">
        <f t="shared" ref="AH66:AH129" ca="1" si="1">LEFT(J66,2)</f>
        <v>LW</v>
      </c>
    </row>
    <row r="67" spans="1:34" ht="12.75" hidden="1">
      <c r="A67" s="45" t="str">
        <f ca="1">IFERROR(__xludf.DUMMYFUNCTION("""COMPUTED_VALUE"""),"Colombo")</f>
        <v>Colombo</v>
      </c>
      <c r="B67" s="45"/>
      <c r="C67" s="45">
        <f ca="1">IFERROR(__xludf.DUMMYFUNCTION("""COMPUTED_VALUE"""),3231352)</f>
        <v>3231352</v>
      </c>
      <c r="D67" s="45"/>
      <c r="E67" s="45" t="str">
        <f ca="1">IFERROR(__xludf.DUMMYFUNCTION("""COMPUTED_VALUE"""),"CFS")</f>
        <v>CFS</v>
      </c>
      <c r="F67" s="45" t="str">
        <f ca="1">IFERROR(__xludf.DUMMYFUNCTION("""COMPUTED_VALUE"""),"Bodyline Trading (Private) Limited")</f>
        <v>Bodyline Trading (Private) Limited</v>
      </c>
      <c r="G67" s="45" t="str">
        <f ca="1">IFERROR(__xludf.DUMMYFUNCTION("""COMPUTED_VALUE"""),"Bodyline (Private) Limited")</f>
        <v>Bodyline (Private) Limited</v>
      </c>
      <c r="H67" s="43">
        <f ca="1">IFERROR(__xludf.DUMMYFUNCTION("""COMPUTED_VALUE"""),451155374105)</f>
        <v>451155374105</v>
      </c>
      <c r="I67" s="45">
        <f ca="1">IFERROR(__xludf.DUMMYFUNCTION("""COMPUTED_VALUE"""),19878339)</f>
        <v>19878339</v>
      </c>
      <c r="J67" s="45" t="str">
        <f ca="1">IFERROR(__xludf.DUMMYFUNCTION("""COMPUTED_VALUE"""),"LW2670S")</f>
        <v>LW2670S</v>
      </c>
      <c r="K67" s="45" t="str">
        <f ca="1">IFERROR(__xludf.DUMMYFUNCTION("""COMPUTED_VALUE"""),"LW2670S-0001")</f>
        <v>LW2670S-0001</v>
      </c>
      <c r="L67" s="45">
        <f ca="1">IFERROR(__xludf.DUMMYFUNCTION("""COMPUTED_VALUE"""),7)</f>
        <v>7</v>
      </c>
      <c r="M67" s="45">
        <f ca="1">IFERROR(__xludf.DUMMYFUNCTION("""COMPUTED_VALUE"""),320)</f>
        <v>320</v>
      </c>
      <c r="N67" s="45">
        <f ca="1">IFERROR(__xludf.DUMMYFUNCTION("""COMPUTED_VALUE"""),33.851)</f>
        <v>33.850999999999999</v>
      </c>
      <c r="O67" s="45">
        <f ca="1">IFERROR(__xludf.DUMMYFUNCTION("""COMPUTED_VALUE"""),0.49)</f>
        <v>0.49</v>
      </c>
      <c r="P67" s="45" t="str">
        <f ca="1">IFERROR(__xludf.DUMMYFUNCTION("""COMPUTED_VALUE"""),"Colombo, LK")</f>
        <v>Colombo, LK</v>
      </c>
      <c r="Q67" s="45" t="str">
        <f ca="1">IFERROR(__xludf.DUMMYFUNCTION("""COMPUTED_VALUE"""),"New York, NY, US")</f>
        <v>New York, NY, US</v>
      </c>
      <c r="R67" s="44">
        <f ca="1">IFERROR(__xludf.DUMMYFUNCTION("""COMPUTED_VALUE"""),45817)</f>
        <v>45817</v>
      </c>
      <c r="S67" s="44">
        <f ca="1">IFERROR(__xludf.DUMMYFUNCTION("""COMPUTED_VALUE"""),45876)</f>
        <v>45876</v>
      </c>
      <c r="T67" s="45" t="str">
        <f ca="1">IFERROR(__xludf.DUMMYFUNCTION("""COMPUTED_VALUE"""),"Mississauga, ON, CA")</f>
        <v>Mississauga, ON, CA</v>
      </c>
      <c r="U67" s="45"/>
      <c r="V67" s="45"/>
      <c r="W67" s="45"/>
      <c r="X67" s="45"/>
      <c r="Y67" s="46">
        <f ca="1">IFERROR(__xludf.DUMMYFUNCTION("""COMPUTED_VALUE"""),45825)</f>
        <v>45825</v>
      </c>
      <c r="Z67" s="46">
        <f ca="1">IFERROR(__xludf.DUMMYFUNCTION("""COMPUTED_VALUE"""),45854)</f>
        <v>45854</v>
      </c>
      <c r="AA67" s="46">
        <f ca="1">IFERROR(__xludf.DUMMYFUNCTION("""COMPUTED_VALUE"""),45867)</f>
        <v>45867</v>
      </c>
      <c r="AB67" s="45" t="str">
        <f ca="1">IFERROR(__xludf.DUMMYFUNCTION("""COMPUTED_VALUE"""),"3500 Argentia Road")</f>
        <v>3500 Argentia Road</v>
      </c>
      <c r="AC67" s="45"/>
      <c r="AD67" s="45" t="str">
        <f ca="1">IFERROR(__xludf.DUMMYFUNCTION("""COMPUTED_VALUE"""),"OCEAN")</f>
        <v>OCEAN</v>
      </c>
      <c r="AE67" s="45" t="str">
        <f ca="1">IFERROR(__xludf.DUMMYFUNCTION("""COMPUTED_VALUE"""),"N")</f>
        <v>N</v>
      </c>
      <c r="AF67" s="45"/>
      <c r="AG67" s="49" t="str">
        <f ca="1">IFERROR(__xludf.DUMMYFUNCTION("IFNA(vlookup(H67,IMPORTRANGE(""1vUGwO1n0QQGx9kKbO0_M5gmuhXZ6-LaxQxgrmJnzgP0"",""'TP# look up'!A:C""),3,0),"""")"),"")</f>
        <v/>
      </c>
      <c r="AH67" s="49" t="str">
        <f t="shared" ca="1" si="1"/>
        <v>LW</v>
      </c>
    </row>
    <row r="68" spans="1:34" ht="12.75" hidden="1">
      <c r="A68" s="45" t="str">
        <f ca="1">IFERROR(__xludf.DUMMYFUNCTION("""COMPUTED_VALUE"""),"Colombo")</f>
        <v>Colombo</v>
      </c>
      <c r="B68" s="45"/>
      <c r="C68" s="45">
        <f ca="1">IFERROR(__xludf.DUMMYFUNCTION("""COMPUTED_VALUE"""),3231352)</f>
        <v>3231352</v>
      </c>
      <c r="D68" s="45"/>
      <c r="E68" s="45" t="str">
        <f ca="1">IFERROR(__xludf.DUMMYFUNCTION("""COMPUTED_VALUE"""),"CFS")</f>
        <v>CFS</v>
      </c>
      <c r="F68" s="45" t="str">
        <f ca="1">IFERROR(__xludf.DUMMYFUNCTION("""COMPUTED_VALUE"""),"Bodyline Trading (Private) Limited")</f>
        <v>Bodyline Trading (Private) Limited</v>
      </c>
      <c r="G68" s="45" t="str">
        <f ca="1">IFERROR(__xludf.DUMMYFUNCTION("""COMPUTED_VALUE"""),"Bodyline (Private) Limited")</f>
        <v>Bodyline (Private) Limited</v>
      </c>
      <c r="H68" s="43">
        <f ca="1">IFERROR(__xludf.DUMMYFUNCTION("""COMPUTED_VALUE"""),451155960393)</f>
        <v>451155960393</v>
      </c>
      <c r="I68" s="45">
        <f ca="1">IFERROR(__xludf.DUMMYFUNCTION("""COMPUTED_VALUE"""),19843781)</f>
        <v>19843781</v>
      </c>
      <c r="J68" s="45" t="str">
        <f ca="1">IFERROR(__xludf.DUMMYFUNCTION("""COMPUTED_VALUE"""),"LW2670S")</f>
        <v>LW2670S</v>
      </c>
      <c r="K68" s="45" t="str">
        <f ca="1">IFERROR(__xludf.DUMMYFUNCTION("""COMPUTED_VALUE"""),"LW2670S-0001")</f>
        <v>LW2670S-0001</v>
      </c>
      <c r="L68" s="45">
        <f ca="1">IFERROR(__xludf.DUMMYFUNCTION("""COMPUTED_VALUE"""),9)</f>
        <v>9</v>
      </c>
      <c r="M68" s="45">
        <f ca="1">IFERROR(__xludf.DUMMYFUNCTION("""COMPUTED_VALUE"""),505)</f>
        <v>505</v>
      </c>
      <c r="N68" s="45">
        <f ca="1">IFERROR(__xludf.DUMMYFUNCTION("""COMPUTED_VALUE"""),53.858)</f>
        <v>53.857999999999997</v>
      </c>
      <c r="O68" s="45">
        <f ca="1">IFERROR(__xludf.DUMMYFUNCTION("""COMPUTED_VALUE"""),0.725)</f>
        <v>0.72499999999999998</v>
      </c>
      <c r="P68" s="45" t="str">
        <f ca="1">IFERROR(__xludf.DUMMYFUNCTION("""COMPUTED_VALUE"""),"Colombo, LK")</f>
        <v>Colombo, LK</v>
      </c>
      <c r="Q68" s="45" t="str">
        <f ca="1">IFERROR(__xludf.DUMMYFUNCTION("""COMPUTED_VALUE"""),"New York, NY, US")</f>
        <v>New York, NY, US</v>
      </c>
      <c r="R68" s="44">
        <f ca="1">IFERROR(__xludf.DUMMYFUNCTION("""COMPUTED_VALUE"""),45817)</f>
        <v>45817</v>
      </c>
      <c r="S68" s="44">
        <f ca="1">IFERROR(__xludf.DUMMYFUNCTION("""COMPUTED_VALUE"""),45876)</f>
        <v>45876</v>
      </c>
      <c r="T68" s="45" t="str">
        <f ca="1">IFERROR(__xludf.DUMMYFUNCTION("""COMPUTED_VALUE"""),"Milton, ON, CA")</f>
        <v>Milton, ON, CA</v>
      </c>
      <c r="U68" s="45"/>
      <c r="V68" s="45"/>
      <c r="W68" s="45"/>
      <c r="X68" s="45"/>
      <c r="Y68" s="46">
        <f ca="1">IFERROR(__xludf.DUMMYFUNCTION("""COMPUTED_VALUE"""),45825)</f>
        <v>45825</v>
      </c>
      <c r="Z68" s="46">
        <f ca="1">IFERROR(__xludf.DUMMYFUNCTION("""COMPUTED_VALUE"""),45854)</f>
        <v>45854</v>
      </c>
      <c r="AA68" s="46">
        <f ca="1">IFERROR(__xludf.DUMMYFUNCTION("""COMPUTED_VALUE"""),45867)</f>
        <v>45867</v>
      </c>
      <c r="AB68" s="45" t="str">
        <f ca="1">IFERROR(__xludf.DUMMYFUNCTION("""COMPUTED_VALUE"""),"7211 Fifth Line")</f>
        <v>7211 Fifth Line</v>
      </c>
      <c r="AC68" s="45"/>
      <c r="AD68" s="45" t="str">
        <f ca="1">IFERROR(__xludf.DUMMYFUNCTION("""COMPUTED_VALUE"""),"OCEAN")</f>
        <v>OCEAN</v>
      </c>
      <c r="AE68" s="45" t="str">
        <f ca="1">IFERROR(__xludf.DUMMYFUNCTION("""COMPUTED_VALUE"""),"N")</f>
        <v>N</v>
      </c>
      <c r="AF68" s="45"/>
      <c r="AG68" s="49" t="str">
        <f ca="1">IFERROR(__xludf.DUMMYFUNCTION("IFNA(vlookup(H68,IMPORTRANGE(""1vUGwO1n0QQGx9kKbO0_M5gmuhXZ6-LaxQxgrmJnzgP0"",""'TP# look up'!A:C""),3,0),"""")"),"")</f>
        <v/>
      </c>
      <c r="AH68" s="49" t="str">
        <f t="shared" ca="1" si="1"/>
        <v>LW</v>
      </c>
    </row>
    <row r="69" spans="1:34" ht="12.75" hidden="1">
      <c r="A69" s="45" t="str">
        <f ca="1">IFERROR(__xludf.DUMMYFUNCTION("""COMPUTED_VALUE"""),"Colombo")</f>
        <v>Colombo</v>
      </c>
      <c r="B69" s="45"/>
      <c r="C69" s="45">
        <f ca="1">IFERROR(__xludf.DUMMYFUNCTION("""COMPUTED_VALUE"""),3231352)</f>
        <v>3231352</v>
      </c>
      <c r="D69" s="45"/>
      <c r="E69" s="45" t="str">
        <f ca="1">IFERROR(__xludf.DUMMYFUNCTION("""COMPUTED_VALUE"""),"CFS")</f>
        <v>CFS</v>
      </c>
      <c r="F69" s="45" t="str">
        <f ca="1">IFERROR(__xludf.DUMMYFUNCTION("""COMPUTED_VALUE"""),"Bodyline Trading (Private) Limited")</f>
        <v>Bodyline Trading (Private) Limited</v>
      </c>
      <c r="G69" s="45" t="str">
        <f ca="1">IFERROR(__xludf.DUMMYFUNCTION("""COMPUTED_VALUE"""),"Bodyline (Private) Limited")</f>
        <v>Bodyline (Private) Limited</v>
      </c>
      <c r="H69" s="43">
        <f ca="1">IFERROR(__xludf.DUMMYFUNCTION("""COMPUTED_VALUE"""),451161212716)</f>
        <v>451161212716</v>
      </c>
      <c r="I69" s="45">
        <f ca="1">IFERROR(__xludf.DUMMYFUNCTION("""COMPUTED_VALUE"""),19878559)</f>
        <v>19878559</v>
      </c>
      <c r="J69" s="45" t="str">
        <f ca="1">IFERROR(__xludf.DUMMYFUNCTION("""COMPUTED_VALUE"""),"LW2DQ0S")</f>
        <v>LW2DQ0S</v>
      </c>
      <c r="K69" s="45" t="str">
        <f ca="1">IFERROR(__xludf.DUMMYFUNCTION("""COMPUTED_VALUE"""),"LW2DQ0S-0001")</f>
        <v>LW2DQ0S-0001</v>
      </c>
      <c r="L69" s="45">
        <f ca="1">IFERROR(__xludf.DUMMYFUNCTION("""COMPUTED_VALUE"""),5)</f>
        <v>5</v>
      </c>
      <c r="M69" s="45">
        <f ca="1">IFERROR(__xludf.DUMMYFUNCTION("""COMPUTED_VALUE"""),252)</f>
        <v>252</v>
      </c>
      <c r="N69" s="45">
        <f ca="1">IFERROR(__xludf.DUMMYFUNCTION("""COMPUTED_VALUE"""),31.192)</f>
        <v>31.192</v>
      </c>
      <c r="O69" s="45">
        <f ca="1">IFERROR(__xludf.DUMMYFUNCTION("""COMPUTED_VALUE"""),0.366)</f>
        <v>0.36599999999999999</v>
      </c>
      <c r="P69" s="45" t="str">
        <f ca="1">IFERROR(__xludf.DUMMYFUNCTION("""COMPUTED_VALUE"""),"Colombo, LK")</f>
        <v>Colombo, LK</v>
      </c>
      <c r="Q69" s="45" t="str">
        <f ca="1">IFERROR(__xludf.DUMMYFUNCTION("""COMPUTED_VALUE"""),"New York, NY, US")</f>
        <v>New York, NY, US</v>
      </c>
      <c r="R69" s="44">
        <f ca="1">IFERROR(__xludf.DUMMYFUNCTION("""COMPUTED_VALUE"""),45817)</f>
        <v>45817</v>
      </c>
      <c r="S69" s="44">
        <f ca="1">IFERROR(__xludf.DUMMYFUNCTION("""COMPUTED_VALUE"""),45876)</f>
        <v>45876</v>
      </c>
      <c r="T69" s="45" t="str">
        <f ca="1">IFERROR(__xludf.DUMMYFUNCTION("""COMPUTED_VALUE"""),"Mississauga, ON, CA")</f>
        <v>Mississauga, ON, CA</v>
      </c>
      <c r="U69" s="45"/>
      <c r="V69" s="45"/>
      <c r="W69" s="45"/>
      <c r="X69" s="45"/>
      <c r="Y69" s="46">
        <f ca="1">IFERROR(__xludf.DUMMYFUNCTION("""COMPUTED_VALUE"""),45825)</f>
        <v>45825</v>
      </c>
      <c r="Z69" s="46">
        <f ca="1">IFERROR(__xludf.DUMMYFUNCTION("""COMPUTED_VALUE"""),45854)</f>
        <v>45854</v>
      </c>
      <c r="AA69" s="46">
        <f ca="1">IFERROR(__xludf.DUMMYFUNCTION("""COMPUTED_VALUE"""),45867)</f>
        <v>45867</v>
      </c>
      <c r="AB69" s="45" t="str">
        <f ca="1">IFERROR(__xludf.DUMMYFUNCTION("""COMPUTED_VALUE"""),"3500 Argentia Road")</f>
        <v>3500 Argentia Road</v>
      </c>
      <c r="AC69" s="45"/>
      <c r="AD69" s="45" t="str">
        <f ca="1">IFERROR(__xludf.DUMMYFUNCTION("""COMPUTED_VALUE"""),"OCEAN")</f>
        <v>OCEAN</v>
      </c>
      <c r="AE69" s="45" t="str">
        <f ca="1">IFERROR(__xludf.DUMMYFUNCTION("""COMPUTED_VALUE"""),"N")</f>
        <v>N</v>
      </c>
      <c r="AF69" s="45"/>
      <c r="AG69" s="49" t="str">
        <f ca="1">IFERROR(__xludf.DUMMYFUNCTION("IFNA(vlookup(H69,IMPORTRANGE(""1vUGwO1n0QQGx9kKbO0_M5gmuhXZ6-LaxQxgrmJnzgP0"",""'TP# look up'!A:C""),3,0),"""")"),"")</f>
        <v/>
      </c>
      <c r="AH69" s="49" t="str">
        <f t="shared" ca="1" si="1"/>
        <v>LW</v>
      </c>
    </row>
    <row r="70" spans="1:34" ht="12.75" hidden="1">
      <c r="A70" s="45" t="str">
        <f ca="1">IFERROR(__xludf.DUMMYFUNCTION("""COMPUTED_VALUE"""),"Colombo")</f>
        <v>Colombo</v>
      </c>
      <c r="B70" s="45"/>
      <c r="C70" s="45">
        <f ca="1">IFERROR(__xludf.DUMMYFUNCTION("""COMPUTED_VALUE"""),3231352)</f>
        <v>3231352</v>
      </c>
      <c r="D70" s="45"/>
      <c r="E70" s="45" t="str">
        <f ca="1">IFERROR(__xludf.DUMMYFUNCTION("""COMPUTED_VALUE"""),"CFS")</f>
        <v>CFS</v>
      </c>
      <c r="F70" s="45" t="str">
        <f ca="1">IFERROR(__xludf.DUMMYFUNCTION("""COMPUTED_VALUE"""),"Bodyline Trading (Private) Limited")</f>
        <v>Bodyline Trading (Private) Limited</v>
      </c>
      <c r="G70" s="45" t="str">
        <f ca="1">IFERROR(__xludf.DUMMYFUNCTION("""COMPUTED_VALUE"""),"Bodyline (Private) Limited")</f>
        <v>Bodyline (Private) Limited</v>
      </c>
      <c r="H70" s="43">
        <f ca="1">IFERROR(__xludf.DUMMYFUNCTION("""COMPUTED_VALUE"""),451161766919)</f>
        <v>451161766919</v>
      </c>
      <c r="I70" s="45">
        <f ca="1">IFERROR(__xludf.DUMMYFUNCTION("""COMPUTED_VALUE"""),19878553)</f>
        <v>19878553</v>
      </c>
      <c r="J70" s="45" t="str">
        <f ca="1">IFERROR(__xludf.DUMMYFUNCTION("""COMPUTED_VALUE"""),"LW2DQ0S")</f>
        <v>LW2DQ0S</v>
      </c>
      <c r="K70" s="45" t="str">
        <f ca="1">IFERROR(__xludf.DUMMYFUNCTION("""COMPUTED_VALUE"""),"LW2DQ0S-0001")</f>
        <v>LW2DQ0S-0001</v>
      </c>
      <c r="L70" s="45">
        <f ca="1">IFERROR(__xludf.DUMMYFUNCTION("""COMPUTED_VALUE"""),11)</f>
        <v>11</v>
      </c>
      <c r="M70" s="45">
        <f ca="1">IFERROR(__xludf.DUMMYFUNCTION("""COMPUTED_VALUE"""),563)</f>
        <v>563</v>
      </c>
      <c r="N70" s="45">
        <f ca="1">IFERROR(__xludf.DUMMYFUNCTION("""COMPUTED_VALUE"""),69.554)</f>
        <v>69.554000000000002</v>
      </c>
      <c r="O70" s="45">
        <f ca="1">IFERROR(__xludf.DUMMYFUNCTION("""COMPUTED_VALUE"""),0.813)</f>
        <v>0.81299999999999994</v>
      </c>
      <c r="P70" s="45" t="str">
        <f ca="1">IFERROR(__xludf.DUMMYFUNCTION("""COMPUTED_VALUE"""),"Colombo, LK")</f>
        <v>Colombo, LK</v>
      </c>
      <c r="Q70" s="45" t="str">
        <f ca="1">IFERROR(__xludf.DUMMYFUNCTION("""COMPUTED_VALUE"""),"New York, NY, US")</f>
        <v>New York, NY, US</v>
      </c>
      <c r="R70" s="44">
        <f ca="1">IFERROR(__xludf.DUMMYFUNCTION("""COMPUTED_VALUE"""),45817)</f>
        <v>45817</v>
      </c>
      <c r="S70" s="44">
        <f ca="1">IFERROR(__xludf.DUMMYFUNCTION("""COMPUTED_VALUE"""),45876)</f>
        <v>45876</v>
      </c>
      <c r="T70" s="45" t="str">
        <f ca="1">IFERROR(__xludf.DUMMYFUNCTION("""COMPUTED_VALUE"""),"Milton, ON, CA")</f>
        <v>Milton, ON, CA</v>
      </c>
      <c r="U70" s="45"/>
      <c r="V70" s="45"/>
      <c r="W70" s="45"/>
      <c r="X70" s="45"/>
      <c r="Y70" s="46">
        <f ca="1">IFERROR(__xludf.DUMMYFUNCTION("""COMPUTED_VALUE"""),45825)</f>
        <v>45825</v>
      </c>
      <c r="Z70" s="46">
        <f ca="1">IFERROR(__xludf.DUMMYFUNCTION("""COMPUTED_VALUE"""),45854)</f>
        <v>45854</v>
      </c>
      <c r="AA70" s="46">
        <f ca="1">IFERROR(__xludf.DUMMYFUNCTION("""COMPUTED_VALUE"""),45867)</f>
        <v>45867</v>
      </c>
      <c r="AB70" s="45" t="str">
        <f ca="1">IFERROR(__xludf.DUMMYFUNCTION("""COMPUTED_VALUE"""),"7211 Fifth Line")</f>
        <v>7211 Fifth Line</v>
      </c>
      <c r="AC70" s="45"/>
      <c r="AD70" s="45" t="str">
        <f ca="1">IFERROR(__xludf.DUMMYFUNCTION("""COMPUTED_VALUE"""),"OCEAN")</f>
        <v>OCEAN</v>
      </c>
      <c r="AE70" s="45" t="str">
        <f ca="1">IFERROR(__xludf.DUMMYFUNCTION("""COMPUTED_VALUE"""),"N")</f>
        <v>N</v>
      </c>
      <c r="AF70" s="45"/>
      <c r="AG70" s="49" t="str">
        <f ca="1">IFERROR(__xludf.DUMMYFUNCTION("IFNA(vlookup(H70,IMPORTRANGE(""1vUGwO1n0QQGx9kKbO0_M5gmuhXZ6-LaxQxgrmJnzgP0"",""'TP# look up'!A:C""),3,0),"""")"),"")</f>
        <v/>
      </c>
      <c r="AH70" s="49" t="str">
        <f t="shared" ca="1" si="1"/>
        <v>LW</v>
      </c>
    </row>
    <row r="71" spans="1:34" ht="12.75" hidden="1">
      <c r="A71" s="45" t="str">
        <f ca="1">IFERROR(__xludf.DUMMYFUNCTION("""COMPUTED_VALUE"""),"Colombo")</f>
        <v>Colombo</v>
      </c>
      <c r="B71" s="45"/>
      <c r="C71" s="45">
        <f ca="1">IFERROR(__xludf.DUMMYFUNCTION("""COMPUTED_VALUE"""),3231352)</f>
        <v>3231352</v>
      </c>
      <c r="D71" s="45"/>
      <c r="E71" s="45" t="str">
        <f ca="1">IFERROR(__xludf.DUMMYFUNCTION("""COMPUTED_VALUE"""),"CFS")</f>
        <v>CFS</v>
      </c>
      <c r="F71" s="45" t="str">
        <f ca="1">IFERROR(__xludf.DUMMYFUNCTION("""COMPUTED_VALUE"""),"Bodyline Trading (Private) Limited")</f>
        <v>Bodyline Trading (Private) Limited</v>
      </c>
      <c r="G71" s="45" t="str">
        <f ca="1">IFERROR(__xludf.DUMMYFUNCTION("""COMPUTED_VALUE"""),"Bodyline (Private) Limited")</f>
        <v>Bodyline (Private) Limited</v>
      </c>
      <c r="H71" s="43">
        <f ca="1">IFERROR(__xludf.DUMMYFUNCTION("""COMPUTED_VALUE"""),451168810647)</f>
        <v>451168810647</v>
      </c>
      <c r="I71" s="45">
        <f ca="1">IFERROR(__xludf.DUMMYFUNCTION("""COMPUTED_VALUE"""),19878579)</f>
        <v>19878579</v>
      </c>
      <c r="J71" s="45" t="str">
        <f ca="1">IFERROR(__xludf.DUMMYFUNCTION("""COMPUTED_VALUE"""),"LW2DQ0S")</f>
        <v>LW2DQ0S</v>
      </c>
      <c r="K71" s="45" t="str">
        <f ca="1">IFERROR(__xludf.DUMMYFUNCTION("""COMPUTED_VALUE"""),"LW2DQ0S-049106")</f>
        <v>LW2DQ0S-049106</v>
      </c>
      <c r="L71" s="45">
        <f ca="1">IFERROR(__xludf.DUMMYFUNCTION("""COMPUTED_VALUE"""),4)</f>
        <v>4</v>
      </c>
      <c r="M71" s="45">
        <f ca="1">IFERROR(__xludf.DUMMYFUNCTION("""COMPUTED_VALUE"""),192)</f>
        <v>192</v>
      </c>
      <c r="N71" s="45">
        <f ca="1">IFERROR(__xludf.DUMMYFUNCTION("""COMPUTED_VALUE"""),23.432)</f>
        <v>23.431999999999999</v>
      </c>
      <c r="O71" s="45">
        <f ca="1">IFERROR(__xludf.DUMMYFUNCTION("""COMPUTED_VALUE"""),0.322)</f>
        <v>0.32200000000000001</v>
      </c>
      <c r="P71" s="45" t="str">
        <f ca="1">IFERROR(__xludf.DUMMYFUNCTION("""COMPUTED_VALUE"""),"Colombo, LK")</f>
        <v>Colombo, LK</v>
      </c>
      <c r="Q71" s="45" t="str">
        <f ca="1">IFERROR(__xludf.DUMMYFUNCTION("""COMPUTED_VALUE"""),"New York, NY, US")</f>
        <v>New York, NY, US</v>
      </c>
      <c r="R71" s="44">
        <f ca="1">IFERROR(__xludf.DUMMYFUNCTION("""COMPUTED_VALUE"""),45817)</f>
        <v>45817</v>
      </c>
      <c r="S71" s="44">
        <f ca="1">IFERROR(__xludf.DUMMYFUNCTION("""COMPUTED_VALUE"""),45876)</f>
        <v>45876</v>
      </c>
      <c r="T71" s="45" t="str">
        <f ca="1">IFERROR(__xludf.DUMMYFUNCTION("""COMPUTED_VALUE"""),"Mississauga, ON, CA")</f>
        <v>Mississauga, ON, CA</v>
      </c>
      <c r="U71" s="45"/>
      <c r="V71" s="45"/>
      <c r="W71" s="45"/>
      <c r="X71" s="45"/>
      <c r="Y71" s="46">
        <f ca="1">IFERROR(__xludf.DUMMYFUNCTION("""COMPUTED_VALUE"""),45825)</f>
        <v>45825</v>
      </c>
      <c r="Z71" s="46">
        <f ca="1">IFERROR(__xludf.DUMMYFUNCTION("""COMPUTED_VALUE"""),45854)</f>
        <v>45854</v>
      </c>
      <c r="AA71" s="46">
        <f ca="1">IFERROR(__xludf.DUMMYFUNCTION("""COMPUTED_VALUE"""),45867)</f>
        <v>45867</v>
      </c>
      <c r="AB71" s="45" t="str">
        <f ca="1">IFERROR(__xludf.DUMMYFUNCTION("""COMPUTED_VALUE"""),"3500 Argentia Road")</f>
        <v>3500 Argentia Road</v>
      </c>
      <c r="AC71" s="45"/>
      <c r="AD71" s="45" t="str">
        <f ca="1">IFERROR(__xludf.DUMMYFUNCTION("""COMPUTED_VALUE"""),"OCEAN")</f>
        <v>OCEAN</v>
      </c>
      <c r="AE71" s="45" t="str">
        <f ca="1">IFERROR(__xludf.DUMMYFUNCTION("""COMPUTED_VALUE"""),"N")</f>
        <v>N</v>
      </c>
      <c r="AF71" s="45"/>
      <c r="AG71" s="49" t="str">
        <f ca="1">IFERROR(__xludf.DUMMYFUNCTION("IFNA(vlookup(H71,IMPORTRANGE(""1vUGwO1n0QQGx9kKbO0_M5gmuhXZ6-LaxQxgrmJnzgP0"",""'TP# look up'!A:C""),3,0),"""")"),"")</f>
        <v/>
      </c>
      <c r="AH71" s="49" t="str">
        <f t="shared" ca="1" si="1"/>
        <v>LW</v>
      </c>
    </row>
    <row r="72" spans="1:34" ht="12.75" hidden="1">
      <c r="A72" s="45" t="str">
        <f ca="1">IFERROR(__xludf.DUMMYFUNCTION("""COMPUTED_VALUE"""),"Colombo")</f>
        <v>Colombo</v>
      </c>
      <c r="B72" s="45"/>
      <c r="C72" s="45">
        <f ca="1">IFERROR(__xludf.DUMMYFUNCTION("""COMPUTED_VALUE"""),3231352)</f>
        <v>3231352</v>
      </c>
      <c r="D72" s="45"/>
      <c r="E72" s="45" t="str">
        <f ca="1">IFERROR(__xludf.DUMMYFUNCTION("""COMPUTED_VALUE"""),"CFS")</f>
        <v>CFS</v>
      </c>
      <c r="F72" s="45" t="str">
        <f ca="1">IFERROR(__xludf.DUMMYFUNCTION("""COMPUTED_VALUE"""),"Bodyline Trading (Private) Limited")</f>
        <v>Bodyline Trading (Private) Limited</v>
      </c>
      <c r="G72" s="45" t="str">
        <f ca="1">IFERROR(__xludf.DUMMYFUNCTION("""COMPUTED_VALUE"""),"Bodyline (Private) Limited")</f>
        <v>Bodyline (Private) Limited</v>
      </c>
      <c r="H72" s="43">
        <f ca="1">IFERROR(__xludf.DUMMYFUNCTION("""COMPUTED_VALUE"""),451169536738)</f>
        <v>451169536738</v>
      </c>
      <c r="I72" s="45">
        <f ca="1">IFERROR(__xludf.DUMMYFUNCTION("""COMPUTED_VALUE"""),19878575)</f>
        <v>19878575</v>
      </c>
      <c r="J72" s="45" t="str">
        <f ca="1">IFERROR(__xludf.DUMMYFUNCTION("""COMPUTED_VALUE"""),"LW2DQ0S")</f>
        <v>LW2DQ0S</v>
      </c>
      <c r="K72" s="45" t="str">
        <f ca="1">IFERROR(__xludf.DUMMYFUNCTION("""COMPUTED_VALUE"""),"LW2DQ0S-049106")</f>
        <v>LW2DQ0S-049106</v>
      </c>
      <c r="L72" s="45">
        <f ca="1">IFERROR(__xludf.DUMMYFUNCTION("""COMPUTED_VALUE"""),10)</f>
        <v>10</v>
      </c>
      <c r="M72" s="45">
        <f ca="1">IFERROR(__xludf.DUMMYFUNCTION("""COMPUTED_VALUE"""),577)</f>
        <v>577</v>
      </c>
      <c r="N72" s="45">
        <f ca="1">IFERROR(__xludf.DUMMYFUNCTION("""COMPUTED_VALUE"""),67.981)</f>
        <v>67.980999999999995</v>
      </c>
      <c r="O72" s="45">
        <f ca="1">IFERROR(__xludf.DUMMYFUNCTION("""COMPUTED_VALUE"""),0.769)</f>
        <v>0.76900000000000002</v>
      </c>
      <c r="P72" s="45" t="str">
        <f ca="1">IFERROR(__xludf.DUMMYFUNCTION("""COMPUTED_VALUE"""),"Colombo, LK")</f>
        <v>Colombo, LK</v>
      </c>
      <c r="Q72" s="45" t="str">
        <f ca="1">IFERROR(__xludf.DUMMYFUNCTION("""COMPUTED_VALUE"""),"New York, NY, US")</f>
        <v>New York, NY, US</v>
      </c>
      <c r="R72" s="44">
        <f ca="1">IFERROR(__xludf.DUMMYFUNCTION("""COMPUTED_VALUE"""),45817)</f>
        <v>45817</v>
      </c>
      <c r="S72" s="44">
        <f ca="1">IFERROR(__xludf.DUMMYFUNCTION("""COMPUTED_VALUE"""),45876)</f>
        <v>45876</v>
      </c>
      <c r="T72" s="45" t="str">
        <f ca="1">IFERROR(__xludf.DUMMYFUNCTION("""COMPUTED_VALUE"""),"Milton, ON, CA")</f>
        <v>Milton, ON, CA</v>
      </c>
      <c r="U72" s="45"/>
      <c r="V72" s="45"/>
      <c r="W72" s="45"/>
      <c r="X72" s="45"/>
      <c r="Y72" s="46">
        <f ca="1">IFERROR(__xludf.DUMMYFUNCTION("""COMPUTED_VALUE"""),45825)</f>
        <v>45825</v>
      </c>
      <c r="Z72" s="46">
        <f ca="1">IFERROR(__xludf.DUMMYFUNCTION("""COMPUTED_VALUE"""),45854)</f>
        <v>45854</v>
      </c>
      <c r="AA72" s="46">
        <f ca="1">IFERROR(__xludf.DUMMYFUNCTION("""COMPUTED_VALUE"""),45867)</f>
        <v>45867</v>
      </c>
      <c r="AB72" s="45" t="str">
        <f ca="1">IFERROR(__xludf.DUMMYFUNCTION("""COMPUTED_VALUE"""),"7211 Fifth Line")</f>
        <v>7211 Fifth Line</v>
      </c>
      <c r="AC72" s="45"/>
      <c r="AD72" s="45" t="str">
        <f ca="1">IFERROR(__xludf.DUMMYFUNCTION("""COMPUTED_VALUE"""),"OCEAN")</f>
        <v>OCEAN</v>
      </c>
      <c r="AE72" s="45" t="str">
        <f ca="1">IFERROR(__xludf.DUMMYFUNCTION("""COMPUTED_VALUE"""),"N")</f>
        <v>N</v>
      </c>
      <c r="AF72" s="45"/>
      <c r="AG72" s="49" t="str">
        <f ca="1">IFERROR(__xludf.DUMMYFUNCTION("IFNA(vlookup(H72,IMPORTRANGE(""1vUGwO1n0QQGx9kKbO0_M5gmuhXZ6-LaxQxgrmJnzgP0"",""'TP# look up'!A:C""),3,0),"""")"),"")</f>
        <v/>
      </c>
      <c r="AH72" s="49" t="str">
        <f t="shared" ca="1" si="1"/>
        <v>LW</v>
      </c>
    </row>
    <row r="73" spans="1:34" ht="12.75" hidden="1">
      <c r="A73" s="45" t="str">
        <f ca="1">IFERROR(__xludf.DUMMYFUNCTION("""COMPUTED_VALUE"""),"Colombo")</f>
        <v>Colombo</v>
      </c>
      <c r="B73" s="45"/>
      <c r="C73" s="45">
        <f ca="1">IFERROR(__xludf.DUMMYFUNCTION("""COMPUTED_VALUE"""),3231352)</f>
        <v>3231352</v>
      </c>
      <c r="D73" s="45"/>
      <c r="E73" s="45" t="str">
        <f ca="1">IFERROR(__xludf.DUMMYFUNCTION("""COMPUTED_VALUE"""),"CFS")</f>
        <v>CFS</v>
      </c>
      <c r="F73" s="45" t="str">
        <f ca="1">IFERROR(__xludf.DUMMYFUNCTION("""COMPUTED_VALUE"""),"Bodyline Trading (Private) Limited")</f>
        <v>Bodyline Trading (Private) Limited</v>
      </c>
      <c r="G73" s="45" t="str">
        <f ca="1">IFERROR(__xludf.DUMMYFUNCTION("""COMPUTED_VALUE"""),"Bodyline (Private) Limited")</f>
        <v>Bodyline (Private) Limited</v>
      </c>
      <c r="H73" s="43">
        <f ca="1">IFERROR(__xludf.DUMMYFUNCTION("""COMPUTED_VALUE"""),451169600827)</f>
        <v>451169600827</v>
      </c>
      <c r="I73" s="45">
        <f ca="1">IFERROR(__xludf.DUMMYFUNCTION("""COMPUTED_VALUE"""),19843788)</f>
        <v>19843788</v>
      </c>
      <c r="J73" s="45" t="str">
        <f ca="1">IFERROR(__xludf.DUMMYFUNCTION("""COMPUTED_VALUE"""),"LW2DQ0S")</f>
        <v>LW2DQ0S</v>
      </c>
      <c r="K73" s="45" t="str">
        <f ca="1">IFERROR(__xludf.DUMMYFUNCTION("""COMPUTED_VALUE"""),"LW2DQ0S-049106")</f>
        <v>LW2DQ0S-049106</v>
      </c>
      <c r="L73" s="45">
        <f ca="1">IFERROR(__xludf.DUMMYFUNCTION("""COMPUTED_VALUE"""),1)</f>
        <v>1</v>
      </c>
      <c r="M73" s="45">
        <f ca="1">IFERROR(__xludf.DUMMYFUNCTION("""COMPUTED_VALUE"""),24)</f>
        <v>24</v>
      </c>
      <c r="N73" s="45">
        <f ca="1">IFERROR(__xludf.DUMMYFUNCTION("""COMPUTED_VALUE"""),3.134)</f>
        <v>3.1339999999999999</v>
      </c>
      <c r="O73" s="45">
        <f ca="1">IFERROR(__xludf.DUMMYFUNCTION("""COMPUTED_VALUE"""),0.044)</f>
        <v>4.3999999999999997E-2</v>
      </c>
      <c r="P73" s="45" t="str">
        <f ca="1">IFERROR(__xludf.DUMMYFUNCTION("""COMPUTED_VALUE"""),"Colombo, LK")</f>
        <v>Colombo, LK</v>
      </c>
      <c r="Q73" s="45" t="str">
        <f ca="1">IFERROR(__xludf.DUMMYFUNCTION("""COMPUTED_VALUE"""),"New York, NY, US")</f>
        <v>New York, NY, US</v>
      </c>
      <c r="R73" s="44">
        <f ca="1">IFERROR(__xludf.DUMMYFUNCTION("""COMPUTED_VALUE"""),45817)</f>
        <v>45817</v>
      </c>
      <c r="S73" s="44">
        <f ca="1">IFERROR(__xludf.DUMMYFUNCTION("""COMPUTED_VALUE"""),45876)</f>
        <v>45876</v>
      </c>
      <c r="T73" s="45" t="str">
        <f ca="1">IFERROR(__xludf.DUMMYFUNCTION("""COMPUTED_VALUE"""),"Milton, ON, CA")</f>
        <v>Milton, ON, CA</v>
      </c>
      <c r="U73" s="45"/>
      <c r="V73" s="45"/>
      <c r="W73" s="45"/>
      <c r="X73" s="45"/>
      <c r="Y73" s="46">
        <f ca="1">IFERROR(__xludf.DUMMYFUNCTION("""COMPUTED_VALUE"""),45825)</f>
        <v>45825</v>
      </c>
      <c r="Z73" s="46">
        <f ca="1">IFERROR(__xludf.DUMMYFUNCTION("""COMPUTED_VALUE"""),45854)</f>
        <v>45854</v>
      </c>
      <c r="AA73" s="46">
        <f ca="1">IFERROR(__xludf.DUMMYFUNCTION("""COMPUTED_VALUE"""),45867)</f>
        <v>45867</v>
      </c>
      <c r="AB73" s="45" t="str">
        <f ca="1">IFERROR(__xludf.DUMMYFUNCTION("""COMPUTED_VALUE"""),"7211 Fifth Line")</f>
        <v>7211 Fifth Line</v>
      </c>
      <c r="AC73" s="45"/>
      <c r="AD73" s="45" t="str">
        <f ca="1">IFERROR(__xludf.DUMMYFUNCTION("""COMPUTED_VALUE"""),"OCEAN")</f>
        <v>OCEAN</v>
      </c>
      <c r="AE73" s="45" t="str">
        <f ca="1">IFERROR(__xludf.DUMMYFUNCTION("""COMPUTED_VALUE"""),"N")</f>
        <v>N</v>
      </c>
      <c r="AF73" s="45"/>
      <c r="AG73" s="49" t="str">
        <f ca="1">IFERROR(__xludf.DUMMYFUNCTION("IFNA(vlookup(H73,IMPORTRANGE(""1vUGwO1n0QQGx9kKbO0_M5gmuhXZ6-LaxQxgrmJnzgP0"",""'TP# look up'!A:C""),3,0),"""")"),"")</f>
        <v/>
      </c>
      <c r="AH73" s="49" t="str">
        <f t="shared" ca="1" si="1"/>
        <v>LW</v>
      </c>
    </row>
    <row r="74" spans="1:34" ht="12.75" hidden="1">
      <c r="A74" s="45" t="str">
        <f ca="1">IFERROR(__xludf.DUMMYFUNCTION("""COMPUTED_VALUE"""),"Colombo")</f>
        <v>Colombo</v>
      </c>
      <c r="B74" s="45"/>
      <c r="C74" s="45">
        <f ca="1">IFERROR(__xludf.DUMMYFUNCTION("""COMPUTED_VALUE"""),3231352)</f>
        <v>3231352</v>
      </c>
      <c r="D74" s="45"/>
      <c r="E74" s="45" t="str">
        <f ca="1">IFERROR(__xludf.DUMMYFUNCTION("""COMPUTED_VALUE"""),"CFS")</f>
        <v>CFS</v>
      </c>
      <c r="F74" s="45" t="str">
        <f ca="1">IFERROR(__xludf.DUMMYFUNCTION("""COMPUTED_VALUE"""),"Bodyline Trading (Private) Limited")</f>
        <v>Bodyline Trading (Private) Limited</v>
      </c>
      <c r="G74" s="45" t="str">
        <f ca="1">IFERROR(__xludf.DUMMYFUNCTION("""COMPUTED_VALUE"""),"Bodyline (Private) Limited")</f>
        <v>Bodyline (Private) Limited</v>
      </c>
      <c r="H74" s="43">
        <f ca="1">IFERROR(__xludf.DUMMYFUNCTION("""COMPUTED_VALUE"""),451171021995)</f>
        <v>451171021995</v>
      </c>
      <c r="I74" s="45">
        <f ca="1">IFERROR(__xludf.DUMMYFUNCTION("""COMPUTED_VALUE"""),19878807)</f>
        <v>19878807</v>
      </c>
      <c r="J74" s="45" t="str">
        <f ca="1">IFERROR(__xludf.DUMMYFUNCTION("""COMPUTED_VALUE"""),"LW2DQ0S")</f>
        <v>LW2DQ0S</v>
      </c>
      <c r="K74" s="45" t="str">
        <f ca="1">IFERROR(__xludf.DUMMYFUNCTION("""COMPUTED_VALUE"""),"LW2DQ0S-049106")</f>
        <v>LW2DQ0S-049106</v>
      </c>
      <c r="L74" s="45">
        <f ca="1">IFERROR(__xludf.DUMMYFUNCTION("""COMPUTED_VALUE"""),10)</f>
        <v>10</v>
      </c>
      <c r="M74" s="45">
        <f ca="1">IFERROR(__xludf.DUMMYFUNCTION("""COMPUTED_VALUE"""),508)</f>
        <v>508</v>
      </c>
      <c r="N74" s="45">
        <f ca="1">IFERROR(__xludf.DUMMYFUNCTION("""COMPUTED_VALUE"""),60.539)</f>
        <v>60.539000000000001</v>
      </c>
      <c r="O74" s="45">
        <f ca="1">IFERROR(__xludf.DUMMYFUNCTION("""COMPUTED_VALUE"""),0.732)</f>
        <v>0.73199999999999998</v>
      </c>
      <c r="P74" s="45" t="str">
        <f ca="1">IFERROR(__xludf.DUMMYFUNCTION("""COMPUTED_VALUE"""),"Colombo, LK")</f>
        <v>Colombo, LK</v>
      </c>
      <c r="Q74" s="45" t="str">
        <f ca="1">IFERROR(__xludf.DUMMYFUNCTION("""COMPUTED_VALUE"""),"New York, NY, US")</f>
        <v>New York, NY, US</v>
      </c>
      <c r="R74" s="44">
        <f ca="1">IFERROR(__xludf.DUMMYFUNCTION("""COMPUTED_VALUE"""),45817)</f>
        <v>45817</v>
      </c>
      <c r="S74" s="44">
        <f ca="1">IFERROR(__xludf.DUMMYFUNCTION("""COMPUTED_VALUE"""),45876)</f>
        <v>45876</v>
      </c>
      <c r="T74" s="45" t="str">
        <f ca="1">IFERROR(__xludf.DUMMYFUNCTION("""COMPUTED_VALUE"""),"Mississauga, ON, CA")</f>
        <v>Mississauga, ON, CA</v>
      </c>
      <c r="U74" s="45"/>
      <c r="V74" s="45"/>
      <c r="W74" s="45"/>
      <c r="X74" s="45"/>
      <c r="Y74" s="46">
        <f ca="1">IFERROR(__xludf.DUMMYFUNCTION("""COMPUTED_VALUE"""),45825)</f>
        <v>45825</v>
      </c>
      <c r="Z74" s="46">
        <f ca="1">IFERROR(__xludf.DUMMYFUNCTION("""COMPUTED_VALUE"""),45854)</f>
        <v>45854</v>
      </c>
      <c r="AA74" s="46">
        <f ca="1">IFERROR(__xludf.DUMMYFUNCTION("""COMPUTED_VALUE"""),45867)</f>
        <v>45867</v>
      </c>
      <c r="AB74" s="45" t="str">
        <f ca="1">IFERROR(__xludf.DUMMYFUNCTION("""COMPUTED_VALUE"""),"3500 Argentia Road")</f>
        <v>3500 Argentia Road</v>
      </c>
      <c r="AC74" s="45"/>
      <c r="AD74" s="45" t="str">
        <f ca="1">IFERROR(__xludf.DUMMYFUNCTION("""COMPUTED_VALUE"""),"OCEAN")</f>
        <v>OCEAN</v>
      </c>
      <c r="AE74" s="45" t="str">
        <f ca="1">IFERROR(__xludf.DUMMYFUNCTION("""COMPUTED_VALUE"""),"N")</f>
        <v>N</v>
      </c>
      <c r="AF74" s="45"/>
      <c r="AG74" s="49" t="str">
        <f ca="1">IFERROR(__xludf.DUMMYFUNCTION("IFNA(vlookup(H74,IMPORTRANGE(""1vUGwO1n0QQGx9kKbO0_M5gmuhXZ6-LaxQxgrmJnzgP0"",""'TP# look up'!A:C""),3,0),"""")"),"")</f>
        <v/>
      </c>
      <c r="AH74" s="49" t="str">
        <f t="shared" ca="1" si="1"/>
        <v>LW</v>
      </c>
    </row>
    <row r="75" spans="1:34" ht="12.75" hidden="1">
      <c r="A75" s="45" t="str">
        <f ca="1">IFERROR(__xludf.DUMMYFUNCTION("""COMPUTED_VALUE"""),"Colombo")</f>
        <v>Colombo</v>
      </c>
      <c r="B75" s="45"/>
      <c r="C75" s="45">
        <f ca="1">IFERROR(__xludf.DUMMYFUNCTION("""COMPUTED_VALUE"""),3231352)</f>
        <v>3231352</v>
      </c>
      <c r="D75" s="45"/>
      <c r="E75" s="45" t="str">
        <f ca="1">IFERROR(__xludf.DUMMYFUNCTION("""COMPUTED_VALUE"""),"CFS")</f>
        <v>CFS</v>
      </c>
      <c r="F75" s="45" t="str">
        <f ca="1">IFERROR(__xludf.DUMMYFUNCTION("""COMPUTED_VALUE"""),"Bodyline Trading (Private) Limited")</f>
        <v>Bodyline Trading (Private) Limited</v>
      </c>
      <c r="G75" s="45" t="str">
        <f ca="1">IFERROR(__xludf.DUMMYFUNCTION("""COMPUTED_VALUE"""),"Bodyline (Private) Limited")</f>
        <v>Bodyline (Private) Limited</v>
      </c>
      <c r="H75" s="43">
        <f ca="1">IFERROR(__xludf.DUMMYFUNCTION("""COMPUTED_VALUE"""),451172827468)</f>
        <v>451172827468</v>
      </c>
      <c r="I75" s="45">
        <f ca="1">IFERROR(__xludf.DUMMYFUNCTION("""COMPUTED_VALUE"""),19878587)</f>
        <v>19878587</v>
      </c>
      <c r="J75" s="45" t="str">
        <f ca="1">IFERROR(__xludf.DUMMYFUNCTION("""COMPUTED_VALUE"""),"LW2DQ0S")</f>
        <v>LW2DQ0S</v>
      </c>
      <c r="K75" s="45" t="str">
        <f ca="1">IFERROR(__xludf.DUMMYFUNCTION("""COMPUTED_VALUE"""),"LW2DQ0S-031382")</f>
        <v>LW2DQ0S-031382</v>
      </c>
      <c r="L75" s="45">
        <f ca="1">IFERROR(__xludf.DUMMYFUNCTION("""COMPUTED_VALUE"""),4)</f>
        <v>4</v>
      </c>
      <c r="M75" s="45">
        <f ca="1">IFERROR(__xludf.DUMMYFUNCTION("""COMPUTED_VALUE"""),179)</f>
        <v>179</v>
      </c>
      <c r="N75" s="45">
        <f ca="1">IFERROR(__xludf.DUMMYFUNCTION("""COMPUTED_VALUE"""),22.164)</f>
        <v>22.164000000000001</v>
      </c>
      <c r="O75" s="45">
        <f ca="1">IFERROR(__xludf.DUMMYFUNCTION("""COMPUTED_VALUE"""),0.322)</f>
        <v>0.32200000000000001</v>
      </c>
      <c r="P75" s="45" t="str">
        <f ca="1">IFERROR(__xludf.DUMMYFUNCTION("""COMPUTED_VALUE"""),"Colombo, LK")</f>
        <v>Colombo, LK</v>
      </c>
      <c r="Q75" s="45" t="str">
        <f ca="1">IFERROR(__xludf.DUMMYFUNCTION("""COMPUTED_VALUE"""),"New York, NY, US")</f>
        <v>New York, NY, US</v>
      </c>
      <c r="R75" s="44">
        <f ca="1">IFERROR(__xludf.DUMMYFUNCTION("""COMPUTED_VALUE"""),45817)</f>
        <v>45817</v>
      </c>
      <c r="S75" s="44">
        <f ca="1">IFERROR(__xludf.DUMMYFUNCTION("""COMPUTED_VALUE"""),45876)</f>
        <v>45876</v>
      </c>
      <c r="T75" s="45" t="str">
        <f ca="1">IFERROR(__xludf.DUMMYFUNCTION("""COMPUTED_VALUE"""),"Mississauga, ON, CA")</f>
        <v>Mississauga, ON, CA</v>
      </c>
      <c r="U75" s="45"/>
      <c r="V75" s="45"/>
      <c r="W75" s="45"/>
      <c r="X75" s="45"/>
      <c r="Y75" s="46">
        <f ca="1">IFERROR(__xludf.DUMMYFUNCTION("""COMPUTED_VALUE"""),45825)</f>
        <v>45825</v>
      </c>
      <c r="Z75" s="46">
        <f ca="1">IFERROR(__xludf.DUMMYFUNCTION("""COMPUTED_VALUE"""),45854)</f>
        <v>45854</v>
      </c>
      <c r="AA75" s="46">
        <f ca="1">IFERROR(__xludf.DUMMYFUNCTION("""COMPUTED_VALUE"""),45867)</f>
        <v>45867</v>
      </c>
      <c r="AB75" s="45" t="str">
        <f ca="1">IFERROR(__xludf.DUMMYFUNCTION("""COMPUTED_VALUE"""),"3500 Argentia Road")</f>
        <v>3500 Argentia Road</v>
      </c>
      <c r="AC75" s="45"/>
      <c r="AD75" s="45" t="str">
        <f ca="1">IFERROR(__xludf.DUMMYFUNCTION("""COMPUTED_VALUE"""),"OCEAN")</f>
        <v>OCEAN</v>
      </c>
      <c r="AE75" s="45" t="str">
        <f ca="1">IFERROR(__xludf.DUMMYFUNCTION("""COMPUTED_VALUE"""),"N")</f>
        <v>N</v>
      </c>
      <c r="AF75" s="45"/>
      <c r="AG75" s="49" t="str">
        <f ca="1">IFERROR(__xludf.DUMMYFUNCTION("IFNA(vlookup(H75,IMPORTRANGE(""1vUGwO1n0QQGx9kKbO0_M5gmuhXZ6-LaxQxgrmJnzgP0"",""'TP# look up'!A:C""),3,0),"""")"),"")</f>
        <v/>
      </c>
      <c r="AH75" s="49" t="str">
        <f t="shared" ca="1" si="1"/>
        <v>LW</v>
      </c>
    </row>
    <row r="76" spans="1:34" ht="12.75" hidden="1">
      <c r="A76" s="45" t="str">
        <f ca="1">IFERROR(__xludf.DUMMYFUNCTION("""COMPUTED_VALUE"""),"Colombo")</f>
        <v>Colombo</v>
      </c>
      <c r="B76" s="45"/>
      <c r="C76" s="45">
        <f ca="1">IFERROR(__xludf.DUMMYFUNCTION("""COMPUTED_VALUE"""),3231352)</f>
        <v>3231352</v>
      </c>
      <c r="D76" s="45"/>
      <c r="E76" s="45" t="str">
        <f ca="1">IFERROR(__xludf.DUMMYFUNCTION("""COMPUTED_VALUE"""),"CFS")</f>
        <v>CFS</v>
      </c>
      <c r="F76" s="45" t="str">
        <f ca="1">IFERROR(__xludf.DUMMYFUNCTION("""COMPUTED_VALUE"""),"Bodyline Trading (Private) Limited")</f>
        <v>Bodyline Trading (Private) Limited</v>
      </c>
      <c r="G76" s="45" t="str">
        <f ca="1">IFERROR(__xludf.DUMMYFUNCTION("""COMPUTED_VALUE"""),"Bodyline (Private) Limited")</f>
        <v>Bodyline (Private) Limited</v>
      </c>
      <c r="H76" s="43">
        <f ca="1">IFERROR(__xludf.DUMMYFUNCTION("""COMPUTED_VALUE"""),451173938820)</f>
        <v>451173938820</v>
      </c>
      <c r="I76" s="45">
        <f ca="1">IFERROR(__xludf.DUMMYFUNCTION("""COMPUTED_VALUE"""),19878815)</f>
        <v>19878815</v>
      </c>
      <c r="J76" s="45" t="str">
        <f ca="1">IFERROR(__xludf.DUMMYFUNCTION("""COMPUTED_VALUE"""),"LW2DQ0S")</f>
        <v>LW2DQ0S</v>
      </c>
      <c r="K76" s="45" t="str">
        <f ca="1">IFERROR(__xludf.DUMMYFUNCTION("""COMPUTED_VALUE"""),"LW2DQ0S-031382")</f>
        <v>LW2DQ0S-031382</v>
      </c>
      <c r="L76" s="45">
        <f ca="1">IFERROR(__xludf.DUMMYFUNCTION("""COMPUTED_VALUE"""),10)</f>
        <v>10</v>
      </c>
      <c r="M76" s="45">
        <f ca="1">IFERROR(__xludf.DUMMYFUNCTION("""COMPUTED_VALUE"""),598)</f>
        <v>598</v>
      </c>
      <c r="N76" s="45">
        <f ca="1">IFERROR(__xludf.DUMMYFUNCTION("""COMPUTED_VALUE"""),69.603)</f>
        <v>69.602999999999994</v>
      </c>
      <c r="O76" s="45">
        <f ca="1">IFERROR(__xludf.DUMMYFUNCTION("""COMPUTED_VALUE"""),0.769)</f>
        <v>0.76900000000000002</v>
      </c>
      <c r="P76" s="45" t="str">
        <f ca="1">IFERROR(__xludf.DUMMYFUNCTION("""COMPUTED_VALUE"""),"Colombo, LK")</f>
        <v>Colombo, LK</v>
      </c>
      <c r="Q76" s="45" t="str">
        <f ca="1">IFERROR(__xludf.DUMMYFUNCTION("""COMPUTED_VALUE"""),"New York, NY, US")</f>
        <v>New York, NY, US</v>
      </c>
      <c r="R76" s="44">
        <f ca="1">IFERROR(__xludf.DUMMYFUNCTION("""COMPUTED_VALUE"""),45817)</f>
        <v>45817</v>
      </c>
      <c r="S76" s="44">
        <f ca="1">IFERROR(__xludf.DUMMYFUNCTION("""COMPUTED_VALUE"""),45876)</f>
        <v>45876</v>
      </c>
      <c r="T76" s="45" t="str">
        <f ca="1">IFERROR(__xludf.DUMMYFUNCTION("""COMPUTED_VALUE"""),"Mississauga, ON, CA")</f>
        <v>Mississauga, ON, CA</v>
      </c>
      <c r="U76" s="45"/>
      <c r="V76" s="45"/>
      <c r="W76" s="45"/>
      <c r="X76" s="45"/>
      <c r="Y76" s="46">
        <f ca="1">IFERROR(__xludf.DUMMYFUNCTION("""COMPUTED_VALUE"""),45825)</f>
        <v>45825</v>
      </c>
      <c r="Z76" s="46">
        <f ca="1">IFERROR(__xludf.DUMMYFUNCTION("""COMPUTED_VALUE"""),45854)</f>
        <v>45854</v>
      </c>
      <c r="AA76" s="46">
        <f ca="1">IFERROR(__xludf.DUMMYFUNCTION("""COMPUTED_VALUE"""),45867)</f>
        <v>45867</v>
      </c>
      <c r="AB76" s="45" t="str">
        <f ca="1">IFERROR(__xludf.DUMMYFUNCTION("""COMPUTED_VALUE"""),"3500 Argentia Road")</f>
        <v>3500 Argentia Road</v>
      </c>
      <c r="AC76" s="45"/>
      <c r="AD76" s="45" t="str">
        <f ca="1">IFERROR(__xludf.DUMMYFUNCTION("""COMPUTED_VALUE"""),"OCEAN")</f>
        <v>OCEAN</v>
      </c>
      <c r="AE76" s="45" t="str">
        <f ca="1">IFERROR(__xludf.DUMMYFUNCTION("""COMPUTED_VALUE"""),"N")</f>
        <v>N</v>
      </c>
      <c r="AF76" s="45"/>
      <c r="AG76" s="49" t="str">
        <f ca="1">IFERROR(__xludf.DUMMYFUNCTION("IFNA(vlookup(H76,IMPORTRANGE(""1vUGwO1n0QQGx9kKbO0_M5gmuhXZ6-LaxQxgrmJnzgP0"",""'TP# look up'!A:C""),3,0),"""")"),"")</f>
        <v/>
      </c>
      <c r="AH76" s="49" t="str">
        <f t="shared" ca="1" si="1"/>
        <v>LW</v>
      </c>
    </row>
    <row r="77" spans="1:34" ht="12.75" hidden="1">
      <c r="A77" s="45" t="str">
        <f ca="1">IFERROR(__xludf.DUMMYFUNCTION("""COMPUTED_VALUE"""),"Colombo")</f>
        <v>Colombo</v>
      </c>
      <c r="B77" s="45"/>
      <c r="C77" s="45">
        <f ca="1">IFERROR(__xludf.DUMMYFUNCTION("""COMPUTED_VALUE"""),3231352)</f>
        <v>3231352</v>
      </c>
      <c r="D77" s="45"/>
      <c r="E77" s="45" t="str">
        <f ca="1">IFERROR(__xludf.DUMMYFUNCTION("""COMPUTED_VALUE"""),"CFS")</f>
        <v>CFS</v>
      </c>
      <c r="F77" s="45" t="str">
        <f ca="1">IFERROR(__xludf.DUMMYFUNCTION("""COMPUTED_VALUE"""),"Bodyline Trading (Private) Limited")</f>
        <v>Bodyline Trading (Private) Limited</v>
      </c>
      <c r="G77" s="45" t="str">
        <f ca="1">IFERROR(__xludf.DUMMYFUNCTION("""COMPUTED_VALUE"""),"Bodyline (Private) Limited")</f>
        <v>Bodyline (Private) Limited</v>
      </c>
      <c r="H77" s="43">
        <f ca="1">IFERROR(__xludf.DUMMYFUNCTION("""COMPUTED_VALUE"""),451175525212)</f>
        <v>451175525212</v>
      </c>
      <c r="I77" s="45">
        <f ca="1">IFERROR(__xludf.DUMMYFUNCTION("""COMPUTED_VALUE"""),19878359)</f>
        <v>19878359</v>
      </c>
      <c r="J77" s="45" t="str">
        <f ca="1">IFERROR(__xludf.DUMMYFUNCTION("""COMPUTED_VALUE"""),"LW2731S")</f>
        <v>LW2731S</v>
      </c>
      <c r="K77" s="45" t="str">
        <f ca="1">IFERROR(__xludf.DUMMYFUNCTION("""COMPUTED_VALUE"""),"LW2731S-0002")</f>
        <v>LW2731S-0002</v>
      </c>
      <c r="L77" s="45">
        <f ca="1">IFERROR(__xludf.DUMMYFUNCTION("""COMPUTED_VALUE"""),7)</f>
        <v>7</v>
      </c>
      <c r="M77" s="45">
        <f ca="1">IFERROR(__xludf.DUMMYFUNCTION("""COMPUTED_VALUE"""),383)</f>
        <v>383</v>
      </c>
      <c r="N77" s="45">
        <f ca="1">IFERROR(__xludf.DUMMYFUNCTION("""COMPUTED_VALUE"""),39.777)</f>
        <v>39.777000000000001</v>
      </c>
      <c r="O77" s="45">
        <f ca="1">IFERROR(__xludf.DUMMYFUNCTION("""COMPUTED_VALUE"""),0.564)</f>
        <v>0.56399999999999995</v>
      </c>
      <c r="P77" s="45" t="str">
        <f ca="1">IFERROR(__xludf.DUMMYFUNCTION("""COMPUTED_VALUE"""),"Colombo, LK")</f>
        <v>Colombo, LK</v>
      </c>
      <c r="Q77" s="45" t="str">
        <f ca="1">IFERROR(__xludf.DUMMYFUNCTION("""COMPUTED_VALUE"""),"New York, NY, US")</f>
        <v>New York, NY, US</v>
      </c>
      <c r="R77" s="44">
        <f ca="1">IFERROR(__xludf.DUMMYFUNCTION("""COMPUTED_VALUE"""),45817)</f>
        <v>45817</v>
      </c>
      <c r="S77" s="44">
        <f ca="1">IFERROR(__xludf.DUMMYFUNCTION("""COMPUTED_VALUE"""),45876)</f>
        <v>45876</v>
      </c>
      <c r="T77" s="45" t="str">
        <f ca="1">IFERROR(__xludf.DUMMYFUNCTION("""COMPUTED_VALUE"""),"Mississauga, ON, CA")</f>
        <v>Mississauga, ON, CA</v>
      </c>
      <c r="U77" s="45"/>
      <c r="V77" s="45"/>
      <c r="W77" s="45"/>
      <c r="X77" s="45"/>
      <c r="Y77" s="46">
        <f ca="1">IFERROR(__xludf.DUMMYFUNCTION("""COMPUTED_VALUE"""),45825)</f>
        <v>45825</v>
      </c>
      <c r="Z77" s="46">
        <f ca="1">IFERROR(__xludf.DUMMYFUNCTION("""COMPUTED_VALUE"""),45854)</f>
        <v>45854</v>
      </c>
      <c r="AA77" s="46">
        <f ca="1">IFERROR(__xludf.DUMMYFUNCTION("""COMPUTED_VALUE"""),45867)</f>
        <v>45867</v>
      </c>
      <c r="AB77" s="45" t="str">
        <f ca="1">IFERROR(__xludf.DUMMYFUNCTION("""COMPUTED_VALUE"""),"3500 Argentia Road")</f>
        <v>3500 Argentia Road</v>
      </c>
      <c r="AC77" s="45"/>
      <c r="AD77" s="45" t="str">
        <f ca="1">IFERROR(__xludf.DUMMYFUNCTION("""COMPUTED_VALUE"""),"OCEAN")</f>
        <v>OCEAN</v>
      </c>
      <c r="AE77" s="45" t="str">
        <f ca="1">IFERROR(__xludf.DUMMYFUNCTION("""COMPUTED_VALUE"""),"N")</f>
        <v>N</v>
      </c>
      <c r="AF77" s="45"/>
      <c r="AG77" s="49" t="str">
        <f ca="1">IFERROR(__xludf.DUMMYFUNCTION("IFNA(vlookup(H77,IMPORTRANGE(""1vUGwO1n0QQGx9kKbO0_M5gmuhXZ6-LaxQxgrmJnzgP0"",""'TP# look up'!A:C""),3,0),"""")"),"")</f>
        <v/>
      </c>
      <c r="AH77" s="49" t="str">
        <f t="shared" ca="1" si="1"/>
        <v>LW</v>
      </c>
    </row>
    <row r="78" spans="1:34" ht="12.75" hidden="1">
      <c r="A78" s="45" t="str">
        <f ca="1">IFERROR(__xludf.DUMMYFUNCTION("""COMPUTED_VALUE"""),"Colombo")</f>
        <v>Colombo</v>
      </c>
      <c r="B78" s="45"/>
      <c r="C78" s="45">
        <f ca="1">IFERROR(__xludf.DUMMYFUNCTION("""COMPUTED_VALUE"""),3231352)</f>
        <v>3231352</v>
      </c>
      <c r="D78" s="45"/>
      <c r="E78" s="45" t="str">
        <f ca="1">IFERROR(__xludf.DUMMYFUNCTION("""COMPUTED_VALUE"""),"CFS")</f>
        <v>CFS</v>
      </c>
      <c r="F78" s="45" t="str">
        <f ca="1">IFERROR(__xludf.DUMMYFUNCTION("""COMPUTED_VALUE"""),"MAS AMITY PTE LTD")</f>
        <v>MAS AMITY PTE LTD</v>
      </c>
      <c r="G78" s="45" t="str">
        <f ca="1">IFERROR(__xludf.DUMMYFUNCTION("""COMPUTED_VALUE"""),"MAS Active (Pvt) Ltd - Linea Intimo")</f>
        <v>MAS Active (Pvt) Ltd - Linea Intimo</v>
      </c>
      <c r="H78" s="43">
        <f ca="1">IFERROR(__xludf.DUMMYFUNCTION("""COMPUTED_VALUE"""),452591479944)</f>
        <v>452591479944</v>
      </c>
      <c r="I78" s="45">
        <f ca="1">IFERROR(__xludf.DUMMYFUNCTION("""COMPUTED_VALUE"""),19900407)</f>
        <v>19900407</v>
      </c>
      <c r="J78" s="45" t="str">
        <f ca="1">IFERROR(__xludf.DUMMYFUNCTION("""COMPUTED_VALUE"""),"LW3DFMS")</f>
        <v>LW3DFMS</v>
      </c>
      <c r="K78" s="45" t="str">
        <f ca="1">IFERROR(__xludf.DUMMYFUNCTION("""COMPUTED_VALUE"""),"LW3DFMS-071306")</f>
        <v>LW3DFMS-071306</v>
      </c>
      <c r="L78" s="45">
        <f ca="1">IFERROR(__xludf.DUMMYFUNCTION("""COMPUTED_VALUE"""),8)</f>
        <v>8</v>
      </c>
      <c r="M78" s="45">
        <f ca="1">IFERROR(__xludf.DUMMYFUNCTION("""COMPUTED_VALUE"""),517)</f>
        <v>517</v>
      </c>
      <c r="N78" s="45">
        <f ca="1">IFERROR(__xludf.DUMMYFUNCTION("""COMPUTED_VALUE"""),65.681)</f>
        <v>65.680999999999997</v>
      </c>
      <c r="O78" s="45">
        <f ca="1">IFERROR(__xludf.DUMMYFUNCTION("""COMPUTED_VALUE"""),0.513)</f>
        <v>0.51300000000000001</v>
      </c>
      <c r="P78" s="45" t="str">
        <f ca="1">IFERROR(__xludf.DUMMYFUNCTION("""COMPUTED_VALUE"""),"Colombo, LK")</f>
        <v>Colombo, LK</v>
      </c>
      <c r="Q78" s="45" t="str">
        <f ca="1">IFERROR(__xludf.DUMMYFUNCTION("""COMPUTED_VALUE"""),"New York, NY, US")</f>
        <v>New York, NY, US</v>
      </c>
      <c r="R78" s="44">
        <f ca="1">IFERROR(__xludf.DUMMYFUNCTION("""COMPUTED_VALUE"""),45817)</f>
        <v>45817</v>
      </c>
      <c r="S78" s="44">
        <f ca="1">IFERROR(__xludf.DUMMYFUNCTION("""COMPUTED_VALUE"""),45876)</f>
        <v>45876</v>
      </c>
      <c r="T78" s="45" t="str">
        <f ca="1">IFERROR(__xludf.DUMMYFUNCTION("""COMPUTED_VALUE"""),"Milton, ON, CA")</f>
        <v>Milton, ON, CA</v>
      </c>
      <c r="U78" s="45"/>
      <c r="V78" s="45"/>
      <c r="W78" s="45"/>
      <c r="X78" s="45"/>
      <c r="Y78" s="46">
        <f ca="1">IFERROR(__xludf.DUMMYFUNCTION("""COMPUTED_VALUE"""),45825)</f>
        <v>45825</v>
      </c>
      <c r="Z78" s="46">
        <f ca="1">IFERROR(__xludf.DUMMYFUNCTION("""COMPUTED_VALUE"""),45854)</f>
        <v>45854</v>
      </c>
      <c r="AA78" s="46">
        <f ca="1">IFERROR(__xludf.DUMMYFUNCTION("""COMPUTED_VALUE"""),45867)</f>
        <v>45867</v>
      </c>
      <c r="AB78" s="45" t="str">
        <f ca="1">IFERROR(__xludf.DUMMYFUNCTION("""COMPUTED_VALUE"""),"7211 Fifth Line")</f>
        <v>7211 Fifth Line</v>
      </c>
      <c r="AC78" s="45"/>
      <c r="AD78" s="45" t="str">
        <f ca="1">IFERROR(__xludf.DUMMYFUNCTION("""COMPUTED_VALUE"""),"OCEAN")</f>
        <v>OCEAN</v>
      </c>
      <c r="AE78" s="45" t="str">
        <f ca="1">IFERROR(__xludf.DUMMYFUNCTION("""COMPUTED_VALUE"""),"N")</f>
        <v>N</v>
      </c>
      <c r="AF78" s="45"/>
      <c r="AG78" s="49" t="str">
        <f ca="1">IFERROR(__xludf.DUMMYFUNCTION("IFNA(vlookup(H78,IMPORTRANGE(""1vUGwO1n0QQGx9kKbO0_M5gmuhXZ6-LaxQxgrmJnzgP0"",""'TP# look up'!A:C""),3,0),"""")"),"")</f>
        <v/>
      </c>
      <c r="AH78" s="49" t="str">
        <f t="shared" ca="1" si="1"/>
        <v>LW</v>
      </c>
    </row>
    <row r="79" spans="1:34" ht="12.75" hidden="1">
      <c r="A79" s="45" t="str">
        <f ca="1">IFERROR(__xludf.DUMMYFUNCTION("""COMPUTED_VALUE"""),"Colombo")</f>
        <v>Colombo</v>
      </c>
      <c r="B79" s="45"/>
      <c r="C79" s="45">
        <f ca="1">IFERROR(__xludf.DUMMYFUNCTION("""COMPUTED_VALUE"""),3231352)</f>
        <v>3231352</v>
      </c>
      <c r="D79" s="45"/>
      <c r="E79" s="45" t="str">
        <f ca="1">IFERROR(__xludf.DUMMYFUNCTION("""COMPUTED_VALUE"""),"CFS")</f>
        <v>CFS</v>
      </c>
      <c r="F79" s="45" t="str">
        <f ca="1">IFERROR(__xludf.DUMMYFUNCTION("""COMPUTED_VALUE"""),"MAS AMITY PTE LTD")</f>
        <v>MAS AMITY PTE LTD</v>
      </c>
      <c r="G79" s="45" t="str">
        <f ca="1">IFERROR(__xludf.DUMMYFUNCTION("""COMPUTED_VALUE"""),"MAS Active (Pvt) Ltd - Linea Intimo")</f>
        <v>MAS Active (Pvt) Ltd - Linea Intimo</v>
      </c>
      <c r="H79" s="43">
        <f ca="1">IFERROR(__xludf.DUMMYFUNCTION("""COMPUTED_VALUE"""),451421072368)</f>
        <v>451421072368</v>
      </c>
      <c r="I79" s="45">
        <f ca="1">IFERROR(__xludf.DUMMYFUNCTION("""COMPUTED_VALUE"""),91018432)</f>
        <v>91018432</v>
      </c>
      <c r="J79" s="45" t="str">
        <f ca="1">IFERROR(__xludf.DUMMYFUNCTION("""COMPUTED_VALUE"""),"LW1CHRS")</f>
        <v>LW1CHRS</v>
      </c>
      <c r="K79" s="45" t="str">
        <f ca="1">IFERROR(__xludf.DUMMYFUNCTION("""COMPUTED_VALUE"""),"LW1CHRS-071306")</f>
        <v>LW1CHRS-071306</v>
      </c>
      <c r="L79" s="45">
        <f ca="1">IFERROR(__xludf.DUMMYFUNCTION("""COMPUTED_VALUE"""),5)</f>
        <v>5</v>
      </c>
      <c r="M79" s="45">
        <f ca="1">IFERROR(__xludf.DUMMYFUNCTION("""COMPUTED_VALUE"""),245)</f>
        <v>245</v>
      </c>
      <c r="N79" s="45">
        <f ca="1">IFERROR(__xludf.DUMMYFUNCTION("""COMPUTED_VALUE"""),27.3)</f>
        <v>27.3</v>
      </c>
      <c r="O79" s="45">
        <f ca="1">IFERROR(__xludf.DUMMYFUNCTION("""COMPUTED_VALUE"""),0.238)</f>
        <v>0.23799999999999999</v>
      </c>
      <c r="P79" s="45" t="str">
        <f ca="1">IFERROR(__xludf.DUMMYFUNCTION("""COMPUTED_VALUE"""),"Colombo, LK")</f>
        <v>Colombo, LK</v>
      </c>
      <c r="Q79" s="45" t="str">
        <f ca="1">IFERROR(__xludf.DUMMYFUNCTION("""COMPUTED_VALUE"""),"New York, NY, US")</f>
        <v>New York, NY, US</v>
      </c>
      <c r="R79" s="44">
        <f ca="1">IFERROR(__xludf.DUMMYFUNCTION("""COMPUTED_VALUE"""),45817)</f>
        <v>45817</v>
      </c>
      <c r="S79" s="44">
        <f ca="1">IFERROR(__xludf.DUMMYFUNCTION("""COMPUTED_VALUE"""),45881)</f>
        <v>45881</v>
      </c>
      <c r="T79" s="45" t="str">
        <f ca="1">IFERROR(__xludf.DUMMYFUNCTION("""COMPUTED_VALUE"""),"Mississauga, ON, CA")</f>
        <v>Mississauga, ON, CA</v>
      </c>
      <c r="U79" s="45"/>
      <c r="V79" s="45"/>
      <c r="W79" s="45"/>
      <c r="X79" s="45"/>
      <c r="Y79" s="46">
        <f ca="1">IFERROR(__xludf.DUMMYFUNCTION("""COMPUTED_VALUE"""),45825)</f>
        <v>45825</v>
      </c>
      <c r="Z79" s="46">
        <f ca="1">IFERROR(__xludf.DUMMYFUNCTION("""COMPUTED_VALUE"""),45854)</f>
        <v>45854</v>
      </c>
      <c r="AA79" s="46">
        <f ca="1">IFERROR(__xludf.DUMMYFUNCTION("""COMPUTED_VALUE"""),45867)</f>
        <v>45867</v>
      </c>
      <c r="AB79" s="45" t="str">
        <f ca="1">IFERROR(__xludf.DUMMYFUNCTION("""COMPUTED_VALUE"""),"3500 Argentia Road")</f>
        <v>3500 Argentia Road</v>
      </c>
      <c r="AC79" s="45"/>
      <c r="AD79" s="45" t="str">
        <f ca="1">IFERROR(__xludf.DUMMYFUNCTION("""COMPUTED_VALUE"""),"OCEAN")</f>
        <v>OCEAN</v>
      </c>
      <c r="AE79" s="45" t="str">
        <f ca="1">IFERROR(__xludf.DUMMYFUNCTION("""COMPUTED_VALUE"""),"N")</f>
        <v>N</v>
      </c>
      <c r="AF79" s="45"/>
      <c r="AG79" s="49" t="str">
        <f ca="1">IFERROR(__xludf.DUMMYFUNCTION("IFNA(vlookup(H79,IMPORTRANGE(""1vUGwO1n0QQGx9kKbO0_M5gmuhXZ6-LaxQxgrmJnzgP0"",""'TP# look up'!A:C""),3,0),"""")"),"")</f>
        <v/>
      </c>
      <c r="AH79" s="49" t="str">
        <f t="shared" ca="1" si="1"/>
        <v>LW</v>
      </c>
    </row>
    <row r="80" spans="1:34" ht="12.75" hidden="1">
      <c r="A80" s="45" t="str">
        <f ca="1">IFERROR(__xludf.DUMMYFUNCTION("""COMPUTED_VALUE"""),"Colombo")</f>
        <v>Colombo</v>
      </c>
      <c r="B80" s="45"/>
      <c r="C80" s="45">
        <f ca="1">IFERROR(__xludf.DUMMYFUNCTION("""COMPUTED_VALUE"""),3231352)</f>
        <v>3231352</v>
      </c>
      <c r="D80" s="45"/>
      <c r="E80" s="45" t="str">
        <f ca="1">IFERROR(__xludf.DUMMYFUNCTION("""COMPUTED_VALUE"""),"CFS")</f>
        <v>CFS</v>
      </c>
      <c r="F80" s="45" t="str">
        <f ca="1">IFERROR(__xludf.DUMMYFUNCTION("""COMPUTED_VALUE"""),"MAS AMITY PTE LTD")</f>
        <v>MAS AMITY PTE LTD</v>
      </c>
      <c r="G80" s="45" t="str">
        <f ca="1">IFERROR(__xludf.DUMMYFUNCTION("""COMPUTED_VALUE"""),"MAS Active (Pvt) Ltd – Shadowline")</f>
        <v>MAS Active (Pvt) Ltd – Shadowline</v>
      </c>
      <c r="H80" s="43">
        <f ca="1">IFERROR(__xludf.DUMMYFUNCTION("""COMPUTED_VALUE"""),451416148463)</f>
        <v>451416148463</v>
      </c>
      <c r="I80" s="45">
        <f ca="1">IFERROR(__xludf.DUMMYFUNCTION("""COMPUTED_VALUE"""),19899888)</f>
        <v>19899888</v>
      </c>
      <c r="J80" s="45" t="str">
        <f ca="1">IFERROR(__xludf.DUMMYFUNCTION("""COMPUTED_VALUE"""),"LW1DUDS")</f>
        <v>LW1DUDS</v>
      </c>
      <c r="K80" s="45" t="str">
        <f ca="1">IFERROR(__xludf.DUMMYFUNCTION("""COMPUTED_VALUE"""),"LW1DUDS-0002")</f>
        <v>LW1DUDS-0002</v>
      </c>
      <c r="L80" s="45">
        <f ca="1">IFERROR(__xludf.DUMMYFUNCTION("""COMPUTED_VALUE"""),8)</f>
        <v>8</v>
      </c>
      <c r="M80" s="45">
        <f ca="1">IFERROR(__xludf.DUMMYFUNCTION("""COMPUTED_VALUE"""),400)</f>
        <v>400</v>
      </c>
      <c r="N80" s="45">
        <f ca="1">IFERROR(__xludf.DUMMYFUNCTION("""COMPUTED_VALUE"""),64.338)</f>
        <v>64.337999999999994</v>
      </c>
      <c r="O80" s="45">
        <f ca="1">IFERROR(__xludf.DUMMYFUNCTION("""COMPUTED_VALUE"""),0.553)</f>
        <v>0.55300000000000005</v>
      </c>
      <c r="P80" s="45" t="str">
        <f ca="1">IFERROR(__xludf.DUMMYFUNCTION("""COMPUTED_VALUE"""),"Colombo, LK")</f>
        <v>Colombo, LK</v>
      </c>
      <c r="Q80" s="45" t="str">
        <f ca="1">IFERROR(__xludf.DUMMYFUNCTION("""COMPUTED_VALUE"""),"New York, NY, US")</f>
        <v>New York, NY, US</v>
      </c>
      <c r="R80" s="44">
        <f ca="1">IFERROR(__xludf.DUMMYFUNCTION("""COMPUTED_VALUE"""),45817)</f>
        <v>45817</v>
      </c>
      <c r="S80" s="44">
        <f ca="1">IFERROR(__xludf.DUMMYFUNCTION("""COMPUTED_VALUE"""),45876)</f>
        <v>45876</v>
      </c>
      <c r="T80" s="45" t="str">
        <f ca="1">IFERROR(__xludf.DUMMYFUNCTION("""COMPUTED_VALUE"""),"Milton, ON, CA")</f>
        <v>Milton, ON, CA</v>
      </c>
      <c r="U80" s="45"/>
      <c r="V80" s="45"/>
      <c r="W80" s="45"/>
      <c r="X80" s="45"/>
      <c r="Y80" s="46">
        <f ca="1">IFERROR(__xludf.DUMMYFUNCTION("""COMPUTED_VALUE"""),45825)</f>
        <v>45825</v>
      </c>
      <c r="Z80" s="46">
        <f ca="1">IFERROR(__xludf.DUMMYFUNCTION("""COMPUTED_VALUE"""),45854)</f>
        <v>45854</v>
      </c>
      <c r="AA80" s="46">
        <f ca="1">IFERROR(__xludf.DUMMYFUNCTION("""COMPUTED_VALUE"""),45867)</f>
        <v>45867</v>
      </c>
      <c r="AB80" s="45" t="str">
        <f ca="1">IFERROR(__xludf.DUMMYFUNCTION("""COMPUTED_VALUE"""),"7211 Fifth Line")</f>
        <v>7211 Fifth Line</v>
      </c>
      <c r="AC80" s="45"/>
      <c r="AD80" s="45" t="str">
        <f ca="1">IFERROR(__xludf.DUMMYFUNCTION("""COMPUTED_VALUE"""),"OCEAN")</f>
        <v>OCEAN</v>
      </c>
      <c r="AE80" s="45" t="str">
        <f ca="1">IFERROR(__xludf.DUMMYFUNCTION("""COMPUTED_VALUE"""),"N")</f>
        <v>N</v>
      </c>
      <c r="AF80" s="45"/>
      <c r="AG80" s="49" t="str">
        <f ca="1">IFERROR(__xludf.DUMMYFUNCTION("IFNA(vlookup(H80,IMPORTRANGE(""1vUGwO1n0QQGx9kKbO0_M5gmuhXZ6-LaxQxgrmJnzgP0"",""'TP# look up'!A:C""),3,0),"""")"),"")</f>
        <v/>
      </c>
      <c r="AH80" s="49" t="str">
        <f t="shared" ca="1" si="1"/>
        <v>LW</v>
      </c>
    </row>
    <row r="81" spans="1:34" ht="12.75" hidden="1">
      <c r="A81" s="45" t="str">
        <f ca="1">IFERROR(__xludf.DUMMYFUNCTION("""COMPUTED_VALUE"""),"Colombo")</f>
        <v>Colombo</v>
      </c>
      <c r="B81" s="45"/>
      <c r="C81" s="45">
        <f ca="1">IFERROR(__xludf.DUMMYFUNCTION("""COMPUTED_VALUE"""),3231352)</f>
        <v>3231352</v>
      </c>
      <c r="D81" s="45"/>
      <c r="E81" s="45" t="str">
        <f ca="1">IFERROR(__xludf.DUMMYFUNCTION("""COMPUTED_VALUE"""),"CFS")</f>
        <v>CFS</v>
      </c>
      <c r="F81" s="45" t="str">
        <f ca="1">IFERROR(__xludf.DUMMYFUNCTION("""COMPUTED_VALUE"""),"MAS AMITY PTE LTD")</f>
        <v>MAS AMITY PTE LTD</v>
      </c>
      <c r="G81" s="45" t="str">
        <f ca="1">IFERROR(__xludf.DUMMYFUNCTION("""COMPUTED_VALUE"""),"MAS Active (Pvt) Ltd – Shadowline")</f>
        <v>MAS Active (Pvt) Ltd – Shadowline</v>
      </c>
      <c r="H81" s="43">
        <f ca="1">IFERROR(__xludf.DUMMYFUNCTION("""COMPUTED_VALUE"""),451424660897)</f>
        <v>451424660897</v>
      </c>
      <c r="I81" s="45">
        <f ca="1">IFERROR(__xludf.DUMMYFUNCTION("""COMPUTED_VALUE"""),19342204)</f>
        <v>19342204</v>
      </c>
      <c r="J81" s="45" t="str">
        <f ca="1">IFERROR(__xludf.DUMMYFUNCTION("""COMPUTED_VALUE"""),"LW7DDOS")</f>
        <v>LW7DDOS</v>
      </c>
      <c r="K81" s="45" t="str">
        <f ca="1">IFERROR(__xludf.DUMMYFUNCTION("""COMPUTED_VALUE"""),"LW7DDOS-069005")</f>
        <v>LW7DDOS-069005</v>
      </c>
      <c r="L81" s="45">
        <f ca="1">IFERROR(__xludf.DUMMYFUNCTION("""COMPUTED_VALUE"""),15)</f>
        <v>15</v>
      </c>
      <c r="M81" s="45">
        <f ca="1">IFERROR(__xludf.DUMMYFUNCTION("""COMPUTED_VALUE"""),1405)</f>
        <v>1405</v>
      </c>
      <c r="N81" s="45">
        <f ca="1">IFERROR(__xludf.DUMMYFUNCTION("""COMPUTED_VALUE"""),220.582)</f>
        <v>220.58199999999999</v>
      </c>
      <c r="O81" s="45">
        <f ca="1">IFERROR(__xludf.DUMMYFUNCTION("""COMPUTED_VALUE"""),1.106)</f>
        <v>1.1060000000000001</v>
      </c>
      <c r="P81" s="45" t="str">
        <f ca="1">IFERROR(__xludf.DUMMYFUNCTION("""COMPUTED_VALUE"""),"Colombo, LK")</f>
        <v>Colombo, LK</v>
      </c>
      <c r="Q81" s="45" t="str">
        <f ca="1">IFERROR(__xludf.DUMMYFUNCTION("""COMPUTED_VALUE"""),"New York, NY, US")</f>
        <v>New York, NY, US</v>
      </c>
      <c r="R81" s="44">
        <f ca="1">IFERROR(__xludf.DUMMYFUNCTION("""COMPUTED_VALUE"""),45817)</f>
        <v>45817</v>
      </c>
      <c r="S81" s="44">
        <f ca="1">IFERROR(__xludf.DUMMYFUNCTION("""COMPUTED_VALUE"""),45876)</f>
        <v>45876</v>
      </c>
      <c r="T81" s="45" t="str">
        <f ca="1">IFERROR(__xludf.DUMMYFUNCTION("""COMPUTED_VALUE"""),"Mississauga, ON, CA")</f>
        <v>Mississauga, ON, CA</v>
      </c>
      <c r="U81" s="45"/>
      <c r="V81" s="45"/>
      <c r="W81" s="45"/>
      <c r="X81" s="45"/>
      <c r="Y81" s="46">
        <f ca="1">IFERROR(__xludf.DUMMYFUNCTION("""COMPUTED_VALUE"""),45825)</f>
        <v>45825</v>
      </c>
      <c r="Z81" s="46">
        <f ca="1">IFERROR(__xludf.DUMMYFUNCTION("""COMPUTED_VALUE"""),45854)</f>
        <v>45854</v>
      </c>
      <c r="AA81" s="46">
        <f ca="1">IFERROR(__xludf.DUMMYFUNCTION("""COMPUTED_VALUE"""),45867)</f>
        <v>45867</v>
      </c>
      <c r="AB81" s="45" t="str">
        <f ca="1">IFERROR(__xludf.DUMMYFUNCTION("""COMPUTED_VALUE"""),"3500 Argentia Road")</f>
        <v>3500 Argentia Road</v>
      </c>
      <c r="AC81" s="45"/>
      <c r="AD81" s="45" t="str">
        <f ca="1">IFERROR(__xludf.DUMMYFUNCTION("""COMPUTED_VALUE"""),"OCEAN")</f>
        <v>OCEAN</v>
      </c>
      <c r="AE81" s="45" t="str">
        <f ca="1">IFERROR(__xludf.DUMMYFUNCTION("""COMPUTED_VALUE"""),"N")</f>
        <v>N</v>
      </c>
      <c r="AF81" s="45"/>
      <c r="AG81" s="49" t="str">
        <f ca="1">IFERROR(__xludf.DUMMYFUNCTION("IFNA(vlookup(H81,IMPORTRANGE(""1vUGwO1n0QQGx9kKbO0_M5gmuhXZ6-LaxQxgrmJnzgP0"",""'TP# look up'!A:C""),3,0),"""")"),"")</f>
        <v/>
      </c>
      <c r="AH81" s="49" t="str">
        <f t="shared" ca="1" si="1"/>
        <v>LW</v>
      </c>
    </row>
    <row r="82" spans="1:34" ht="12.75" hidden="1">
      <c r="A82" s="45" t="str">
        <f ca="1">IFERROR(__xludf.DUMMYFUNCTION("""COMPUTED_VALUE"""),"Colombo")</f>
        <v>Colombo</v>
      </c>
      <c r="B82" s="45"/>
      <c r="C82" s="45">
        <f ca="1">IFERROR(__xludf.DUMMYFUNCTION("""COMPUTED_VALUE"""),3231352)</f>
        <v>3231352</v>
      </c>
      <c r="D82" s="45"/>
      <c r="E82" s="45" t="str">
        <f ca="1">IFERROR(__xludf.DUMMYFUNCTION("""COMPUTED_VALUE"""),"CFS")</f>
        <v>CFS</v>
      </c>
      <c r="F82" s="45" t="str">
        <f ca="1">IFERROR(__xludf.DUMMYFUNCTION("""COMPUTED_VALUE"""),"MAS AMITY PTE LTD")</f>
        <v>MAS AMITY PTE LTD</v>
      </c>
      <c r="G82" s="45" t="str">
        <f ca="1">IFERROR(__xludf.DUMMYFUNCTION("""COMPUTED_VALUE"""),"MAS Fabrics (Pvt) Ltd Intimo")</f>
        <v>MAS Fabrics (Pvt) Ltd Intimo</v>
      </c>
      <c r="H82" s="43">
        <f ca="1">IFERROR(__xludf.DUMMYFUNCTION("""COMPUTED_VALUE"""),451405687375)</f>
        <v>451405687375</v>
      </c>
      <c r="I82" s="45">
        <f ca="1">IFERROR(__xludf.DUMMYFUNCTION("""COMPUTED_VALUE"""),19900278)</f>
        <v>19900278</v>
      </c>
      <c r="J82" s="45" t="str">
        <f ca="1">IFERROR(__xludf.DUMMYFUNCTION("""COMPUTED_VALUE"""),"LM3FG2S")</f>
        <v>LM3FG2S</v>
      </c>
      <c r="K82" s="45" t="str">
        <f ca="1">IFERROR(__xludf.DUMMYFUNCTION("""COMPUTED_VALUE"""),"LM3FG2S-049910")</f>
        <v>LM3FG2S-049910</v>
      </c>
      <c r="L82" s="45">
        <f ca="1">IFERROR(__xludf.DUMMYFUNCTION("""COMPUTED_VALUE"""),14)</f>
        <v>14</v>
      </c>
      <c r="M82" s="45">
        <f ca="1">IFERROR(__xludf.DUMMYFUNCTION("""COMPUTED_VALUE"""),977)</f>
        <v>977</v>
      </c>
      <c r="N82" s="45">
        <f ca="1">IFERROR(__xludf.DUMMYFUNCTION("""COMPUTED_VALUE"""),165.221)</f>
        <v>165.221</v>
      </c>
      <c r="O82" s="45">
        <f ca="1">IFERROR(__xludf.DUMMYFUNCTION("""COMPUTED_VALUE"""),1.106)</f>
        <v>1.1060000000000001</v>
      </c>
      <c r="P82" s="45" t="str">
        <f ca="1">IFERROR(__xludf.DUMMYFUNCTION("""COMPUTED_VALUE"""),"Colombo, LK")</f>
        <v>Colombo, LK</v>
      </c>
      <c r="Q82" s="45" t="str">
        <f ca="1">IFERROR(__xludf.DUMMYFUNCTION("""COMPUTED_VALUE"""),"New York, NY, US")</f>
        <v>New York, NY, US</v>
      </c>
      <c r="R82" s="44">
        <f ca="1">IFERROR(__xludf.DUMMYFUNCTION("""COMPUTED_VALUE"""),45817)</f>
        <v>45817</v>
      </c>
      <c r="S82" s="44">
        <f ca="1">IFERROR(__xludf.DUMMYFUNCTION("""COMPUTED_VALUE"""),45876)</f>
        <v>45876</v>
      </c>
      <c r="T82" s="45" t="str">
        <f ca="1">IFERROR(__xludf.DUMMYFUNCTION("""COMPUTED_VALUE"""),"Milton, ON, CA")</f>
        <v>Milton, ON, CA</v>
      </c>
      <c r="U82" s="45"/>
      <c r="V82" s="45"/>
      <c r="W82" s="45"/>
      <c r="X82" s="45"/>
      <c r="Y82" s="46">
        <f ca="1">IFERROR(__xludf.DUMMYFUNCTION("""COMPUTED_VALUE"""),45825)</f>
        <v>45825</v>
      </c>
      <c r="Z82" s="46">
        <f ca="1">IFERROR(__xludf.DUMMYFUNCTION("""COMPUTED_VALUE"""),45854)</f>
        <v>45854</v>
      </c>
      <c r="AA82" s="46">
        <f ca="1">IFERROR(__xludf.DUMMYFUNCTION("""COMPUTED_VALUE"""),45867)</f>
        <v>45867</v>
      </c>
      <c r="AB82" s="45" t="str">
        <f ca="1">IFERROR(__xludf.DUMMYFUNCTION("""COMPUTED_VALUE"""),"7211 Fifth Line")</f>
        <v>7211 Fifth Line</v>
      </c>
      <c r="AC82" s="45"/>
      <c r="AD82" s="45" t="str">
        <f ca="1">IFERROR(__xludf.DUMMYFUNCTION("""COMPUTED_VALUE"""),"OCEAN")</f>
        <v>OCEAN</v>
      </c>
      <c r="AE82" s="45" t="str">
        <f ca="1">IFERROR(__xludf.DUMMYFUNCTION("""COMPUTED_VALUE"""),"N")</f>
        <v>N</v>
      </c>
      <c r="AF82" s="45"/>
      <c r="AG82" s="49" t="str">
        <f ca="1">IFERROR(__xludf.DUMMYFUNCTION("IFNA(vlookup(H82,IMPORTRANGE(""1vUGwO1n0QQGx9kKbO0_M5gmuhXZ6-LaxQxgrmJnzgP0"",""'TP# look up'!A:C""),3,0),"""")"),"")</f>
        <v/>
      </c>
      <c r="AH82" s="49" t="str">
        <f t="shared" ca="1" si="1"/>
        <v>LM</v>
      </c>
    </row>
    <row r="83" spans="1:34" ht="12.75" hidden="1">
      <c r="A83" s="45" t="str">
        <f ca="1">IFERROR(__xludf.DUMMYFUNCTION("""COMPUTED_VALUE"""),"Colombo")</f>
        <v>Colombo</v>
      </c>
      <c r="B83" s="45"/>
      <c r="C83" s="45">
        <f ca="1">IFERROR(__xludf.DUMMYFUNCTION("""COMPUTED_VALUE"""),3231352)</f>
        <v>3231352</v>
      </c>
      <c r="D83" s="45"/>
      <c r="E83" s="45" t="str">
        <f ca="1">IFERROR(__xludf.DUMMYFUNCTION("""COMPUTED_VALUE"""),"CFS")</f>
        <v>CFS</v>
      </c>
      <c r="F83" s="45" t="str">
        <f ca="1">IFERROR(__xludf.DUMMYFUNCTION("""COMPUTED_VALUE"""),"MAS AMITY PTE LTD")</f>
        <v>MAS AMITY PTE LTD</v>
      </c>
      <c r="G83" s="45" t="str">
        <f ca="1">IFERROR(__xludf.DUMMYFUNCTION("""COMPUTED_VALUE"""),"MAS Fabrics (Pvt) Ltd Intimo")</f>
        <v>MAS Fabrics (Pvt) Ltd Intimo</v>
      </c>
      <c r="H83" s="43">
        <f ca="1">IFERROR(__xludf.DUMMYFUNCTION("""COMPUTED_VALUE"""),451416661296)</f>
        <v>451416661296</v>
      </c>
      <c r="I83" s="45">
        <f ca="1">IFERROR(__xludf.DUMMYFUNCTION("""COMPUTED_VALUE"""),19920165)</f>
        <v>19920165</v>
      </c>
      <c r="J83" s="45" t="str">
        <f ca="1">IFERROR(__xludf.DUMMYFUNCTION("""COMPUTED_VALUE"""),"LM3FG2S")</f>
        <v>LM3FG2S</v>
      </c>
      <c r="K83" s="45" t="str">
        <f ca="1">IFERROR(__xludf.DUMMYFUNCTION("""COMPUTED_VALUE"""),"LM3FG2S-049910")</f>
        <v>LM3FG2S-049910</v>
      </c>
      <c r="L83" s="45">
        <f ca="1">IFERROR(__xludf.DUMMYFUNCTION("""COMPUTED_VALUE"""),9)</f>
        <v>9</v>
      </c>
      <c r="M83" s="45">
        <f ca="1">IFERROR(__xludf.DUMMYFUNCTION("""COMPUTED_VALUE"""),621)</f>
        <v>621</v>
      </c>
      <c r="N83" s="45">
        <f ca="1">IFERROR(__xludf.DUMMYFUNCTION("""COMPUTED_VALUE"""),105.775)</f>
        <v>105.77500000000001</v>
      </c>
      <c r="O83" s="45">
        <f ca="1">IFERROR(__xludf.DUMMYFUNCTION("""COMPUTED_VALUE"""),0.711)</f>
        <v>0.71099999999999997</v>
      </c>
      <c r="P83" s="45" t="str">
        <f ca="1">IFERROR(__xludf.DUMMYFUNCTION("""COMPUTED_VALUE"""),"Colombo, LK")</f>
        <v>Colombo, LK</v>
      </c>
      <c r="Q83" s="45" t="str">
        <f ca="1">IFERROR(__xludf.DUMMYFUNCTION("""COMPUTED_VALUE"""),"New York, NY, US")</f>
        <v>New York, NY, US</v>
      </c>
      <c r="R83" s="44">
        <f ca="1">IFERROR(__xludf.DUMMYFUNCTION("""COMPUTED_VALUE"""),45817)</f>
        <v>45817</v>
      </c>
      <c r="S83" s="44">
        <f ca="1">IFERROR(__xludf.DUMMYFUNCTION("""COMPUTED_VALUE"""),45876)</f>
        <v>45876</v>
      </c>
      <c r="T83" s="45" t="str">
        <f ca="1">IFERROR(__xludf.DUMMYFUNCTION("""COMPUTED_VALUE"""),"Mississauga, ON, CA")</f>
        <v>Mississauga, ON, CA</v>
      </c>
      <c r="U83" s="45"/>
      <c r="V83" s="45"/>
      <c r="W83" s="45"/>
      <c r="X83" s="45"/>
      <c r="Y83" s="46">
        <f ca="1">IFERROR(__xludf.DUMMYFUNCTION("""COMPUTED_VALUE"""),45825)</f>
        <v>45825</v>
      </c>
      <c r="Z83" s="46">
        <f ca="1">IFERROR(__xludf.DUMMYFUNCTION("""COMPUTED_VALUE"""),45854)</f>
        <v>45854</v>
      </c>
      <c r="AA83" s="46">
        <f ca="1">IFERROR(__xludf.DUMMYFUNCTION("""COMPUTED_VALUE"""),45867)</f>
        <v>45867</v>
      </c>
      <c r="AB83" s="45" t="str">
        <f ca="1">IFERROR(__xludf.DUMMYFUNCTION("""COMPUTED_VALUE"""),"3500 Argentia Road")</f>
        <v>3500 Argentia Road</v>
      </c>
      <c r="AC83" s="45"/>
      <c r="AD83" s="45" t="str">
        <f ca="1">IFERROR(__xludf.DUMMYFUNCTION("""COMPUTED_VALUE"""),"OCEAN")</f>
        <v>OCEAN</v>
      </c>
      <c r="AE83" s="45" t="str">
        <f ca="1">IFERROR(__xludf.DUMMYFUNCTION("""COMPUTED_VALUE"""),"N")</f>
        <v>N</v>
      </c>
      <c r="AF83" s="45"/>
      <c r="AG83" s="49" t="str">
        <f ca="1">IFERROR(__xludf.DUMMYFUNCTION("IFNA(vlookup(H83,IMPORTRANGE(""1vUGwO1n0QQGx9kKbO0_M5gmuhXZ6-LaxQxgrmJnzgP0"",""'TP# look up'!A:C""),3,0),"""")"),"")</f>
        <v/>
      </c>
      <c r="AH83" s="49" t="str">
        <f t="shared" ca="1" si="1"/>
        <v>LM</v>
      </c>
    </row>
    <row r="84" spans="1:34" ht="12.75" hidden="1">
      <c r="A84" s="45" t="str">
        <f ca="1">IFERROR(__xludf.DUMMYFUNCTION("""COMPUTED_VALUE"""),"Colombo")</f>
        <v>Colombo</v>
      </c>
      <c r="B84" s="45"/>
      <c r="C84" s="45">
        <f ca="1">IFERROR(__xludf.DUMMYFUNCTION("""COMPUTED_VALUE"""),3231352)</f>
        <v>3231352</v>
      </c>
      <c r="D84" s="45"/>
      <c r="E84" s="45" t="str">
        <f ca="1">IFERROR(__xludf.DUMMYFUNCTION("""COMPUTED_VALUE"""),"CFS")</f>
        <v>CFS</v>
      </c>
      <c r="F84" s="45" t="str">
        <f ca="1">IFERROR(__xludf.DUMMYFUNCTION("""COMPUTED_VALUE"""),"Inqube Global (PVT) Ltd")</f>
        <v>Inqube Global (PVT) Ltd</v>
      </c>
      <c r="G84" s="45" t="str">
        <f ca="1">IFERROR(__xludf.DUMMYFUNCTION("""COMPUTED_VALUE"""),"Quantum Clothing Lanka (Pvt) Ltd")</f>
        <v>Quantum Clothing Lanka (Pvt) Ltd</v>
      </c>
      <c r="H84" s="43">
        <f ca="1">IFERROR(__xludf.DUMMYFUNCTION("""COMPUTED_VALUE"""),451355082421)</f>
        <v>451355082421</v>
      </c>
      <c r="I84" s="45">
        <f ca="1">IFERROR(__xludf.DUMMYFUNCTION("""COMPUTED_VALUE"""),19727222)</f>
        <v>19727222</v>
      </c>
      <c r="J84" s="45" t="str">
        <f ca="1">IFERROR(__xludf.DUMMYFUNCTION("""COMPUTED_VALUE"""),"LW2E01S")</f>
        <v>LW2E01S</v>
      </c>
      <c r="K84" s="45" t="str">
        <f ca="1">IFERROR(__xludf.DUMMYFUNCTION("""COMPUTED_VALUE"""),"LW2E01S-031382")</f>
        <v>LW2E01S-031382</v>
      </c>
      <c r="L84" s="45">
        <f ca="1">IFERROR(__xludf.DUMMYFUNCTION("""COMPUTED_VALUE"""),17)</f>
        <v>17</v>
      </c>
      <c r="M84" s="45">
        <f ca="1">IFERROR(__xludf.DUMMYFUNCTION("""COMPUTED_VALUE"""),156)</f>
        <v>156</v>
      </c>
      <c r="N84" s="45">
        <f ca="1">IFERROR(__xludf.DUMMYFUNCTION("""COMPUTED_VALUE"""),58.654)</f>
        <v>58.654000000000003</v>
      </c>
      <c r="O84" s="45">
        <f ca="1">IFERROR(__xludf.DUMMYFUNCTION("""COMPUTED_VALUE"""),1.428)</f>
        <v>1.4279999999999999</v>
      </c>
      <c r="P84" s="45" t="str">
        <f ca="1">IFERROR(__xludf.DUMMYFUNCTION("""COMPUTED_VALUE"""),"Colombo, LK")</f>
        <v>Colombo, LK</v>
      </c>
      <c r="Q84" s="45" t="str">
        <f ca="1">IFERROR(__xludf.DUMMYFUNCTION("""COMPUTED_VALUE"""),"New York, NY, US")</f>
        <v>New York, NY, US</v>
      </c>
      <c r="R84" s="44">
        <f ca="1">IFERROR(__xludf.DUMMYFUNCTION("""COMPUTED_VALUE"""),45817)</f>
        <v>45817</v>
      </c>
      <c r="S84" s="44">
        <f ca="1">IFERROR(__xludf.DUMMYFUNCTION("""COMPUTED_VALUE"""),45876)</f>
        <v>45876</v>
      </c>
      <c r="T84" s="45" t="str">
        <f ca="1">IFERROR(__xludf.DUMMYFUNCTION("""COMPUTED_VALUE"""),"Mississauga, ON, CA")</f>
        <v>Mississauga, ON, CA</v>
      </c>
      <c r="U84" s="45"/>
      <c r="V84" s="45"/>
      <c r="W84" s="45"/>
      <c r="X84" s="45"/>
      <c r="Y84" s="46">
        <f ca="1">IFERROR(__xludf.DUMMYFUNCTION("""COMPUTED_VALUE"""),45820)</f>
        <v>45820</v>
      </c>
      <c r="Z84" s="46">
        <f ca="1">IFERROR(__xludf.DUMMYFUNCTION("""COMPUTED_VALUE"""),45854)</f>
        <v>45854</v>
      </c>
      <c r="AA84" s="46">
        <f ca="1">IFERROR(__xludf.DUMMYFUNCTION("""COMPUTED_VALUE"""),45867)</f>
        <v>45867</v>
      </c>
      <c r="AB84" s="45" t="str">
        <f ca="1">IFERROR(__xludf.DUMMYFUNCTION("""COMPUTED_VALUE"""),"3500 Argentia Road")</f>
        <v>3500 Argentia Road</v>
      </c>
      <c r="AC84" s="45"/>
      <c r="AD84" s="45" t="str">
        <f ca="1">IFERROR(__xludf.DUMMYFUNCTION("""COMPUTED_VALUE"""),"OCEAN")</f>
        <v>OCEAN</v>
      </c>
      <c r="AE84" s="45" t="str">
        <f ca="1">IFERROR(__xludf.DUMMYFUNCTION("""COMPUTED_VALUE"""),"N")</f>
        <v>N</v>
      </c>
      <c r="AF84" s="45" t="str">
        <f ca="1">IFERROR(__xludf.DUMMYFUNCTION("""COMPUTED_VALUE"""),"Qty changed from 159 to 156.0, Weight changed from 59.145 to 58.654, Gross Weight changed from 59.145 to 58.654")</f>
        <v>Qty changed from 159 to 156.0, Weight changed from 59.145 to 58.654, Gross Weight changed from 59.145 to 58.654</v>
      </c>
      <c r="AG84" s="49" t="str">
        <f ca="1">IFERROR(__xludf.DUMMYFUNCTION("IFNA(vlookup(H84,IMPORTRANGE(""1vUGwO1n0QQGx9kKbO0_M5gmuhXZ6-LaxQxgrmJnzgP0"",""'TP# look up'!A:C""),3,0),"""")"),"")</f>
        <v/>
      </c>
      <c r="AH84" s="49" t="str">
        <f t="shared" ca="1" si="1"/>
        <v>LW</v>
      </c>
    </row>
    <row r="85" spans="1:34" ht="12.75" hidden="1">
      <c r="A85" s="45" t="str">
        <f ca="1">IFERROR(__xludf.DUMMYFUNCTION("""COMPUTED_VALUE"""),"Colombo")</f>
        <v>Colombo</v>
      </c>
      <c r="B85" s="45"/>
      <c r="C85" s="45">
        <f ca="1">IFERROR(__xludf.DUMMYFUNCTION("""COMPUTED_VALUE"""),3231352)</f>
        <v>3231352</v>
      </c>
      <c r="D85" s="45"/>
      <c r="E85" s="45" t="str">
        <f ca="1">IFERROR(__xludf.DUMMYFUNCTION("""COMPUTED_VALUE"""),"CFS")</f>
        <v>CFS</v>
      </c>
      <c r="F85" s="45" t="str">
        <f ca="1">IFERROR(__xludf.DUMMYFUNCTION("""COMPUTED_VALUE"""),"Inqube Global (PVT) Ltd")</f>
        <v>Inqube Global (PVT) Ltd</v>
      </c>
      <c r="G85" s="45" t="str">
        <f ca="1">IFERROR(__xludf.DUMMYFUNCTION("""COMPUTED_VALUE"""),"Quantum Clothing Lanka (Pvt) Ltd")</f>
        <v>Quantum Clothing Lanka (Pvt) Ltd</v>
      </c>
      <c r="H85" s="43">
        <f ca="1">IFERROR(__xludf.DUMMYFUNCTION("""COMPUTED_VALUE"""),451357658362)</f>
        <v>451357658362</v>
      </c>
      <c r="I85" s="45">
        <f ca="1">IFERROR(__xludf.DUMMYFUNCTION("""COMPUTED_VALUE"""),19727223)</f>
        <v>19727223</v>
      </c>
      <c r="J85" s="45" t="str">
        <f ca="1">IFERROR(__xludf.DUMMYFUNCTION("""COMPUTED_VALUE"""),"LW2E01S")</f>
        <v>LW2E01S</v>
      </c>
      <c r="K85" s="45" t="str">
        <f ca="1">IFERROR(__xludf.DUMMYFUNCTION("""COMPUTED_VALUE"""),"LW2E01S-031382")</f>
        <v>LW2E01S-031382</v>
      </c>
      <c r="L85" s="45">
        <f ca="1">IFERROR(__xludf.DUMMYFUNCTION("""COMPUTED_VALUE"""),12)</f>
        <v>12</v>
      </c>
      <c r="M85" s="45">
        <f ca="1">IFERROR(__xludf.DUMMYFUNCTION("""COMPUTED_VALUE"""),111)</f>
        <v>111</v>
      </c>
      <c r="N85" s="45">
        <f ca="1">IFERROR(__xludf.DUMMYFUNCTION("""COMPUTED_VALUE"""),40.325)</f>
        <v>40.325000000000003</v>
      </c>
      <c r="O85" s="45">
        <f ca="1">IFERROR(__xludf.DUMMYFUNCTION("""COMPUTED_VALUE"""),0.966)</f>
        <v>0.96599999999999997</v>
      </c>
      <c r="P85" s="45" t="str">
        <f ca="1">IFERROR(__xludf.DUMMYFUNCTION("""COMPUTED_VALUE"""),"Colombo, LK")</f>
        <v>Colombo, LK</v>
      </c>
      <c r="Q85" s="45" t="str">
        <f ca="1">IFERROR(__xludf.DUMMYFUNCTION("""COMPUTED_VALUE"""),"New York, NY, US")</f>
        <v>New York, NY, US</v>
      </c>
      <c r="R85" s="44">
        <f ca="1">IFERROR(__xludf.DUMMYFUNCTION("""COMPUTED_VALUE"""),45817)</f>
        <v>45817</v>
      </c>
      <c r="S85" s="44">
        <f ca="1">IFERROR(__xludf.DUMMYFUNCTION("""COMPUTED_VALUE"""),45876)</f>
        <v>45876</v>
      </c>
      <c r="T85" s="45" t="str">
        <f ca="1">IFERROR(__xludf.DUMMYFUNCTION("""COMPUTED_VALUE"""),"Mississauga, ON, CA")</f>
        <v>Mississauga, ON, CA</v>
      </c>
      <c r="U85" s="45"/>
      <c r="V85" s="45"/>
      <c r="W85" s="45"/>
      <c r="X85" s="45"/>
      <c r="Y85" s="46">
        <f ca="1">IFERROR(__xludf.DUMMYFUNCTION("""COMPUTED_VALUE"""),45825)</f>
        <v>45825</v>
      </c>
      <c r="Z85" s="46">
        <f ca="1">IFERROR(__xludf.DUMMYFUNCTION("""COMPUTED_VALUE"""),45854)</f>
        <v>45854</v>
      </c>
      <c r="AA85" s="46">
        <f ca="1">IFERROR(__xludf.DUMMYFUNCTION("""COMPUTED_VALUE"""),45867)</f>
        <v>45867</v>
      </c>
      <c r="AB85" s="45" t="str">
        <f ca="1">IFERROR(__xludf.DUMMYFUNCTION("""COMPUTED_VALUE"""),"3500 Argentia Road")</f>
        <v>3500 Argentia Road</v>
      </c>
      <c r="AC85" s="45"/>
      <c r="AD85" s="45" t="str">
        <f ca="1">IFERROR(__xludf.DUMMYFUNCTION("""COMPUTED_VALUE"""),"OCEAN")</f>
        <v>OCEAN</v>
      </c>
      <c r="AE85" s="45" t="str">
        <f ca="1">IFERROR(__xludf.DUMMYFUNCTION("""COMPUTED_VALUE"""),"N")</f>
        <v>N</v>
      </c>
      <c r="AF85" s="45"/>
      <c r="AG85" s="49" t="str">
        <f ca="1">IFERROR(__xludf.DUMMYFUNCTION("IFNA(vlookup(H85,IMPORTRANGE(""1vUGwO1n0QQGx9kKbO0_M5gmuhXZ6-LaxQxgrmJnzgP0"",""'TP# look up'!A:C""),3,0),"""")"),"")</f>
        <v/>
      </c>
      <c r="AH85" s="49" t="str">
        <f t="shared" ca="1" si="1"/>
        <v>LW</v>
      </c>
    </row>
    <row r="86" spans="1:34" ht="12.75" hidden="1">
      <c r="A86" s="45" t="str">
        <f ca="1">IFERROR(__xludf.DUMMYFUNCTION("""COMPUTED_VALUE"""),"Colombo")</f>
        <v>Colombo</v>
      </c>
      <c r="B86" s="45"/>
      <c r="C86" s="45">
        <f ca="1">IFERROR(__xludf.DUMMYFUNCTION("""COMPUTED_VALUE"""),3231352)</f>
        <v>3231352</v>
      </c>
      <c r="D86" s="45"/>
      <c r="E86" s="45" t="str">
        <f ca="1">IFERROR(__xludf.DUMMYFUNCTION("""COMPUTED_VALUE"""),"CFS")</f>
        <v>CFS</v>
      </c>
      <c r="F86" s="45" t="str">
        <f ca="1">IFERROR(__xludf.DUMMYFUNCTION("""COMPUTED_VALUE"""),"Inqube Global (PVT) Ltd")</f>
        <v>Inqube Global (PVT) Ltd</v>
      </c>
      <c r="G86" s="45" t="str">
        <f ca="1">IFERROR(__xludf.DUMMYFUNCTION("""COMPUTED_VALUE"""),"Quantum Clothing Lanka (Pvt) Ltd")</f>
        <v>Quantum Clothing Lanka (Pvt) Ltd</v>
      </c>
      <c r="H86" s="43">
        <f ca="1">IFERROR(__xludf.DUMMYFUNCTION("""COMPUTED_VALUE"""),451368400268)</f>
        <v>451368400268</v>
      </c>
      <c r="I86" s="45">
        <f ca="1">IFERROR(__xludf.DUMMYFUNCTION("""COMPUTED_VALUE"""),19757212)</f>
        <v>19757212</v>
      </c>
      <c r="J86" s="45" t="str">
        <f ca="1">IFERROR(__xludf.DUMMYFUNCTION("""COMPUTED_VALUE"""),"LW2E01S")</f>
        <v>LW2E01S</v>
      </c>
      <c r="K86" s="45" t="str">
        <f ca="1">IFERROR(__xludf.DUMMYFUNCTION("""COMPUTED_VALUE"""),"LW2E01S-031382")</f>
        <v>LW2E01S-031382</v>
      </c>
      <c r="L86" s="45">
        <f ca="1">IFERROR(__xludf.DUMMYFUNCTION("""COMPUTED_VALUE"""),6)</f>
        <v>6</v>
      </c>
      <c r="M86" s="45">
        <f ca="1">IFERROR(__xludf.DUMMYFUNCTION("""COMPUTED_VALUE"""),51)</f>
        <v>51</v>
      </c>
      <c r="N86" s="45">
        <f ca="1">IFERROR(__xludf.DUMMYFUNCTION("""COMPUTED_VALUE"""),18.671)</f>
        <v>18.670999999999999</v>
      </c>
      <c r="O86" s="45">
        <f ca="1">IFERROR(__xludf.DUMMYFUNCTION("""COMPUTED_VALUE"""),0.462)</f>
        <v>0.46200000000000002</v>
      </c>
      <c r="P86" s="45" t="str">
        <f ca="1">IFERROR(__xludf.DUMMYFUNCTION("""COMPUTED_VALUE"""),"Colombo, LK")</f>
        <v>Colombo, LK</v>
      </c>
      <c r="Q86" s="45" t="str">
        <f ca="1">IFERROR(__xludf.DUMMYFUNCTION("""COMPUTED_VALUE"""),"New York, NY, US")</f>
        <v>New York, NY, US</v>
      </c>
      <c r="R86" s="44">
        <f ca="1">IFERROR(__xludf.DUMMYFUNCTION("""COMPUTED_VALUE"""),45817)</f>
        <v>45817</v>
      </c>
      <c r="S86" s="44">
        <f ca="1">IFERROR(__xludf.DUMMYFUNCTION("""COMPUTED_VALUE"""),45876)</f>
        <v>45876</v>
      </c>
      <c r="T86" s="45" t="str">
        <f ca="1">IFERROR(__xludf.DUMMYFUNCTION("""COMPUTED_VALUE"""),"Mississauga, ON, CA")</f>
        <v>Mississauga, ON, CA</v>
      </c>
      <c r="U86" s="45"/>
      <c r="V86" s="45"/>
      <c r="W86" s="45"/>
      <c r="X86" s="45"/>
      <c r="Y86" s="46">
        <f ca="1">IFERROR(__xludf.DUMMYFUNCTION("""COMPUTED_VALUE"""),45825)</f>
        <v>45825</v>
      </c>
      <c r="Z86" s="46">
        <f ca="1">IFERROR(__xludf.DUMMYFUNCTION("""COMPUTED_VALUE"""),45854)</f>
        <v>45854</v>
      </c>
      <c r="AA86" s="46">
        <f ca="1">IFERROR(__xludf.DUMMYFUNCTION("""COMPUTED_VALUE"""),45867)</f>
        <v>45867</v>
      </c>
      <c r="AB86" s="45" t="str">
        <f ca="1">IFERROR(__xludf.DUMMYFUNCTION("""COMPUTED_VALUE"""),"3500 Argentia Road")</f>
        <v>3500 Argentia Road</v>
      </c>
      <c r="AC86" s="45"/>
      <c r="AD86" s="45" t="str">
        <f ca="1">IFERROR(__xludf.DUMMYFUNCTION("""COMPUTED_VALUE"""),"OCEAN")</f>
        <v>OCEAN</v>
      </c>
      <c r="AE86" s="45" t="str">
        <f ca="1">IFERROR(__xludf.DUMMYFUNCTION("""COMPUTED_VALUE"""),"N")</f>
        <v>N</v>
      </c>
      <c r="AF86" s="45"/>
      <c r="AG86" s="49" t="str">
        <f ca="1">IFERROR(__xludf.DUMMYFUNCTION("IFNA(vlookup(H86,IMPORTRANGE(""1vUGwO1n0QQGx9kKbO0_M5gmuhXZ6-LaxQxgrmJnzgP0"",""'TP# look up'!A:C""),3,0),"""")"),"")</f>
        <v/>
      </c>
      <c r="AH86" s="49" t="str">
        <f t="shared" ca="1" si="1"/>
        <v>LW</v>
      </c>
    </row>
    <row r="87" spans="1:34" ht="12.75" hidden="1">
      <c r="A87" s="45" t="str">
        <f ca="1">IFERROR(__xludf.DUMMYFUNCTION("""COMPUTED_VALUE"""),"Colombo")</f>
        <v>Colombo</v>
      </c>
      <c r="B87" s="45"/>
      <c r="C87" s="45">
        <f ca="1">IFERROR(__xludf.DUMMYFUNCTION("""COMPUTED_VALUE"""),3231352)</f>
        <v>3231352</v>
      </c>
      <c r="D87" s="45"/>
      <c r="E87" s="45" t="str">
        <f ca="1">IFERROR(__xludf.DUMMYFUNCTION("""COMPUTED_VALUE"""),"CFS")</f>
        <v>CFS</v>
      </c>
      <c r="F87" s="45" t="str">
        <f ca="1">IFERROR(__xludf.DUMMYFUNCTION("""COMPUTED_VALUE"""),"Inqube Global (PVT) Ltd")</f>
        <v>Inqube Global (PVT) Ltd</v>
      </c>
      <c r="G87" s="45" t="str">
        <f ca="1">IFERROR(__xludf.DUMMYFUNCTION("""COMPUTED_VALUE"""),"Quantum Clothing Lanka (Pvt) Ltd")</f>
        <v>Quantum Clothing Lanka (Pvt) Ltd</v>
      </c>
      <c r="H87" s="43">
        <f ca="1">IFERROR(__xludf.DUMMYFUNCTION("""COMPUTED_VALUE"""),451368661595)</f>
        <v>451368661595</v>
      </c>
      <c r="I87" s="45">
        <f ca="1">IFERROR(__xludf.DUMMYFUNCTION("""COMPUTED_VALUE"""),19757213)</f>
        <v>19757213</v>
      </c>
      <c r="J87" s="45" t="str">
        <f ca="1">IFERROR(__xludf.DUMMYFUNCTION("""COMPUTED_VALUE"""),"LW2E01S")</f>
        <v>LW2E01S</v>
      </c>
      <c r="K87" s="45" t="str">
        <f ca="1">IFERROR(__xludf.DUMMYFUNCTION("""COMPUTED_VALUE"""),"LW2E01S-031382")</f>
        <v>LW2E01S-031382</v>
      </c>
      <c r="L87" s="45">
        <f ca="1">IFERROR(__xludf.DUMMYFUNCTION("""COMPUTED_VALUE"""),5)</f>
        <v>5</v>
      </c>
      <c r="M87" s="45">
        <f ca="1">IFERROR(__xludf.DUMMYFUNCTION("""COMPUTED_VALUE"""),36)</f>
        <v>36</v>
      </c>
      <c r="N87" s="45">
        <f ca="1">IFERROR(__xludf.DUMMYFUNCTION("""COMPUTED_VALUE"""),14.35)</f>
        <v>14.35</v>
      </c>
      <c r="O87" s="45">
        <f ca="1">IFERROR(__xludf.DUMMYFUNCTION("""COMPUTED_VALUE"""),0.378)</f>
        <v>0.378</v>
      </c>
      <c r="P87" s="45" t="str">
        <f ca="1">IFERROR(__xludf.DUMMYFUNCTION("""COMPUTED_VALUE"""),"Colombo, LK")</f>
        <v>Colombo, LK</v>
      </c>
      <c r="Q87" s="45" t="str">
        <f ca="1">IFERROR(__xludf.DUMMYFUNCTION("""COMPUTED_VALUE"""),"New York, NY, US")</f>
        <v>New York, NY, US</v>
      </c>
      <c r="R87" s="44">
        <f ca="1">IFERROR(__xludf.DUMMYFUNCTION("""COMPUTED_VALUE"""),45817)</f>
        <v>45817</v>
      </c>
      <c r="S87" s="44">
        <f ca="1">IFERROR(__xludf.DUMMYFUNCTION("""COMPUTED_VALUE"""),45876)</f>
        <v>45876</v>
      </c>
      <c r="T87" s="45" t="str">
        <f ca="1">IFERROR(__xludf.DUMMYFUNCTION("""COMPUTED_VALUE"""),"Mississauga, ON, CA")</f>
        <v>Mississauga, ON, CA</v>
      </c>
      <c r="U87" s="45"/>
      <c r="V87" s="45"/>
      <c r="W87" s="45"/>
      <c r="X87" s="45"/>
      <c r="Y87" s="46">
        <f ca="1">IFERROR(__xludf.DUMMYFUNCTION("""COMPUTED_VALUE"""),45825)</f>
        <v>45825</v>
      </c>
      <c r="Z87" s="46">
        <f ca="1">IFERROR(__xludf.DUMMYFUNCTION("""COMPUTED_VALUE"""),45854)</f>
        <v>45854</v>
      </c>
      <c r="AA87" s="46">
        <f ca="1">IFERROR(__xludf.DUMMYFUNCTION("""COMPUTED_VALUE"""),45867)</f>
        <v>45867</v>
      </c>
      <c r="AB87" s="45" t="str">
        <f ca="1">IFERROR(__xludf.DUMMYFUNCTION("""COMPUTED_VALUE"""),"3500 Argentia Road")</f>
        <v>3500 Argentia Road</v>
      </c>
      <c r="AC87" s="45"/>
      <c r="AD87" s="45" t="str">
        <f ca="1">IFERROR(__xludf.DUMMYFUNCTION("""COMPUTED_VALUE"""),"OCEAN")</f>
        <v>OCEAN</v>
      </c>
      <c r="AE87" s="45" t="str">
        <f ca="1">IFERROR(__xludf.DUMMYFUNCTION("""COMPUTED_VALUE"""),"N")</f>
        <v>N</v>
      </c>
      <c r="AF87" s="45"/>
      <c r="AG87" s="49" t="str">
        <f ca="1">IFERROR(__xludf.DUMMYFUNCTION("IFNA(vlookup(H87,IMPORTRANGE(""1vUGwO1n0QQGx9kKbO0_M5gmuhXZ6-LaxQxgrmJnzgP0"",""'TP# look up'!A:C""),3,0),"""")"),"")</f>
        <v/>
      </c>
      <c r="AH87" s="49" t="str">
        <f t="shared" ca="1" si="1"/>
        <v>LW</v>
      </c>
    </row>
    <row r="88" spans="1:34" ht="12.75" hidden="1">
      <c r="A88" s="45" t="str">
        <f ca="1">IFERROR(__xludf.DUMMYFUNCTION("""COMPUTED_VALUE"""),"Colombo")</f>
        <v>Colombo</v>
      </c>
      <c r="B88" s="45"/>
      <c r="C88" s="45">
        <f ca="1">IFERROR(__xludf.DUMMYFUNCTION("""COMPUTED_VALUE"""),3231352)</f>
        <v>3231352</v>
      </c>
      <c r="D88" s="45"/>
      <c r="E88" s="45" t="str">
        <f ca="1">IFERROR(__xludf.DUMMYFUNCTION("""COMPUTED_VALUE"""),"CFS")</f>
        <v>CFS</v>
      </c>
      <c r="F88" s="45" t="str">
        <f ca="1">IFERROR(__xludf.DUMMYFUNCTION("""COMPUTED_VALUE"""),"Inqube Global (PVT) Ltd")</f>
        <v>Inqube Global (PVT) Ltd</v>
      </c>
      <c r="G88" s="45" t="str">
        <f ca="1">IFERROR(__xludf.DUMMYFUNCTION("""COMPUTED_VALUE"""),"Quantum Clothing Lanka (Pvt) Ltd")</f>
        <v>Quantum Clothing Lanka (Pvt) Ltd</v>
      </c>
      <c r="H88" s="43">
        <f ca="1">IFERROR(__xludf.DUMMYFUNCTION("""COMPUTED_VALUE"""),451370114997)</f>
        <v>451370114997</v>
      </c>
      <c r="I88" s="45">
        <f ca="1">IFERROR(__xludf.DUMMYFUNCTION("""COMPUTED_VALUE"""),19876483)</f>
        <v>19876483</v>
      </c>
      <c r="J88" s="45" t="str">
        <f ca="1">IFERROR(__xludf.DUMMYFUNCTION("""COMPUTED_VALUE"""),"LW2EDNS")</f>
        <v>LW2EDNS</v>
      </c>
      <c r="K88" s="45" t="str">
        <f ca="1">IFERROR(__xludf.DUMMYFUNCTION("""COMPUTED_VALUE"""),"LW2EDNS-0001")</f>
        <v>LW2EDNS-0001</v>
      </c>
      <c r="L88" s="45">
        <f ca="1">IFERROR(__xludf.DUMMYFUNCTION("""COMPUTED_VALUE"""),1)</f>
        <v>1</v>
      </c>
      <c r="M88" s="45">
        <f ca="1">IFERROR(__xludf.DUMMYFUNCTION("""COMPUTED_VALUE"""),142)</f>
        <v>142</v>
      </c>
      <c r="N88" s="45">
        <f ca="1">IFERROR(__xludf.DUMMYFUNCTION("""COMPUTED_VALUE"""),11.006)</f>
        <v>11.006</v>
      </c>
      <c r="O88" s="45">
        <f ca="1">IFERROR(__xludf.DUMMYFUNCTION("""COMPUTED_VALUE"""),0.042)</f>
        <v>4.2000000000000003E-2</v>
      </c>
      <c r="P88" s="45" t="str">
        <f ca="1">IFERROR(__xludf.DUMMYFUNCTION("""COMPUTED_VALUE"""),"Colombo, LK")</f>
        <v>Colombo, LK</v>
      </c>
      <c r="Q88" s="45" t="str">
        <f ca="1">IFERROR(__xludf.DUMMYFUNCTION("""COMPUTED_VALUE"""),"New York, NY, US")</f>
        <v>New York, NY, US</v>
      </c>
      <c r="R88" s="44">
        <f ca="1">IFERROR(__xludf.DUMMYFUNCTION("""COMPUTED_VALUE"""),45817)</f>
        <v>45817</v>
      </c>
      <c r="S88" s="44">
        <f ca="1">IFERROR(__xludf.DUMMYFUNCTION("""COMPUTED_VALUE"""),45876)</f>
        <v>45876</v>
      </c>
      <c r="T88" s="45" t="str">
        <f ca="1">IFERROR(__xludf.DUMMYFUNCTION("""COMPUTED_VALUE"""),"Mississauga, ON, CA")</f>
        <v>Mississauga, ON, CA</v>
      </c>
      <c r="U88" s="45"/>
      <c r="V88" s="45"/>
      <c r="W88" s="45"/>
      <c r="X88" s="45"/>
      <c r="Y88" s="46">
        <f ca="1">IFERROR(__xludf.DUMMYFUNCTION("""COMPUTED_VALUE"""),45825)</f>
        <v>45825</v>
      </c>
      <c r="Z88" s="46">
        <f ca="1">IFERROR(__xludf.DUMMYFUNCTION("""COMPUTED_VALUE"""),45854)</f>
        <v>45854</v>
      </c>
      <c r="AA88" s="46">
        <f ca="1">IFERROR(__xludf.DUMMYFUNCTION("""COMPUTED_VALUE"""),45867)</f>
        <v>45867</v>
      </c>
      <c r="AB88" s="45" t="str">
        <f ca="1">IFERROR(__xludf.DUMMYFUNCTION("""COMPUTED_VALUE"""),"3500 Argentia Road")</f>
        <v>3500 Argentia Road</v>
      </c>
      <c r="AC88" s="45"/>
      <c r="AD88" s="45" t="str">
        <f ca="1">IFERROR(__xludf.DUMMYFUNCTION("""COMPUTED_VALUE"""),"OCEAN")</f>
        <v>OCEAN</v>
      </c>
      <c r="AE88" s="45" t="str">
        <f ca="1">IFERROR(__xludf.DUMMYFUNCTION("""COMPUTED_VALUE"""),"N")</f>
        <v>N</v>
      </c>
      <c r="AF88" s="45"/>
      <c r="AG88" s="49" t="str">
        <f ca="1">IFERROR(__xludf.DUMMYFUNCTION("IFNA(vlookup(H88,IMPORTRANGE(""1vUGwO1n0QQGx9kKbO0_M5gmuhXZ6-LaxQxgrmJnzgP0"",""'TP# look up'!A:C""),3,0),"""")"),"")</f>
        <v/>
      </c>
      <c r="AH88" s="49" t="str">
        <f t="shared" ca="1" si="1"/>
        <v>LW</v>
      </c>
    </row>
    <row r="89" spans="1:34" ht="12.75" hidden="1">
      <c r="A89" s="45" t="str">
        <f ca="1">IFERROR(__xludf.DUMMYFUNCTION("""COMPUTED_VALUE"""),"Colombo")</f>
        <v>Colombo</v>
      </c>
      <c r="B89" s="45"/>
      <c r="C89" s="45">
        <f ca="1">IFERROR(__xludf.DUMMYFUNCTION("""COMPUTED_VALUE"""),3231352)</f>
        <v>3231352</v>
      </c>
      <c r="D89" s="45"/>
      <c r="E89" s="45" t="str">
        <f ca="1">IFERROR(__xludf.DUMMYFUNCTION("""COMPUTED_VALUE"""),"CFS")</f>
        <v>CFS</v>
      </c>
      <c r="F89" s="45" t="str">
        <f ca="1">IFERROR(__xludf.DUMMYFUNCTION("""COMPUTED_VALUE"""),"Inqube Global (PVT) Ltd")</f>
        <v>Inqube Global (PVT) Ltd</v>
      </c>
      <c r="G89" s="45" t="str">
        <f ca="1">IFERROR(__xludf.DUMMYFUNCTION("""COMPUTED_VALUE"""),"Quantum Clothing Lanka (Pvt) Ltd")</f>
        <v>Quantum Clothing Lanka (Pvt) Ltd</v>
      </c>
      <c r="H89" s="43">
        <f ca="1">IFERROR(__xludf.DUMMYFUNCTION("""COMPUTED_VALUE"""),451371127949)</f>
        <v>451371127949</v>
      </c>
      <c r="I89" s="45">
        <f ca="1">IFERROR(__xludf.DUMMYFUNCTION("""COMPUTED_VALUE"""),19876753)</f>
        <v>19876753</v>
      </c>
      <c r="J89" s="45" t="str">
        <f ca="1">IFERROR(__xludf.DUMMYFUNCTION("""COMPUTED_VALUE"""),"LW2EDNS")</f>
        <v>LW2EDNS</v>
      </c>
      <c r="K89" s="45" t="str">
        <f ca="1">IFERROR(__xludf.DUMMYFUNCTION("""COMPUTED_VALUE"""),"LW2EDNS-071150")</f>
        <v>LW2EDNS-071150</v>
      </c>
      <c r="L89" s="45">
        <f ca="1">IFERROR(__xludf.DUMMYFUNCTION("""COMPUTED_VALUE"""),1)</f>
        <v>1</v>
      </c>
      <c r="M89" s="45">
        <f ca="1">IFERROR(__xludf.DUMMYFUNCTION("""COMPUTED_VALUE"""),97)</f>
        <v>97</v>
      </c>
      <c r="N89" s="45">
        <f ca="1">IFERROR(__xludf.DUMMYFUNCTION("""COMPUTED_VALUE"""),7.91)</f>
        <v>7.91</v>
      </c>
      <c r="O89" s="45">
        <f ca="1">IFERROR(__xludf.DUMMYFUNCTION("""COMPUTED_VALUE"""),0.04)</f>
        <v>0.04</v>
      </c>
      <c r="P89" s="45" t="str">
        <f ca="1">IFERROR(__xludf.DUMMYFUNCTION("""COMPUTED_VALUE"""),"Colombo, LK")</f>
        <v>Colombo, LK</v>
      </c>
      <c r="Q89" s="45" t="str">
        <f ca="1">IFERROR(__xludf.DUMMYFUNCTION("""COMPUTED_VALUE"""),"New York, NY, US")</f>
        <v>New York, NY, US</v>
      </c>
      <c r="R89" s="44">
        <f ca="1">IFERROR(__xludf.DUMMYFUNCTION("""COMPUTED_VALUE"""),45817)</f>
        <v>45817</v>
      </c>
      <c r="S89" s="44">
        <f ca="1">IFERROR(__xludf.DUMMYFUNCTION("""COMPUTED_VALUE"""),45876)</f>
        <v>45876</v>
      </c>
      <c r="T89" s="45" t="str">
        <f ca="1">IFERROR(__xludf.DUMMYFUNCTION("""COMPUTED_VALUE"""),"Mississauga, ON, CA")</f>
        <v>Mississauga, ON, CA</v>
      </c>
      <c r="U89" s="45"/>
      <c r="V89" s="45"/>
      <c r="W89" s="45"/>
      <c r="X89" s="45"/>
      <c r="Y89" s="46">
        <f ca="1">IFERROR(__xludf.DUMMYFUNCTION("""COMPUTED_VALUE"""),45825)</f>
        <v>45825</v>
      </c>
      <c r="Z89" s="46">
        <f ca="1">IFERROR(__xludf.DUMMYFUNCTION("""COMPUTED_VALUE"""),45854)</f>
        <v>45854</v>
      </c>
      <c r="AA89" s="46">
        <f ca="1">IFERROR(__xludf.DUMMYFUNCTION("""COMPUTED_VALUE"""),45867)</f>
        <v>45867</v>
      </c>
      <c r="AB89" s="45" t="str">
        <f ca="1">IFERROR(__xludf.DUMMYFUNCTION("""COMPUTED_VALUE"""),"3500 Argentia Road")</f>
        <v>3500 Argentia Road</v>
      </c>
      <c r="AC89" s="45"/>
      <c r="AD89" s="45" t="str">
        <f ca="1">IFERROR(__xludf.DUMMYFUNCTION("""COMPUTED_VALUE"""),"OCEAN")</f>
        <v>OCEAN</v>
      </c>
      <c r="AE89" s="45" t="str">
        <f ca="1">IFERROR(__xludf.DUMMYFUNCTION("""COMPUTED_VALUE"""),"N")</f>
        <v>N</v>
      </c>
      <c r="AF89" s="45"/>
      <c r="AG89" s="49" t="str">
        <f ca="1">IFERROR(__xludf.DUMMYFUNCTION("IFNA(vlookup(H89,IMPORTRANGE(""1vUGwO1n0QQGx9kKbO0_M5gmuhXZ6-LaxQxgrmJnzgP0"",""'TP# look up'!A:C""),3,0),"""")"),"")</f>
        <v/>
      </c>
      <c r="AH89" s="49" t="str">
        <f t="shared" ca="1" si="1"/>
        <v>LW</v>
      </c>
    </row>
    <row r="90" spans="1:34" ht="12.75" hidden="1">
      <c r="A90" s="45" t="str">
        <f ca="1">IFERROR(__xludf.DUMMYFUNCTION("""COMPUTED_VALUE"""),"Colombo")</f>
        <v>Colombo</v>
      </c>
      <c r="B90" s="45"/>
      <c r="C90" s="45">
        <f ca="1">IFERROR(__xludf.DUMMYFUNCTION("""COMPUTED_VALUE"""),3231352)</f>
        <v>3231352</v>
      </c>
      <c r="D90" s="45"/>
      <c r="E90" s="45" t="str">
        <f ca="1">IFERROR(__xludf.DUMMYFUNCTION("""COMPUTED_VALUE"""),"CFS")</f>
        <v>CFS</v>
      </c>
      <c r="F90" s="45" t="str">
        <f ca="1">IFERROR(__xludf.DUMMYFUNCTION("""COMPUTED_VALUE"""),"Inqube Global (PVT) Ltd")</f>
        <v>Inqube Global (PVT) Ltd</v>
      </c>
      <c r="G90" s="45" t="str">
        <f ca="1">IFERROR(__xludf.DUMMYFUNCTION("""COMPUTED_VALUE"""),"Quantum Clothing Lanka (Pvt) Ltd")</f>
        <v>Quantum Clothing Lanka (Pvt) Ltd</v>
      </c>
      <c r="H90" s="43">
        <f ca="1">IFERROR(__xludf.DUMMYFUNCTION("""COMPUTED_VALUE"""),451373106089)</f>
        <v>451373106089</v>
      </c>
      <c r="I90" s="45">
        <f ca="1">IFERROR(__xludf.DUMMYFUNCTION("""COMPUTED_VALUE"""),19876731)</f>
        <v>19876731</v>
      </c>
      <c r="J90" s="45" t="str">
        <f ca="1">IFERROR(__xludf.DUMMYFUNCTION("""COMPUTED_VALUE"""),"LW2EDNS")</f>
        <v>LW2EDNS</v>
      </c>
      <c r="K90" s="45" t="str">
        <f ca="1">IFERROR(__xludf.DUMMYFUNCTION("""COMPUTED_VALUE"""),"LW2EDNS-0001")</f>
        <v>LW2EDNS-0001</v>
      </c>
      <c r="L90" s="45">
        <f ca="1">IFERROR(__xludf.DUMMYFUNCTION("""COMPUTED_VALUE"""),1)</f>
        <v>1</v>
      </c>
      <c r="M90" s="45">
        <f ca="1">IFERROR(__xludf.DUMMYFUNCTION("""COMPUTED_VALUE"""),87)</f>
        <v>87</v>
      </c>
      <c r="N90" s="45">
        <f ca="1">IFERROR(__xludf.DUMMYFUNCTION("""COMPUTED_VALUE"""),7.206)</f>
        <v>7.2060000000000004</v>
      </c>
      <c r="O90" s="45">
        <f ca="1">IFERROR(__xludf.DUMMYFUNCTION("""COMPUTED_VALUE"""),0.04)</f>
        <v>0.04</v>
      </c>
      <c r="P90" s="45" t="str">
        <f ca="1">IFERROR(__xludf.DUMMYFUNCTION("""COMPUTED_VALUE"""),"Colombo, LK")</f>
        <v>Colombo, LK</v>
      </c>
      <c r="Q90" s="45" t="str">
        <f ca="1">IFERROR(__xludf.DUMMYFUNCTION("""COMPUTED_VALUE"""),"New York, NY, US")</f>
        <v>New York, NY, US</v>
      </c>
      <c r="R90" s="44">
        <f ca="1">IFERROR(__xludf.DUMMYFUNCTION("""COMPUTED_VALUE"""),45817)</f>
        <v>45817</v>
      </c>
      <c r="S90" s="44">
        <f ca="1">IFERROR(__xludf.DUMMYFUNCTION("""COMPUTED_VALUE"""),45876)</f>
        <v>45876</v>
      </c>
      <c r="T90" s="45" t="str">
        <f ca="1">IFERROR(__xludf.DUMMYFUNCTION("""COMPUTED_VALUE"""),"Mississauga, ON, CA")</f>
        <v>Mississauga, ON, CA</v>
      </c>
      <c r="U90" s="45"/>
      <c r="V90" s="45"/>
      <c r="W90" s="45"/>
      <c r="X90" s="45"/>
      <c r="Y90" s="46">
        <f ca="1">IFERROR(__xludf.DUMMYFUNCTION("""COMPUTED_VALUE"""),45825)</f>
        <v>45825</v>
      </c>
      <c r="Z90" s="46">
        <f ca="1">IFERROR(__xludf.DUMMYFUNCTION("""COMPUTED_VALUE"""),45854)</f>
        <v>45854</v>
      </c>
      <c r="AA90" s="46">
        <f ca="1">IFERROR(__xludf.DUMMYFUNCTION("""COMPUTED_VALUE"""),45867)</f>
        <v>45867</v>
      </c>
      <c r="AB90" s="45" t="str">
        <f ca="1">IFERROR(__xludf.DUMMYFUNCTION("""COMPUTED_VALUE"""),"3500 Argentia Road")</f>
        <v>3500 Argentia Road</v>
      </c>
      <c r="AC90" s="45"/>
      <c r="AD90" s="45" t="str">
        <f ca="1">IFERROR(__xludf.DUMMYFUNCTION("""COMPUTED_VALUE"""),"OCEAN")</f>
        <v>OCEAN</v>
      </c>
      <c r="AE90" s="45" t="str">
        <f ca="1">IFERROR(__xludf.DUMMYFUNCTION("""COMPUTED_VALUE"""),"N")</f>
        <v>N</v>
      </c>
      <c r="AF90" s="45"/>
      <c r="AG90" s="49" t="str">
        <f ca="1">IFERROR(__xludf.DUMMYFUNCTION("IFNA(vlookup(H90,IMPORTRANGE(""1vUGwO1n0QQGx9kKbO0_M5gmuhXZ6-LaxQxgrmJnzgP0"",""'TP# look up'!A:C""),3,0),"""")"),"")</f>
        <v/>
      </c>
      <c r="AH90" s="49" t="str">
        <f t="shared" ca="1" si="1"/>
        <v>LW</v>
      </c>
    </row>
    <row r="91" spans="1:34" ht="12.75" hidden="1">
      <c r="A91" s="45" t="str">
        <f ca="1">IFERROR(__xludf.DUMMYFUNCTION("""COMPUTED_VALUE"""),"Colombo")</f>
        <v>Colombo</v>
      </c>
      <c r="B91" s="45"/>
      <c r="C91" s="45">
        <f ca="1">IFERROR(__xludf.DUMMYFUNCTION("""COMPUTED_VALUE"""),3231352)</f>
        <v>3231352</v>
      </c>
      <c r="D91" s="45"/>
      <c r="E91" s="45" t="str">
        <f ca="1">IFERROR(__xludf.DUMMYFUNCTION("""COMPUTED_VALUE"""),"CFS")</f>
        <v>CFS</v>
      </c>
      <c r="F91" s="45" t="str">
        <f ca="1">IFERROR(__xludf.DUMMYFUNCTION("""COMPUTED_VALUE"""),"Inqube Global (PVT) Ltd")</f>
        <v>Inqube Global (PVT) Ltd</v>
      </c>
      <c r="G91" s="45" t="str">
        <f ca="1">IFERROR(__xludf.DUMMYFUNCTION("""COMPUTED_VALUE"""),"Quantum Clothing Lanka (Pvt) Ltd")</f>
        <v>Quantum Clothing Lanka (Pvt) Ltd</v>
      </c>
      <c r="H91" s="43">
        <f ca="1">IFERROR(__xludf.DUMMYFUNCTION("""COMPUTED_VALUE"""),451376496626)</f>
        <v>451376496626</v>
      </c>
      <c r="I91" s="45">
        <f ca="1">IFERROR(__xludf.DUMMYFUNCTION("""COMPUTED_VALUE"""),19876517)</f>
        <v>19876517</v>
      </c>
      <c r="J91" s="45" t="str">
        <f ca="1">IFERROR(__xludf.DUMMYFUNCTION("""COMPUTED_VALUE"""),"LW2EDNS")</f>
        <v>LW2EDNS</v>
      </c>
      <c r="K91" s="45" t="str">
        <f ca="1">IFERROR(__xludf.DUMMYFUNCTION("""COMPUTED_VALUE"""),"LW2EDNS-071150")</f>
        <v>LW2EDNS-071150</v>
      </c>
      <c r="L91" s="45">
        <f ca="1">IFERROR(__xludf.DUMMYFUNCTION("""COMPUTED_VALUE"""),1)</f>
        <v>1</v>
      </c>
      <c r="M91" s="45">
        <f ca="1">IFERROR(__xludf.DUMMYFUNCTION("""COMPUTED_VALUE"""),144)</f>
        <v>144</v>
      </c>
      <c r="N91" s="45">
        <f ca="1">IFERROR(__xludf.DUMMYFUNCTION("""COMPUTED_VALUE"""),11.302)</f>
        <v>11.302</v>
      </c>
      <c r="O91" s="45">
        <f ca="1">IFERROR(__xludf.DUMMYFUNCTION("""COMPUTED_VALUE"""),0.04)</f>
        <v>0.04</v>
      </c>
      <c r="P91" s="45" t="str">
        <f ca="1">IFERROR(__xludf.DUMMYFUNCTION("""COMPUTED_VALUE"""),"Colombo, LK")</f>
        <v>Colombo, LK</v>
      </c>
      <c r="Q91" s="45" t="str">
        <f ca="1">IFERROR(__xludf.DUMMYFUNCTION("""COMPUTED_VALUE"""),"New York, NY, US")</f>
        <v>New York, NY, US</v>
      </c>
      <c r="R91" s="44">
        <f ca="1">IFERROR(__xludf.DUMMYFUNCTION("""COMPUTED_VALUE"""),45817)</f>
        <v>45817</v>
      </c>
      <c r="S91" s="44">
        <f ca="1">IFERROR(__xludf.DUMMYFUNCTION("""COMPUTED_VALUE"""),45876)</f>
        <v>45876</v>
      </c>
      <c r="T91" s="45" t="str">
        <f ca="1">IFERROR(__xludf.DUMMYFUNCTION("""COMPUTED_VALUE"""),"Mississauga, ON, CA")</f>
        <v>Mississauga, ON, CA</v>
      </c>
      <c r="U91" s="45"/>
      <c r="V91" s="45"/>
      <c r="W91" s="45"/>
      <c r="X91" s="45"/>
      <c r="Y91" s="46">
        <f ca="1">IFERROR(__xludf.DUMMYFUNCTION("""COMPUTED_VALUE"""),45825)</f>
        <v>45825</v>
      </c>
      <c r="Z91" s="46">
        <f ca="1">IFERROR(__xludf.DUMMYFUNCTION("""COMPUTED_VALUE"""),45854)</f>
        <v>45854</v>
      </c>
      <c r="AA91" s="46">
        <f ca="1">IFERROR(__xludf.DUMMYFUNCTION("""COMPUTED_VALUE"""),45867)</f>
        <v>45867</v>
      </c>
      <c r="AB91" s="45" t="str">
        <f ca="1">IFERROR(__xludf.DUMMYFUNCTION("""COMPUTED_VALUE"""),"3500 Argentia Road")</f>
        <v>3500 Argentia Road</v>
      </c>
      <c r="AC91" s="45"/>
      <c r="AD91" s="45" t="str">
        <f ca="1">IFERROR(__xludf.DUMMYFUNCTION("""COMPUTED_VALUE"""),"OCEAN")</f>
        <v>OCEAN</v>
      </c>
      <c r="AE91" s="45" t="str">
        <f ca="1">IFERROR(__xludf.DUMMYFUNCTION("""COMPUTED_VALUE"""),"N")</f>
        <v>N</v>
      </c>
      <c r="AF91" s="45"/>
      <c r="AG91" s="49" t="str">
        <f ca="1">IFERROR(__xludf.DUMMYFUNCTION("IFNA(vlookup(H91,IMPORTRANGE(""1vUGwO1n0QQGx9kKbO0_M5gmuhXZ6-LaxQxgrmJnzgP0"",""'TP# look up'!A:C""),3,0),"""")"),"")</f>
        <v/>
      </c>
      <c r="AH91" s="49" t="str">
        <f t="shared" ca="1" si="1"/>
        <v>LW</v>
      </c>
    </row>
    <row r="92" spans="1:34" ht="12.75" hidden="1">
      <c r="A92" s="45" t="str">
        <f ca="1">IFERROR(__xludf.DUMMYFUNCTION("""COMPUTED_VALUE"""),"Colombo")</f>
        <v>Colombo</v>
      </c>
      <c r="B92" s="45"/>
      <c r="C92" s="45">
        <f ca="1">IFERROR(__xludf.DUMMYFUNCTION("""COMPUTED_VALUE"""),3231352)</f>
        <v>3231352</v>
      </c>
      <c r="D92" s="45"/>
      <c r="E92" s="45" t="str">
        <f ca="1">IFERROR(__xludf.DUMMYFUNCTION("""COMPUTED_VALUE"""),"CFS")</f>
        <v>CFS</v>
      </c>
      <c r="F92" s="45" t="str">
        <f ca="1">IFERROR(__xludf.DUMMYFUNCTION("""COMPUTED_VALUE"""),"MAS AMITY PTE LTD")</f>
        <v>MAS AMITY PTE LTD</v>
      </c>
      <c r="G92" s="45" t="str">
        <f ca="1">IFERROR(__xludf.DUMMYFUNCTION("""COMPUTED_VALUE"""),"MAS Active(Pvt) Ltd – CONTOURLINE")</f>
        <v>MAS Active(Pvt) Ltd – CONTOURLINE</v>
      </c>
      <c r="H92" s="43">
        <f ca="1">IFERROR(__xludf.DUMMYFUNCTION("""COMPUTED_VALUE"""),450958712370)</f>
        <v>450958712370</v>
      </c>
      <c r="I92" s="45">
        <f ca="1">IFERROR(__xludf.DUMMYFUNCTION("""COMPUTED_VALUE"""),19939770)</f>
        <v>19939770</v>
      </c>
      <c r="J92" s="45" t="str">
        <f ca="1">IFERROR(__xludf.DUMMYFUNCTION("""COMPUTED_VALUE"""),"LM3FGKS")</f>
        <v>LM3FGKS</v>
      </c>
      <c r="K92" s="45" t="str">
        <f ca="1">IFERROR(__xludf.DUMMYFUNCTION("""COMPUTED_VALUE"""),"LM3FGKS-033454")</f>
        <v>LM3FGKS-033454</v>
      </c>
      <c r="L92" s="45">
        <f ca="1">IFERROR(__xludf.DUMMYFUNCTION("""COMPUTED_VALUE"""),9)</f>
        <v>9</v>
      </c>
      <c r="M92" s="45">
        <f ca="1">IFERROR(__xludf.DUMMYFUNCTION("""COMPUTED_VALUE"""),395)</f>
        <v>395</v>
      </c>
      <c r="N92" s="45">
        <f ca="1">IFERROR(__xludf.DUMMYFUNCTION("""COMPUTED_VALUE"""),95.621)</f>
        <v>95.620999999999995</v>
      </c>
      <c r="O92" s="45">
        <f ca="1">IFERROR(__xludf.DUMMYFUNCTION("""COMPUTED_VALUE"""),0.711)</f>
        <v>0.71099999999999997</v>
      </c>
      <c r="P92" s="45" t="str">
        <f ca="1">IFERROR(__xludf.DUMMYFUNCTION("""COMPUTED_VALUE"""),"Colombo, LK")</f>
        <v>Colombo, LK</v>
      </c>
      <c r="Q92" s="45" t="str">
        <f ca="1">IFERROR(__xludf.DUMMYFUNCTION("""COMPUTED_VALUE"""),"New York, NY, US")</f>
        <v>New York, NY, US</v>
      </c>
      <c r="R92" s="44">
        <f ca="1">IFERROR(__xludf.DUMMYFUNCTION("""COMPUTED_VALUE"""),45817)</f>
        <v>45817</v>
      </c>
      <c r="S92" s="44">
        <f ca="1">IFERROR(__xludf.DUMMYFUNCTION("""COMPUTED_VALUE"""),45876)</f>
        <v>45876</v>
      </c>
      <c r="T92" s="45" t="str">
        <f ca="1">IFERROR(__xludf.DUMMYFUNCTION("""COMPUTED_VALUE"""),"Mississauga, ON, CA")</f>
        <v>Mississauga, ON, CA</v>
      </c>
      <c r="U92" s="45"/>
      <c r="V92" s="45"/>
      <c r="W92" s="45"/>
      <c r="X92" s="45"/>
      <c r="Y92" s="46">
        <f ca="1">IFERROR(__xludf.DUMMYFUNCTION("""COMPUTED_VALUE"""),45825)</f>
        <v>45825</v>
      </c>
      <c r="Z92" s="46">
        <f ca="1">IFERROR(__xludf.DUMMYFUNCTION("""COMPUTED_VALUE"""),45854)</f>
        <v>45854</v>
      </c>
      <c r="AA92" s="46">
        <f ca="1">IFERROR(__xludf.DUMMYFUNCTION("""COMPUTED_VALUE"""),45867)</f>
        <v>45867</v>
      </c>
      <c r="AB92" s="45" t="str">
        <f ca="1">IFERROR(__xludf.DUMMYFUNCTION("""COMPUTED_VALUE"""),"3500 Argentia Road")</f>
        <v>3500 Argentia Road</v>
      </c>
      <c r="AC92" s="45"/>
      <c r="AD92" s="45" t="str">
        <f ca="1">IFERROR(__xludf.DUMMYFUNCTION("""COMPUTED_VALUE"""),"OCEAN")</f>
        <v>OCEAN</v>
      </c>
      <c r="AE92" s="45" t="str">
        <f ca="1">IFERROR(__xludf.DUMMYFUNCTION("""COMPUTED_VALUE"""),"N")</f>
        <v>N</v>
      </c>
      <c r="AF92" s="45"/>
      <c r="AG92" s="49" t="str">
        <f ca="1">IFERROR(__xludf.DUMMYFUNCTION("IFNA(vlookup(H92,IMPORTRANGE(""1vUGwO1n0QQGx9kKbO0_M5gmuhXZ6-LaxQxgrmJnzgP0"",""'TP# look up'!A:C""),3,0),"""")"),"")</f>
        <v/>
      </c>
      <c r="AH92" s="49" t="str">
        <f t="shared" ca="1" si="1"/>
        <v>LM</v>
      </c>
    </row>
    <row r="93" spans="1:34" ht="12.75" hidden="1">
      <c r="A93" s="45" t="str">
        <f ca="1">IFERROR(__xludf.DUMMYFUNCTION("""COMPUTED_VALUE"""),"Colombo")</f>
        <v>Colombo</v>
      </c>
      <c r="B93" s="45"/>
      <c r="C93" s="45">
        <f ca="1">IFERROR(__xludf.DUMMYFUNCTION("""COMPUTED_VALUE"""),3231352)</f>
        <v>3231352</v>
      </c>
      <c r="D93" s="45"/>
      <c r="E93" s="45" t="str">
        <f ca="1">IFERROR(__xludf.DUMMYFUNCTION("""COMPUTED_VALUE"""),"CFS")</f>
        <v>CFS</v>
      </c>
      <c r="F93" s="45" t="str">
        <f ca="1">IFERROR(__xludf.DUMMYFUNCTION("""COMPUTED_VALUE"""),"Bodyline Trading (Private) Limited")</f>
        <v>Bodyline Trading (Private) Limited</v>
      </c>
      <c r="G93" s="45" t="str">
        <f ca="1">IFERROR(__xludf.DUMMYFUNCTION("""COMPUTED_VALUE"""),"Bodyline (Private) Limited")</f>
        <v>Bodyline (Private) Limited</v>
      </c>
      <c r="H93" s="43">
        <f ca="1">IFERROR(__xludf.DUMMYFUNCTION("""COMPUTED_VALUE"""),451926474199)</f>
        <v>451926474199</v>
      </c>
      <c r="I93" s="45">
        <f ca="1">IFERROR(__xludf.DUMMYFUNCTION("""COMPUTED_VALUE"""),19878923)</f>
        <v>19878923</v>
      </c>
      <c r="J93" s="45" t="str">
        <f ca="1">IFERROR(__xludf.DUMMYFUNCTION("""COMPUTED_VALUE"""),"LW2EB8S")</f>
        <v>LW2EB8S</v>
      </c>
      <c r="K93" s="45" t="str">
        <f ca="1">IFERROR(__xludf.DUMMYFUNCTION("""COMPUTED_VALUE"""),"LW2EB8S-031382")</f>
        <v>LW2EB8S-031382</v>
      </c>
      <c r="L93" s="45">
        <f ca="1">IFERROR(__xludf.DUMMYFUNCTION("""COMPUTED_VALUE"""),26)</f>
        <v>26</v>
      </c>
      <c r="M93" s="45">
        <f ca="1">IFERROR(__xludf.DUMMYFUNCTION("""COMPUTED_VALUE"""),1603)</f>
        <v>1603</v>
      </c>
      <c r="N93" s="45">
        <f ca="1">IFERROR(__xludf.DUMMYFUNCTION("""COMPUTED_VALUE"""),239.756)</f>
        <v>239.756</v>
      </c>
      <c r="O93" s="45">
        <f ca="1">IFERROR(__xludf.DUMMYFUNCTION("""COMPUTED_VALUE"""),2.094)</f>
        <v>2.0939999999999999</v>
      </c>
      <c r="P93" s="45" t="str">
        <f ca="1">IFERROR(__xludf.DUMMYFUNCTION("""COMPUTED_VALUE"""),"Colombo, LK")</f>
        <v>Colombo, LK</v>
      </c>
      <c r="Q93" s="45" t="str">
        <f ca="1">IFERROR(__xludf.DUMMYFUNCTION("""COMPUTED_VALUE"""),"New York, NY, US")</f>
        <v>New York, NY, US</v>
      </c>
      <c r="R93" s="44">
        <f ca="1">IFERROR(__xludf.DUMMYFUNCTION("""COMPUTED_VALUE"""),45817)</f>
        <v>45817</v>
      </c>
      <c r="S93" s="44">
        <f ca="1">IFERROR(__xludf.DUMMYFUNCTION("""COMPUTED_VALUE"""),45876)</f>
        <v>45876</v>
      </c>
      <c r="T93" s="45" t="str">
        <f ca="1">IFERROR(__xludf.DUMMYFUNCTION("""COMPUTED_VALUE"""),"Mississauga, ON, CA")</f>
        <v>Mississauga, ON, CA</v>
      </c>
      <c r="U93" s="45"/>
      <c r="V93" s="45"/>
      <c r="W93" s="45"/>
      <c r="X93" s="45"/>
      <c r="Y93" s="46">
        <f ca="1">IFERROR(__xludf.DUMMYFUNCTION("""COMPUTED_VALUE"""),45825)</f>
        <v>45825</v>
      </c>
      <c r="Z93" s="46">
        <f ca="1">IFERROR(__xludf.DUMMYFUNCTION("""COMPUTED_VALUE"""),45854)</f>
        <v>45854</v>
      </c>
      <c r="AA93" s="46">
        <f ca="1">IFERROR(__xludf.DUMMYFUNCTION("""COMPUTED_VALUE"""),45867)</f>
        <v>45867</v>
      </c>
      <c r="AB93" s="45" t="str">
        <f ca="1">IFERROR(__xludf.DUMMYFUNCTION("""COMPUTED_VALUE"""),"3500 Argentia Road")</f>
        <v>3500 Argentia Road</v>
      </c>
      <c r="AC93" s="45"/>
      <c r="AD93" s="45" t="str">
        <f ca="1">IFERROR(__xludf.DUMMYFUNCTION("""COMPUTED_VALUE"""),"OCEAN")</f>
        <v>OCEAN</v>
      </c>
      <c r="AE93" s="45" t="str">
        <f ca="1">IFERROR(__xludf.DUMMYFUNCTION("""COMPUTED_VALUE"""),"N")</f>
        <v>N</v>
      </c>
      <c r="AF93" s="45"/>
      <c r="AG93" s="49" t="str">
        <f ca="1">IFERROR(__xludf.DUMMYFUNCTION("IFNA(vlookup(H93,IMPORTRANGE(""1vUGwO1n0QQGx9kKbO0_M5gmuhXZ6-LaxQxgrmJnzgP0"",""'TP# look up'!A:C""),3,0),"""")"),"")</f>
        <v/>
      </c>
      <c r="AH93" s="49" t="str">
        <f t="shared" ca="1" si="1"/>
        <v>LW</v>
      </c>
    </row>
    <row r="94" spans="1:34" ht="12.75" hidden="1">
      <c r="A94" s="45" t="str">
        <f ca="1">IFERROR(__xludf.DUMMYFUNCTION("""COMPUTED_VALUE"""),"Colombo")</f>
        <v>Colombo</v>
      </c>
      <c r="B94" s="45"/>
      <c r="C94" s="45">
        <f ca="1">IFERROR(__xludf.DUMMYFUNCTION("""COMPUTED_VALUE"""),3231352)</f>
        <v>3231352</v>
      </c>
      <c r="D94" s="45"/>
      <c r="E94" s="45" t="str">
        <f ca="1">IFERROR(__xludf.DUMMYFUNCTION("""COMPUTED_VALUE"""),"CFS")</f>
        <v>CFS</v>
      </c>
      <c r="F94" s="45" t="str">
        <f ca="1">IFERROR(__xludf.DUMMYFUNCTION("""COMPUTED_VALUE"""),"Bodyline Trading (Private) Limited")</f>
        <v>Bodyline Trading (Private) Limited</v>
      </c>
      <c r="G94" s="45" t="str">
        <f ca="1">IFERROR(__xludf.DUMMYFUNCTION("""COMPUTED_VALUE"""),"Bodyline (Private) Limited")</f>
        <v>Bodyline (Private) Limited</v>
      </c>
      <c r="H94" s="43">
        <f ca="1">IFERROR(__xludf.DUMMYFUNCTION("""COMPUTED_VALUE"""),452636382442)</f>
        <v>452636382442</v>
      </c>
      <c r="I94" s="45">
        <f ca="1">IFERROR(__xludf.DUMMYFUNCTION("""COMPUTED_VALUE"""),19878767)</f>
        <v>19878767</v>
      </c>
      <c r="J94" s="45" t="str">
        <f ca="1">IFERROR(__xludf.DUMMYFUNCTION("""COMPUTED_VALUE"""),"LW2EB9S")</f>
        <v>LW2EB9S</v>
      </c>
      <c r="K94" s="45" t="str">
        <f ca="1">IFERROR(__xludf.DUMMYFUNCTION("""COMPUTED_VALUE"""),"LW2EB9S-032507")</f>
        <v>LW2EB9S-032507</v>
      </c>
      <c r="L94" s="45">
        <f ca="1">IFERROR(__xludf.DUMMYFUNCTION("""COMPUTED_VALUE"""),4)</f>
        <v>4</v>
      </c>
      <c r="M94" s="45">
        <f ca="1">IFERROR(__xludf.DUMMYFUNCTION("""COMPUTED_VALUE"""),202)</f>
        <v>202</v>
      </c>
      <c r="N94" s="45">
        <f ca="1">IFERROR(__xludf.DUMMYFUNCTION("""COMPUTED_VALUE"""),30.197)</f>
        <v>30.196999999999999</v>
      </c>
      <c r="O94" s="45">
        <f ca="1">IFERROR(__xludf.DUMMYFUNCTION("""COMPUTED_VALUE"""),0.322)</f>
        <v>0.32200000000000001</v>
      </c>
      <c r="P94" s="45" t="str">
        <f ca="1">IFERROR(__xludf.DUMMYFUNCTION("""COMPUTED_VALUE"""),"Colombo, LK")</f>
        <v>Colombo, LK</v>
      </c>
      <c r="Q94" s="45" t="str">
        <f ca="1">IFERROR(__xludf.DUMMYFUNCTION("""COMPUTED_VALUE"""),"New York, NY, US")</f>
        <v>New York, NY, US</v>
      </c>
      <c r="R94" s="44">
        <f ca="1">IFERROR(__xludf.DUMMYFUNCTION("""COMPUTED_VALUE"""),45817)</f>
        <v>45817</v>
      </c>
      <c r="S94" s="44">
        <f ca="1">IFERROR(__xludf.DUMMYFUNCTION("""COMPUTED_VALUE"""),45876)</f>
        <v>45876</v>
      </c>
      <c r="T94" s="45" t="str">
        <f ca="1">IFERROR(__xludf.DUMMYFUNCTION("""COMPUTED_VALUE"""),"Mississauga, ON, CA")</f>
        <v>Mississauga, ON, CA</v>
      </c>
      <c r="U94" s="45"/>
      <c r="V94" s="45"/>
      <c r="W94" s="45"/>
      <c r="X94" s="45"/>
      <c r="Y94" s="46">
        <f ca="1">IFERROR(__xludf.DUMMYFUNCTION("""COMPUTED_VALUE"""),45825)</f>
        <v>45825</v>
      </c>
      <c r="Z94" s="46">
        <f ca="1">IFERROR(__xludf.DUMMYFUNCTION("""COMPUTED_VALUE"""),45854)</f>
        <v>45854</v>
      </c>
      <c r="AA94" s="46">
        <f ca="1">IFERROR(__xludf.DUMMYFUNCTION("""COMPUTED_VALUE"""),45867)</f>
        <v>45867</v>
      </c>
      <c r="AB94" s="45" t="str">
        <f ca="1">IFERROR(__xludf.DUMMYFUNCTION("""COMPUTED_VALUE"""),"3500 Argentia Road")</f>
        <v>3500 Argentia Road</v>
      </c>
      <c r="AC94" s="45"/>
      <c r="AD94" s="45" t="str">
        <f ca="1">IFERROR(__xludf.DUMMYFUNCTION("""COMPUTED_VALUE"""),"OCEAN")</f>
        <v>OCEAN</v>
      </c>
      <c r="AE94" s="45" t="str">
        <f ca="1">IFERROR(__xludf.DUMMYFUNCTION("""COMPUTED_VALUE"""),"N")</f>
        <v>N</v>
      </c>
      <c r="AF94" s="45"/>
      <c r="AG94" s="49" t="str">
        <f ca="1">IFERROR(__xludf.DUMMYFUNCTION("IFNA(vlookup(H94,IMPORTRANGE(""1vUGwO1n0QQGx9kKbO0_M5gmuhXZ6-LaxQxgrmJnzgP0"",""'TP# look up'!A:C""),3,0),"""")"),"")</f>
        <v/>
      </c>
      <c r="AH94" s="49" t="str">
        <f t="shared" ca="1" si="1"/>
        <v>LW</v>
      </c>
    </row>
    <row r="95" spans="1:34" ht="12.75" hidden="1">
      <c r="A95" s="45" t="str">
        <f ca="1">IFERROR(__xludf.DUMMYFUNCTION("""COMPUTED_VALUE"""),"Colombo")</f>
        <v>Colombo</v>
      </c>
      <c r="B95" s="45"/>
      <c r="C95" s="45">
        <f ca="1">IFERROR(__xludf.DUMMYFUNCTION("""COMPUTED_VALUE"""),3231352)</f>
        <v>3231352</v>
      </c>
      <c r="D95" s="45"/>
      <c r="E95" s="45" t="str">
        <f ca="1">IFERROR(__xludf.DUMMYFUNCTION("""COMPUTED_VALUE"""),"CFS")</f>
        <v>CFS</v>
      </c>
      <c r="F95" s="45" t="str">
        <f ca="1">IFERROR(__xludf.DUMMYFUNCTION("""COMPUTED_VALUE"""),"Bodyline Trading (Private) Limited")</f>
        <v>Bodyline Trading (Private) Limited</v>
      </c>
      <c r="G95" s="45" t="str">
        <f ca="1">IFERROR(__xludf.DUMMYFUNCTION("""COMPUTED_VALUE"""),"Bodyline (Private) Limited")</f>
        <v>Bodyline (Private) Limited</v>
      </c>
      <c r="H95" s="43">
        <f ca="1">IFERROR(__xludf.DUMMYFUNCTION("""COMPUTED_VALUE"""),452636928704)</f>
        <v>452636928704</v>
      </c>
      <c r="I95" s="45">
        <f ca="1">IFERROR(__xludf.DUMMYFUNCTION("""COMPUTED_VALUE"""),19878947)</f>
        <v>19878947</v>
      </c>
      <c r="J95" s="45" t="str">
        <f ca="1">IFERROR(__xludf.DUMMYFUNCTION("""COMPUTED_VALUE"""),"LW2EB9S")</f>
        <v>LW2EB9S</v>
      </c>
      <c r="K95" s="45" t="str">
        <f ca="1">IFERROR(__xludf.DUMMYFUNCTION("""COMPUTED_VALUE"""),"LW2EB9S-032507")</f>
        <v>LW2EB9S-032507</v>
      </c>
      <c r="L95" s="45">
        <f ca="1">IFERROR(__xludf.DUMMYFUNCTION("""COMPUTED_VALUE"""),8)</f>
        <v>8</v>
      </c>
      <c r="M95" s="45">
        <f ca="1">IFERROR(__xludf.DUMMYFUNCTION("""COMPUTED_VALUE"""),452)</f>
        <v>452</v>
      </c>
      <c r="N95" s="45">
        <f ca="1">IFERROR(__xludf.DUMMYFUNCTION("""COMPUTED_VALUE"""),66.199)</f>
        <v>66.198999999999998</v>
      </c>
      <c r="O95" s="45">
        <f ca="1">IFERROR(__xludf.DUMMYFUNCTION("""COMPUTED_VALUE"""),0.644)</f>
        <v>0.64400000000000002</v>
      </c>
      <c r="P95" s="45" t="str">
        <f ca="1">IFERROR(__xludf.DUMMYFUNCTION("""COMPUTED_VALUE"""),"Colombo, LK")</f>
        <v>Colombo, LK</v>
      </c>
      <c r="Q95" s="45" t="str">
        <f ca="1">IFERROR(__xludf.DUMMYFUNCTION("""COMPUTED_VALUE"""),"New York, NY, US")</f>
        <v>New York, NY, US</v>
      </c>
      <c r="R95" s="44">
        <f ca="1">IFERROR(__xludf.DUMMYFUNCTION("""COMPUTED_VALUE"""),45817)</f>
        <v>45817</v>
      </c>
      <c r="S95" s="44">
        <f ca="1">IFERROR(__xludf.DUMMYFUNCTION("""COMPUTED_VALUE"""),45876)</f>
        <v>45876</v>
      </c>
      <c r="T95" s="45" t="str">
        <f ca="1">IFERROR(__xludf.DUMMYFUNCTION("""COMPUTED_VALUE"""),"Mississauga, ON, CA")</f>
        <v>Mississauga, ON, CA</v>
      </c>
      <c r="U95" s="45"/>
      <c r="V95" s="45"/>
      <c r="W95" s="45"/>
      <c r="X95" s="45"/>
      <c r="Y95" s="46">
        <f ca="1">IFERROR(__xludf.DUMMYFUNCTION("""COMPUTED_VALUE"""),45825)</f>
        <v>45825</v>
      </c>
      <c r="Z95" s="46">
        <f ca="1">IFERROR(__xludf.DUMMYFUNCTION("""COMPUTED_VALUE"""),45854)</f>
        <v>45854</v>
      </c>
      <c r="AA95" s="46">
        <f ca="1">IFERROR(__xludf.DUMMYFUNCTION("""COMPUTED_VALUE"""),45867)</f>
        <v>45867</v>
      </c>
      <c r="AB95" s="45" t="str">
        <f ca="1">IFERROR(__xludf.DUMMYFUNCTION("""COMPUTED_VALUE"""),"3500 Argentia Road")</f>
        <v>3500 Argentia Road</v>
      </c>
      <c r="AC95" s="45"/>
      <c r="AD95" s="45" t="str">
        <f ca="1">IFERROR(__xludf.DUMMYFUNCTION("""COMPUTED_VALUE"""),"OCEAN")</f>
        <v>OCEAN</v>
      </c>
      <c r="AE95" s="45" t="str">
        <f ca="1">IFERROR(__xludf.DUMMYFUNCTION("""COMPUTED_VALUE"""),"N")</f>
        <v>N</v>
      </c>
      <c r="AF95" s="45"/>
      <c r="AG95" s="49" t="str">
        <f ca="1">IFERROR(__xludf.DUMMYFUNCTION("IFNA(vlookup(H95,IMPORTRANGE(""1vUGwO1n0QQGx9kKbO0_M5gmuhXZ6-LaxQxgrmJnzgP0"",""'TP# look up'!A:C""),3,0),"""")"),"")</f>
        <v/>
      </c>
      <c r="AH95" s="49" t="str">
        <f t="shared" ca="1" si="1"/>
        <v>LW</v>
      </c>
    </row>
    <row r="96" spans="1:34" ht="12.75" hidden="1">
      <c r="A96" s="45" t="str">
        <f ca="1">IFERROR(__xludf.DUMMYFUNCTION("""COMPUTED_VALUE"""),"Colombo")</f>
        <v>Colombo</v>
      </c>
      <c r="B96" s="45"/>
      <c r="C96" s="45">
        <f ca="1">IFERROR(__xludf.DUMMYFUNCTION("""COMPUTED_VALUE"""),3231352)</f>
        <v>3231352</v>
      </c>
      <c r="D96" s="45"/>
      <c r="E96" s="45" t="str">
        <f ca="1">IFERROR(__xludf.DUMMYFUNCTION("""COMPUTED_VALUE"""),"CFS")</f>
        <v>CFS</v>
      </c>
      <c r="F96" s="45" t="str">
        <f ca="1">IFERROR(__xludf.DUMMYFUNCTION("""COMPUTED_VALUE"""),"Bodyline Trading (Private) Limited")</f>
        <v>Bodyline Trading (Private) Limited</v>
      </c>
      <c r="G96" s="45" t="str">
        <f ca="1">IFERROR(__xludf.DUMMYFUNCTION("""COMPUTED_VALUE"""),"Bodyline (Private) Limited")</f>
        <v>Bodyline (Private) Limited</v>
      </c>
      <c r="H96" s="43">
        <f ca="1">IFERROR(__xludf.DUMMYFUNCTION("""COMPUTED_VALUE"""),452642752943)</f>
        <v>452642752943</v>
      </c>
      <c r="I96" s="45">
        <f ca="1">IFERROR(__xludf.DUMMYFUNCTION("""COMPUTED_VALUE"""),19877541)</f>
        <v>19877541</v>
      </c>
      <c r="J96" s="45" t="str">
        <f ca="1">IFERROR(__xludf.DUMMYFUNCTION("""COMPUTED_VALUE"""),"LW9DCIS")</f>
        <v>LW9DCIS</v>
      </c>
      <c r="K96" s="45" t="str">
        <f ca="1">IFERROR(__xludf.DUMMYFUNCTION("""COMPUTED_VALUE"""),"LW9DCIS-073357")</f>
        <v>LW9DCIS-073357</v>
      </c>
      <c r="L96" s="45">
        <f ca="1">IFERROR(__xludf.DUMMYFUNCTION("""COMPUTED_VALUE"""),2)</f>
        <v>2</v>
      </c>
      <c r="M96" s="45">
        <f ca="1">IFERROR(__xludf.DUMMYFUNCTION("""COMPUTED_VALUE"""),73)</f>
        <v>73</v>
      </c>
      <c r="N96" s="45">
        <f ca="1">IFERROR(__xludf.DUMMYFUNCTION("""COMPUTED_VALUE"""),7.223)</f>
        <v>7.2229999999999999</v>
      </c>
      <c r="O96" s="45">
        <f ca="1">IFERROR(__xludf.DUMMYFUNCTION("""COMPUTED_VALUE"""),0.088)</f>
        <v>8.7999999999999995E-2</v>
      </c>
      <c r="P96" s="45" t="str">
        <f ca="1">IFERROR(__xludf.DUMMYFUNCTION("""COMPUTED_VALUE"""),"Colombo, LK")</f>
        <v>Colombo, LK</v>
      </c>
      <c r="Q96" s="45" t="str">
        <f ca="1">IFERROR(__xludf.DUMMYFUNCTION("""COMPUTED_VALUE"""),"New York, NY, US")</f>
        <v>New York, NY, US</v>
      </c>
      <c r="R96" s="44">
        <f ca="1">IFERROR(__xludf.DUMMYFUNCTION("""COMPUTED_VALUE"""),45817)</f>
        <v>45817</v>
      </c>
      <c r="S96" s="44">
        <f ca="1">IFERROR(__xludf.DUMMYFUNCTION("""COMPUTED_VALUE"""),45876)</f>
        <v>45876</v>
      </c>
      <c r="T96" s="45" t="str">
        <f ca="1">IFERROR(__xludf.DUMMYFUNCTION("""COMPUTED_VALUE"""),"Milton, ON, CA")</f>
        <v>Milton, ON, CA</v>
      </c>
      <c r="U96" s="45"/>
      <c r="V96" s="45"/>
      <c r="W96" s="45"/>
      <c r="X96" s="45"/>
      <c r="Y96" s="46">
        <f ca="1">IFERROR(__xludf.DUMMYFUNCTION("""COMPUTED_VALUE"""),45825)</f>
        <v>45825</v>
      </c>
      <c r="Z96" s="46">
        <f ca="1">IFERROR(__xludf.DUMMYFUNCTION("""COMPUTED_VALUE"""),45854)</f>
        <v>45854</v>
      </c>
      <c r="AA96" s="46">
        <f ca="1">IFERROR(__xludf.DUMMYFUNCTION("""COMPUTED_VALUE"""),45867)</f>
        <v>45867</v>
      </c>
      <c r="AB96" s="45" t="str">
        <f ca="1">IFERROR(__xludf.DUMMYFUNCTION("""COMPUTED_VALUE"""),"7211 Fifth Line")</f>
        <v>7211 Fifth Line</v>
      </c>
      <c r="AC96" s="45"/>
      <c r="AD96" s="45" t="str">
        <f ca="1">IFERROR(__xludf.DUMMYFUNCTION("""COMPUTED_VALUE"""),"OCEAN")</f>
        <v>OCEAN</v>
      </c>
      <c r="AE96" s="45" t="str">
        <f ca="1">IFERROR(__xludf.DUMMYFUNCTION("""COMPUTED_VALUE"""),"N")</f>
        <v>N</v>
      </c>
      <c r="AF96" s="45"/>
      <c r="AG96" s="49" t="str">
        <f ca="1">IFERROR(__xludf.DUMMYFUNCTION("IFNA(vlookup(H96,IMPORTRANGE(""1vUGwO1n0QQGx9kKbO0_M5gmuhXZ6-LaxQxgrmJnzgP0"",""'TP# look up'!A:C""),3,0),"""")"),"")</f>
        <v/>
      </c>
      <c r="AH96" s="49" t="str">
        <f t="shared" ca="1" si="1"/>
        <v>LW</v>
      </c>
    </row>
    <row r="97" spans="1:34" ht="12.75" hidden="1">
      <c r="A97" s="45" t="str">
        <f ca="1">IFERROR(__xludf.DUMMYFUNCTION("""COMPUTED_VALUE"""),"Colombo")</f>
        <v>Colombo</v>
      </c>
      <c r="B97" s="45"/>
      <c r="C97" s="45">
        <f ca="1">IFERROR(__xludf.DUMMYFUNCTION("""COMPUTED_VALUE"""),3231352)</f>
        <v>3231352</v>
      </c>
      <c r="D97" s="45"/>
      <c r="E97" s="45" t="str">
        <f ca="1">IFERROR(__xludf.DUMMYFUNCTION("""COMPUTED_VALUE"""),"CFS")</f>
        <v>CFS</v>
      </c>
      <c r="F97" s="45" t="str">
        <f ca="1">IFERROR(__xludf.DUMMYFUNCTION("""COMPUTED_VALUE"""),"Bodyline Trading (Private) Limited")</f>
        <v>Bodyline Trading (Private) Limited</v>
      </c>
      <c r="G97" s="45" t="str">
        <f ca="1">IFERROR(__xludf.DUMMYFUNCTION("""COMPUTED_VALUE"""),"Bodyline (Private) Limited")</f>
        <v>Bodyline (Private) Limited</v>
      </c>
      <c r="H97" s="43">
        <f ca="1">IFERROR(__xludf.DUMMYFUNCTION("""COMPUTED_VALUE"""),452642798398)</f>
        <v>452642798398</v>
      </c>
      <c r="I97" s="45">
        <f ca="1">IFERROR(__xludf.DUMMYFUNCTION("""COMPUTED_VALUE"""),19877549)</f>
        <v>19877549</v>
      </c>
      <c r="J97" s="45" t="str">
        <f ca="1">IFERROR(__xludf.DUMMYFUNCTION("""COMPUTED_VALUE"""),"LW9DCIS")</f>
        <v>LW9DCIS</v>
      </c>
      <c r="K97" s="45" t="str">
        <f ca="1">IFERROR(__xludf.DUMMYFUNCTION("""COMPUTED_VALUE"""),"LW9DCIS-073357")</f>
        <v>LW9DCIS-073357</v>
      </c>
      <c r="L97" s="45">
        <f ca="1">IFERROR(__xludf.DUMMYFUNCTION("""COMPUTED_VALUE"""),3)</f>
        <v>3</v>
      </c>
      <c r="M97" s="45">
        <f ca="1">IFERROR(__xludf.DUMMYFUNCTION("""COMPUTED_VALUE"""),103)</f>
        <v>103</v>
      </c>
      <c r="N97" s="45">
        <f ca="1">IFERROR(__xludf.DUMMYFUNCTION("""COMPUTED_VALUE"""),10.436)</f>
        <v>10.436</v>
      </c>
      <c r="O97" s="45">
        <f ca="1">IFERROR(__xludf.DUMMYFUNCTION("""COMPUTED_VALUE"""),0.132)</f>
        <v>0.13200000000000001</v>
      </c>
      <c r="P97" s="45" t="str">
        <f ca="1">IFERROR(__xludf.DUMMYFUNCTION("""COMPUTED_VALUE"""),"Colombo, LK")</f>
        <v>Colombo, LK</v>
      </c>
      <c r="Q97" s="45" t="str">
        <f ca="1">IFERROR(__xludf.DUMMYFUNCTION("""COMPUTED_VALUE"""),"New York, NY, US")</f>
        <v>New York, NY, US</v>
      </c>
      <c r="R97" s="44">
        <f ca="1">IFERROR(__xludf.DUMMYFUNCTION("""COMPUTED_VALUE"""),45817)</f>
        <v>45817</v>
      </c>
      <c r="S97" s="44">
        <f ca="1">IFERROR(__xludf.DUMMYFUNCTION("""COMPUTED_VALUE"""),45876)</f>
        <v>45876</v>
      </c>
      <c r="T97" s="45" t="str">
        <f ca="1">IFERROR(__xludf.DUMMYFUNCTION("""COMPUTED_VALUE"""),"Mississauga, ON, CA")</f>
        <v>Mississauga, ON, CA</v>
      </c>
      <c r="U97" s="45"/>
      <c r="V97" s="45"/>
      <c r="W97" s="45"/>
      <c r="X97" s="45"/>
      <c r="Y97" s="46">
        <f ca="1">IFERROR(__xludf.DUMMYFUNCTION("""COMPUTED_VALUE"""),45825)</f>
        <v>45825</v>
      </c>
      <c r="Z97" s="46">
        <f ca="1">IFERROR(__xludf.DUMMYFUNCTION("""COMPUTED_VALUE"""),45854)</f>
        <v>45854</v>
      </c>
      <c r="AA97" s="46">
        <f ca="1">IFERROR(__xludf.DUMMYFUNCTION("""COMPUTED_VALUE"""),45867)</f>
        <v>45867</v>
      </c>
      <c r="AB97" s="45" t="str">
        <f ca="1">IFERROR(__xludf.DUMMYFUNCTION("""COMPUTED_VALUE"""),"3500 Argentia Road")</f>
        <v>3500 Argentia Road</v>
      </c>
      <c r="AC97" s="45"/>
      <c r="AD97" s="45" t="str">
        <f ca="1">IFERROR(__xludf.DUMMYFUNCTION("""COMPUTED_VALUE"""),"OCEAN")</f>
        <v>OCEAN</v>
      </c>
      <c r="AE97" s="45" t="str">
        <f ca="1">IFERROR(__xludf.DUMMYFUNCTION("""COMPUTED_VALUE"""),"N")</f>
        <v>N</v>
      </c>
      <c r="AF97" s="45"/>
      <c r="AG97" s="49" t="str">
        <f ca="1">IFERROR(__xludf.DUMMYFUNCTION("IFNA(vlookup(H97,IMPORTRANGE(""1vUGwO1n0QQGx9kKbO0_M5gmuhXZ6-LaxQxgrmJnzgP0"",""'TP# look up'!A:C""),3,0),"""")"),"")</f>
        <v/>
      </c>
      <c r="AH97" s="49" t="str">
        <f t="shared" ca="1" si="1"/>
        <v>LW</v>
      </c>
    </row>
    <row r="98" spans="1:34" ht="12.75" hidden="1">
      <c r="A98" s="45" t="str">
        <f ca="1">IFERROR(__xludf.DUMMYFUNCTION("""COMPUTED_VALUE"""),"Colombo")</f>
        <v>Colombo</v>
      </c>
      <c r="B98" s="45"/>
      <c r="C98" s="45">
        <f ca="1">IFERROR(__xludf.DUMMYFUNCTION("""COMPUTED_VALUE"""),3231352)</f>
        <v>3231352</v>
      </c>
      <c r="D98" s="45"/>
      <c r="E98" s="45" t="str">
        <f ca="1">IFERROR(__xludf.DUMMYFUNCTION("""COMPUTED_VALUE"""),"CFS")</f>
        <v>CFS</v>
      </c>
      <c r="F98" s="45" t="str">
        <f ca="1">IFERROR(__xludf.DUMMYFUNCTION("""COMPUTED_VALUE"""),"Bodyline Trading (Private) Limited")</f>
        <v>Bodyline Trading (Private) Limited</v>
      </c>
      <c r="G98" s="45" t="str">
        <f ca="1">IFERROR(__xludf.DUMMYFUNCTION("""COMPUTED_VALUE"""),"Bodyline (Private) Limited")</f>
        <v>Bodyline (Private) Limited</v>
      </c>
      <c r="H98" s="43">
        <f ca="1">IFERROR(__xludf.DUMMYFUNCTION("""COMPUTED_VALUE"""),452644964858)</f>
        <v>452644964858</v>
      </c>
      <c r="I98" s="45">
        <f ca="1">IFERROR(__xludf.DUMMYFUNCTION("""COMPUTED_VALUE"""),19878103)</f>
        <v>19878103</v>
      </c>
      <c r="J98" s="45" t="str">
        <f ca="1">IFERROR(__xludf.DUMMYFUNCTION("""COMPUTED_VALUE"""),"LW9DCIS")</f>
        <v>LW9DCIS</v>
      </c>
      <c r="K98" s="45" t="str">
        <f ca="1">IFERROR(__xludf.DUMMYFUNCTION("""COMPUTED_VALUE"""),"LW9DCIS-073357")</f>
        <v>LW9DCIS-073357</v>
      </c>
      <c r="L98" s="45">
        <f ca="1">IFERROR(__xludf.DUMMYFUNCTION("""COMPUTED_VALUE"""),4)</f>
        <v>4</v>
      </c>
      <c r="M98" s="45">
        <f ca="1">IFERROR(__xludf.DUMMYFUNCTION("""COMPUTED_VALUE"""),204)</f>
        <v>204</v>
      </c>
      <c r="N98" s="45">
        <f ca="1">IFERROR(__xludf.DUMMYFUNCTION("""COMPUTED_VALUE"""),18.703)</f>
        <v>18.702999999999999</v>
      </c>
      <c r="O98" s="45">
        <f ca="1">IFERROR(__xludf.DUMMYFUNCTION("""COMPUTED_VALUE"""),0.176)</f>
        <v>0.17599999999999999</v>
      </c>
      <c r="P98" s="45" t="str">
        <f ca="1">IFERROR(__xludf.DUMMYFUNCTION("""COMPUTED_VALUE"""),"Colombo, LK")</f>
        <v>Colombo, LK</v>
      </c>
      <c r="Q98" s="45" t="str">
        <f ca="1">IFERROR(__xludf.DUMMYFUNCTION("""COMPUTED_VALUE"""),"New York, NY, US")</f>
        <v>New York, NY, US</v>
      </c>
      <c r="R98" s="44">
        <f ca="1">IFERROR(__xludf.DUMMYFUNCTION("""COMPUTED_VALUE"""),45817)</f>
        <v>45817</v>
      </c>
      <c r="S98" s="44">
        <f ca="1">IFERROR(__xludf.DUMMYFUNCTION("""COMPUTED_VALUE"""),45876)</f>
        <v>45876</v>
      </c>
      <c r="T98" s="45" t="str">
        <f ca="1">IFERROR(__xludf.DUMMYFUNCTION("""COMPUTED_VALUE"""),"Mississauga, ON, CA")</f>
        <v>Mississauga, ON, CA</v>
      </c>
      <c r="U98" s="45"/>
      <c r="V98" s="45"/>
      <c r="W98" s="45"/>
      <c r="X98" s="45"/>
      <c r="Y98" s="46">
        <f ca="1">IFERROR(__xludf.DUMMYFUNCTION("""COMPUTED_VALUE"""),45825)</f>
        <v>45825</v>
      </c>
      <c r="Z98" s="46">
        <f ca="1">IFERROR(__xludf.DUMMYFUNCTION("""COMPUTED_VALUE"""),45854)</f>
        <v>45854</v>
      </c>
      <c r="AA98" s="46">
        <f ca="1">IFERROR(__xludf.DUMMYFUNCTION("""COMPUTED_VALUE"""),45867)</f>
        <v>45867</v>
      </c>
      <c r="AB98" s="45" t="str">
        <f ca="1">IFERROR(__xludf.DUMMYFUNCTION("""COMPUTED_VALUE"""),"3500 Argentia Road")</f>
        <v>3500 Argentia Road</v>
      </c>
      <c r="AC98" s="45"/>
      <c r="AD98" s="45" t="str">
        <f ca="1">IFERROR(__xludf.DUMMYFUNCTION("""COMPUTED_VALUE"""),"OCEAN")</f>
        <v>OCEAN</v>
      </c>
      <c r="AE98" s="45" t="str">
        <f ca="1">IFERROR(__xludf.DUMMYFUNCTION("""COMPUTED_VALUE"""),"N")</f>
        <v>N</v>
      </c>
      <c r="AF98" s="45"/>
      <c r="AG98" s="49" t="str">
        <f ca="1">IFERROR(__xludf.DUMMYFUNCTION("IFNA(vlookup(H98,IMPORTRANGE(""1vUGwO1n0QQGx9kKbO0_M5gmuhXZ6-LaxQxgrmJnzgP0"",""'TP# look up'!A:C""),3,0),"""")"),"")</f>
        <v/>
      </c>
      <c r="AH98" s="49" t="str">
        <f t="shared" ca="1" si="1"/>
        <v>LW</v>
      </c>
    </row>
    <row r="99" spans="1:34" ht="12.75" hidden="1">
      <c r="A99" s="45" t="str">
        <f ca="1">IFERROR(__xludf.DUMMYFUNCTION("""COMPUTED_VALUE"""),"Colombo")</f>
        <v>Colombo</v>
      </c>
      <c r="B99" s="45"/>
      <c r="C99" s="45">
        <f ca="1">IFERROR(__xludf.DUMMYFUNCTION("""COMPUTED_VALUE"""),3231352)</f>
        <v>3231352</v>
      </c>
      <c r="D99" s="45"/>
      <c r="E99" s="45" t="str">
        <f ca="1">IFERROR(__xludf.DUMMYFUNCTION("""COMPUTED_VALUE"""),"CFS")</f>
        <v>CFS</v>
      </c>
      <c r="F99" s="45" t="str">
        <f ca="1">IFERROR(__xludf.DUMMYFUNCTION("""COMPUTED_VALUE"""),"Bodyline Trading (Private) Limited")</f>
        <v>Bodyline Trading (Private) Limited</v>
      </c>
      <c r="G99" s="45" t="str">
        <f ca="1">IFERROR(__xludf.DUMMYFUNCTION("""COMPUTED_VALUE"""),"Bodyline (Private) Limited")</f>
        <v>Bodyline (Private) Limited</v>
      </c>
      <c r="H99" s="43">
        <f ca="1">IFERROR(__xludf.DUMMYFUNCTION("""COMPUTED_VALUE"""),452648462038)</f>
        <v>452648462038</v>
      </c>
      <c r="I99" s="45">
        <f ca="1">IFERROR(__xludf.DUMMYFUNCTION("""COMPUTED_VALUE"""),19877599)</f>
        <v>19877599</v>
      </c>
      <c r="J99" s="45" t="str">
        <f ca="1">IFERROR(__xludf.DUMMYFUNCTION("""COMPUTED_VALUE"""),"LW9DCLS")</f>
        <v>LW9DCLS</v>
      </c>
      <c r="K99" s="45" t="str">
        <f ca="1">IFERROR(__xludf.DUMMYFUNCTION("""COMPUTED_VALUE"""),"LW9DCLS-073357")</f>
        <v>LW9DCLS-073357</v>
      </c>
      <c r="L99" s="45">
        <f ca="1">IFERROR(__xludf.DUMMYFUNCTION("""COMPUTED_VALUE"""),2)</f>
        <v>2</v>
      </c>
      <c r="M99" s="45">
        <f ca="1">IFERROR(__xludf.DUMMYFUNCTION("""COMPUTED_VALUE"""),83)</f>
        <v>83</v>
      </c>
      <c r="N99" s="45">
        <f ca="1">IFERROR(__xludf.DUMMYFUNCTION("""COMPUTED_VALUE"""),9.329)</f>
        <v>9.3290000000000006</v>
      </c>
      <c r="O99" s="45">
        <f ca="1">IFERROR(__xludf.DUMMYFUNCTION("""COMPUTED_VALUE"""),0.088)</f>
        <v>8.7999999999999995E-2</v>
      </c>
      <c r="P99" s="45" t="str">
        <f ca="1">IFERROR(__xludf.DUMMYFUNCTION("""COMPUTED_VALUE"""),"Colombo, LK")</f>
        <v>Colombo, LK</v>
      </c>
      <c r="Q99" s="45" t="str">
        <f ca="1">IFERROR(__xludf.DUMMYFUNCTION("""COMPUTED_VALUE"""),"New York, NY, US")</f>
        <v>New York, NY, US</v>
      </c>
      <c r="R99" s="44">
        <f ca="1">IFERROR(__xludf.DUMMYFUNCTION("""COMPUTED_VALUE"""),45817)</f>
        <v>45817</v>
      </c>
      <c r="S99" s="44">
        <f ca="1">IFERROR(__xludf.DUMMYFUNCTION("""COMPUTED_VALUE"""),45876)</f>
        <v>45876</v>
      </c>
      <c r="T99" s="45" t="str">
        <f ca="1">IFERROR(__xludf.DUMMYFUNCTION("""COMPUTED_VALUE"""),"Milton, ON, CA")</f>
        <v>Milton, ON, CA</v>
      </c>
      <c r="U99" s="45"/>
      <c r="V99" s="45"/>
      <c r="W99" s="45"/>
      <c r="X99" s="45"/>
      <c r="Y99" s="46">
        <f ca="1">IFERROR(__xludf.DUMMYFUNCTION("""COMPUTED_VALUE"""),45825)</f>
        <v>45825</v>
      </c>
      <c r="Z99" s="46">
        <f ca="1">IFERROR(__xludf.DUMMYFUNCTION("""COMPUTED_VALUE"""),45854)</f>
        <v>45854</v>
      </c>
      <c r="AA99" s="46">
        <f ca="1">IFERROR(__xludf.DUMMYFUNCTION("""COMPUTED_VALUE"""),45867)</f>
        <v>45867</v>
      </c>
      <c r="AB99" s="45" t="str">
        <f ca="1">IFERROR(__xludf.DUMMYFUNCTION("""COMPUTED_VALUE"""),"7211 Fifth Line")</f>
        <v>7211 Fifth Line</v>
      </c>
      <c r="AC99" s="45"/>
      <c r="AD99" s="45" t="str">
        <f ca="1">IFERROR(__xludf.DUMMYFUNCTION("""COMPUTED_VALUE"""),"OCEAN")</f>
        <v>OCEAN</v>
      </c>
      <c r="AE99" s="45" t="str">
        <f ca="1">IFERROR(__xludf.DUMMYFUNCTION("""COMPUTED_VALUE"""),"N")</f>
        <v>N</v>
      </c>
      <c r="AF99" s="45"/>
      <c r="AG99" s="49" t="str">
        <f ca="1">IFERROR(__xludf.DUMMYFUNCTION("IFNA(vlookup(H99,IMPORTRANGE(""1vUGwO1n0QQGx9kKbO0_M5gmuhXZ6-LaxQxgrmJnzgP0"",""'TP# look up'!A:C""),3,0),"""")"),"")</f>
        <v/>
      </c>
      <c r="AH99" s="49" t="str">
        <f t="shared" ca="1" si="1"/>
        <v>LW</v>
      </c>
    </row>
    <row r="100" spans="1:34" ht="12.75" hidden="1">
      <c r="A100" s="45" t="str">
        <f ca="1">IFERROR(__xludf.DUMMYFUNCTION("""COMPUTED_VALUE"""),"Colombo")</f>
        <v>Colombo</v>
      </c>
      <c r="B100" s="45"/>
      <c r="C100" s="45">
        <f ca="1">IFERROR(__xludf.DUMMYFUNCTION("""COMPUTED_VALUE"""),3231352)</f>
        <v>3231352</v>
      </c>
      <c r="D100" s="45"/>
      <c r="E100" s="45" t="str">
        <f ca="1">IFERROR(__xludf.DUMMYFUNCTION("""COMPUTED_VALUE"""),"CFS")</f>
        <v>CFS</v>
      </c>
      <c r="F100" s="45" t="str">
        <f ca="1">IFERROR(__xludf.DUMMYFUNCTION("""COMPUTED_VALUE"""),"Bodyline Trading (Private) Limited")</f>
        <v>Bodyline Trading (Private) Limited</v>
      </c>
      <c r="G100" s="45" t="str">
        <f ca="1">IFERROR(__xludf.DUMMYFUNCTION("""COMPUTED_VALUE"""),"Bodyline (Private) Limited")</f>
        <v>Bodyline (Private) Limited</v>
      </c>
      <c r="H100" s="43">
        <f ca="1">IFERROR(__xludf.DUMMYFUNCTION("""COMPUTED_VALUE"""),452648556049)</f>
        <v>452648556049</v>
      </c>
      <c r="I100" s="45">
        <f ca="1">IFERROR(__xludf.DUMMYFUNCTION("""COMPUTED_VALUE"""),19878327)</f>
        <v>19878327</v>
      </c>
      <c r="J100" s="45" t="str">
        <f ca="1">IFERROR(__xludf.DUMMYFUNCTION("""COMPUTED_VALUE"""),"LW9DCLS")</f>
        <v>LW9DCLS</v>
      </c>
      <c r="K100" s="45" t="str">
        <f ca="1">IFERROR(__xludf.DUMMYFUNCTION("""COMPUTED_VALUE"""),"LW9DCLS-073357")</f>
        <v>LW9DCLS-073357</v>
      </c>
      <c r="L100" s="45">
        <f ca="1">IFERROR(__xludf.DUMMYFUNCTION("""COMPUTED_VALUE"""),4)</f>
        <v>4</v>
      </c>
      <c r="M100" s="45">
        <f ca="1">IFERROR(__xludf.DUMMYFUNCTION("""COMPUTED_VALUE"""),232)</f>
        <v>232</v>
      </c>
      <c r="N100" s="45">
        <f ca="1">IFERROR(__xludf.DUMMYFUNCTION("""COMPUTED_VALUE"""),25.234)</f>
        <v>25.234000000000002</v>
      </c>
      <c r="O100" s="45">
        <f ca="1">IFERROR(__xludf.DUMMYFUNCTION("""COMPUTED_VALUE"""),0.176)</f>
        <v>0.17599999999999999</v>
      </c>
      <c r="P100" s="45" t="str">
        <f ca="1">IFERROR(__xludf.DUMMYFUNCTION("""COMPUTED_VALUE"""),"Colombo, LK")</f>
        <v>Colombo, LK</v>
      </c>
      <c r="Q100" s="45" t="str">
        <f ca="1">IFERROR(__xludf.DUMMYFUNCTION("""COMPUTED_VALUE"""),"New York, NY, US")</f>
        <v>New York, NY, US</v>
      </c>
      <c r="R100" s="44">
        <f ca="1">IFERROR(__xludf.DUMMYFUNCTION("""COMPUTED_VALUE"""),45817)</f>
        <v>45817</v>
      </c>
      <c r="S100" s="44">
        <f ca="1">IFERROR(__xludf.DUMMYFUNCTION("""COMPUTED_VALUE"""),45876)</f>
        <v>45876</v>
      </c>
      <c r="T100" s="45" t="str">
        <f ca="1">IFERROR(__xludf.DUMMYFUNCTION("""COMPUTED_VALUE"""),"Mississauga, ON, CA")</f>
        <v>Mississauga, ON, CA</v>
      </c>
      <c r="U100" s="45"/>
      <c r="V100" s="45"/>
      <c r="W100" s="45"/>
      <c r="X100" s="45"/>
      <c r="Y100" s="46">
        <f ca="1">IFERROR(__xludf.DUMMYFUNCTION("""COMPUTED_VALUE"""),45825)</f>
        <v>45825</v>
      </c>
      <c r="Z100" s="46">
        <f ca="1">IFERROR(__xludf.DUMMYFUNCTION("""COMPUTED_VALUE"""),45854)</f>
        <v>45854</v>
      </c>
      <c r="AA100" s="46">
        <f ca="1">IFERROR(__xludf.DUMMYFUNCTION("""COMPUTED_VALUE"""),45867)</f>
        <v>45867</v>
      </c>
      <c r="AB100" s="45" t="str">
        <f ca="1">IFERROR(__xludf.DUMMYFUNCTION("""COMPUTED_VALUE"""),"3500 Argentia Road")</f>
        <v>3500 Argentia Road</v>
      </c>
      <c r="AC100" s="45"/>
      <c r="AD100" s="45" t="str">
        <f ca="1">IFERROR(__xludf.DUMMYFUNCTION("""COMPUTED_VALUE"""),"OCEAN")</f>
        <v>OCEAN</v>
      </c>
      <c r="AE100" s="45" t="str">
        <f ca="1">IFERROR(__xludf.DUMMYFUNCTION("""COMPUTED_VALUE"""),"N")</f>
        <v>N</v>
      </c>
      <c r="AF100" s="45"/>
      <c r="AG100" s="49" t="str">
        <f ca="1">IFERROR(__xludf.DUMMYFUNCTION("IFNA(vlookup(H100,IMPORTRANGE(""1vUGwO1n0QQGx9kKbO0_M5gmuhXZ6-LaxQxgrmJnzgP0"",""'TP# look up'!A:C""),3,0),"""")"),"")</f>
        <v/>
      </c>
      <c r="AH100" s="49" t="str">
        <f t="shared" ca="1" si="1"/>
        <v>LW</v>
      </c>
    </row>
    <row r="101" spans="1:34" ht="12.75" hidden="1">
      <c r="A101" s="45" t="str">
        <f ca="1">IFERROR(__xludf.DUMMYFUNCTION("""COMPUTED_VALUE"""),"Colombo")</f>
        <v>Colombo</v>
      </c>
      <c r="B101" s="45"/>
      <c r="C101" s="45">
        <f ca="1">IFERROR(__xludf.DUMMYFUNCTION("""COMPUTED_VALUE"""),3231352)</f>
        <v>3231352</v>
      </c>
      <c r="D101" s="45"/>
      <c r="E101" s="45" t="str">
        <f ca="1">IFERROR(__xludf.DUMMYFUNCTION("""COMPUTED_VALUE"""),"CFS")</f>
        <v>CFS</v>
      </c>
      <c r="F101" s="45" t="str">
        <f ca="1">IFERROR(__xludf.DUMMYFUNCTION("""COMPUTED_VALUE"""),"Bodyline Trading (Private) Limited")</f>
        <v>Bodyline Trading (Private) Limited</v>
      </c>
      <c r="G101" s="45" t="str">
        <f ca="1">IFERROR(__xludf.DUMMYFUNCTION("""COMPUTED_VALUE"""),"Bodyline (Private) Limited")</f>
        <v>Bodyline (Private) Limited</v>
      </c>
      <c r="H101" s="43">
        <f ca="1">IFERROR(__xludf.DUMMYFUNCTION("""COMPUTED_VALUE"""),452648755381)</f>
        <v>452648755381</v>
      </c>
      <c r="I101" s="45">
        <f ca="1">IFERROR(__xludf.DUMMYFUNCTION("""COMPUTED_VALUE"""),19877609)</f>
        <v>19877609</v>
      </c>
      <c r="J101" s="45" t="str">
        <f ca="1">IFERROR(__xludf.DUMMYFUNCTION("""COMPUTED_VALUE"""),"LW9DCLS")</f>
        <v>LW9DCLS</v>
      </c>
      <c r="K101" s="45" t="str">
        <f ca="1">IFERROR(__xludf.DUMMYFUNCTION("""COMPUTED_VALUE"""),"LW9DCLS-073357")</f>
        <v>LW9DCLS-073357</v>
      </c>
      <c r="L101" s="45">
        <f ca="1">IFERROR(__xludf.DUMMYFUNCTION("""COMPUTED_VALUE"""),4)</f>
        <v>4</v>
      </c>
      <c r="M101" s="45">
        <f ca="1">IFERROR(__xludf.DUMMYFUNCTION("""COMPUTED_VALUE"""),120)</f>
        <v>120</v>
      </c>
      <c r="N101" s="45">
        <f ca="1">IFERROR(__xludf.DUMMYFUNCTION("""COMPUTED_VALUE"""),15.176)</f>
        <v>15.176</v>
      </c>
      <c r="O101" s="45">
        <f ca="1">IFERROR(__xludf.DUMMYFUNCTION("""COMPUTED_VALUE"""),0.176)</f>
        <v>0.17599999999999999</v>
      </c>
      <c r="P101" s="45" t="str">
        <f ca="1">IFERROR(__xludf.DUMMYFUNCTION("""COMPUTED_VALUE"""),"Colombo, LK")</f>
        <v>Colombo, LK</v>
      </c>
      <c r="Q101" s="45" t="str">
        <f ca="1">IFERROR(__xludf.DUMMYFUNCTION("""COMPUTED_VALUE"""),"New York, NY, US")</f>
        <v>New York, NY, US</v>
      </c>
      <c r="R101" s="44">
        <f ca="1">IFERROR(__xludf.DUMMYFUNCTION("""COMPUTED_VALUE"""),45817)</f>
        <v>45817</v>
      </c>
      <c r="S101" s="44">
        <f ca="1">IFERROR(__xludf.DUMMYFUNCTION("""COMPUTED_VALUE"""),45876)</f>
        <v>45876</v>
      </c>
      <c r="T101" s="45" t="str">
        <f ca="1">IFERROR(__xludf.DUMMYFUNCTION("""COMPUTED_VALUE"""),"Mississauga, ON, CA")</f>
        <v>Mississauga, ON, CA</v>
      </c>
      <c r="U101" s="45"/>
      <c r="V101" s="45"/>
      <c r="W101" s="45"/>
      <c r="X101" s="45"/>
      <c r="Y101" s="46">
        <f ca="1">IFERROR(__xludf.DUMMYFUNCTION("""COMPUTED_VALUE"""),45825)</f>
        <v>45825</v>
      </c>
      <c r="Z101" s="46">
        <f ca="1">IFERROR(__xludf.DUMMYFUNCTION("""COMPUTED_VALUE"""),45854)</f>
        <v>45854</v>
      </c>
      <c r="AA101" s="46">
        <f ca="1">IFERROR(__xludf.DUMMYFUNCTION("""COMPUTED_VALUE"""),45867)</f>
        <v>45867</v>
      </c>
      <c r="AB101" s="45" t="str">
        <f ca="1">IFERROR(__xludf.DUMMYFUNCTION("""COMPUTED_VALUE"""),"3500 Argentia Road")</f>
        <v>3500 Argentia Road</v>
      </c>
      <c r="AC101" s="45"/>
      <c r="AD101" s="45" t="str">
        <f ca="1">IFERROR(__xludf.DUMMYFUNCTION("""COMPUTED_VALUE"""),"OCEAN")</f>
        <v>OCEAN</v>
      </c>
      <c r="AE101" s="45" t="str">
        <f ca="1">IFERROR(__xludf.DUMMYFUNCTION("""COMPUTED_VALUE"""),"N")</f>
        <v>N</v>
      </c>
      <c r="AF101" s="45"/>
      <c r="AG101" s="49" t="str">
        <f ca="1">IFERROR(__xludf.DUMMYFUNCTION("IFNA(vlookup(H101,IMPORTRANGE(""1vUGwO1n0QQGx9kKbO0_M5gmuhXZ6-LaxQxgrmJnzgP0"",""'TP# look up'!A:C""),3,0),"""")"),"")</f>
        <v/>
      </c>
      <c r="AH101" s="49" t="str">
        <f t="shared" ca="1" si="1"/>
        <v>LW</v>
      </c>
    </row>
    <row r="102" spans="1:34" ht="12.75" hidden="1">
      <c r="A102" s="45" t="str">
        <f ca="1">IFERROR(__xludf.DUMMYFUNCTION("""COMPUTED_VALUE"""),"Colombo")</f>
        <v>Colombo</v>
      </c>
      <c r="B102" s="45"/>
      <c r="C102" s="45">
        <f ca="1">IFERROR(__xludf.DUMMYFUNCTION("""COMPUTED_VALUE"""),3231352)</f>
        <v>3231352</v>
      </c>
      <c r="D102" s="45"/>
      <c r="E102" s="45" t="str">
        <f ca="1">IFERROR(__xludf.DUMMYFUNCTION("""COMPUTED_VALUE"""),"CFS")</f>
        <v>CFS</v>
      </c>
      <c r="F102" s="45" t="str">
        <f ca="1">IFERROR(__xludf.DUMMYFUNCTION("""COMPUTED_VALUE"""),"Bodyline Trading (Private) Limited")</f>
        <v>Bodyline Trading (Private) Limited</v>
      </c>
      <c r="G102" s="45" t="str">
        <f ca="1">IFERROR(__xludf.DUMMYFUNCTION("""COMPUTED_VALUE"""),"Bodyline (Private) Limited")</f>
        <v>Bodyline (Private) Limited</v>
      </c>
      <c r="H102" s="43">
        <f ca="1">IFERROR(__xludf.DUMMYFUNCTION("""COMPUTED_VALUE"""),452650139553)</f>
        <v>452650139553</v>
      </c>
      <c r="I102" s="45">
        <f ca="1">IFERROR(__xludf.DUMMYFUNCTION("""COMPUTED_VALUE"""),19877784)</f>
        <v>19877784</v>
      </c>
      <c r="J102" s="45" t="str">
        <f ca="1">IFERROR(__xludf.DUMMYFUNCTION("""COMPUTED_VALUE"""),"LW9DTZS")</f>
        <v>LW9DTZS</v>
      </c>
      <c r="K102" s="45" t="str">
        <f ca="1">IFERROR(__xludf.DUMMYFUNCTION("""COMPUTED_VALUE"""),"LW9DTZS-073330")</f>
        <v>LW9DTZS-073330</v>
      </c>
      <c r="L102" s="45">
        <f ca="1">IFERROR(__xludf.DUMMYFUNCTION("""COMPUTED_VALUE"""),3)</f>
        <v>3</v>
      </c>
      <c r="M102" s="45">
        <f ca="1">IFERROR(__xludf.DUMMYFUNCTION("""COMPUTED_VALUE"""),84)</f>
        <v>84</v>
      </c>
      <c r="N102" s="45">
        <f ca="1">IFERROR(__xludf.DUMMYFUNCTION("""COMPUTED_VALUE"""),11.019)</f>
        <v>11.019</v>
      </c>
      <c r="O102" s="45">
        <f ca="1">IFERROR(__xludf.DUMMYFUNCTION("""COMPUTED_VALUE"""),0.132)</f>
        <v>0.13200000000000001</v>
      </c>
      <c r="P102" s="45" t="str">
        <f ca="1">IFERROR(__xludf.DUMMYFUNCTION("""COMPUTED_VALUE"""),"Colombo, LK")</f>
        <v>Colombo, LK</v>
      </c>
      <c r="Q102" s="45" t="str">
        <f ca="1">IFERROR(__xludf.DUMMYFUNCTION("""COMPUTED_VALUE"""),"New York, NY, US")</f>
        <v>New York, NY, US</v>
      </c>
      <c r="R102" s="44">
        <f ca="1">IFERROR(__xludf.DUMMYFUNCTION("""COMPUTED_VALUE"""),45817)</f>
        <v>45817</v>
      </c>
      <c r="S102" s="44">
        <f ca="1">IFERROR(__xludf.DUMMYFUNCTION("""COMPUTED_VALUE"""),45876)</f>
        <v>45876</v>
      </c>
      <c r="T102" s="45" t="str">
        <f ca="1">IFERROR(__xludf.DUMMYFUNCTION("""COMPUTED_VALUE"""),"Mississauga, ON, CA")</f>
        <v>Mississauga, ON, CA</v>
      </c>
      <c r="U102" s="45"/>
      <c r="V102" s="45"/>
      <c r="W102" s="45"/>
      <c r="X102" s="45"/>
      <c r="Y102" s="46">
        <f ca="1">IFERROR(__xludf.DUMMYFUNCTION("""COMPUTED_VALUE"""),45825)</f>
        <v>45825</v>
      </c>
      <c r="Z102" s="46">
        <f ca="1">IFERROR(__xludf.DUMMYFUNCTION("""COMPUTED_VALUE"""),45854)</f>
        <v>45854</v>
      </c>
      <c r="AA102" s="46">
        <f ca="1">IFERROR(__xludf.DUMMYFUNCTION("""COMPUTED_VALUE"""),45867)</f>
        <v>45867</v>
      </c>
      <c r="AB102" s="45" t="str">
        <f ca="1">IFERROR(__xludf.DUMMYFUNCTION("""COMPUTED_VALUE"""),"3500 Argentia Road")</f>
        <v>3500 Argentia Road</v>
      </c>
      <c r="AC102" s="45"/>
      <c r="AD102" s="45" t="str">
        <f ca="1">IFERROR(__xludf.DUMMYFUNCTION("""COMPUTED_VALUE"""),"OCEAN")</f>
        <v>OCEAN</v>
      </c>
      <c r="AE102" s="45" t="str">
        <f ca="1">IFERROR(__xludf.DUMMYFUNCTION("""COMPUTED_VALUE"""),"N")</f>
        <v>N</v>
      </c>
      <c r="AF102" s="45"/>
      <c r="AG102" s="49" t="str">
        <f ca="1">IFERROR(__xludf.DUMMYFUNCTION("IFNA(vlookup(H102,IMPORTRANGE(""1vUGwO1n0QQGx9kKbO0_M5gmuhXZ6-LaxQxgrmJnzgP0"",""'TP# look up'!A:C""),3,0),"""")"),"")</f>
        <v/>
      </c>
      <c r="AH102" s="49" t="str">
        <f t="shared" ca="1" si="1"/>
        <v>LW</v>
      </c>
    </row>
    <row r="103" spans="1:34" ht="12.75" hidden="1">
      <c r="A103" s="45" t="str">
        <f ca="1">IFERROR(__xludf.DUMMYFUNCTION("""COMPUTED_VALUE"""),"Colombo")</f>
        <v>Colombo</v>
      </c>
      <c r="B103" s="45"/>
      <c r="C103" s="45">
        <f ca="1">IFERROR(__xludf.DUMMYFUNCTION("""COMPUTED_VALUE"""),3231352)</f>
        <v>3231352</v>
      </c>
      <c r="D103" s="45"/>
      <c r="E103" s="45" t="str">
        <f ca="1">IFERROR(__xludf.DUMMYFUNCTION("""COMPUTED_VALUE"""),"CFS")</f>
        <v>CFS</v>
      </c>
      <c r="F103" s="45" t="str">
        <f ca="1">IFERROR(__xludf.DUMMYFUNCTION("""COMPUTED_VALUE"""),"Bodyline Trading (Private) Limited")</f>
        <v>Bodyline Trading (Private) Limited</v>
      </c>
      <c r="G103" s="45" t="str">
        <f ca="1">IFERROR(__xludf.DUMMYFUNCTION("""COMPUTED_VALUE"""),"Bodyline (Private) Limited")</f>
        <v>Bodyline (Private) Limited</v>
      </c>
      <c r="H103" s="43">
        <f ca="1">IFERROR(__xludf.DUMMYFUNCTION("""COMPUTED_VALUE"""),452650588278)</f>
        <v>452650588278</v>
      </c>
      <c r="I103" s="45">
        <f ca="1">IFERROR(__xludf.DUMMYFUNCTION("""COMPUTED_VALUE"""),19877780)</f>
        <v>19877780</v>
      </c>
      <c r="J103" s="45" t="str">
        <f ca="1">IFERROR(__xludf.DUMMYFUNCTION("""COMPUTED_VALUE"""),"LW9DTZS")</f>
        <v>LW9DTZS</v>
      </c>
      <c r="K103" s="45" t="str">
        <f ca="1">IFERROR(__xludf.DUMMYFUNCTION("""COMPUTED_VALUE"""),"LW9DTZS-073330")</f>
        <v>LW9DTZS-073330</v>
      </c>
      <c r="L103" s="45">
        <f ca="1">IFERROR(__xludf.DUMMYFUNCTION("""COMPUTED_VALUE"""),5)</f>
        <v>5</v>
      </c>
      <c r="M103" s="45">
        <f ca="1">IFERROR(__xludf.DUMMYFUNCTION("""COMPUTED_VALUE"""),276)</f>
        <v>276</v>
      </c>
      <c r="N103" s="45">
        <f ca="1">IFERROR(__xludf.DUMMYFUNCTION("""COMPUTED_VALUE"""),31.452)</f>
        <v>31.452000000000002</v>
      </c>
      <c r="O103" s="45">
        <f ca="1">IFERROR(__xludf.DUMMYFUNCTION("""COMPUTED_VALUE"""),0.22)</f>
        <v>0.22</v>
      </c>
      <c r="P103" s="45" t="str">
        <f ca="1">IFERROR(__xludf.DUMMYFUNCTION("""COMPUTED_VALUE"""),"Colombo, LK")</f>
        <v>Colombo, LK</v>
      </c>
      <c r="Q103" s="45" t="str">
        <f ca="1">IFERROR(__xludf.DUMMYFUNCTION("""COMPUTED_VALUE"""),"New York, NY, US")</f>
        <v>New York, NY, US</v>
      </c>
      <c r="R103" s="44">
        <f ca="1">IFERROR(__xludf.DUMMYFUNCTION("""COMPUTED_VALUE"""),45817)</f>
        <v>45817</v>
      </c>
      <c r="S103" s="44">
        <f ca="1">IFERROR(__xludf.DUMMYFUNCTION("""COMPUTED_VALUE"""),45876)</f>
        <v>45876</v>
      </c>
      <c r="T103" s="45" t="str">
        <f ca="1">IFERROR(__xludf.DUMMYFUNCTION("""COMPUTED_VALUE"""),"Milton, ON, CA")</f>
        <v>Milton, ON, CA</v>
      </c>
      <c r="U103" s="45"/>
      <c r="V103" s="45"/>
      <c r="W103" s="45"/>
      <c r="X103" s="45"/>
      <c r="Y103" s="46">
        <f ca="1">IFERROR(__xludf.DUMMYFUNCTION("""COMPUTED_VALUE"""),45825)</f>
        <v>45825</v>
      </c>
      <c r="Z103" s="46">
        <f ca="1">IFERROR(__xludf.DUMMYFUNCTION("""COMPUTED_VALUE"""),45854)</f>
        <v>45854</v>
      </c>
      <c r="AA103" s="46">
        <f ca="1">IFERROR(__xludf.DUMMYFUNCTION("""COMPUTED_VALUE"""),45867)</f>
        <v>45867</v>
      </c>
      <c r="AB103" s="45" t="str">
        <f ca="1">IFERROR(__xludf.DUMMYFUNCTION("""COMPUTED_VALUE"""),"7211 Fifth Line")</f>
        <v>7211 Fifth Line</v>
      </c>
      <c r="AC103" s="45"/>
      <c r="AD103" s="45" t="str">
        <f ca="1">IFERROR(__xludf.DUMMYFUNCTION("""COMPUTED_VALUE"""),"OCEAN")</f>
        <v>OCEAN</v>
      </c>
      <c r="AE103" s="45" t="str">
        <f ca="1">IFERROR(__xludf.DUMMYFUNCTION("""COMPUTED_VALUE"""),"N")</f>
        <v>N</v>
      </c>
      <c r="AF103" s="45"/>
      <c r="AG103" s="49" t="str">
        <f ca="1">IFERROR(__xludf.DUMMYFUNCTION("IFNA(vlookup(H103,IMPORTRANGE(""1vUGwO1n0QQGx9kKbO0_M5gmuhXZ6-LaxQxgrmJnzgP0"",""'TP# look up'!A:C""),3,0),"""")"),"")</f>
        <v/>
      </c>
      <c r="AH103" s="49" t="str">
        <f t="shared" ca="1" si="1"/>
        <v>LW</v>
      </c>
    </row>
    <row r="104" spans="1:34" ht="12.75" hidden="1">
      <c r="A104" s="45" t="str">
        <f ca="1">IFERROR(__xludf.DUMMYFUNCTION("""COMPUTED_VALUE"""),"Colombo")</f>
        <v>Colombo</v>
      </c>
      <c r="B104" s="45"/>
      <c r="C104" s="45">
        <f ca="1">IFERROR(__xludf.DUMMYFUNCTION("""COMPUTED_VALUE"""),3231352)</f>
        <v>3231352</v>
      </c>
      <c r="D104" s="45"/>
      <c r="E104" s="45" t="str">
        <f ca="1">IFERROR(__xludf.DUMMYFUNCTION("""COMPUTED_VALUE"""),"CFS")</f>
        <v>CFS</v>
      </c>
      <c r="F104" s="45" t="str">
        <f ca="1">IFERROR(__xludf.DUMMYFUNCTION("""COMPUTED_VALUE"""),"Bodyline Trading (Private) Limited")</f>
        <v>Bodyline Trading (Private) Limited</v>
      </c>
      <c r="G104" s="45" t="str">
        <f ca="1">IFERROR(__xludf.DUMMYFUNCTION("""COMPUTED_VALUE"""),"Bodyline (Private) Limited")</f>
        <v>Bodyline (Private) Limited</v>
      </c>
      <c r="H104" s="43">
        <f ca="1">IFERROR(__xludf.DUMMYFUNCTION("""COMPUTED_VALUE"""),452651967427)</f>
        <v>452651967427</v>
      </c>
      <c r="I104" s="45">
        <f ca="1">IFERROR(__xludf.DUMMYFUNCTION("""COMPUTED_VALUE"""),19878479)</f>
        <v>19878479</v>
      </c>
      <c r="J104" s="45" t="str">
        <f ca="1">IFERROR(__xludf.DUMMYFUNCTION("""COMPUTED_VALUE"""),"LW9DTZS")</f>
        <v>LW9DTZS</v>
      </c>
      <c r="K104" s="45" t="str">
        <f ca="1">IFERROR(__xludf.DUMMYFUNCTION("""COMPUTED_VALUE"""),"LW9DTZS-073330")</f>
        <v>LW9DTZS-073330</v>
      </c>
      <c r="L104" s="45">
        <f ca="1">IFERROR(__xludf.DUMMYFUNCTION("""COMPUTED_VALUE"""),4)</f>
        <v>4</v>
      </c>
      <c r="M104" s="45">
        <f ca="1">IFERROR(__xludf.DUMMYFUNCTION("""COMPUTED_VALUE"""),173)</f>
        <v>173</v>
      </c>
      <c r="N104" s="45">
        <f ca="1">IFERROR(__xludf.DUMMYFUNCTION("""COMPUTED_VALUE"""),20.725)</f>
        <v>20.725000000000001</v>
      </c>
      <c r="O104" s="45">
        <f ca="1">IFERROR(__xludf.DUMMYFUNCTION("""COMPUTED_VALUE"""),0.176)</f>
        <v>0.17599999999999999</v>
      </c>
      <c r="P104" s="45" t="str">
        <f ca="1">IFERROR(__xludf.DUMMYFUNCTION("""COMPUTED_VALUE"""),"Colombo, LK")</f>
        <v>Colombo, LK</v>
      </c>
      <c r="Q104" s="45" t="str">
        <f ca="1">IFERROR(__xludf.DUMMYFUNCTION("""COMPUTED_VALUE"""),"New York, NY, US")</f>
        <v>New York, NY, US</v>
      </c>
      <c r="R104" s="44">
        <f ca="1">IFERROR(__xludf.DUMMYFUNCTION("""COMPUTED_VALUE"""),45817)</f>
        <v>45817</v>
      </c>
      <c r="S104" s="44">
        <f ca="1">IFERROR(__xludf.DUMMYFUNCTION("""COMPUTED_VALUE"""),45876)</f>
        <v>45876</v>
      </c>
      <c r="T104" s="45" t="str">
        <f ca="1">IFERROR(__xludf.DUMMYFUNCTION("""COMPUTED_VALUE"""),"Mississauga, ON, CA")</f>
        <v>Mississauga, ON, CA</v>
      </c>
      <c r="U104" s="45"/>
      <c r="V104" s="45"/>
      <c r="W104" s="45"/>
      <c r="X104" s="45"/>
      <c r="Y104" s="46">
        <f ca="1">IFERROR(__xludf.DUMMYFUNCTION("""COMPUTED_VALUE"""),45825)</f>
        <v>45825</v>
      </c>
      <c r="Z104" s="46">
        <f ca="1">IFERROR(__xludf.DUMMYFUNCTION("""COMPUTED_VALUE"""),45854)</f>
        <v>45854</v>
      </c>
      <c r="AA104" s="46">
        <f ca="1">IFERROR(__xludf.DUMMYFUNCTION("""COMPUTED_VALUE"""),45867)</f>
        <v>45867</v>
      </c>
      <c r="AB104" s="45" t="str">
        <f ca="1">IFERROR(__xludf.DUMMYFUNCTION("""COMPUTED_VALUE"""),"3500 Argentia Road")</f>
        <v>3500 Argentia Road</v>
      </c>
      <c r="AC104" s="45"/>
      <c r="AD104" s="45" t="str">
        <f ca="1">IFERROR(__xludf.DUMMYFUNCTION("""COMPUTED_VALUE"""),"OCEAN")</f>
        <v>OCEAN</v>
      </c>
      <c r="AE104" s="45" t="str">
        <f ca="1">IFERROR(__xludf.DUMMYFUNCTION("""COMPUTED_VALUE"""),"N")</f>
        <v>N</v>
      </c>
      <c r="AF104" s="45"/>
      <c r="AG104" s="49" t="str">
        <f ca="1">IFERROR(__xludf.DUMMYFUNCTION("IFNA(vlookup(H104,IMPORTRANGE(""1vUGwO1n0QQGx9kKbO0_M5gmuhXZ6-LaxQxgrmJnzgP0"",""'TP# look up'!A:C""),3,0),"""")"),"")</f>
        <v/>
      </c>
      <c r="AH104" s="49" t="str">
        <f t="shared" ca="1" si="1"/>
        <v>LW</v>
      </c>
    </row>
    <row r="105" spans="1:34" ht="12.75">
      <c r="A105" s="45" t="str">
        <f ca="1">IFERROR(__xludf.DUMMYFUNCTION("""COMPUTED_VALUE"""),"Colombo")</f>
        <v>Colombo</v>
      </c>
      <c r="B105" s="45"/>
      <c r="C105" s="45">
        <f ca="1">IFERROR(__xludf.DUMMYFUNCTION("""COMPUTED_VALUE"""),3231352)</f>
        <v>3231352</v>
      </c>
      <c r="D105" s="45"/>
      <c r="E105" s="45" t="str">
        <f ca="1">IFERROR(__xludf.DUMMYFUNCTION("""COMPUTED_VALUE"""),"CFS")</f>
        <v>CFS</v>
      </c>
      <c r="F105" s="45" t="str">
        <f ca="1">IFERROR(__xludf.DUMMYFUNCTION("""COMPUTED_VALUE"""),"Bodyline Trading (Private) Limited")</f>
        <v>Bodyline Trading (Private) Limited</v>
      </c>
      <c r="G105" s="45" t="str">
        <f ca="1">IFERROR(__xludf.DUMMYFUNCTION("""COMPUTED_VALUE"""),"Bodyline (Private) Limited")</f>
        <v>Bodyline (Private) Limited</v>
      </c>
      <c r="H105" s="43">
        <f ca="1">IFERROR(__xludf.DUMMYFUNCTION("""COMPUTED_VALUE"""),452656067325)</f>
        <v>452656067325</v>
      </c>
      <c r="I105" s="45">
        <f ca="1">IFERROR(__xludf.DUMMYFUNCTION("""COMPUTED_VALUE"""),19877740)</f>
        <v>19877740</v>
      </c>
      <c r="J105" s="45" t="str">
        <f ca="1">IFERROR(__xludf.DUMMYFUNCTION("""COMPUTED_VALUE"""),"LW9DTYS")</f>
        <v>LW9DTYS</v>
      </c>
      <c r="K105" s="45" t="str">
        <f ca="1">IFERROR(__xludf.DUMMYFUNCTION("""COMPUTED_VALUE"""),"LW9DTYS-073330")</f>
        <v>LW9DTYS-073330</v>
      </c>
      <c r="L105" s="45">
        <f ca="1">IFERROR(__xludf.DUMMYFUNCTION("""COMPUTED_VALUE"""),3)</f>
        <v>3</v>
      </c>
      <c r="M105" s="45">
        <f ca="1">IFERROR(__xludf.DUMMYFUNCTION("""COMPUTED_VALUE"""),65)</f>
        <v>65</v>
      </c>
      <c r="N105" s="45">
        <f ca="1">IFERROR(__xludf.DUMMYFUNCTION("""COMPUTED_VALUE"""),8.14)</f>
        <v>8.14</v>
      </c>
      <c r="O105" s="45">
        <f ca="1">IFERROR(__xludf.DUMMYFUNCTION("""COMPUTED_VALUE"""),0.132)</f>
        <v>0.13200000000000001</v>
      </c>
      <c r="P105" s="45" t="str">
        <f ca="1">IFERROR(__xludf.DUMMYFUNCTION("""COMPUTED_VALUE"""),"Colombo, LK")</f>
        <v>Colombo, LK</v>
      </c>
      <c r="Q105" s="45" t="str">
        <f ca="1">IFERROR(__xludf.DUMMYFUNCTION("""COMPUTED_VALUE"""),"New York, NY, US")</f>
        <v>New York, NY, US</v>
      </c>
      <c r="R105" s="44">
        <f ca="1">IFERROR(__xludf.DUMMYFUNCTION("""COMPUTED_VALUE"""),45817)</f>
        <v>45817</v>
      </c>
      <c r="S105" s="44">
        <f ca="1">IFERROR(__xludf.DUMMYFUNCTION("""COMPUTED_VALUE"""),45876)</f>
        <v>45876</v>
      </c>
      <c r="T105" s="45" t="str">
        <f ca="1">IFERROR(__xludf.DUMMYFUNCTION("""COMPUTED_VALUE"""),"Mississauga, ON, CA")</f>
        <v>Mississauga, ON, CA</v>
      </c>
      <c r="U105" s="45"/>
      <c r="V105" s="45"/>
      <c r="W105" s="45"/>
      <c r="X105" s="45"/>
      <c r="Y105" s="46">
        <f ca="1">IFERROR(__xludf.DUMMYFUNCTION("""COMPUTED_VALUE"""),45825)</f>
        <v>45825</v>
      </c>
      <c r="Z105" s="46">
        <f ca="1">IFERROR(__xludf.DUMMYFUNCTION("""COMPUTED_VALUE"""),45854)</f>
        <v>45854</v>
      </c>
      <c r="AA105" s="46">
        <f ca="1">IFERROR(__xludf.DUMMYFUNCTION("""COMPUTED_VALUE"""),45867)</f>
        <v>45867</v>
      </c>
      <c r="AB105" s="45" t="str">
        <f ca="1">IFERROR(__xludf.DUMMYFUNCTION("""COMPUTED_VALUE"""),"3500 Argentia Road")</f>
        <v>3500 Argentia Road</v>
      </c>
      <c r="AC105" s="45"/>
      <c r="AD105" s="45" t="str">
        <f ca="1">IFERROR(__xludf.DUMMYFUNCTION("""COMPUTED_VALUE"""),"OCEAN")</f>
        <v>OCEAN</v>
      </c>
      <c r="AE105" s="45" t="str">
        <f ca="1">IFERROR(__xludf.DUMMYFUNCTION("""COMPUTED_VALUE"""),"N")</f>
        <v>N</v>
      </c>
      <c r="AF105" s="45"/>
      <c r="AG105" s="49" t="str">
        <f ca="1">IFERROR(__xludf.DUMMYFUNCTION("IFNA(vlookup(H105,IMPORTRANGE(""1vUGwO1n0QQGx9kKbO0_M5gmuhXZ6-LaxQxgrmJnzgP0"",""'TP# look up'!A:C""),3,0),"""")"),"")</f>
        <v/>
      </c>
      <c r="AH105" s="49" t="str">
        <f t="shared" ca="1" si="1"/>
        <v>LW</v>
      </c>
    </row>
    <row r="106" spans="1:34" ht="12.75">
      <c r="A106" s="45" t="str">
        <f ca="1">IFERROR(__xludf.DUMMYFUNCTION("""COMPUTED_VALUE"""),"Colombo")</f>
        <v>Colombo</v>
      </c>
      <c r="B106" s="45"/>
      <c r="C106" s="45">
        <f ca="1">IFERROR(__xludf.DUMMYFUNCTION("""COMPUTED_VALUE"""),3231352)</f>
        <v>3231352</v>
      </c>
      <c r="D106" s="45"/>
      <c r="E106" s="45" t="str">
        <f ca="1">IFERROR(__xludf.DUMMYFUNCTION("""COMPUTED_VALUE"""),"CFS")</f>
        <v>CFS</v>
      </c>
      <c r="F106" s="45" t="str">
        <f ca="1">IFERROR(__xludf.DUMMYFUNCTION("""COMPUTED_VALUE"""),"MAS AMITY PTE LTD")</f>
        <v>MAS AMITY PTE LTD</v>
      </c>
      <c r="G106" s="45" t="str">
        <f ca="1">IFERROR(__xludf.DUMMYFUNCTION("""COMPUTED_VALUE"""),"MAS Active (Pvt) Ltd - Linea Intimo")</f>
        <v>MAS Active (Pvt) Ltd - Linea Intimo</v>
      </c>
      <c r="H106" s="43">
        <f ca="1">IFERROR(__xludf.DUMMYFUNCTION("""COMPUTED_VALUE"""),452698683650)</f>
        <v>452698683650</v>
      </c>
      <c r="I106" s="45">
        <f ca="1">IFERROR(__xludf.DUMMYFUNCTION("""COMPUTED_VALUE"""),19890523)</f>
        <v>19890523</v>
      </c>
      <c r="J106" s="45" t="str">
        <f ca="1">IFERROR(__xludf.DUMMYFUNCTION("""COMPUTED_VALUE"""),"LW7DHNS")</f>
        <v>LW7DHNS</v>
      </c>
      <c r="K106" s="45" t="str">
        <f ca="1">IFERROR(__xludf.DUMMYFUNCTION("""COMPUTED_VALUE"""),"LW7DHNS-070900")</f>
        <v>LW7DHNS-070900</v>
      </c>
      <c r="L106" s="45">
        <f ca="1">IFERROR(__xludf.DUMMYFUNCTION("""COMPUTED_VALUE"""),5)</f>
        <v>5</v>
      </c>
      <c r="M106" s="45">
        <f ca="1">IFERROR(__xludf.DUMMYFUNCTION("""COMPUTED_VALUE"""),125)</f>
        <v>125</v>
      </c>
      <c r="N106" s="45">
        <f ca="1">IFERROR(__xludf.DUMMYFUNCTION("""COMPUTED_VALUE"""),27.88)</f>
        <v>27.88</v>
      </c>
      <c r="O106" s="45">
        <f ca="1">IFERROR(__xludf.DUMMYFUNCTION("""COMPUTED_VALUE"""),0.237)</f>
        <v>0.23699999999999999</v>
      </c>
      <c r="P106" s="45" t="str">
        <f ca="1">IFERROR(__xludf.DUMMYFUNCTION("""COMPUTED_VALUE"""),"Colombo, LK")</f>
        <v>Colombo, LK</v>
      </c>
      <c r="Q106" s="45" t="str">
        <f ca="1">IFERROR(__xludf.DUMMYFUNCTION("""COMPUTED_VALUE"""),"New York, NY, US")</f>
        <v>New York, NY, US</v>
      </c>
      <c r="R106" s="44">
        <f ca="1">IFERROR(__xludf.DUMMYFUNCTION("""COMPUTED_VALUE"""),45817)</f>
        <v>45817</v>
      </c>
      <c r="S106" s="44">
        <f ca="1">IFERROR(__xludf.DUMMYFUNCTION("""COMPUTED_VALUE"""),45876)</f>
        <v>45876</v>
      </c>
      <c r="T106" s="45" t="str">
        <f ca="1">IFERROR(__xludf.DUMMYFUNCTION("""COMPUTED_VALUE"""),"Milton, ON, CA")</f>
        <v>Milton, ON, CA</v>
      </c>
      <c r="U106" s="45"/>
      <c r="V106" s="45"/>
      <c r="W106" s="45"/>
      <c r="X106" s="45"/>
      <c r="Y106" s="46">
        <f ca="1">IFERROR(__xludf.DUMMYFUNCTION("""COMPUTED_VALUE"""),45825)</f>
        <v>45825</v>
      </c>
      <c r="Z106" s="46">
        <f ca="1">IFERROR(__xludf.DUMMYFUNCTION("""COMPUTED_VALUE"""),45854)</f>
        <v>45854</v>
      </c>
      <c r="AA106" s="46">
        <f ca="1">IFERROR(__xludf.DUMMYFUNCTION("""COMPUTED_VALUE"""),45867)</f>
        <v>45867</v>
      </c>
      <c r="AB106" s="45" t="str">
        <f ca="1">IFERROR(__xludf.DUMMYFUNCTION("""COMPUTED_VALUE"""),"7211 Fifth Line")</f>
        <v>7211 Fifth Line</v>
      </c>
      <c r="AC106" s="45"/>
      <c r="AD106" s="45" t="str">
        <f ca="1">IFERROR(__xludf.DUMMYFUNCTION("""COMPUTED_VALUE"""),"OCEAN")</f>
        <v>OCEAN</v>
      </c>
      <c r="AE106" s="45" t="str">
        <f ca="1">IFERROR(__xludf.DUMMYFUNCTION("""COMPUTED_VALUE"""),"N")</f>
        <v>N</v>
      </c>
      <c r="AF106" s="45"/>
      <c r="AG106" s="49" t="str">
        <f ca="1">IFERROR(__xludf.DUMMYFUNCTION("IFNA(vlookup(H106,IMPORTRANGE(""1vUGwO1n0QQGx9kKbO0_M5gmuhXZ6-LaxQxgrmJnzgP0"",""'TP# look up'!A:C""),3,0),"""")"),"")</f>
        <v/>
      </c>
      <c r="AH106" s="49" t="str">
        <f t="shared" ca="1" si="1"/>
        <v>LW</v>
      </c>
    </row>
    <row r="107" spans="1:34" ht="12.75">
      <c r="A107" s="45" t="str">
        <f ca="1">IFERROR(__xludf.DUMMYFUNCTION("""COMPUTED_VALUE"""),"Colombo")</f>
        <v>Colombo</v>
      </c>
      <c r="B107" s="45"/>
      <c r="C107" s="45">
        <f ca="1">IFERROR(__xludf.DUMMYFUNCTION("""COMPUTED_VALUE"""),3231352)</f>
        <v>3231352</v>
      </c>
      <c r="D107" s="45"/>
      <c r="E107" s="45" t="str">
        <f ca="1">IFERROR(__xludf.DUMMYFUNCTION("""COMPUTED_VALUE"""),"CFS")</f>
        <v>CFS</v>
      </c>
      <c r="F107" s="45" t="str">
        <f ca="1">IFERROR(__xludf.DUMMYFUNCTION("""COMPUTED_VALUE"""),"Bodyline Trading (Private) Limited")</f>
        <v>Bodyline Trading (Private) Limited</v>
      </c>
      <c r="G107" s="45" t="str">
        <f ca="1">IFERROR(__xludf.DUMMYFUNCTION("""COMPUTED_VALUE"""),"Bodyline (Private) Limited")</f>
        <v>Bodyline (Private) Limited</v>
      </c>
      <c r="H107" s="43">
        <f ca="1">IFERROR(__xludf.DUMMYFUNCTION("""COMPUTED_VALUE"""),452657341556)</f>
        <v>452657341556</v>
      </c>
      <c r="I107" s="45">
        <f ca="1">IFERROR(__xludf.DUMMYFUNCTION("""COMPUTED_VALUE"""),19877724)</f>
        <v>19877724</v>
      </c>
      <c r="J107" s="45" t="str">
        <f ca="1">IFERROR(__xludf.DUMMYFUNCTION("""COMPUTED_VALUE"""),"LW9DTYS")</f>
        <v>LW9DTYS</v>
      </c>
      <c r="K107" s="45" t="str">
        <f ca="1">IFERROR(__xludf.DUMMYFUNCTION("""COMPUTED_VALUE"""),"LW9DTYS-073330")</f>
        <v>LW9DTYS-073330</v>
      </c>
      <c r="L107" s="45">
        <f ca="1">IFERROR(__xludf.DUMMYFUNCTION("""COMPUTED_VALUE"""),8)</f>
        <v>8</v>
      </c>
      <c r="M107" s="45">
        <f ca="1">IFERROR(__xludf.DUMMYFUNCTION("""COMPUTED_VALUE"""),255)</f>
        <v>255</v>
      </c>
      <c r="N107" s="45">
        <f ca="1">IFERROR(__xludf.DUMMYFUNCTION("""COMPUTED_VALUE"""),27.452)</f>
        <v>27.452000000000002</v>
      </c>
      <c r="O107" s="45">
        <f ca="1">IFERROR(__xludf.DUMMYFUNCTION("""COMPUTED_VALUE"""),0.351)</f>
        <v>0.35099999999999998</v>
      </c>
      <c r="P107" s="45" t="str">
        <f ca="1">IFERROR(__xludf.DUMMYFUNCTION("""COMPUTED_VALUE"""),"Colombo, LK")</f>
        <v>Colombo, LK</v>
      </c>
      <c r="Q107" s="45" t="str">
        <f ca="1">IFERROR(__xludf.DUMMYFUNCTION("""COMPUTED_VALUE"""),"New York, NY, US")</f>
        <v>New York, NY, US</v>
      </c>
      <c r="R107" s="44">
        <f ca="1">IFERROR(__xludf.DUMMYFUNCTION("""COMPUTED_VALUE"""),45817)</f>
        <v>45817</v>
      </c>
      <c r="S107" s="44">
        <f ca="1">IFERROR(__xludf.DUMMYFUNCTION("""COMPUTED_VALUE"""),45876)</f>
        <v>45876</v>
      </c>
      <c r="T107" s="45" t="str">
        <f ca="1">IFERROR(__xludf.DUMMYFUNCTION("""COMPUTED_VALUE"""),"Milton, ON, CA")</f>
        <v>Milton, ON, CA</v>
      </c>
      <c r="U107" s="45"/>
      <c r="V107" s="45"/>
      <c r="W107" s="45"/>
      <c r="X107" s="45"/>
      <c r="Y107" s="46">
        <f ca="1">IFERROR(__xludf.DUMMYFUNCTION("""COMPUTED_VALUE"""),45825)</f>
        <v>45825</v>
      </c>
      <c r="Z107" s="46">
        <f ca="1">IFERROR(__xludf.DUMMYFUNCTION("""COMPUTED_VALUE"""),45854)</f>
        <v>45854</v>
      </c>
      <c r="AA107" s="46">
        <f ca="1">IFERROR(__xludf.DUMMYFUNCTION("""COMPUTED_VALUE"""),45867)</f>
        <v>45867</v>
      </c>
      <c r="AB107" s="45" t="str">
        <f ca="1">IFERROR(__xludf.DUMMYFUNCTION("""COMPUTED_VALUE"""),"7211 Fifth Line")</f>
        <v>7211 Fifth Line</v>
      </c>
      <c r="AC107" s="45"/>
      <c r="AD107" s="45" t="str">
        <f ca="1">IFERROR(__xludf.DUMMYFUNCTION("""COMPUTED_VALUE"""),"OCEAN")</f>
        <v>OCEAN</v>
      </c>
      <c r="AE107" s="45" t="str">
        <f ca="1">IFERROR(__xludf.DUMMYFUNCTION("""COMPUTED_VALUE"""),"N")</f>
        <v>N</v>
      </c>
      <c r="AF107" s="45"/>
      <c r="AG107" s="49" t="str">
        <f ca="1">IFERROR(__xludf.DUMMYFUNCTION("IFNA(vlookup(H107,IMPORTRANGE(""1vUGwO1n0QQGx9kKbO0_M5gmuhXZ6-LaxQxgrmJnzgP0"",""'TP# look up'!A:C""),3,0),"""")"),"")</f>
        <v/>
      </c>
      <c r="AH107" s="49" t="str">
        <f t="shared" ca="1" si="1"/>
        <v>LW</v>
      </c>
    </row>
    <row r="108" spans="1:34" ht="12.75">
      <c r="A108" s="45" t="str">
        <f ca="1">IFERROR(__xludf.DUMMYFUNCTION("""COMPUTED_VALUE"""),"Colombo")</f>
        <v>Colombo</v>
      </c>
      <c r="B108" s="45"/>
      <c r="C108" s="45">
        <f ca="1">IFERROR(__xludf.DUMMYFUNCTION("""COMPUTED_VALUE"""),3231352)</f>
        <v>3231352</v>
      </c>
      <c r="D108" s="45"/>
      <c r="E108" s="45" t="str">
        <f ca="1">IFERROR(__xludf.DUMMYFUNCTION("""COMPUTED_VALUE"""),"CFS")</f>
        <v>CFS</v>
      </c>
      <c r="F108" s="45" t="str">
        <f ca="1">IFERROR(__xludf.DUMMYFUNCTION("""COMPUTED_VALUE"""),"Bodyline Trading (Private) Limited")</f>
        <v>Bodyline Trading (Private) Limited</v>
      </c>
      <c r="G108" s="45" t="str">
        <f ca="1">IFERROR(__xludf.DUMMYFUNCTION("""COMPUTED_VALUE"""),"Bodyline (Private) Limited")</f>
        <v>Bodyline (Private) Limited</v>
      </c>
      <c r="H108" s="43">
        <f ca="1">IFERROR(__xludf.DUMMYFUNCTION("""COMPUTED_VALUE"""),452657453774)</f>
        <v>452657453774</v>
      </c>
      <c r="I108" s="45">
        <f ca="1">IFERROR(__xludf.DUMMYFUNCTION("""COMPUTED_VALUE"""),19878459)</f>
        <v>19878459</v>
      </c>
      <c r="J108" s="45" t="str">
        <f ca="1">IFERROR(__xludf.DUMMYFUNCTION("""COMPUTED_VALUE"""),"LW9DTYS")</f>
        <v>LW9DTYS</v>
      </c>
      <c r="K108" s="45" t="str">
        <f ca="1">IFERROR(__xludf.DUMMYFUNCTION("""COMPUTED_VALUE"""),"LW9DTYS-073330")</f>
        <v>LW9DTYS-073330</v>
      </c>
      <c r="L108" s="45">
        <f ca="1">IFERROR(__xludf.DUMMYFUNCTION("""COMPUTED_VALUE"""),4)</f>
        <v>4</v>
      </c>
      <c r="M108" s="45">
        <f ca="1">IFERROR(__xludf.DUMMYFUNCTION("""COMPUTED_VALUE"""),124)</f>
        <v>124</v>
      </c>
      <c r="N108" s="45">
        <f ca="1">IFERROR(__xludf.DUMMYFUNCTION("""COMPUTED_VALUE"""),13.746)</f>
        <v>13.746</v>
      </c>
      <c r="O108" s="45">
        <f ca="1">IFERROR(__xludf.DUMMYFUNCTION("""COMPUTED_VALUE"""),0.176)</f>
        <v>0.17599999999999999</v>
      </c>
      <c r="P108" s="45" t="str">
        <f ca="1">IFERROR(__xludf.DUMMYFUNCTION("""COMPUTED_VALUE"""),"Colombo, LK")</f>
        <v>Colombo, LK</v>
      </c>
      <c r="Q108" s="45" t="str">
        <f ca="1">IFERROR(__xludf.DUMMYFUNCTION("""COMPUTED_VALUE"""),"New York, NY, US")</f>
        <v>New York, NY, US</v>
      </c>
      <c r="R108" s="44">
        <f ca="1">IFERROR(__xludf.DUMMYFUNCTION("""COMPUTED_VALUE"""),45817)</f>
        <v>45817</v>
      </c>
      <c r="S108" s="44">
        <f ca="1">IFERROR(__xludf.DUMMYFUNCTION("""COMPUTED_VALUE"""),45876)</f>
        <v>45876</v>
      </c>
      <c r="T108" s="45" t="str">
        <f ca="1">IFERROR(__xludf.DUMMYFUNCTION("""COMPUTED_VALUE"""),"Mississauga, ON, CA")</f>
        <v>Mississauga, ON, CA</v>
      </c>
      <c r="U108" s="45"/>
      <c r="V108" s="45"/>
      <c r="W108" s="45"/>
      <c r="X108" s="45"/>
      <c r="Y108" s="46">
        <f ca="1">IFERROR(__xludf.DUMMYFUNCTION("""COMPUTED_VALUE"""),45825)</f>
        <v>45825</v>
      </c>
      <c r="Z108" s="46">
        <f ca="1">IFERROR(__xludf.DUMMYFUNCTION("""COMPUTED_VALUE"""),45854)</f>
        <v>45854</v>
      </c>
      <c r="AA108" s="46">
        <f ca="1">IFERROR(__xludf.DUMMYFUNCTION("""COMPUTED_VALUE"""),45867)</f>
        <v>45867</v>
      </c>
      <c r="AB108" s="45" t="str">
        <f ca="1">IFERROR(__xludf.DUMMYFUNCTION("""COMPUTED_VALUE"""),"3500 Argentia Road")</f>
        <v>3500 Argentia Road</v>
      </c>
      <c r="AC108" s="45"/>
      <c r="AD108" s="45" t="str">
        <f ca="1">IFERROR(__xludf.DUMMYFUNCTION("""COMPUTED_VALUE"""),"OCEAN")</f>
        <v>OCEAN</v>
      </c>
      <c r="AE108" s="45" t="str">
        <f ca="1">IFERROR(__xludf.DUMMYFUNCTION("""COMPUTED_VALUE"""),"N")</f>
        <v>N</v>
      </c>
      <c r="AF108" s="45"/>
      <c r="AG108" s="49" t="str">
        <f ca="1">IFERROR(__xludf.DUMMYFUNCTION("IFNA(vlookup(H108,IMPORTRANGE(""1vUGwO1n0QQGx9kKbO0_M5gmuhXZ6-LaxQxgrmJnzgP0"",""'TP# look up'!A:C""),3,0),"""")"),"")</f>
        <v/>
      </c>
      <c r="AH108" s="49" t="str">
        <f t="shared" ca="1" si="1"/>
        <v>LW</v>
      </c>
    </row>
    <row r="109" spans="1:34" ht="12.75">
      <c r="A109" s="45" t="str">
        <f ca="1">IFERROR(__xludf.DUMMYFUNCTION("""COMPUTED_VALUE"""),"Colombo")</f>
        <v>Colombo</v>
      </c>
      <c r="B109" s="45"/>
      <c r="C109" s="45">
        <f ca="1">IFERROR(__xludf.DUMMYFUNCTION("""COMPUTED_VALUE"""),3231352)</f>
        <v>3231352</v>
      </c>
      <c r="D109" s="45"/>
      <c r="E109" s="45" t="str">
        <f ca="1">IFERROR(__xludf.DUMMYFUNCTION("""COMPUTED_VALUE"""),"CFS")</f>
        <v>CFS</v>
      </c>
      <c r="F109" s="45" t="str">
        <f ca="1">IFERROR(__xludf.DUMMYFUNCTION("""COMPUTED_VALUE"""),"Bodyline Trading (Private) Limited")</f>
        <v>Bodyline Trading (Private) Limited</v>
      </c>
      <c r="G109" s="45" t="str">
        <f ca="1">IFERROR(__xludf.DUMMYFUNCTION("""COMPUTED_VALUE"""),"Bodyline (Private) Limited")</f>
        <v>Bodyline (Private) Limited</v>
      </c>
      <c r="H109" s="43">
        <f ca="1">IFERROR(__xludf.DUMMYFUNCTION("""COMPUTED_VALUE"""),452694490771)</f>
        <v>452694490771</v>
      </c>
      <c r="I109" s="45">
        <f ca="1">IFERROR(__xludf.DUMMYFUNCTION("""COMPUTED_VALUE"""),19843789)</f>
        <v>19843789</v>
      </c>
      <c r="J109" s="45" t="str">
        <f ca="1">IFERROR(__xludf.DUMMYFUNCTION("""COMPUTED_VALUE"""),"LW2EB8S")</f>
        <v>LW2EB8S</v>
      </c>
      <c r="K109" s="45" t="str">
        <f ca="1">IFERROR(__xludf.DUMMYFUNCTION("""COMPUTED_VALUE"""),"LW2EB8S-0001")</f>
        <v>LW2EB8S-0001</v>
      </c>
      <c r="L109" s="45">
        <f ca="1">IFERROR(__xludf.DUMMYFUNCTION("""COMPUTED_VALUE"""),7)</f>
        <v>7</v>
      </c>
      <c r="M109" s="45">
        <f ca="1">IFERROR(__xludf.DUMMYFUNCTION("""COMPUTED_VALUE"""),347)</f>
        <v>347</v>
      </c>
      <c r="N109" s="45">
        <f ca="1">IFERROR(__xludf.DUMMYFUNCTION("""COMPUTED_VALUE"""),51.738)</f>
        <v>51.738</v>
      </c>
      <c r="O109" s="45">
        <f ca="1">IFERROR(__xludf.DUMMYFUNCTION("""COMPUTED_VALUE"""),0.49)</f>
        <v>0.49</v>
      </c>
      <c r="P109" s="45" t="str">
        <f ca="1">IFERROR(__xludf.DUMMYFUNCTION("""COMPUTED_VALUE"""),"Colombo, LK")</f>
        <v>Colombo, LK</v>
      </c>
      <c r="Q109" s="45" t="str">
        <f ca="1">IFERROR(__xludf.DUMMYFUNCTION("""COMPUTED_VALUE"""),"New York, NY, US")</f>
        <v>New York, NY, US</v>
      </c>
      <c r="R109" s="44">
        <f ca="1">IFERROR(__xludf.DUMMYFUNCTION("""COMPUTED_VALUE"""),45817)</f>
        <v>45817</v>
      </c>
      <c r="S109" s="44">
        <f ca="1">IFERROR(__xludf.DUMMYFUNCTION("""COMPUTED_VALUE"""),45876)</f>
        <v>45876</v>
      </c>
      <c r="T109" s="45" t="str">
        <f ca="1">IFERROR(__xludf.DUMMYFUNCTION("""COMPUTED_VALUE"""),"Milton, ON, CA")</f>
        <v>Milton, ON, CA</v>
      </c>
      <c r="U109" s="45"/>
      <c r="V109" s="45"/>
      <c r="W109" s="45"/>
      <c r="X109" s="45"/>
      <c r="Y109" s="46">
        <f ca="1">IFERROR(__xludf.DUMMYFUNCTION("""COMPUTED_VALUE"""),45825)</f>
        <v>45825</v>
      </c>
      <c r="Z109" s="46">
        <f ca="1">IFERROR(__xludf.DUMMYFUNCTION("""COMPUTED_VALUE"""),45854)</f>
        <v>45854</v>
      </c>
      <c r="AA109" s="46">
        <f ca="1">IFERROR(__xludf.DUMMYFUNCTION("""COMPUTED_VALUE"""),45867)</f>
        <v>45867</v>
      </c>
      <c r="AB109" s="45" t="str">
        <f ca="1">IFERROR(__xludf.DUMMYFUNCTION("""COMPUTED_VALUE"""),"7211 Fifth Line")</f>
        <v>7211 Fifth Line</v>
      </c>
      <c r="AC109" s="45"/>
      <c r="AD109" s="45" t="str">
        <f ca="1">IFERROR(__xludf.DUMMYFUNCTION("""COMPUTED_VALUE"""),"OCEAN")</f>
        <v>OCEAN</v>
      </c>
      <c r="AE109" s="45" t="str">
        <f ca="1">IFERROR(__xludf.DUMMYFUNCTION("""COMPUTED_VALUE"""),"N")</f>
        <v>N</v>
      </c>
      <c r="AF109" s="45"/>
      <c r="AG109" s="49" t="str">
        <f ca="1">IFERROR(__xludf.DUMMYFUNCTION("IFNA(vlookup(H109,IMPORTRANGE(""1vUGwO1n0QQGx9kKbO0_M5gmuhXZ6-LaxQxgrmJnzgP0"",""'TP# look up'!A:C""),3,0),"""")"),"")</f>
        <v/>
      </c>
      <c r="AH109" s="49" t="str">
        <f t="shared" ca="1" si="1"/>
        <v>LW</v>
      </c>
    </row>
    <row r="110" spans="1:34" ht="12.75">
      <c r="A110" s="45" t="str">
        <f ca="1">IFERROR(__xludf.DUMMYFUNCTION("""COMPUTED_VALUE"""),"Colombo")</f>
        <v>Colombo</v>
      </c>
      <c r="B110" s="45"/>
      <c r="C110" s="45">
        <f ca="1">IFERROR(__xludf.DUMMYFUNCTION("""COMPUTED_VALUE"""),3231352)</f>
        <v>3231352</v>
      </c>
      <c r="D110" s="45"/>
      <c r="E110" s="45" t="str">
        <f ca="1">IFERROR(__xludf.DUMMYFUNCTION("""COMPUTED_VALUE"""),"CFS")</f>
        <v>CFS</v>
      </c>
      <c r="F110" s="45" t="str">
        <f ca="1">IFERROR(__xludf.DUMMYFUNCTION("""COMPUTED_VALUE"""),"Bodyline Trading (Private) Limited")</f>
        <v>Bodyline Trading (Private) Limited</v>
      </c>
      <c r="G110" s="45" t="str">
        <f ca="1">IFERROR(__xludf.DUMMYFUNCTION("""COMPUTED_VALUE"""),"Bodyline (Private) Limited")</f>
        <v>Bodyline (Private) Limited</v>
      </c>
      <c r="H110" s="43">
        <f ca="1">IFERROR(__xludf.DUMMYFUNCTION("""COMPUTED_VALUE"""),452695112654)</f>
        <v>452695112654</v>
      </c>
      <c r="I110" s="45">
        <f ca="1">IFERROR(__xludf.DUMMYFUNCTION("""COMPUTED_VALUE"""),19878709)</f>
        <v>19878709</v>
      </c>
      <c r="J110" s="45" t="str">
        <f ca="1">IFERROR(__xludf.DUMMYFUNCTION("""COMPUTED_VALUE"""),"LW2EB8S")</f>
        <v>LW2EB8S</v>
      </c>
      <c r="K110" s="45" t="str">
        <f ca="1">IFERROR(__xludf.DUMMYFUNCTION("""COMPUTED_VALUE"""),"LW2EB8S-031382")</f>
        <v>LW2EB8S-031382</v>
      </c>
      <c r="L110" s="45">
        <f ca="1">IFERROR(__xludf.DUMMYFUNCTION("""COMPUTED_VALUE"""),11)</f>
        <v>11</v>
      </c>
      <c r="M110" s="45">
        <f ca="1">IFERROR(__xludf.DUMMYFUNCTION("""COMPUTED_VALUE"""),558)</f>
        <v>558</v>
      </c>
      <c r="N110" s="45">
        <f ca="1">IFERROR(__xludf.DUMMYFUNCTION("""COMPUTED_VALUE"""),85.409)</f>
        <v>85.409000000000006</v>
      </c>
      <c r="O110" s="45">
        <f ca="1">IFERROR(__xludf.DUMMYFUNCTION("""COMPUTED_VALUE"""),0.849)</f>
        <v>0.84899999999999998</v>
      </c>
      <c r="P110" s="45" t="str">
        <f ca="1">IFERROR(__xludf.DUMMYFUNCTION("""COMPUTED_VALUE"""),"Colombo, LK")</f>
        <v>Colombo, LK</v>
      </c>
      <c r="Q110" s="45" t="str">
        <f ca="1">IFERROR(__xludf.DUMMYFUNCTION("""COMPUTED_VALUE"""),"New York, NY, US")</f>
        <v>New York, NY, US</v>
      </c>
      <c r="R110" s="44">
        <f ca="1">IFERROR(__xludf.DUMMYFUNCTION("""COMPUTED_VALUE"""),45817)</f>
        <v>45817</v>
      </c>
      <c r="S110" s="44">
        <f ca="1">IFERROR(__xludf.DUMMYFUNCTION("""COMPUTED_VALUE"""),45876)</f>
        <v>45876</v>
      </c>
      <c r="T110" s="45" t="str">
        <f ca="1">IFERROR(__xludf.DUMMYFUNCTION("""COMPUTED_VALUE"""),"Mississauga, ON, CA")</f>
        <v>Mississauga, ON, CA</v>
      </c>
      <c r="U110" s="45"/>
      <c r="V110" s="45"/>
      <c r="W110" s="45"/>
      <c r="X110" s="45"/>
      <c r="Y110" s="46">
        <f ca="1">IFERROR(__xludf.DUMMYFUNCTION("""COMPUTED_VALUE"""),45825)</f>
        <v>45825</v>
      </c>
      <c r="Z110" s="46">
        <f ca="1">IFERROR(__xludf.DUMMYFUNCTION("""COMPUTED_VALUE"""),45854)</f>
        <v>45854</v>
      </c>
      <c r="AA110" s="46">
        <f ca="1">IFERROR(__xludf.DUMMYFUNCTION("""COMPUTED_VALUE"""),45867)</f>
        <v>45867</v>
      </c>
      <c r="AB110" s="45" t="str">
        <f ca="1">IFERROR(__xludf.DUMMYFUNCTION("""COMPUTED_VALUE"""),"3500 Argentia Road")</f>
        <v>3500 Argentia Road</v>
      </c>
      <c r="AC110" s="45"/>
      <c r="AD110" s="45" t="str">
        <f ca="1">IFERROR(__xludf.DUMMYFUNCTION("""COMPUTED_VALUE"""),"OCEAN")</f>
        <v>OCEAN</v>
      </c>
      <c r="AE110" s="45" t="str">
        <f ca="1">IFERROR(__xludf.DUMMYFUNCTION("""COMPUTED_VALUE"""),"N")</f>
        <v>N</v>
      </c>
      <c r="AF110" s="45"/>
      <c r="AG110" s="49" t="str">
        <f ca="1">IFERROR(__xludf.DUMMYFUNCTION("IFNA(vlookup(H110,IMPORTRANGE(""1vUGwO1n0QQGx9kKbO0_M5gmuhXZ6-LaxQxgrmJnzgP0"",""'TP# look up'!A:C""),3,0),"""")"),"")</f>
        <v/>
      </c>
      <c r="AH110" s="49" t="str">
        <f t="shared" ca="1" si="1"/>
        <v>LW</v>
      </c>
    </row>
    <row r="111" spans="1:34" ht="12.75">
      <c r="A111" s="45" t="str">
        <f ca="1">IFERROR(__xludf.DUMMYFUNCTION("""COMPUTED_VALUE"""),"Colombo")</f>
        <v>Colombo</v>
      </c>
      <c r="B111" s="45"/>
      <c r="C111" s="45">
        <f ca="1">IFERROR(__xludf.DUMMYFUNCTION("""COMPUTED_VALUE"""),3231352)</f>
        <v>3231352</v>
      </c>
      <c r="D111" s="45"/>
      <c r="E111" s="45" t="str">
        <f ca="1">IFERROR(__xludf.DUMMYFUNCTION("""COMPUTED_VALUE"""),"CFS")</f>
        <v>CFS</v>
      </c>
      <c r="F111" s="45" t="str">
        <f ca="1">IFERROR(__xludf.DUMMYFUNCTION("""COMPUTED_VALUE"""),"MAS AMITY PTE LTD")</f>
        <v>MAS AMITY PTE LTD</v>
      </c>
      <c r="G111" s="45" t="str">
        <f ca="1">IFERROR(__xludf.DUMMYFUNCTION("""COMPUTED_VALUE"""),"MAS Active(Pvt) Ltd – CONTOURLINE")</f>
        <v>MAS Active(Pvt) Ltd – CONTOURLINE</v>
      </c>
      <c r="H111" s="43">
        <f ca="1">IFERROR(__xludf.DUMMYFUNCTION("""COMPUTED_VALUE"""),450960211034)</f>
        <v>450960211034</v>
      </c>
      <c r="I111" s="45">
        <f ca="1">IFERROR(__xludf.DUMMYFUNCTION("""COMPUTED_VALUE"""),19925225)</f>
        <v>19925225</v>
      </c>
      <c r="J111" s="45" t="str">
        <f ca="1">IFERROR(__xludf.DUMMYFUNCTION("""COMPUTED_VALUE"""),"LM3FGKS")</f>
        <v>LM3FGKS</v>
      </c>
      <c r="K111" s="45" t="str">
        <f ca="1">IFERROR(__xludf.DUMMYFUNCTION("""COMPUTED_VALUE"""),"LM3FGKS-033454")</f>
        <v>LM3FGKS-033454</v>
      </c>
      <c r="L111" s="45">
        <f ca="1">IFERROR(__xludf.DUMMYFUNCTION("""COMPUTED_VALUE"""),2)</f>
        <v>2</v>
      </c>
      <c r="M111" s="45">
        <f ca="1">IFERROR(__xludf.DUMMYFUNCTION("""COMPUTED_VALUE"""),72)</f>
        <v>72</v>
      </c>
      <c r="N111" s="45">
        <f ca="1">IFERROR(__xludf.DUMMYFUNCTION("""COMPUTED_VALUE"""),17.441)</f>
        <v>17.440999999999999</v>
      </c>
      <c r="O111" s="45">
        <f ca="1">IFERROR(__xludf.DUMMYFUNCTION("""COMPUTED_VALUE"""),0.118)</f>
        <v>0.11799999999999999</v>
      </c>
      <c r="P111" s="45" t="str">
        <f ca="1">IFERROR(__xludf.DUMMYFUNCTION("""COMPUTED_VALUE"""),"Colombo, LK")</f>
        <v>Colombo, LK</v>
      </c>
      <c r="Q111" s="45" t="str">
        <f ca="1">IFERROR(__xludf.DUMMYFUNCTION("""COMPUTED_VALUE"""),"New York, NY, US")</f>
        <v>New York, NY, US</v>
      </c>
      <c r="R111" s="44">
        <f ca="1">IFERROR(__xludf.DUMMYFUNCTION("""COMPUTED_VALUE"""),45817)</f>
        <v>45817</v>
      </c>
      <c r="S111" s="44">
        <f ca="1">IFERROR(__xludf.DUMMYFUNCTION("""COMPUTED_VALUE"""),45876)</f>
        <v>45876</v>
      </c>
      <c r="T111" s="45" t="str">
        <f ca="1">IFERROR(__xludf.DUMMYFUNCTION("""COMPUTED_VALUE"""),"Mississauga, ON, CA")</f>
        <v>Mississauga, ON, CA</v>
      </c>
      <c r="U111" s="45"/>
      <c r="V111" s="45"/>
      <c r="W111" s="45"/>
      <c r="X111" s="45"/>
      <c r="Y111" s="46">
        <f ca="1">IFERROR(__xludf.DUMMYFUNCTION("""COMPUTED_VALUE"""),45825)</f>
        <v>45825</v>
      </c>
      <c r="Z111" s="46">
        <f ca="1">IFERROR(__xludf.DUMMYFUNCTION("""COMPUTED_VALUE"""),45854)</f>
        <v>45854</v>
      </c>
      <c r="AA111" s="46">
        <f ca="1">IFERROR(__xludf.DUMMYFUNCTION("""COMPUTED_VALUE"""),45867)</f>
        <v>45867</v>
      </c>
      <c r="AB111" s="45" t="str">
        <f ca="1">IFERROR(__xludf.DUMMYFUNCTION("""COMPUTED_VALUE"""),"3500 Argentia Road")</f>
        <v>3500 Argentia Road</v>
      </c>
      <c r="AC111" s="45"/>
      <c r="AD111" s="45" t="str">
        <f ca="1">IFERROR(__xludf.DUMMYFUNCTION("""COMPUTED_VALUE"""),"OCEAN")</f>
        <v>OCEAN</v>
      </c>
      <c r="AE111" s="45" t="str">
        <f ca="1">IFERROR(__xludf.DUMMYFUNCTION("""COMPUTED_VALUE"""),"N")</f>
        <v>N</v>
      </c>
      <c r="AF111" s="45"/>
      <c r="AG111" s="49" t="str">
        <f ca="1">IFERROR(__xludf.DUMMYFUNCTION("IFNA(vlookup(H111,IMPORTRANGE(""1vUGwO1n0QQGx9kKbO0_M5gmuhXZ6-LaxQxgrmJnzgP0"",""'TP# look up'!A:C""),3,0),"""")"),"")</f>
        <v/>
      </c>
      <c r="AH111" s="49" t="str">
        <f t="shared" ca="1" si="1"/>
        <v>LM</v>
      </c>
    </row>
    <row r="112" spans="1:34" ht="12.75">
      <c r="A112" s="45" t="str">
        <f ca="1">IFERROR(__xludf.DUMMYFUNCTION("""COMPUTED_VALUE"""),"Colombo")</f>
        <v>Colombo</v>
      </c>
      <c r="B112" s="45"/>
      <c r="C112" s="45">
        <f ca="1">IFERROR(__xludf.DUMMYFUNCTION("""COMPUTED_VALUE"""),3231352)</f>
        <v>3231352</v>
      </c>
      <c r="D112" s="45"/>
      <c r="E112" s="45" t="str">
        <f ca="1">IFERROR(__xludf.DUMMYFUNCTION("""COMPUTED_VALUE"""),"CFS")</f>
        <v>CFS</v>
      </c>
      <c r="F112" s="45" t="str">
        <f ca="1">IFERROR(__xludf.DUMMYFUNCTION("""COMPUTED_VALUE"""),"MAS AMITY PTE LTD")</f>
        <v>MAS AMITY PTE LTD</v>
      </c>
      <c r="G112" s="45" t="str">
        <f ca="1">IFERROR(__xludf.DUMMYFUNCTION("""COMPUTED_VALUE"""),"MAS Active(Pvt) Ltd – CONTOURLINE")</f>
        <v>MAS Active(Pvt) Ltd – CONTOURLINE</v>
      </c>
      <c r="H112" s="43">
        <f ca="1">IFERROR(__xludf.DUMMYFUNCTION("""COMPUTED_VALUE"""),453414755453)</f>
        <v>453414755453</v>
      </c>
      <c r="I112" s="45">
        <f ca="1">IFERROR(__xludf.DUMMYFUNCTION("""COMPUTED_VALUE"""),19896671)</f>
        <v>19896671</v>
      </c>
      <c r="J112" s="45" t="str">
        <f ca="1">IFERROR(__xludf.DUMMYFUNCTION("""COMPUTED_VALUE"""),"LW1DRKS")</f>
        <v>LW1DRKS</v>
      </c>
      <c r="K112" s="45" t="str">
        <f ca="1">IFERROR(__xludf.DUMMYFUNCTION("""COMPUTED_VALUE"""),"LW1DRKS-070108")</f>
        <v>LW1DRKS-070108</v>
      </c>
      <c r="L112" s="45">
        <f ca="1">IFERROR(__xludf.DUMMYFUNCTION("""COMPUTED_VALUE"""),1)</f>
        <v>1</v>
      </c>
      <c r="M112" s="45">
        <f ca="1">IFERROR(__xludf.DUMMYFUNCTION("""COMPUTED_VALUE"""),69)</f>
        <v>69</v>
      </c>
      <c r="N112" s="45">
        <f ca="1">IFERROR(__xludf.DUMMYFUNCTION("""COMPUTED_VALUE"""),8.941)</f>
        <v>8.9410000000000007</v>
      </c>
      <c r="O112" s="45">
        <f ca="1">IFERROR(__xludf.DUMMYFUNCTION("""COMPUTED_VALUE"""),0.079)</f>
        <v>7.9000000000000001E-2</v>
      </c>
      <c r="P112" s="45" t="str">
        <f ca="1">IFERROR(__xludf.DUMMYFUNCTION("""COMPUTED_VALUE"""),"Colombo, LK")</f>
        <v>Colombo, LK</v>
      </c>
      <c r="Q112" s="45" t="str">
        <f ca="1">IFERROR(__xludf.DUMMYFUNCTION("""COMPUTED_VALUE"""),"New York, NY, US")</f>
        <v>New York, NY, US</v>
      </c>
      <c r="R112" s="44">
        <f ca="1">IFERROR(__xludf.DUMMYFUNCTION("""COMPUTED_VALUE"""),45817)</f>
        <v>45817</v>
      </c>
      <c r="S112" s="44">
        <f ca="1">IFERROR(__xludf.DUMMYFUNCTION("""COMPUTED_VALUE"""),45876)</f>
        <v>45876</v>
      </c>
      <c r="T112" s="45" t="str">
        <f ca="1">IFERROR(__xludf.DUMMYFUNCTION("""COMPUTED_VALUE"""),"Mississauga, ON, CA")</f>
        <v>Mississauga, ON, CA</v>
      </c>
      <c r="U112" s="45"/>
      <c r="V112" s="45"/>
      <c r="W112" s="45"/>
      <c r="X112" s="45"/>
      <c r="Y112" s="46">
        <f ca="1">IFERROR(__xludf.DUMMYFUNCTION("""COMPUTED_VALUE"""),45825)</f>
        <v>45825</v>
      </c>
      <c r="Z112" s="46">
        <f ca="1">IFERROR(__xludf.DUMMYFUNCTION("""COMPUTED_VALUE"""),45854)</f>
        <v>45854</v>
      </c>
      <c r="AA112" s="46">
        <f ca="1">IFERROR(__xludf.DUMMYFUNCTION("""COMPUTED_VALUE"""),45867)</f>
        <v>45867</v>
      </c>
      <c r="AB112" s="45" t="str">
        <f ca="1">IFERROR(__xludf.DUMMYFUNCTION("""COMPUTED_VALUE"""),"3500 Argentia Road")</f>
        <v>3500 Argentia Road</v>
      </c>
      <c r="AC112" s="45"/>
      <c r="AD112" s="45" t="str">
        <f ca="1">IFERROR(__xludf.DUMMYFUNCTION("""COMPUTED_VALUE"""),"OCEAN")</f>
        <v>OCEAN</v>
      </c>
      <c r="AE112" s="45" t="str">
        <f ca="1">IFERROR(__xludf.DUMMYFUNCTION("""COMPUTED_VALUE"""),"N")</f>
        <v>N</v>
      </c>
      <c r="AF112" s="45"/>
      <c r="AG112" s="49" t="str">
        <f ca="1">IFERROR(__xludf.DUMMYFUNCTION("IFNA(vlookup(H112,IMPORTRANGE(""1vUGwO1n0QQGx9kKbO0_M5gmuhXZ6-LaxQxgrmJnzgP0"",""'TP# look up'!A:C""),3,0),"""")"),"")</f>
        <v/>
      </c>
      <c r="AH112" s="49" t="str">
        <f t="shared" ca="1" si="1"/>
        <v>LW</v>
      </c>
    </row>
    <row r="113" spans="1:34" ht="12.75">
      <c r="A113" s="45" t="str">
        <f ca="1">IFERROR(__xludf.DUMMYFUNCTION("""COMPUTED_VALUE"""),"Colombo")</f>
        <v>Colombo</v>
      </c>
      <c r="B113" s="45"/>
      <c r="C113" s="45">
        <f ca="1">IFERROR(__xludf.DUMMYFUNCTION("""COMPUTED_VALUE"""),3231352)</f>
        <v>3231352</v>
      </c>
      <c r="D113" s="45"/>
      <c r="E113" s="45" t="str">
        <f ca="1">IFERROR(__xludf.DUMMYFUNCTION("""COMPUTED_VALUE"""),"CFS")</f>
        <v>CFS</v>
      </c>
      <c r="F113" s="45" t="str">
        <f ca="1">IFERROR(__xludf.DUMMYFUNCTION("""COMPUTED_VALUE"""),"MAS AMITY PTE LTD")</f>
        <v>MAS AMITY PTE LTD</v>
      </c>
      <c r="G113" s="45" t="str">
        <f ca="1">IFERROR(__xludf.DUMMYFUNCTION("""COMPUTED_VALUE"""),"MAS Active(Pvt) Ltd – CONTOURLINE")</f>
        <v>MAS Active(Pvt) Ltd – CONTOURLINE</v>
      </c>
      <c r="H113" s="43">
        <f ca="1">IFERROR(__xludf.DUMMYFUNCTION("""COMPUTED_VALUE"""),453416407110)</f>
        <v>453416407110</v>
      </c>
      <c r="I113" s="45">
        <f ca="1">IFERROR(__xludf.DUMMYFUNCTION("""COMPUTED_VALUE"""),19896696)</f>
        <v>19896696</v>
      </c>
      <c r="J113" s="45" t="str">
        <f ca="1">IFERROR(__xludf.DUMMYFUNCTION("""COMPUTED_VALUE"""),"LW1DRKS")</f>
        <v>LW1DRKS</v>
      </c>
      <c r="K113" s="45" t="str">
        <f ca="1">IFERROR(__xludf.DUMMYFUNCTION("""COMPUTED_VALUE"""),"LW1DRKS-070108")</f>
        <v>LW1DRKS-070108</v>
      </c>
      <c r="L113" s="45">
        <f ca="1">IFERROR(__xludf.DUMMYFUNCTION("""COMPUTED_VALUE"""),3)</f>
        <v>3</v>
      </c>
      <c r="M113" s="45">
        <f ca="1">IFERROR(__xludf.DUMMYFUNCTION("""COMPUTED_VALUE"""),217)</f>
        <v>217</v>
      </c>
      <c r="N113" s="45">
        <f ca="1">IFERROR(__xludf.DUMMYFUNCTION("""COMPUTED_VALUE"""),27.985)</f>
        <v>27.984999999999999</v>
      </c>
      <c r="O113" s="45">
        <f ca="1">IFERROR(__xludf.DUMMYFUNCTION("""COMPUTED_VALUE"""),0.237)</f>
        <v>0.23699999999999999</v>
      </c>
      <c r="P113" s="45" t="str">
        <f ca="1">IFERROR(__xludf.DUMMYFUNCTION("""COMPUTED_VALUE"""),"Colombo, LK")</f>
        <v>Colombo, LK</v>
      </c>
      <c r="Q113" s="45" t="str">
        <f ca="1">IFERROR(__xludf.DUMMYFUNCTION("""COMPUTED_VALUE"""),"New York, NY, US")</f>
        <v>New York, NY, US</v>
      </c>
      <c r="R113" s="44">
        <f ca="1">IFERROR(__xludf.DUMMYFUNCTION("""COMPUTED_VALUE"""),45817)</f>
        <v>45817</v>
      </c>
      <c r="S113" s="44">
        <f ca="1">IFERROR(__xludf.DUMMYFUNCTION("""COMPUTED_VALUE"""),45876)</f>
        <v>45876</v>
      </c>
      <c r="T113" s="45" t="str">
        <f ca="1">IFERROR(__xludf.DUMMYFUNCTION("""COMPUTED_VALUE"""),"Mississauga, ON, CA")</f>
        <v>Mississauga, ON, CA</v>
      </c>
      <c r="U113" s="45"/>
      <c r="V113" s="45"/>
      <c r="W113" s="45"/>
      <c r="X113" s="45"/>
      <c r="Y113" s="46">
        <f ca="1">IFERROR(__xludf.DUMMYFUNCTION("""COMPUTED_VALUE"""),45825)</f>
        <v>45825</v>
      </c>
      <c r="Z113" s="46">
        <f ca="1">IFERROR(__xludf.DUMMYFUNCTION("""COMPUTED_VALUE"""),45854)</f>
        <v>45854</v>
      </c>
      <c r="AA113" s="46">
        <f ca="1">IFERROR(__xludf.DUMMYFUNCTION("""COMPUTED_VALUE"""),45867)</f>
        <v>45867</v>
      </c>
      <c r="AB113" s="45" t="str">
        <f ca="1">IFERROR(__xludf.DUMMYFUNCTION("""COMPUTED_VALUE"""),"3500 Argentia Road")</f>
        <v>3500 Argentia Road</v>
      </c>
      <c r="AC113" s="45"/>
      <c r="AD113" s="45" t="str">
        <f ca="1">IFERROR(__xludf.DUMMYFUNCTION("""COMPUTED_VALUE"""),"OCEAN")</f>
        <v>OCEAN</v>
      </c>
      <c r="AE113" s="45" t="str">
        <f ca="1">IFERROR(__xludf.DUMMYFUNCTION("""COMPUTED_VALUE"""),"N")</f>
        <v>N</v>
      </c>
      <c r="AF113" s="45"/>
      <c r="AG113" s="49" t="str">
        <f ca="1">IFERROR(__xludf.DUMMYFUNCTION("IFNA(vlookup(H113,IMPORTRANGE(""1vUGwO1n0QQGx9kKbO0_M5gmuhXZ6-LaxQxgrmJnzgP0"",""'TP# look up'!A:C""),3,0),"""")"),"")</f>
        <v/>
      </c>
      <c r="AH113" s="49" t="str">
        <f t="shared" ca="1" si="1"/>
        <v>LW</v>
      </c>
    </row>
    <row r="114" spans="1:34" ht="12.75">
      <c r="A114" s="45" t="str">
        <f ca="1">IFERROR(__xludf.DUMMYFUNCTION("""COMPUTED_VALUE"""),"Colombo")</f>
        <v>Colombo</v>
      </c>
      <c r="B114" s="45"/>
      <c r="C114" s="45">
        <f ca="1">IFERROR(__xludf.DUMMYFUNCTION("""COMPUTED_VALUE"""),3231352)</f>
        <v>3231352</v>
      </c>
      <c r="D114" s="45"/>
      <c r="E114" s="45" t="str">
        <f ca="1">IFERROR(__xludf.DUMMYFUNCTION("""COMPUTED_VALUE"""),"CFS")</f>
        <v>CFS</v>
      </c>
      <c r="F114" s="45" t="str">
        <f ca="1">IFERROR(__xludf.DUMMYFUNCTION("""COMPUTED_VALUE"""),"MAS AMITY PTE LTD")</f>
        <v>MAS AMITY PTE LTD</v>
      </c>
      <c r="G114" s="45" t="str">
        <f ca="1">IFERROR(__xludf.DUMMYFUNCTION("""COMPUTED_VALUE"""),"MAS Active (Pvt) Ltd – Sleekline")</f>
        <v>MAS Active (Pvt) Ltd – Sleekline</v>
      </c>
      <c r="H114" s="43">
        <f ca="1">IFERROR(__xludf.DUMMYFUNCTION("""COMPUTED_VALUE"""),450580294306)</f>
        <v>450580294306</v>
      </c>
      <c r="I114" s="45">
        <f ca="1">IFERROR(__xludf.DUMMYFUNCTION("""COMPUTED_VALUE"""),19935923)</f>
        <v>19935923</v>
      </c>
      <c r="J114" s="45" t="str">
        <f ca="1">IFERROR(__xludf.DUMMYFUNCTION("""COMPUTED_VALUE"""),"LM9B19S")</f>
        <v>LM9B19S</v>
      </c>
      <c r="K114" s="45" t="str">
        <f ca="1">IFERROR(__xludf.DUMMYFUNCTION("""COMPUTED_VALUE"""),"LM9B19S-4310")</f>
        <v>LM9B19S-4310</v>
      </c>
      <c r="L114" s="45">
        <f ca="1">IFERROR(__xludf.DUMMYFUNCTION("""COMPUTED_VALUE"""),3)</f>
        <v>3</v>
      </c>
      <c r="M114" s="45">
        <f ca="1">IFERROR(__xludf.DUMMYFUNCTION("""COMPUTED_VALUE"""),145)</f>
        <v>145</v>
      </c>
      <c r="N114" s="45">
        <f ca="1">IFERROR(__xludf.DUMMYFUNCTION("""COMPUTED_VALUE"""),40.3)</f>
        <v>40.299999999999997</v>
      </c>
      <c r="O114" s="45">
        <f ca="1">IFERROR(__xludf.DUMMYFUNCTION("""COMPUTED_VALUE"""),0.238)</f>
        <v>0.23799999999999999</v>
      </c>
      <c r="P114" s="45" t="str">
        <f ca="1">IFERROR(__xludf.DUMMYFUNCTION("""COMPUTED_VALUE"""),"Colombo, LK")</f>
        <v>Colombo, LK</v>
      </c>
      <c r="Q114" s="45" t="str">
        <f ca="1">IFERROR(__xludf.DUMMYFUNCTION("""COMPUTED_VALUE"""),"New York, NY, US")</f>
        <v>New York, NY, US</v>
      </c>
      <c r="R114" s="44">
        <f ca="1">IFERROR(__xludf.DUMMYFUNCTION("""COMPUTED_VALUE"""),45817)</f>
        <v>45817</v>
      </c>
      <c r="S114" s="44">
        <f ca="1">IFERROR(__xludf.DUMMYFUNCTION("""COMPUTED_VALUE"""),45876)</f>
        <v>45876</v>
      </c>
      <c r="T114" s="45" t="str">
        <f ca="1">IFERROR(__xludf.DUMMYFUNCTION("""COMPUTED_VALUE"""),"Mississauga, ON, CA")</f>
        <v>Mississauga, ON, CA</v>
      </c>
      <c r="U114" s="45"/>
      <c r="V114" s="45"/>
      <c r="W114" s="45"/>
      <c r="X114" s="45"/>
      <c r="Y114" s="46">
        <f ca="1">IFERROR(__xludf.DUMMYFUNCTION("""COMPUTED_VALUE"""),45825)</f>
        <v>45825</v>
      </c>
      <c r="Z114" s="46">
        <f ca="1">IFERROR(__xludf.DUMMYFUNCTION("""COMPUTED_VALUE"""),45854)</f>
        <v>45854</v>
      </c>
      <c r="AA114" s="46">
        <f ca="1">IFERROR(__xludf.DUMMYFUNCTION("""COMPUTED_VALUE"""),45867)</f>
        <v>45867</v>
      </c>
      <c r="AB114" s="45" t="str">
        <f ca="1">IFERROR(__xludf.DUMMYFUNCTION("""COMPUTED_VALUE"""),"3500 Argentia Road")</f>
        <v>3500 Argentia Road</v>
      </c>
      <c r="AC114" s="45"/>
      <c r="AD114" s="45" t="str">
        <f ca="1">IFERROR(__xludf.DUMMYFUNCTION("""COMPUTED_VALUE"""),"OCEAN")</f>
        <v>OCEAN</v>
      </c>
      <c r="AE114" s="45" t="str">
        <f ca="1">IFERROR(__xludf.DUMMYFUNCTION("""COMPUTED_VALUE"""),"N")</f>
        <v>N</v>
      </c>
      <c r="AF114" s="45"/>
      <c r="AG114" s="49" t="str">
        <f ca="1">IFERROR(__xludf.DUMMYFUNCTION("IFNA(vlookup(H114,IMPORTRANGE(""1vUGwO1n0QQGx9kKbO0_M5gmuhXZ6-LaxQxgrmJnzgP0"",""'TP# look up'!A:C""),3,0),"""")"),"")</f>
        <v/>
      </c>
      <c r="AH114" s="49" t="str">
        <f t="shared" ca="1" si="1"/>
        <v>LM</v>
      </c>
    </row>
    <row r="115" spans="1:34" ht="12.75">
      <c r="A115" s="45" t="str">
        <f ca="1">IFERROR(__xludf.DUMMYFUNCTION("""COMPUTED_VALUE"""),"Colombo")</f>
        <v>Colombo</v>
      </c>
      <c r="B115" s="45"/>
      <c r="C115" s="45">
        <f ca="1">IFERROR(__xludf.DUMMYFUNCTION("""COMPUTED_VALUE"""),3231485)</f>
        <v>3231485</v>
      </c>
      <c r="D115" s="45"/>
      <c r="E115" s="45" t="str">
        <f ca="1">IFERROR(__xludf.DUMMYFUNCTION("""COMPUTED_VALUE"""),"CFS")</f>
        <v>CFS</v>
      </c>
      <c r="F115" s="45" t="str">
        <f ca="1">IFERROR(__xludf.DUMMYFUNCTION("""COMPUTED_VALUE"""),"Inqube Global (PVT) Ltd")</f>
        <v>Inqube Global (PVT) Ltd</v>
      </c>
      <c r="G115" s="45" t="str">
        <f ca="1">IFERROR(__xludf.DUMMYFUNCTION("""COMPUTED_VALUE"""),"BRANDIX APPAREL SOLUTION LTD - GIRITALE")</f>
        <v>BRANDIX APPAREL SOLUTION LTD - GIRITALE</v>
      </c>
      <c r="H115" s="43">
        <f ca="1">IFERROR(__xludf.DUMMYFUNCTION("""COMPUTED_VALUE"""),450934328023)</f>
        <v>450934328023</v>
      </c>
      <c r="I115" s="45">
        <f ca="1">IFERROR(__xludf.DUMMYFUNCTION("""COMPUTED_VALUE"""),19807106)</f>
        <v>19807106</v>
      </c>
      <c r="J115" s="45" t="str">
        <f ca="1">IFERROR(__xludf.DUMMYFUNCTION("""COMPUTED_VALUE"""),"LM5AO4S")</f>
        <v>LM5AO4S</v>
      </c>
      <c r="K115" s="45" t="str">
        <f ca="1">IFERROR(__xludf.DUMMYFUNCTION("""COMPUTED_VALUE"""),"LM5AO4S-019222")</f>
        <v>LM5AO4S-019222</v>
      </c>
      <c r="L115" s="45">
        <f ca="1">IFERROR(__xludf.DUMMYFUNCTION("""COMPUTED_VALUE"""),7)</f>
        <v>7</v>
      </c>
      <c r="M115" s="45">
        <f ca="1">IFERROR(__xludf.DUMMYFUNCTION("""COMPUTED_VALUE"""),166)</f>
        <v>166</v>
      </c>
      <c r="N115" s="45">
        <f ca="1">IFERROR(__xludf.DUMMYFUNCTION("""COMPUTED_VALUE"""),75.26)</f>
        <v>75.260000000000005</v>
      </c>
      <c r="O115" s="45">
        <f ca="1">IFERROR(__xludf.DUMMYFUNCTION("""COMPUTED_VALUE"""),0.458)</f>
        <v>0.45800000000000002</v>
      </c>
      <c r="P115" s="45" t="str">
        <f ca="1">IFERROR(__xludf.DUMMYFUNCTION("""COMPUTED_VALUE"""),"Colombo, LK")</f>
        <v>Colombo, LK</v>
      </c>
      <c r="Q115" s="45" t="str">
        <f ca="1">IFERROR(__xludf.DUMMYFUNCTION("""COMPUTED_VALUE"""),"Felixstowe, GB")</f>
        <v>Felixstowe, GB</v>
      </c>
      <c r="R115" s="44">
        <f ca="1">IFERROR(__xludf.DUMMYFUNCTION("""COMPUTED_VALUE"""),45817)</f>
        <v>45817</v>
      </c>
      <c r="S115" s="44">
        <f ca="1">IFERROR(__xludf.DUMMYFUNCTION("""COMPUTED_VALUE"""),45876)</f>
        <v>45876</v>
      </c>
      <c r="T115" s="45" t="str">
        <f ca="1">IFERROR(__xludf.DUMMYFUNCTION("""COMPUTED_VALUE"""),"Birmingham, GB")</f>
        <v>Birmingham, GB</v>
      </c>
      <c r="U115" s="45"/>
      <c r="V115" s="45"/>
      <c r="W115" s="45"/>
      <c r="X115" s="45"/>
      <c r="Y115" s="46">
        <f ca="1">IFERROR(__xludf.DUMMYFUNCTION("""COMPUTED_VALUE"""),45826)</f>
        <v>45826</v>
      </c>
      <c r="Z115" s="46">
        <f ca="1">IFERROR(__xludf.DUMMYFUNCTION("""COMPUTED_VALUE"""),45850)</f>
        <v>45850</v>
      </c>
      <c r="AA115" s="46">
        <f ca="1">IFERROR(__xludf.DUMMYFUNCTION("""COMPUTED_VALUE"""),45857)</f>
        <v>45857</v>
      </c>
      <c r="AB115" s="45" t="str">
        <f ca="1">IFERROR(__xludf.DUMMYFUNCTION("""COMPUTED_VALUE"""),"10A Faraday Ave")</f>
        <v>10A Faraday Ave</v>
      </c>
      <c r="AC115" s="45" t="str">
        <f ca="1">IFERROR(__xludf.DUMMYFUNCTION("""COMPUTED_VALUE"""),"Coleshill")</f>
        <v>Coleshill</v>
      </c>
      <c r="AD115" s="45" t="str">
        <f ca="1">IFERROR(__xludf.DUMMYFUNCTION("""COMPUTED_VALUE"""),"OCEAN")</f>
        <v>OCEAN</v>
      </c>
      <c r="AE115" s="45" t="str">
        <f ca="1">IFERROR(__xludf.DUMMYFUNCTION("""COMPUTED_VALUE"""),"N")</f>
        <v>N</v>
      </c>
      <c r="AF115" s="45"/>
      <c r="AG115" s="49" t="str">
        <f ca="1">IFERROR(__xludf.DUMMYFUNCTION("IFNA(vlookup(H115,IMPORTRANGE(""1vUGwO1n0QQGx9kKbO0_M5gmuhXZ6-LaxQxgrmJnzgP0"",""'TP# look up'!A:C""),3,0),"""")"),"")</f>
        <v/>
      </c>
      <c r="AH115" s="49" t="str">
        <f t="shared" ca="1" si="1"/>
        <v>LM</v>
      </c>
    </row>
    <row r="116" spans="1:34" ht="12.75">
      <c r="A116" s="45" t="str">
        <f ca="1">IFERROR(__xludf.DUMMYFUNCTION("""COMPUTED_VALUE"""),"Colombo")</f>
        <v>Colombo</v>
      </c>
      <c r="B116" s="45"/>
      <c r="C116" s="45">
        <f ca="1">IFERROR(__xludf.DUMMYFUNCTION("""COMPUTED_VALUE"""),3231485)</f>
        <v>3231485</v>
      </c>
      <c r="D116" s="45"/>
      <c r="E116" s="45" t="str">
        <f ca="1">IFERROR(__xludf.DUMMYFUNCTION("""COMPUTED_VALUE"""),"CFS")</f>
        <v>CFS</v>
      </c>
      <c r="F116" s="45" t="str">
        <f ca="1">IFERROR(__xludf.DUMMYFUNCTION("""COMPUTED_VALUE"""),"Inqube Global (PVT) Ltd")</f>
        <v>Inqube Global (PVT) Ltd</v>
      </c>
      <c r="G116" s="45" t="str">
        <f ca="1">IFERROR(__xludf.DUMMYFUNCTION("""COMPUTED_VALUE"""),"BRANDIX APPAREL SOLUTION LTD - GIRITALE")</f>
        <v>BRANDIX APPAREL SOLUTION LTD - GIRITALE</v>
      </c>
      <c r="H116" s="43">
        <f ca="1">IFERROR(__xludf.DUMMYFUNCTION("""COMPUTED_VALUE"""),450934329371)</f>
        <v>450934329371</v>
      </c>
      <c r="I116" s="45">
        <f ca="1">IFERROR(__xludf.DUMMYFUNCTION("""COMPUTED_VALUE"""),19807101)</f>
        <v>19807101</v>
      </c>
      <c r="J116" s="45" t="str">
        <f ca="1">IFERROR(__xludf.DUMMYFUNCTION("""COMPUTED_VALUE"""),"LM5AO4S")</f>
        <v>LM5AO4S</v>
      </c>
      <c r="K116" s="45" t="str">
        <f ca="1">IFERROR(__xludf.DUMMYFUNCTION("""COMPUTED_VALUE"""),"LM5AO4S-019222")</f>
        <v>LM5AO4S-019222</v>
      </c>
      <c r="L116" s="45">
        <f ca="1">IFERROR(__xludf.DUMMYFUNCTION("""COMPUTED_VALUE"""),6)</f>
        <v>6</v>
      </c>
      <c r="M116" s="45">
        <f ca="1">IFERROR(__xludf.DUMMYFUNCTION("""COMPUTED_VALUE"""),226)</f>
        <v>226</v>
      </c>
      <c r="N116" s="45">
        <f ca="1">IFERROR(__xludf.DUMMYFUNCTION("""COMPUTED_VALUE"""),102.12)</f>
        <v>102.12</v>
      </c>
      <c r="O116" s="45">
        <f ca="1">IFERROR(__xludf.DUMMYFUNCTION("""COMPUTED_VALUE"""),0.495)</f>
        <v>0.495</v>
      </c>
      <c r="P116" s="45" t="str">
        <f ca="1">IFERROR(__xludf.DUMMYFUNCTION("""COMPUTED_VALUE"""),"Colombo, LK")</f>
        <v>Colombo, LK</v>
      </c>
      <c r="Q116" s="45" t="str">
        <f ca="1">IFERROR(__xludf.DUMMYFUNCTION("""COMPUTED_VALUE"""),"Felixstowe, GB")</f>
        <v>Felixstowe, GB</v>
      </c>
      <c r="R116" s="44">
        <f ca="1">IFERROR(__xludf.DUMMYFUNCTION("""COMPUTED_VALUE"""),45817)</f>
        <v>45817</v>
      </c>
      <c r="S116" s="44">
        <f ca="1">IFERROR(__xludf.DUMMYFUNCTION("""COMPUTED_VALUE"""),45876)</f>
        <v>45876</v>
      </c>
      <c r="T116" s="45" t="str">
        <f ca="1">IFERROR(__xludf.DUMMYFUNCTION("""COMPUTED_VALUE"""),"Birmingham, GB")</f>
        <v>Birmingham, GB</v>
      </c>
      <c r="U116" s="45"/>
      <c r="V116" s="45"/>
      <c r="W116" s="45"/>
      <c r="X116" s="45"/>
      <c r="Y116" s="46">
        <f ca="1">IFERROR(__xludf.DUMMYFUNCTION("""COMPUTED_VALUE"""),45826)</f>
        <v>45826</v>
      </c>
      <c r="Z116" s="46">
        <f ca="1">IFERROR(__xludf.DUMMYFUNCTION("""COMPUTED_VALUE"""),45850)</f>
        <v>45850</v>
      </c>
      <c r="AA116" s="46">
        <f ca="1">IFERROR(__xludf.DUMMYFUNCTION("""COMPUTED_VALUE"""),45857)</f>
        <v>45857</v>
      </c>
      <c r="AB116" s="45" t="str">
        <f ca="1">IFERROR(__xludf.DUMMYFUNCTION("""COMPUTED_VALUE"""),"10A Faraday Ave")</f>
        <v>10A Faraday Ave</v>
      </c>
      <c r="AC116" s="45" t="str">
        <f ca="1">IFERROR(__xludf.DUMMYFUNCTION("""COMPUTED_VALUE"""),"Coleshill")</f>
        <v>Coleshill</v>
      </c>
      <c r="AD116" s="45" t="str">
        <f ca="1">IFERROR(__xludf.DUMMYFUNCTION("""COMPUTED_VALUE"""),"OCEAN")</f>
        <v>OCEAN</v>
      </c>
      <c r="AE116" s="45" t="str">
        <f ca="1">IFERROR(__xludf.DUMMYFUNCTION("""COMPUTED_VALUE"""),"N")</f>
        <v>N</v>
      </c>
      <c r="AF116" s="45"/>
      <c r="AG116" s="49" t="str">
        <f ca="1">IFERROR(__xludf.DUMMYFUNCTION("IFNA(vlookup(H116,IMPORTRANGE(""1vUGwO1n0QQGx9kKbO0_M5gmuhXZ6-LaxQxgrmJnzgP0"",""'TP# look up'!A:C""),3,0),"""")"),"")</f>
        <v/>
      </c>
      <c r="AH116" s="49" t="str">
        <f t="shared" ca="1" si="1"/>
        <v>LM</v>
      </c>
    </row>
    <row r="117" spans="1:34" ht="12.75">
      <c r="A117" s="45" t="str">
        <f ca="1">IFERROR(__xludf.DUMMYFUNCTION("""COMPUTED_VALUE"""),"Colombo")</f>
        <v>Colombo</v>
      </c>
      <c r="B117" s="45"/>
      <c r="C117" s="45">
        <f ca="1">IFERROR(__xludf.DUMMYFUNCTION("""COMPUTED_VALUE"""),3231485)</f>
        <v>3231485</v>
      </c>
      <c r="D117" s="45"/>
      <c r="E117" s="45" t="str">
        <f ca="1">IFERROR(__xludf.DUMMYFUNCTION("""COMPUTED_VALUE"""),"CFS")</f>
        <v>CFS</v>
      </c>
      <c r="F117" s="45" t="str">
        <f ca="1">IFERROR(__xludf.DUMMYFUNCTION("""COMPUTED_VALUE"""),"Inqube Global (PVT) Ltd")</f>
        <v>Inqube Global (PVT) Ltd</v>
      </c>
      <c r="G117" s="45" t="str">
        <f ca="1">IFERROR(__xludf.DUMMYFUNCTION("""COMPUTED_VALUE"""),"Brandix Apparel Solutions Limited - Minuwangoda")</f>
        <v>Brandix Apparel Solutions Limited - Minuwangoda</v>
      </c>
      <c r="H117" s="43">
        <f ca="1">IFERROR(__xludf.DUMMYFUNCTION("""COMPUTED_VALUE"""),450834858288)</f>
        <v>450834858288</v>
      </c>
      <c r="I117" s="45">
        <f ca="1">IFERROR(__xludf.DUMMYFUNCTION("""COMPUTED_VALUE"""),19854894)</f>
        <v>19854894</v>
      </c>
      <c r="J117" s="45" t="str">
        <f ca="1">IFERROR(__xludf.DUMMYFUNCTION("""COMPUTED_VALUE"""),"LW3KASS")</f>
        <v>LW3KASS</v>
      </c>
      <c r="K117" s="45" t="str">
        <f ca="1">IFERROR(__xludf.DUMMYFUNCTION("""COMPUTED_VALUE"""),"LW3KASS-070108")</f>
        <v>LW3KASS-070108</v>
      </c>
      <c r="L117" s="45">
        <f ca="1">IFERROR(__xludf.DUMMYFUNCTION("""COMPUTED_VALUE"""),6)</f>
        <v>6</v>
      </c>
      <c r="M117" s="45">
        <f ca="1">IFERROR(__xludf.DUMMYFUNCTION("""COMPUTED_VALUE"""),135)</f>
        <v>135</v>
      </c>
      <c r="N117" s="45">
        <f ca="1">IFERROR(__xludf.DUMMYFUNCTION("""COMPUTED_VALUE"""),42.55)</f>
        <v>42.55</v>
      </c>
      <c r="O117" s="45">
        <f ca="1">IFERROR(__xludf.DUMMYFUNCTION("""COMPUTED_VALUE"""),0.471)</f>
        <v>0.47099999999999997</v>
      </c>
      <c r="P117" s="45" t="str">
        <f ca="1">IFERROR(__xludf.DUMMYFUNCTION("""COMPUTED_VALUE"""),"Colombo, LK")</f>
        <v>Colombo, LK</v>
      </c>
      <c r="Q117" s="45" t="str">
        <f ca="1">IFERROR(__xludf.DUMMYFUNCTION("""COMPUTED_VALUE"""),"Felixstowe, GB")</f>
        <v>Felixstowe, GB</v>
      </c>
      <c r="R117" s="44">
        <f ca="1">IFERROR(__xludf.DUMMYFUNCTION("""COMPUTED_VALUE"""),45817)</f>
        <v>45817</v>
      </c>
      <c r="S117" s="44">
        <f ca="1">IFERROR(__xludf.DUMMYFUNCTION("""COMPUTED_VALUE"""),45876)</f>
        <v>45876</v>
      </c>
      <c r="T117" s="45" t="str">
        <f ca="1">IFERROR(__xludf.DUMMYFUNCTION("""COMPUTED_VALUE"""),"Birmingham, GB")</f>
        <v>Birmingham, GB</v>
      </c>
      <c r="U117" s="45"/>
      <c r="V117" s="45"/>
      <c r="W117" s="45"/>
      <c r="X117" s="45"/>
      <c r="Y117" s="46">
        <f ca="1">IFERROR(__xludf.DUMMYFUNCTION("""COMPUTED_VALUE"""),45825)</f>
        <v>45825</v>
      </c>
      <c r="Z117" s="46">
        <f ca="1">IFERROR(__xludf.DUMMYFUNCTION("""COMPUTED_VALUE"""),45850)</f>
        <v>45850</v>
      </c>
      <c r="AA117" s="46">
        <f ca="1">IFERROR(__xludf.DUMMYFUNCTION("""COMPUTED_VALUE"""),45857)</f>
        <v>45857</v>
      </c>
      <c r="AB117" s="45" t="str">
        <f ca="1">IFERROR(__xludf.DUMMYFUNCTION("""COMPUTED_VALUE"""),"10A Faraday Ave")</f>
        <v>10A Faraday Ave</v>
      </c>
      <c r="AC117" s="45" t="str">
        <f ca="1">IFERROR(__xludf.DUMMYFUNCTION("""COMPUTED_VALUE"""),"Coleshill")</f>
        <v>Coleshill</v>
      </c>
      <c r="AD117" s="45" t="str">
        <f ca="1">IFERROR(__xludf.DUMMYFUNCTION("""COMPUTED_VALUE"""),"OCEAN")</f>
        <v>OCEAN</v>
      </c>
      <c r="AE117" s="45" t="str">
        <f ca="1">IFERROR(__xludf.DUMMYFUNCTION("""COMPUTED_VALUE"""),"N")</f>
        <v>N</v>
      </c>
      <c r="AF117" s="45"/>
      <c r="AG117" s="49" t="str">
        <f ca="1">IFERROR(__xludf.DUMMYFUNCTION("IFNA(vlookup(H117,IMPORTRANGE(""1vUGwO1n0QQGx9kKbO0_M5gmuhXZ6-LaxQxgrmJnzgP0"",""'TP# look up'!A:C""),3,0),"""")"),"")</f>
        <v/>
      </c>
      <c r="AH117" s="49" t="str">
        <f t="shared" ca="1" si="1"/>
        <v>LW</v>
      </c>
    </row>
    <row r="118" spans="1:34" ht="12.75" hidden="1">
      <c r="A118" s="45" t="str">
        <f ca="1">IFERROR(__xludf.DUMMYFUNCTION("""COMPUTED_VALUE"""),"Colombo")</f>
        <v>Colombo</v>
      </c>
      <c r="B118" s="45"/>
      <c r="C118" s="45">
        <f ca="1">IFERROR(__xludf.DUMMYFUNCTION("""COMPUTED_VALUE"""),3231485)</f>
        <v>3231485</v>
      </c>
      <c r="D118" s="45"/>
      <c r="E118" s="45" t="str">
        <f ca="1">IFERROR(__xludf.DUMMYFUNCTION("""COMPUTED_VALUE"""),"CFS")</f>
        <v>CFS</v>
      </c>
      <c r="F118" s="45" t="str">
        <f ca="1">IFERROR(__xludf.DUMMYFUNCTION("""COMPUTED_VALUE"""),"Bodyline Trading (Private) Limited")</f>
        <v>Bodyline Trading (Private) Limited</v>
      </c>
      <c r="G118" s="45" t="str">
        <f ca="1">IFERROR(__xludf.DUMMYFUNCTION("""COMPUTED_VALUE"""),"Bodyline (Private) Limited")</f>
        <v>Bodyline (Private) Limited</v>
      </c>
      <c r="H118" s="43">
        <f ca="1">IFERROR(__xludf.DUMMYFUNCTION("""COMPUTED_VALUE"""),451192157326)</f>
        <v>451192157326</v>
      </c>
      <c r="I118" s="45">
        <f ca="1">IFERROR(__xludf.DUMMYFUNCTION("""COMPUTED_VALUE"""),19828431)</f>
        <v>19828431</v>
      </c>
      <c r="J118" s="45" t="str">
        <f ca="1">IFERROR(__xludf.DUMMYFUNCTION("""COMPUTED_VALUE"""),"LW2DPOS")</f>
        <v>LW2DPOS</v>
      </c>
      <c r="K118" s="45" t="str">
        <f ca="1">IFERROR(__xludf.DUMMYFUNCTION("""COMPUTED_VALUE"""),"LW2DPOS-0001")</f>
        <v>LW2DPOS-0001</v>
      </c>
      <c r="L118" s="45">
        <f ca="1">IFERROR(__xludf.DUMMYFUNCTION("""COMPUTED_VALUE"""),4)</f>
        <v>4</v>
      </c>
      <c r="M118" s="45">
        <f ca="1">IFERROR(__xludf.DUMMYFUNCTION("""COMPUTED_VALUE"""),116)</f>
        <v>116</v>
      </c>
      <c r="N118" s="45">
        <f ca="1">IFERROR(__xludf.DUMMYFUNCTION("""COMPUTED_VALUE"""),18.262)</f>
        <v>18.262</v>
      </c>
      <c r="O118" s="45">
        <f ca="1">IFERROR(__xludf.DUMMYFUNCTION("""COMPUTED_VALUE"""),0.212)</f>
        <v>0.21199999999999999</v>
      </c>
      <c r="P118" s="45" t="str">
        <f ca="1">IFERROR(__xludf.DUMMYFUNCTION("""COMPUTED_VALUE"""),"Colombo, LK")</f>
        <v>Colombo, LK</v>
      </c>
      <c r="Q118" s="45" t="str">
        <f ca="1">IFERROR(__xludf.DUMMYFUNCTION("""COMPUTED_VALUE"""),"Felixstowe, GB")</f>
        <v>Felixstowe, GB</v>
      </c>
      <c r="R118" s="44">
        <f ca="1">IFERROR(__xludf.DUMMYFUNCTION("""COMPUTED_VALUE"""),45817)</f>
        <v>45817</v>
      </c>
      <c r="S118" s="44">
        <f ca="1">IFERROR(__xludf.DUMMYFUNCTION("""COMPUTED_VALUE"""),45876)</f>
        <v>45876</v>
      </c>
      <c r="T118" s="45" t="str">
        <f ca="1">IFERROR(__xludf.DUMMYFUNCTION("""COMPUTED_VALUE"""),"Birmingham, GB")</f>
        <v>Birmingham, GB</v>
      </c>
      <c r="U118" s="45"/>
      <c r="V118" s="45"/>
      <c r="W118" s="45"/>
      <c r="X118" s="45"/>
      <c r="Y118" s="46">
        <f ca="1">IFERROR(__xludf.DUMMYFUNCTION("""COMPUTED_VALUE"""),45826)</f>
        <v>45826</v>
      </c>
      <c r="Z118" s="46">
        <f ca="1">IFERROR(__xludf.DUMMYFUNCTION("""COMPUTED_VALUE"""),45850)</f>
        <v>45850</v>
      </c>
      <c r="AA118" s="46">
        <f ca="1">IFERROR(__xludf.DUMMYFUNCTION("""COMPUTED_VALUE"""),45857)</f>
        <v>45857</v>
      </c>
      <c r="AB118" s="45" t="str">
        <f ca="1">IFERROR(__xludf.DUMMYFUNCTION("""COMPUTED_VALUE"""),"10A Faraday Ave")</f>
        <v>10A Faraday Ave</v>
      </c>
      <c r="AC118" s="45" t="str">
        <f ca="1">IFERROR(__xludf.DUMMYFUNCTION("""COMPUTED_VALUE"""),"Coleshill")</f>
        <v>Coleshill</v>
      </c>
      <c r="AD118" s="45" t="str">
        <f ca="1">IFERROR(__xludf.DUMMYFUNCTION("""COMPUTED_VALUE"""),"OCEAN")</f>
        <v>OCEAN</v>
      </c>
      <c r="AE118" s="45" t="str">
        <f ca="1">IFERROR(__xludf.DUMMYFUNCTION("""COMPUTED_VALUE"""),"N")</f>
        <v>N</v>
      </c>
      <c r="AF118" s="45"/>
      <c r="AG118" s="49" t="str">
        <f ca="1">IFERROR(__xludf.DUMMYFUNCTION("IFNA(vlookup(H118,IMPORTRANGE(""1vUGwO1n0QQGx9kKbO0_M5gmuhXZ6-LaxQxgrmJnzgP0"",""'TP# look up'!A:C""),3,0),"""")"),"")</f>
        <v/>
      </c>
      <c r="AH118" s="49" t="str">
        <f t="shared" ca="1" si="1"/>
        <v>LW</v>
      </c>
    </row>
    <row r="119" spans="1:34" ht="12.75" hidden="1">
      <c r="A119" s="45" t="str">
        <f ca="1">IFERROR(__xludf.DUMMYFUNCTION("""COMPUTED_VALUE"""),"Colombo")</f>
        <v>Colombo</v>
      </c>
      <c r="B119" s="45"/>
      <c r="C119" s="45">
        <f ca="1">IFERROR(__xludf.DUMMYFUNCTION("""COMPUTED_VALUE"""),3231485)</f>
        <v>3231485</v>
      </c>
      <c r="D119" s="45"/>
      <c r="E119" s="45" t="str">
        <f ca="1">IFERROR(__xludf.DUMMYFUNCTION("""COMPUTED_VALUE"""),"CFS")</f>
        <v>CFS</v>
      </c>
      <c r="F119" s="45" t="str">
        <f ca="1">IFERROR(__xludf.DUMMYFUNCTION("""COMPUTED_VALUE"""),"Bodyline Trading (Private) Limited")</f>
        <v>Bodyline Trading (Private) Limited</v>
      </c>
      <c r="G119" s="45" t="str">
        <f ca="1">IFERROR(__xludf.DUMMYFUNCTION("""COMPUTED_VALUE"""),"Bodyline (Private) Limited")</f>
        <v>Bodyline (Private) Limited</v>
      </c>
      <c r="H119" s="43">
        <f ca="1">IFERROR(__xludf.DUMMYFUNCTION("""COMPUTED_VALUE"""),451192613725)</f>
        <v>451192613725</v>
      </c>
      <c r="I119" s="45">
        <f ca="1">IFERROR(__xludf.DUMMYFUNCTION("""COMPUTED_VALUE"""),19828428)</f>
        <v>19828428</v>
      </c>
      <c r="J119" s="45" t="str">
        <f ca="1">IFERROR(__xludf.DUMMYFUNCTION("""COMPUTED_VALUE"""),"LW2DPOS")</f>
        <v>LW2DPOS</v>
      </c>
      <c r="K119" s="45" t="str">
        <f ca="1">IFERROR(__xludf.DUMMYFUNCTION("""COMPUTED_VALUE"""),"LW2DPOS-0001")</f>
        <v>LW2DPOS-0001</v>
      </c>
      <c r="L119" s="45">
        <f ca="1">IFERROR(__xludf.DUMMYFUNCTION("""COMPUTED_VALUE"""),1)</f>
        <v>1</v>
      </c>
      <c r="M119" s="45">
        <f ca="1">IFERROR(__xludf.DUMMYFUNCTION("""COMPUTED_VALUE"""),22)</f>
        <v>22</v>
      </c>
      <c r="N119" s="45">
        <f ca="1">IFERROR(__xludf.DUMMYFUNCTION("""COMPUTED_VALUE"""),3.546)</f>
        <v>3.5459999999999998</v>
      </c>
      <c r="O119" s="45">
        <f ca="1">IFERROR(__xludf.DUMMYFUNCTION("""COMPUTED_VALUE"""),0.044)</f>
        <v>4.3999999999999997E-2</v>
      </c>
      <c r="P119" s="45" t="str">
        <f ca="1">IFERROR(__xludf.DUMMYFUNCTION("""COMPUTED_VALUE"""),"Colombo, LK")</f>
        <v>Colombo, LK</v>
      </c>
      <c r="Q119" s="45" t="str">
        <f ca="1">IFERROR(__xludf.DUMMYFUNCTION("""COMPUTED_VALUE"""),"Felixstowe, GB")</f>
        <v>Felixstowe, GB</v>
      </c>
      <c r="R119" s="44">
        <f ca="1">IFERROR(__xludf.DUMMYFUNCTION("""COMPUTED_VALUE"""),45817)</f>
        <v>45817</v>
      </c>
      <c r="S119" s="44">
        <f ca="1">IFERROR(__xludf.DUMMYFUNCTION("""COMPUTED_VALUE"""),45876)</f>
        <v>45876</v>
      </c>
      <c r="T119" s="45" t="str">
        <f ca="1">IFERROR(__xludf.DUMMYFUNCTION("""COMPUTED_VALUE"""),"Birmingham, GB")</f>
        <v>Birmingham, GB</v>
      </c>
      <c r="U119" s="45"/>
      <c r="V119" s="45"/>
      <c r="W119" s="45"/>
      <c r="X119" s="45"/>
      <c r="Y119" s="46">
        <f ca="1">IFERROR(__xludf.DUMMYFUNCTION("""COMPUTED_VALUE"""),45826)</f>
        <v>45826</v>
      </c>
      <c r="Z119" s="46">
        <f ca="1">IFERROR(__xludf.DUMMYFUNCTION("""COMPUTED_VALUE"""),45850)</f>
        <v>45850</v>
      </c>
      <c r="AA119" s="46">
        <f ca="1">IFERROR(__xludf.DUMMYFUNCTION("""COMPUTED_VALUE"""),45857)</f>
        <v>45857</v>
      </c>
      <c r="AB119" s="45" t="str">
        <f ca="1">IFERROR(__xludf.DUMMYFUNCTION("""COMPUTED_VALUE"""),"10A Faraday Ave")</f>
        <v>10A Faraday Ave</v>
      </c>
      <c r="AC119" s="45" t="str">
        <f ca="1">IFERROR(__xludf.DUMMYFUNCTION("""COMPUTED_VALUE"""),"Coleshill")</f>
        <v>Coleshill</v>
      </c>
      <c r="AD119" s="45" t="str">
        <f ca="1">IFERROR(__xludf.DUMMYFUNCTION("""COMPUTED_VALUE"""),"OCEAN")</f>
        <v>OCEAN</v>
      </c>
      <c r="AE119" s="45" t="str">
        <f ca="1">IFERROR(__xludf.DUMMYFUNCTION("""COMPUTED_VALUE"""),"N")</f>
        <v>N</v>
      </c>
      <c r="AF119" s="45"/>
      <c r="AG119" s="49" t="str">
        <f ca="1">IFERROR(__xludf.DUMMYFUNCTION("IFNA(vlookup(H119,IMPORTRANGE(""1vUGwO1n0QQGx9kKbO0_M5gmuhXZ6-LaxQxgrmJnzgP0"",""'TP# look up'!A:C""),3,0),"""")"),"")</f>
        <v/>
      </c>
      <c r="AH119" s="49" t="str">
        <f t="shared" ca="1" si="1"/>
        <v>LW</v>
      </c>
    </row>
    <row r="120" spans="1:34" ht="12.75" hidden="1">
      <c r="A120" s="45" t="str">
        <f ca="1">IFERROR(__xludf.DUMMYFUNCTION("""COMPUTED_VALUE"""),"Colombo")</f>
        <v>Colombo</v>
      </c>
      <c r="B120" s="45"/>
      <c r="C120" s="45">
        <f ca="1">IFERROR(__xludf.DUMMYFUNCTION("""COMPUTED_VALUE"""),3231485)</f>
        <v>3231485</v>
      </c>
      <c r="D120" s="45"/>
      <c r="E120" s="45" t="str">
        <f ca="1">IFERROR(__xludf.DUMMYFUNCTION("""COMPUTED_VALUE"""),"CFS")</f>
        <v>CFS</v>
      </c>
      <c r="F120" s="45" t="str">
        <f ca="1">IFERROR(__xludf.DUMMYFUNCTION("""COMPUTED_VALUE"""),"Inqube Global (PVT) Ltd")</f>
        <v>Inqube Global (PVT) Ltd</v>
      </c>
      <c r="G120" s="45" t="str">
        <f ca="1">IFERROR(__xludf.DUMMYFUNCTION("""COMPUTED_VALUE"""),"Quantum Clothing Lanka (Pvt) Ltd")</f>
        <v>Quantum Clothing Lanka (Pvt) Ltd</v>
      </c>
      <c r="H120" s="43">
        <f ca="1">IFERROR(__xludf.DUMMYFUNCTION("""COMPUTED_VALUE"""),451349760012)</f>
        <v>451349760012</v>
      </c>
      <c r="I120" s="45">
        <f ca="1">IFERROR(__xludf.DUMMYFUNCTION("""COMPUTED_VALUE"""),19727218)</f>
        <v>19727218</v>
      </c>
      <c r="J120" s="45" t="str">
        <f ca="1">IFERROR(__xludf.DUMMYFUNCTION("""COMPUTED_VALUE"""),"LW2E01S")</f>
        <v>LW2E01S</v>
      </c>
      <c r="K120" s="45" t="str">
        <f ca="1">IFERROR(__xludf.DUMMYFUNCTION("""COMPUTED_VALUE"""),"LW2E01S-031382")</f>
        <v>LW2E01S-031382</v>
      </c>
      <c r="L120" s="45">
        <f ca="1">IFERROR(__xludf.DUMMYFUNCTION("""COMPUTED_VALUE"""),16)</f>
        <v>16</v>
      </c>
      <c r="M120" s="45">
        <f ca="1">IFERROR(__xludf.DUMMYFUNCTION("""COMPUTED_VALUE"""),146)</f>
        <v>146</v>
      </c>
      <c r="N120" s="45">
        <f ca="1">IFERROR(__xludf.DUMMYFUNCTION("""COMPUTED_VALUE"""),53.108)</f>
        <v>53.107999999999997</v>
      </c>
      <c r="O120" s="45">
        <f ca="1">IFERROR(__xludf.DUMMYFUNCTION("""COMPUTED_VALUE"""),1.302)</f>
        <v>1.302</v>
      </c>
      <c r="P120" s="45" t="str">
        <f ca="1">IFERROR(__xludf.DUMMYFUNCTION("""COMPUTED_VALUE"""),"Colombo, LK")</f>
        <v>Colombo, LK</v>
      </c>
      <c r="Q120" s="45" t="str">
        <f ca="1">IFERROR(__xludf.DUMMYFUNCTION("""COMPUTED_VALUE"""),"Felixstowe, GB")</f>
        <v>Felixstowe, GB</v>
      </c>
      <c r="R120" s="44">
        <f ca="1">IFERROR(__xludf.DUMMYFUNCTION("""COMPUTED_VALUE"""),45817)</f>
        <v>45817</v>
      </c>
      <c r="S120" s="44">
        <f ca="1">IFERROR(__xludf.DUMMYFUNCTION("""COMPUTED_VALUE"""),45876)</f>
        <v>45876</v>
      </c>
      <c r="T120" s="45" t="str">
        <f ca="1">IFERROR(__xludf.DUMMYFUNCTION("""COMPUTED_VALUE"""),"Birmingham, GB")</f>
        <v>Birmingham, GB</v>
      </c>
      <c r="U120" s="45"/>
      <c r="V120" s="45"/>
      <c r="W120" s="45"/>
      <c r="X120" s="45"/>
      <c r="Y120" s="46">
        <f ca="1">IFERROR(__xludf.DUMMYFUNCTION("""COMPUTED_VALUE"""),45826)</f>
        <v>45826</v>
      </c>
      <c r="Z120" s="46">
        <f ca="1">IFERROR(__xludf.DUMMYFUNCTION("""COMPUTED_VALUE"""),45850)</f>
        <v>45850</v>
      </c>
      <c r="AA120" s="46">
        <f ca="1">IFERROR(__xludf.DUMMYFUNCTION("""COMPUTED_VALUE"""),45857)</f>
        <v>45857</v>
      </c>
      <c r="AB120" s="45" t="str">
        <f ca="1">IFERROR(__xludf.DUMMYFUNCTION("""COMPUTED_VALUE"""),"10A Faraday Ave")</f>
        <v>10A Faraday Ave</v>
      </c>
      <c r="AC120" s="45" t="str">
        <f ca="1">IFERROR(__xludf.DUMMYFUNCTION("""COMPUTED_VALUE"""),"Coleshill")</f>
        <v>Coleshill</v>
      </c>
      <c r="AD120" s="45" t="str">
        <f ca="1">IFERROR(__xludf.DUMMYFUNCTION("""COMPUTED_VALUE"""),"OCEAN")</f>
        <v>OCEAN</v>
      </c>
      <c r="AE120" s="45" t="str">
        <f ca="1">IFERROR(__xludf.DUMMYFUNCTION("""COMPUTED_VALUE"""),"N")</f>
        <v>N</v>
      </c>
      <c r="AF120" s="45"/>
      <c r="AG120" s="49" t="str">
        <f ca="1">IFERROR(__xludf.DUMMYFUNCTION("IFNA(vlookup(H120,IMPORTRANGE(""1vUGwO1n0QQGx9kKbO0_M5gmuhXZ6-LaxQxgrmJnzgP0"",""'TP# look up'!A:C""),3,0),"""")"),"")</f>
        <v/>
      </c>
      <c r="AH120" s="49" t="str">
        <f t="shared" ca="1" si="1"/>
        <v>LW</v>
      </c>
    </row>
    <row r="121" spans="1:34" ht="12.75" hidden="1">
      <c r="A121" s="45" t="str">
        <f ca="1">IFERROR(__xludf.DUMMYFUNCTION("""COMPUTED_VALUE"""),"Colombo")</f>
        <v>Colombo</v>
      </c>
      <c r="B121" s="45"/>
      <c r="C121" s="45">
        <f ca="1">IFERROR(__xludf.DUMMYFUNCTION("""COMPUTED_VALUE"""),3231485)</f>
        <v>3231485</v>
      </c>
      <c r="D121" s="45"/>
      <c r="E121" s="45" t="str">
        <f ca="1">IFERROR(__xludf.DUMMYFUNCTION("""COMPUTED_VALUE"""),"CFS")</f>
        <v>CFS</v>
      </c>
      <c r="F121" s="45" t="str">
        <f ca="1">IFERROR(__xludf.DUMMYFUNCTION("""COMPUTED_VALUE"""),"Inqube Global (PVT) Ltd")</f>
        <v>Inqube Global (PVT) Ltd</v>
      </c>
      <c r="G121" s="45" t="str">
        <f ca="1">IFERROR(__xludf.DUMMYFUNCTION("""COMPUTED_VALUE"""),"Quantum Clothing Lanka (Pvt) Ltd")</f>
        <v>Quantum Clothing Lanka (Pvt) Ltd</v>
      </c>
      <c r="H121" s="43">
        <f ca="1">IFERROR(__xludf.DUMMYFUNCTION("""COMPUTED_VALUE"""),451351956162)</f>
        <v>451351956162</v>
      </c>
      <c r="I121" s="45">
        <f ca="1">IFERROR(__xludf.DUMMYFUNCTION("""COMPUTED_VALUE"""),19727219)</f>
        <v>19727219</v>
      </c>
      <c r="J121" s="45" t="str">
        <f ca="1">IFERROR(__xludf.DUMMYFUNCTION("""COMPUTED_VALUE"""),"LW2E01S")</f>
        <v>LW2E01S</v>
      </c>
      <c r="K121" s="45" t="str">
        <f ca="1">IFERROR(__xludf.DUMMYFUNCTION("""COMPUTED_VALUE"""),"LW2E01S-031382")</f>
        <v>LW2E01S-031382</v>
      </c>
      <c r="L121" s="45">
        <f ca="1">IFERROR(__xludf.DUMMYFUNCTION("""COMPUTED_VALUE"""),17)</f>
        <v>17</v>
      </c>
      <c r="M121" s="45">
        <f ca="1">IFERROR(__xludf.DUMMYFUNCTION("""COMPUTED_VALUE"""),149)</f>
        <v>149</v>
      </c>
      <c r="N121" s="45">
        <f ca="1">IFERROR(__xludf.DUMMYFUNCTION("""COMPUTED_VALUE"""),54.353)</f>
        <v>54.353000000000002</v>
      </c>
      <c r="O121" s="45">
        <f ca="1">IFERROR(__xludf.DUMMYFUNCTION("""COMPUTED_VALUE"""),1.344)</f>
        <v>1.3440000000000001</v>
      </c>
      <c r="P121" s="45" t="str">
        <f ca="1">IFERROR(__xludf.DUMMYFUNCTION("""COMPUTED_VALUE"""),"Colombo, LK")</f>
        <v>Colombo, LK</v>
      </c>
      <c r="Q121" s="45" t="str">
        <f ca="1">IFERROR(__xludf.DUMMYFUNCTION("""COMPUTED_VALUE"""),"Felixstowe, GB")</f>
        <v>Felixstowe, GB</v>
      </c>
      <c r="R121" s="44">
        <f ca="1">IFERROR(__xludf.DUMMYFUNCTION("""COMPUTED_VALUE"""),45817)</f>
        <v>45817</v>
      </c>
      <c r="S121" s="44">
        <f ca="1">IFERROR(__xludf.DUMMYFUNCTION("""COMPUTED_VALUE"""),45876)</f>
        <v>45876</v>
      </c>
      <c r="T121" s="45" t="str">
        <f ca="1">IFERROR(__xludf.DUMMYFUNCTION("""COMPUTED_VALUE"""),"Birmingham, GB")</f>
        <v>Birmingham, GB</v>
      </c>
      <c r="U121" s="45"/>
      <c r="V121" s="45"/>
      <c r="W121" s="45"/>
      <c r="X121" s="45"/>
      <c r="Y121" s="46">
        <f ca="1">IFERROR(__xludf.DUMMYFUNCTION("""COMPUTED_VALUE"""),45820)</f>
        <v>45820</v>
      </c>
      <c r="Z121" s="46">
        <f ca="1">IFERROR(__xludf.DUMMYFUNCTION("""COMPUTED_VALUE"""),45850)</f>
        <v>45850</v>
      </c>
      <c r="AA121" s="46">
        <f ca="1">IFERROR(__xludf.DUMMYFUNCTION("""COMPUTED_VALUE"""),45857)</f>
        <v>45857</v>
      </c>
      <c r="AB121" s="45" t="str">
        <f ca="1">IFERROR(__xludf.DUMMYFUNCTION("""COMPUTED_VALUE"""),"10A Faraday Ave")</f>
        <v>10A Faraday Ave</v>
      </c>
      <c r="AC121" s="45" t="str">
        <f ca="1">IFERROR(__xludf.DUMMYFUNCTION("""COMPUTED_VALUE"""),"Coleshill")</f>
        <v>Coleshill</v>
      </c>
      <c r="AD121" s="45" t="str">
        <f ca="1">IFERROR(__xludf.DUMMYFUNCTION("""COMPUTED_VALUE"""),"OCEAN")</f>
        <v>OCEAN</v>
      </c>
      <c r="AE121" s="45" t="str">
        <f ca="1">IFERROR(__xludf.DUMMYFUNCTION("""COMPUTED_VALUE"""),"N")</f>
        <v>N</v>
      </c>
      <c r="AF121" s="45" t="str">
        <f ca="1">IFERROR(__xludf.DUMMYFUNCTION("""COMPUTED_VALUE"""),"Qty changed from 151 to 149.0, Volume changed from 1.386 to 1.344, Gross Volume changed from 1.386 to 1.344, Weight changed from 55.875 to 54.353, Gross Weight changed from 55.875 to 54.353")</f>
        <v>Qty changed from 151 to 149.0, Volume changed from 1.386 to 1.344, Gross Volume changed from 1.386 to 1.344, Weight changed from 55.875 to 54.353, Gross Weight changed from 55.875 to 54.353</v>
      </c>
      <c r="AG121" s="49" t="str">
        <f ca="1">IFERROR(__xludf.DUMMYFUNCTION("IFNA(vlookup(H121,IMPORTRANGE(""1vUGwO1n0QQGx9kKbO0_M5gmuhXZ6-LaxQxgrmJnzgP0"",""'TP# look up'!A:C""),3,0),"""")"),"")</f>
        <v/>
      </c>
      <c r="AH121" s="49" t="str">
        <f t="shared" ca="1" si="1"/>
        <v>LW</v>
      </c>
    </row>
    <row r="122" spans="1:34" ht="12.75" hidden="1">
      <c r="A122" s="45" t="str">
        <f ca="1">IFERROR(__xludf.DUMMYFUNCTION("""COMPUTED_VALUE"""),"Colombo")</f>
        <v>Colombo</v>
      </c>
      <c r="B122" s="45"/>
      <c r="C122" s="45">
        <f ca="1">IFERROR(__xludf.DUMMYFUNCTION("""COMPUTED_VALUE"""),3231485)</f>
        <v>3231485</v>
      </c>
      <c r="D122" s="45"/>
      <c r="E122" s="45" t="str">
        <f ca="1">IFERROR(__xludf.DUMMYFUNCTION("""COMPUTED_VALUE"""),"CFS")</f>
        <v>CFS</v>
      </c>
      <c r="F122" s="45" t="str">
        <f ca="1">IFERROR(__xludf.DUMMYFUNCTION("""COMPUTED_VALUE"""),"Inqube Global (PVT) Ltd")</f>
        <v>Inqube Global (PVT) Ltd</v>
      </c>
      <c r="G122" s="45" t="str">
        <f ca="1">IFERROR(__xludf.DUMMYFUNCTION("""COMPUTED_VALUE"""),"Quantum Clothing Lanka (Pvt) Ltd")</f>
        <v>Quantum Clothing Lanka (Pvt) Ltd</v>
      </c>
      <c r="H122" s="43">
        <f ca="1">IFERROR(__xludf.DUMMYFUNCTION("""COMPUTED_VALUE"""),451374186160)</f>
        <v>451374186160</v>
      </c>
      <c r="I122" s="45">
        <f ca="1">IFERROR(__xludf.DUMMYFUNCTION("""COMPUTED_VALUE"""),19855322)</f>
        <v>19855322</v>
      </c>
      <c r="J122" s="45" t="str">
        <f ca="1">IFERROR(__xludf.DUMMYFUNCTION("""COMPUTED_VALUE"""),"LW2EDNS")</f>
        <v>LW2EDNS</v>
      </c>
      <c r="K122" s="45" t="str">
        <f ca="1">IFERROR(__xludf.DUMMYFUNCTION("""COMPUTED_VALUE"""),"LW2EDNS-0001")</f>
        <v>LW2EDNS-0001</v>
      </c>
      <c r="L122" s="45">
        <f ca="1">IFERROR(__xludf.DUMMYFUNCTION("""COMPUTED_VALUE"""),1)</f>
        <v>1</v>
      </c>
      <c r="M122" s="45">
        <f ca="1">IFERROR(__xludf.DUMMYFUNCTION("""COMPUTED_VALUE"""),154)</f>
        <v>154</v>
      </c>
      <c r="N122" s="45">
        <f ca="1">IFERROR(__xludf.DUMMYFUNCTION("""COMPUTED_VALUE"""),11.892)</f>
        <v>11.891999999999999</v>
      </c>
      <c r="O122" s="45">
        <f ca="1">IFERROR(__xludf.DUMMYFUNCTION("""COMPUTED_VALUE"""),0.04)</f>
        <v>0.04</v>
      </c>
      <c r="P122" s="45" t="str">
        <f ca="1">IFERROR(__xludf.DUMMYFUNCTION("""COMPUTED_VALUE"""),"Colombo, LK")</f>
        <v>Colombo, LK</v>
      </c>
      <c r="Q122" s="45" t="str">
        <f ca="1">IFERROR(__xludf.DUMMYFUNCTION("""COMPUTED_VALUE"""),"Felixstowe, GB")</f>
        <v>Felixstowe, GB</v>
      </c>
      <c r="R122" s="44">
        <f ca="1">IFERROR(__xludf.DUMMYFUNCTION("""COMPUTED_VALUE"""),45817)</f>
        <v>45817</v>
      </c>
      <c r="S122" s="44">
        <f ca="1">IFERROR(__xludf.DUMMYFUNCTION("""COMPUTED_VALUE"""),45876)</f>
        <v>45876</v>
      </c>
      <c r="T122" s="45" t="str">
        <f ca="1">IFERROR(__xludf.DUMMYFUNCTION("""COMPUTED_VALUE"""),"Birmingham, GB")</f>
        <v>Birmingham, GB</v>
      </c>
      <c r="U122" s="45"/>
      <c r="V122" s="45"/>
      <c r="W122" s="45"/>
      <c r="X122" s="45"/>
      <c r="Y122" s="46">
        <f ca="1">IFERROR(__xludf.DUMMYFUNCTION("""COMPUTED_VALUE"""),45826)</f>
        <v>45826</v>
      </c>
      <c r="Z122" s="46">
        <f ca="1">IFERROR(__xludf.DUMMYFUNCTION("""COMPUTED_VALUE"""),45850)</f>
        <v>45850</v>
      </c>
      <c r="AA122" s="46">
        <f ca="1">IFERROR(__xludf.DUMMYFUNCTION("""COMPUTED_VALUE"""),45857)</f>
        <v>45857</v>
      </c>
      <c r="AB122" s="45" t="str">
        <f ca="1">IFERROR(__xludf.DUMMYFUNCTION("""COMPUTED_VALUE"""),"10A Faraday Ave")</f>
        <v>10A Faraday Ave</v>
      </c>
      <c r="AC122" s="45" t="str">
        <f ca="1">IFERROR(__xludf.DUMMYFUNCTION("""COMPUTED_VALUE"""),"Coleshill")</f>
        <v>Coleshill</v>
      </c>
      <c r="AD122" s="45" t="str">
        <f ca="1">IFERROR(__xludf.DUMMYFUNCTION("""COMPUTED_VALUE"""),"OCEAN")</f>
        <v>OCEAN</v>
      </c>
      <c r="AE122" s="45" t="str">
        <f ca="1">IFERROR(__xludf.DUMMYFUNCTION("""COMPUTED_VALUE"""),"N")</f>
        <v>N</v>
      </c>
      <c r="AF122" s="45"/>
      <c r="AG122" s="49" t="str">
        <f ca="1">IFERROR(__xludf.DUMMYFUNCTION("IFNA(vlookup(H122,IMPORTRANGE(""1vUGwO1n0QQGx9kKbO0_M5gmuhXZ6-LaxQxgrmJnzgP0"",""'TP# look up'!A:C""),3,0),"""")"),"")</f>
        <v/>
      </c>
      <c r="AH122" s="49" t="str">
        <f t="shared" ca="1" si="1"/>
        <v>LW</v>
      </c>
    </row>
    <row r="123" spans="1:34" ht="12.75" hidden="1">
      <c r="A123" s="45" t="str">
        <f ca="1">IFERROR(__xludf.DUMMYFUNCTION("""COMPUTED_VALUE"""),"Colombo")</f>
        <v>Colombo</v>
      </c>
      <c r="B123" s="45"/>
      <c r="C123" s="45">
        <f ca="1">IFERROR(__xludf.DUMMYFUNCTION("""COMPUTED_VALUE"""),3231485)</f>
        <v>3231485</v>
      </c>
      <c r="D123" s="45"/>
      <c r="E123" s="45" t="str">
        <f ca="1">IFERROR(__xludf.DUMMYFUNCTION("""COMPUTED_VALUE"""),"CFS")</f>
        <v>CFS</v>
      </c>
      <c r="F123" s="45" t="str">
        <f ca="1">IFERROR(__xludf.DUMMYFUNCTION("""COMPUTED_VALUE"""),"Inqube Global (PVT) Ltd")</f>
        <v>Inqube Global (PVT) Ltd</v>
      </c>
      <c r="G123" s="45" t="str">
        <f ca="1">IFERROR(__xludf.DUMMYFUNCTION("""COMPUTED_VALUE"""),"Quantum Clothing Lanka (Pvt) Ltd")</f>
        <v>Quantum Clothing Lanka (Pvt) Ltd</v>
      </c>
      <c r="H123" s="43">
        <f ca="1">IFERROR(__xludf.DUMMYFUNCTION("""COMPUTED_VALUE"""),451374824670)</f>
        <v>451374824670</v>
      </c>
      <c r="I123" s="45">
        <f ca="1">IFERROR(__xludf.DUMMYFUNCTION("""COMPUTED_VALUE"""),19855324)</f>
        <v>19855324</v>
      </c>
      <c r="J123" s="45" t="str">
        <f ca="1">IFERROR(__xludf.DUMMYFUNCTION("""COMPUTED_VALUE"""),"LW2EDNS")</f>
        <v>LW2EDNS</v>
      </c>
      <c r="K123" s="45" t="str">
        <f ca="1">IFERROR(__xludf.DUMMYFUNCTION("""COMPUTED_VALUE"""),"LW2EDNS-0001")</f>
        <v>LW2EDNS-0001</v>
      </c>
      <c r="L123" s="45">
        <f ca="1">IFERROR(__xludf.DUMMYFUNCTION("""COMPUTED_VALUE"""),1)</f>
        <v>1</v>
      </c>
      <c r="M123" s="45">
        <f ca="1">IFERROR(__xludf.DUMMYFUNCTION("""COMPUTED_VALUE"""),30)</f>
        <v>30</v>
      </c>
      <c r="N123" s="45">
        <f ca="1">IFERROR(__xludf.DUMMYFUNCTION("""COMPUTED_VALUE"""),3.105)</f>
        <v>3.105</v>
      </c>
      <c r="O123" s="45">
        <f ca="1">IFERROR(__xludf.DUMMYFUNCTION("""COMPUTED_VALUE"""),0.04)</f>
        <v>0.04</v>
      </c>
      <c r="P123" s="45" t="str">
        <f ca="1">IFERROR(__xludf.DUMMYFUNCTION("""COMPUTED_VALUE"""),"Colombo, LK")</f>
        <v>Colombo, LK</v>
      </c>
      <c r="Q123" s="45" t="str">
        <f ca="1">IFERROR(__xludf.DUMMYFUNCTION("""COMPUTED_VALUE"""),"Felixstowe, GB")</f>
        <v>Felixstowe, GB</v>
      </c>
      <c r="R123" s="44">
        <f ca="1">IFERROR(__xludf.DUMMYFUNCTION("""COMPUTED_VALUE"""),45817)</f>
        <v>45817</v>
      </c>
      <c r="S123" s="44">
        <f ca="1">IFERROR(__xludf.DUMMYFUNCTION("""COMPUTED_VALUE"""),45876)</f>
        <v>45876</v>
      </c>
      <c r="T123" s="45" t="str">
        <f ca="1">IFERROR(__xludf.DUMMYFUNCTION("""COMPUTED_VALUE"""),"Birmingham, GB")</f>
        <v>Birmingham, GB</v>
      </c>
      <c r="U123" s="45"/>
      <c r="V123" s="45"/>
      <c r="W123" s="45"/>
      <c r="X123" s="45"/>
      <c r="Y123" s="46">
        <f ca="1">IFERROR(__xludf.DUMMYFUNCTION("""COMPUTED_VALUE"""),45826)</f>
        <v>45826</v>
      </c>
      <c r="Z123" s="46">
        <f ca="1">IFERROR(__xludf.DUMMYFUNCTION("""COMPUTED_VALUE"""),45850)</f>
        <v>45850</v>
      </c>
      <c r="AA123" s="46">
        <f ca="1">IFERROR(__xludf.DUMMYFUNCTION("""COMPUTED_VALUE"""),45857)</f>
        <v>45857</v>
      </c>
      <c r="AB123" s="45" t="str">
        <f ca="1">IFERROR(__xludf.DUMMYFUNCTION("""COMPUTED_VALUE"""),"10A Faraday Ave")</f>
        <v>10A Faraday Ave</v>
      </c>
      <c r="AC123" s="45" t="str">
        <f ca="1">IFERROR(__xludf.DUMMYFUNCTION("""COMPUTED_VALUE"""),"Coleshill")</f>
        <v>Coleshill</v>
      </c>
      <c r="AD123" s="45" t="str">
        <f ca="1">IFERROR(__xludf.DUMMYFUNCTION("""COMPUTED_VALUE"""),"OCEAN")</f>
        <v>OCEAN</v>
      </c>
      <c r="AE123" s="45" t="str">
        <f ca="1">IFERROR(__xludf.DUMMYFUNCTION("""COMPUTED_VALUE"""),"N")</f>
        <v>N</v>
      </c>
      <c r="AF123" s="45"/>
      <c r="AG123" s="49" t="str">
        <f ca="1">IFERROR(__xludf.DUMMYFUNCTION("IFNA(vlookup(H123,IMPORTRANGE(""1vUGwO1n0QQGx9kKbO0_M5gmuhXZ6-LaxQxgrmJnzgP0"",""'TP# look up'!A:C""),3,0),"""")"),"")</f>
        <v/>
      </c>
      <c r="AH123" s="49" t="str">
        <f t="shared" ca="1" si="1"/>
        <v>LW</v>
      </c>
    </row>
    <row r="124" spans="1:34" ht="12.75" hidden="1">
      <c r="A124" s="45" t="str">
        <f ca="1">IFERROR(__xludf.DUMMYFUNCTION("""COMPUTED_VALUE"""),"Colombo")</f>
        <v>Colombo</v>
      </c>
      <c r="B124" s="45"/>
      <c r="C124" s="45">
        <f ca="1">IFERROR(__xludf.DUMMYFUNCTION("""COMPUTED_VALUE"""),3231485)</f>
        <v>3231485</v>
      </c>
      <c r="D124" s="45"/>
      <c r="E124" s="45" t="str">
        <f ca="1">IFERROR(__xludf.DUMMYFUNCTION("""COMPUTED_VALUE"""),"CFS")</f>
        <v>CFS</v>
      </c>
      <c r="F124" s="45" t="str">
        <f ca="1">IFERROR(__xludf.DUMMYFUNCTION("""COMPUTED_VALUE"""),"MAS AMITY PTE LTD")</f>
        <v>MAS AMITY PTE LTD</v>
      </c>
      <c r="G124" s="45" t="str">
        <f ca="1">IFERROR(__xludf.DUMMYFUNCTION("""COMPUTED_VALUE"""),"MAS Active (Pvt) Ltd - Linea Intimo")</f>
        <v>MAS Active (Pvt) Ltd - Linea Intimo</v>
      </c>
      <c r="H124" s="43">
        <f ca="1">IFERROR(__xludf.DUMMYFUNCTION("""COMPUTED_VALUE"""),452597618598)</f>
        <v>452597618598</v>
      </c>
      <c r="I124" s="45">
        <f ca="1">IFERROR(__xludf.DUMMYFUNCTION("""COMPUTED_VALUE"""),19924614)</f>
        <v>19924614</v>
      </c>
      <c r="J124" s="45" t="str">
        <f ca="1">IFERROR(__xludf.DUMMYFUNCTION("""COMPUTED_VALUE"""),"LW7DK4S")</f>
        <v>LW7DK4S</v>
      </c>
      <c r="K124" s="45" t="str">
        <f ca="1">IFERROR(__xludf.DUMMYFUNCTION("""COMPUTED_VALUE"""),"LW7DK4S-4780")</f>
        <v>LW7DK4S-4780</v>
      </c>
      <c r="L124" s="45">
        <f ca="1">IFERROR(__xludf.DUMMYFUNCTION("""COMPUTED_VALUE"""),2)</f>
        <v>2</v>
      </c>
      <c r="M124" s="45">
        <f ca="1">IFERROR(__xludf.DUMMYFUNCTION("""COMPUTED_VALUE"""),28)</f>
        <v>28</v>
      </c>
      <c r="N124" s="45">
        <f ca="1">IFERROR(__xludf.DUMMYFUNCTION("""COMPUTED_VALUE"""),5.114)</f>
        <v>5.1139999999999999</v>
      </c>
      <c r="O124" s="45">
        <f ca="1">IFERROR(__xludf.DUMMYFUNCTION("""COMPUTED_VALUE"""),0.079)</f>
        <v>7.9000000000000001E-2</v>
      </c>
      <c r="P124" s="45" t="str">
        <f ca="1">IFERROR(__xludf.DUMMYFUNCTION("""COMPUTED_VALUE"""),"Colombo, LK")</f>
        <v>Colombo, LK</v>
      </c>
      <c r="Q124" s="45" t="str">
        <f ca="1">IFERROR(__xludf.DUMMYFUNCTION("""COMPUTED_VALUE"""),"Felixstowe, GB")</f>
        <v>Felixstowe, GB</v>
      </c>
      <c r="R124" s="44">
        <f ca="1">IFERROR(__xludf.DUMMYFUNCTION("""COMPUTED_VALUE"""),45817)</f>
        <v>45817</v>
      </c>
      <c r="S124" s="44">
        <f ca="1">IFERROR(__xludf.DUMMYFUNCTION("""COMPUTED_VALUE"""),45876)</f>
        <v>45876</v>
      </c>
      <c r="T124" s="45" t="str">
        <f ca="1">IFERROR(__xludf.DUMMYFUNCTION("""COMPUTED_VALUE"""),"Birmingham, GB")</f>
        <v>Birmingham, GB</v>
      </c>
      <c r="U124" s="45"/>
      <c r="V124" s="45"/>
      <c r="W124" s="45"/>
      <c r="X124" s="45"/>
      <c r="Y124" s="46">
        <f ca="1">IFERROR(__xludf.DUMMYFUNCTION("""COMPUTED_VALUE"""),45826)</f>
        <v>45826</v>
      </c>
      <c r="Z124" s="46">
        <f ca="1">IFERROR(__xludf.DUMMYFUNCTION("""COMPUTED_VALUE"""),45850)</f>
        <v>45850</v>
      </c>
      <c r="AA124" s="46">
        <f ca="1">IFERROR(__xludf.DUMMYFUNCTION("""COMPUTED_VALUE"""),45857)</f>
        <v>45857</v>
      </c>
      <c r="AB124" s="45" t="str">
        <f ca="1">IFERROR(__xludf.DUMMYFUNCTION("""COMPUTED_VALUE"""),"10A Faraday Ave")</f>
        <v>10A Faraday Ave</v>
      </c>
      <c r="AC124" s="45" t="str">
        <f ca="1">IFERROR(__xludf.DUMMYFUNCTION("""COMPUTED_VALUE"""),"Coleshill")</f>
        <v>Coleshill</v>
      </c>
      <c r="AD124" s="45" t="str">
        <f ca="1">IFERROR(__xludf.DUMMYFUNCTION("""COMPUTED_VALUE"""),"OCEAN")</f>
        <v>OCEAN</v>
      </c>
      <c r="AE124" s="45" t="str">
        <f ca="1">IFERROR(__xludf.DUMMYFUNCTION("""COMPUTED_VALUE"""),"N")</f>
        <v>N</v>
      </c>
      <c r="AF124" s="45"/>
      <c r="AG124" s="49" t="str">
        <f ca="1">IFERROR(__xludf.DUMMYFUNCTION("IFNA(vlookup(H124,IMPORTRANGE(""1vUGwO1n0QQGx9kKbO0_M5gmuhXZ6-LaxQxgrmJnzgP0"",""'TP# look up'!A:C""),3,0),"""")"),"")</f>
        <v/>
      </c>
      <c r="AH124" s="49" t="str">
        <f t="shared" ca="1" si="1"/>
        <v>LW</v>
      </c>
    </row>
    <row r="125" spans="1:34" ht="12.75" hidden="1">
      <c r="A125" s="45" t="str">
        <f ca="1">IFERROR(__xludf.DUMMYFUNCTION("""COMPUTED_VALUE"""),"Colombo")</f>
        <v>Colombo</v>
      </c>
      <c r="B125" s="45"/>
      <c r="C125" s="45">
        <f ca="1">IFERROR(__xludf.DUMMYFUNCTION("""COMPUTED_VALUE"""),3231485)</f>
        <v>3231485</v>
      </c>
      <c r="D125" s="45"/>
      <c r="E125" s="45" t="str">
        <f ca="1">IFERROR(__xludf.DUMMYFUNCTION("""COMPUTED_VALUE"""),"CFS")</f>
        <v>CFS</v>
      </c>
      <c r="F125" s="45" t="str">
        <f ca="1">IFERROR(__xludf.DUMMYFUNCTION("""COMPUTED_VALUE"""),"MAS AMITY PTE LTD")</f>
        <v>MAS AMITY PTE LTD</v>
      </c>
      <c r="G125" s="45" t="str">
        <f ca="1">IFERROR(__xludf.DUMMYFUNCTION("""COMPUTED_VALUE"""),"MAS Active(Pvt) Ltd – CONTOURLINE")</f>
        <v>MAS Active(Pvt) Ltd – CONTOURLINE</v>
      </c>
      <c r="H125" s="43">
        <f ca="1">IFERROR(__xludf.DUMMYFUNCTION("""COMPUTED_VALUE"""),452568276947)</f>
        <v>452568276947</v>
      </c>
      <c r="I125" s="45">
        <f ca="1">IFERROR(__xludf.DUMMYFUNCTION("""COMPUTED_VALUE"""),19925858)</f>
        <v>19925858</v>
      </c>
      <c r="J125" s="45" t="str">
        <f ca="1">IFERROR(__xludf.DUMMYFUNCTION("""COMPUTED_VALUE"""),"LW5EPSS")</f>
        <v>LW5EPSS</v>
      </c>
      <c r="K125" s="45" t="str">
        <f ca="1">IFERROR(__xludf.DUMMYFUNCTION("""COMPUTED_VALUE"""),"LW5EPSS-035487")</f>
        <v>LW5EPSS-035487</v>
      </c>
      <c r="L125" s="45">
        <f ca="1">IFERROR(__xludf.DUMMYFUNCTION("""COMPUTED_VALUE"""),6)</f>
        <v>6</v>
      </c>
      <c r="M125" s="45">
        <f ca="1">IFERROR(__xludf.DUMMYFUNCTION("""COMPUTED_VALUE"""),253)</f>
        <v>253</v>
      </c>
      <c r="N125" s="45">
        <f ca="1">IFERROR(__xludf.DUMMYFUNCTION("""COMPUTED_VALUE"""),58.574)</f>
        <v>58.573999999999998</v>
      </c>
      <c r="O125" s="45">
        <f ca="1">IFERROR(__xludf.DUMMYFUNCTION("""COMPUTED_VALUE"""),0.474)</f>
        <v>0.47399999999999998</v>
      </c>
      <c r="P125" s="45" t="str">
        <f ca="1">IFERROR(__xludf.DUMMYFUNCTION("""COMPUTED_VALUE"""),"Colombo, LK")</f>
        <v>Colombo, LK</v>
      </c>
      <c r="Q125" s="45" t="str">
        <f ca="1">IFERROR(__xludf.DUMMYFUNCTION("""COMPUTED_VALUE"""),"Felixstowe, GB")</f>
        <v>Felixstowe, GB</v>
      </c>
      <c r="R125" s="44">
        <f ca="1">IFERROR(__xludf.DUMMYFUNCTION("""COMPUTED_VALUE"""),45817)</f>
        <v>45817</v>
      </c>
      <c r="S125" s="44">
        <f ca="1">IFERROR(__xludf.DUMMYFUNCTION("""COMPUTED_VALUE"""),45876)</f>
        <v>45876</v>
      </c>
      <c r="T125" s="45" t="str">
        <f ca="1">IFERROR(__xludf.DUMMYFUNCTION("""COMPUTED_VALUE"""),"Birmingham, GB")</f>
        <v>Birmingham, GB</v>
      </c>
      <c r="U125" s="45"/>
      <c r="V125" s="45"/>
      <c r="W125" s="45"/>
      <c r="X125" s="45"/>
      <c r="Y125" s="46">
        <f ca="1">IFERROR(__xludf.DUMMYFUNCTION("""COMPUTED_VALUE"""),45826)</f>
        <v>45826</v>
      </c>
      <c r="Z125" s="46">
        <f ca="1">IFERROR(__xludf.DUMMYFUNCTION("""COMPUTED_VALUE"""),45850)</f>
        <v>45850</v>
      </c>
      <c r="AA125" s="46">
        <f ca="1">IFERROR(__xludf.DUMMYFUNCTION("""COMPUTED_VALUE"""),45857)</f>
        <v>45857</v>
      </c>
      <c r="AB125" s="45" t="str">
        <f ca="1">IFERROR(__xludf.DUMMYFUNCTION("""COMPUTED_VALUE"""),"10A Faraday Ave")</f>
        <v>10A Faraday Ave</v>
      </c>
      <c r="AC125" s="45" t="str">
        <f ca="1">IFERROR(__xludf.DUMMYFUNCTION("""COMPUTED_VALUE"""),"Coleshill")</f>
        <v>Coleshill</v>
      </c>
      <c r="AD125" s="45" t="str">
        <f ca="1">IFERROR(__xludf.DUMMYFUNCTION("""COMPUTED_VALUE"""),"OCEAN")</f>
        <v>OCEAN</v>
      </c>
      <c r="AE125" s="45" t="str">
        <f ca="1">IFERROR(__xludf.DUMMYFUNCTION("""COMPUTED_VALUE"""),"N")</f>
        <v>N</v>
      </c>
      <c r="AF125" s="45"/>
      <c r="AG125" s="49" t="str">
        <f ca="1">IFERROR(__xludf.DUMMYFUNCTION("IFNA(vlookup(H125,IMPORTRANGE(""1vUGwO1n0QQGx9kKbO0_M5gmuhXZ6-LaxQxgrmJnzgP0"",""'TP# look up'!A:C""),3,0),"""")"),"")</f>
        <v/>
      </c>
      <c r="AH125" s="49" t="str">
        <f t="shared" ca="1" si="1"/>
        <v>LW</v>
      </c>
    </row>
    <row r="126" spans="1:34" ht="12.75" hidden="1">
      <c r="A126" s="45" t="str">
        <f ca="1">IFERROR(__xludf.DUMMYFUNCTION("""COMPUTED_VALUE"""),"Colombo")</f>
        <v>Colombo</v>
      </c>
      <c r="B126" s="45"/>
      <c r="C126" s="45">
        <f ca="1">IFERROR(__xludf.DUMMYFUNCTION("""COMPUTED_VALUE"""),3231485)</f>
        <v>3231485</v>
      </c>
      <c r="D126" s="45"/>
      <c r="E126" s="45" t="str">
        <f ca="1">IFERROR(__xludf.DUMMYFUNCTION("""COMPUTED_VALUE"""),"CFS")</f>
        <v>CFS</v>
      </c>
      <c r="F126" s="45" t="str">
        <f ca="1">IFERROR(__xludf.DUMMYFUNCTION("""COMPUTED_VALUE"""),"MAS AMITY PTE LTD")</f>
        <v>MAS AMITY PTE LTD</v>
      </c>
      <c r="G126" s="45" t="str">
        <f ca="1">IFERROR(__xludf.DUMMYFUNCTION("""COMPUTED_VALUE"""),"MAS Active(Pvt) Ltd – CONTOURLINE")</f>
        <v>MAS Active(Pvt) Ltd – CONTOURLINE</v>
      </c>
      <c r="H126" s="43">
        <f ca="1">IFERROR(__xludf.DUMMYFUNCTION("""COMPUTED_VALUE"""),452579874382)</f>
        <v>452579874382</v>
      </c>
      <c r="I126" s="45">
        <f ca="1">IFERROR(__xludf.DUMMYFUNCTION("""COMPUTED_VALUE"""),19925866)</f>
        <v>19925866</v>
      </c>
      <c r="J126" s="45" t="str">
        <f ca="1">IFERROR(__xludf.DUMMYFUNCTION("""COMPUTED_VALUE"""),"LW5EPSS")</f>
        <v>LW5EPSS</v>
      </c>
      <c r="K126" s="45" t="str">
        <f ca="1">IFERROR(__xludf.DUMMYFUNCTION("""COMPUTED_VALUE"""),"LW5EPSS-035487")</f>
        <v>LW5EPSS-035487</v>
      </c>
      <c r="L126" s="45">
        <f ca="1">IFERROR(__xludf.DUMMYFUNCTION("""COMPUTED_VALUE"""),1)</f>
        <v>1</v>
      </c>
      <c r="M126" s="45">
        <f ca="1">IFERROR(__xludf.DUMMYFUNCTION("""COMPUTED_VALUE"""),35)</f>
        <v>35</v>
      </c>
      <c r="N126" s="45">
        <f ca="1">IFERROR(__xludf.DUMMYFUNCTION("""COMPUTED_VALUE"""),8.347)</f>
        <v>8.3469999999999995</v>
      </c>
      <c r="O126" s="45">
        <f ca="1">IFERROR(__xludf.DUMMYFUNCTION("""COMPUTED_VALUE"""),0.079)</f>
        <v>7.9000000000000001E-2</v>
      </c>
      <c r="P126" s="45" t="str">
        <f ca="1">IFERROR(__xludf.DUMMYFUNCTION("""COMPUTED_VALUE"""),"Colombo, LK")</f>
        <v>Colombo, LK</v>
      </c>
      <c r="Q126" s="45" t="str">
        <f ca="1">IFERROR(__xludf.DUMMYFUNCTION("""COMPUTED_VALUE"""),"Felixstowe, GB")</f>
        <v>Felixstowe, GB</v>
      </c>
      <c r="R126" s="44">
        <f ca="1">IFERROR(__xludf.DUMMYFUNCTION("""COMPUTED_VALUE"""),45817)</f>
        <v>45817</v>
      </c>
      <c r="S126" s="44">
        <f ca="1">IFERROR(__xludf.DUMMYFUNCTION("""COMPUTED_VALUE"""),45876)</f>
        <v>45876</v>
      </c>
      <c r="T126" s="45" t="str">
        <f ca="1">IFERROR(__xludf.DUMMYFUNCTION("""COMPUTED_VALUE"""),"Birmingham, GB")</f>
        <v>Birmingham, GB</v>
      </c>
      <c r="U126" s="45"/>
      <c r="V126" s="45"/>
      <c r="W126" s="45"/>
      <c r="X126" s="45"/>
      <c r="Y126" s="46">
        <f ca="1">IFERROR(__xludf.DUMMYFUNCTION("""COMPUTED_VALUE"""),45826)</f>
        <v>45826</v>
      </c>
      <c r="Z126" s="46">
        <f ca="1">IFERROR(__xludf.DUMMYFUNCTION("""COMPUTED_VALUE"""),45850)</f>
        <v>45850</v>
      </c>
      <c r="AA126" s="46">
        <f ca="1">IFERROR(__xludf.DUMMYFUNCTION("""COMPUTED_VALUE"""),45857)</f>
        <v>45857</v>
      </c>
      <c r="AB126" s="45" t="str">
        <f ca="1">IFERROR(__xludf.DUMMYFUNCTION("""COMPUTED_VALUE"""),"10A Faraday Ave")</f>
        <v>10A Faraday Ave</v>
      </c>
      <c r="AC126" s="45" t="str">
        <f ca="1">IFERROR(__xludf.DUMMYFUNCTION("""COMPUTED_VALUE"""),"Coleshill")</f>
        <v>Coleshill</v>
      </c>
      <c r="AD126" s="45" t="str">
        <f ca="1">IFERROR(__xludf.DUMMYFUNCTION("""COMPUTED_VALUE"""),"OCEAN")</f>
        <v>OCEAN</v>
      </c>
      <c r="AE126" s="45" t="str">
        <f ca="1">IFERROR(__xludf.DUMMYFUNCTION("""COMPUTED_VALUE"""),"N")</f>
        <v>N</v>
      </c>
      <c r="AF126" s="45"/>
      <c r="AG126" s="49" t="str">
        <f ca="1">IFERROR(__xludf.DUMMYFUNCTION("IFNA(vlookup(H126,IMPORTRANGE(""1vUGwO1n0QQGx9kKbO0_M5gmuhXZ6-LaxQxgrmJnzgP0"",""'TP# look up'!A:C""),3,0),"""")"),"")</f>
        <v/>
      </c>
      <c r="AH126" s="49" t="str">
        <f t="shared" ca="1" si="1"/>
        <v>LW</v>
      </c>
    </row>
    <row r="127" spans="1:34" ht="12.75" hidden="1">
      <c r="A127" s="45" t="str">
        <f ca="1">IFERROR(__xludf.DUMMYFUNCTION("""COMPUTED_VALUE"""),"Colombo")</f>
        <v>Colombo</v>
      </c>
      <c r="B127" s="45"/>
      <c r="C127" s="45">
        <f ca="1">IFERROR(__xludf.DUMMYFUNCTION("""COMPUTED_VALUE"""),3231485)</f>
        <v>3231485</v>
      </c>
      <c r="D127" s="45"/>
      <c r="E127" s="45" t="str">
        <f ca="1">IFERROR(__xludf.DUMMYFUNCTION("""COMPUTED_VALUE"""),"CFS")</f>
        <v>CFS</v>
      </c>
      <c r="F127" s="45" t="str">
        <f ca="1">IFERROR(__xludf.DUMMYFUNCTION("""COMPUTED_VALUE"""),"MAS AMITY PTE LTD")</f>
        <v>MAS AMITY PTE LTD</v>
      </c>
      <c r="G127" s="45" t="str">
        <f ca="1">IFERROR(__xludf.DUMMYFUNCTION("""COMPUTED_VALUE"""),"MAS Active(Pvt) Ltd – CONTOURLINE")</f>
        <v>MAS Active(Pvt) Ltd – CONTOURLINE</v>
      </c>
      <c r="H127" s="43">
        <f ca="1">IFERROR(__xludf.DUMMYFUNCTION("""COMPUTED_VALUE"""),452580966646)</f>
        <v>452580966646</v>
      </c>
      <c r="I127" s="45">
        <f ca="1">IFERROR(__xludf.DUMMYFUNCTION("""COMPUTED_VALUE"""),19921025)</f>
        <v>19921025</v>
      </c>
      <c r="J127" s="45" t="str">
        <f ca="1">IFERROR(__xludf.DUMMYFUNCTION("""COMPUTED_VALUE"""),"LW2EB3S")</f>
        <v>LW2EB3S</v>
      </c>
      <c r="K127" s="45" t="str">
        <f ca="1">IFERROR(__xludf.DUMMYFUNCTION("""COMPUTED_VALUE"""),"LW2EB3S-035486")</f>
        <v>LW2EB3S-035486</v>
      </c>
      <c r="L127" s="45">
        <f ca="1">IFERROR(__xludf.DUMMYFUNCTION("""COMPUTED_VALUE"""),2)</f>
        <v>2</v>
      </c>
      <c r="M127" s="45">
        <f ca="1">IFERROR(__xludf.DUMMYFUNCTION("""COMPUTED_VALUE"""),151)</f>
        <v>151</v>
      </c>
      <c r="N127" s="45">
        <f ca="1">IFERROR(__xludf.DUMMYFUNCTION("""COMPUTED_VALUE"""),18.999)</f>
        <v>18.998999999999999</v>
      </c>
      <c r="O127" s="45">
        <f ca="1">IFERROR(__xludf.DUMMYFUNCTION("""COMPUTED_VALUE"""),0.158)</f>
        <v>0.158</v>
      </c>
      <c r="P127" s="45" t="str">
        <f ca="1">IFERROR(__xludf.DUMMYFUNCTION("""COMPUTED_VALUE"""),"Colombo, LK")</f>
        <v>Colombo, LK</v>
      </c>
      <c r="Q127" s="45" t="str">
        <f ca="1">IFERROR(__xludf.DUMMYFUNCTION("""COMPUTED_VALUE"""),"Felixstowe, GB")</f>
        <v>Felixstowe, GB</v>
      </c>
      <c r="R127" s="44">
        <f ca="1">IFERROR(__xludf.DUMMYFUNCTION("""COMPUTED_VALUE"""),45817)</f>
        <v>45817</v>
      </c>
      <c r="S127" s="44">
        <f ca="1">IFERROR(__xludf.DUMMYFUNCTION("""COMPUTED_VALUE"""),45876)</f>
        <v>45876</v>
      </c>
      <c r="T127" s="45" t="str">
        <f ca="1">IFERROR(__xludf.DUMMYFUNCTION("""COMPUTED_VALUE"""),"Birmingham, GB")</f>
        <v>Birmingham, GB</v>
      </c>
      <c r="U127" s="45"/>
      <c r="V127" s="45"/>
      <c r="W127" s="45"/>
      <c r="X127" s="45"/>
      <c r="Y127" s="46">
        <f ca="1">IFERROR(__xludf.DUMMYFUNCTION("""COMPUTED_VALUE"""),45826)</f>
        <v>45826</v>
      </c>
      <c r="Z127" s="46">
        <f ca="1">IFERROR(__xludf.DUMMYFUNCTION("""COMPUTED_VALUE"""),45850)</f>
        <v>45850</v>
      </c>
      <c r="AA127" s="46">
        <f ca="1">IFERROR(__xludf.DUMMYFUNCTION("""COMPUTED_VALUE"""),45857)</f>
        <v>45857</v>
      </c>
      <c r="AB127" s="45" t="str">
        <f ca="1">IFERROR(__xludf.DUMMYFUNCTION("""COMPUTED_VALUE"""),"10A Faraday Ave")</f>
        <v>10A Faraday Ave</v>
      </c>
      <c r="AC127" s="45" t="str">
        <f ca="1">IFERROR(__xludf.DUMMYFUNCTION("""COMPUTED_VALUE"""),"Coleshill")</f>
        <v>Coleshill</v>
      </c>
      <c r="AD127" s="45" t="str">
        <f ca="1">IFERROR(__xludf.DUMMYFUNCTION("""COMPUTED_VALUE"""),"OCEAN")</f>
        <v>OCEAN</v>
      </c>
      <c r="AE127" s="45" t="str">
        <f ca="1">IFERROR(__xludf.DUMMYFUNCTION("""COMPUTED_VALUE"""),"N")</f>
        <v>N</v>
      </c>
      <c r="AF127" s="45"/>
      <c r="AG127" s="49" t="str">
        <f ca="1">IFERROR(__xludf.DUMMYFUNCTION("IFNA(vlookup(H127,IMPORTRANGE(""1vUGwO1n0QQGx9kKbO0_M5gmuhXZ6-LaxQxgrmJnzgP0"",""'TP# look up'!A:C""),3,0),"""")"),"")</f>
        <v/>
      </c>
      <c r="AH127" s="49" t="str">
        <f t="shared" ca="1" si="1"/>
        <v>LW</v>
      </c>
    </row>
    <row r="128" spans="1:34" ht="12.75" hidden="1">
      <c r="A128" s="45" t="str">
        <f ca="1">IFERROR(__xludf.DUMMYFUNCTION("""COMPUTED_VALUE"""),"Colombo")</f>
        <v>Colombo</v>
      </c>
      <c r="B128" s="45"/>
      <c r="C128" s="45">
        <f ca="1">IFERROR(__xludf.DUMMYFUNCTION("""COMPUTED_VALUE"""),3231485)</f>
        <v>3231485</v>
      </c>
      <c r="D128" s="45"/>
      <c r="E128" s="45" t="str">
        <f ca="1">IFERROR(__xludf.DUMMYFUNCTION("""COMPUTED_VALUE"""),"CFS")</f>
        <v>CFS</v>
      </c>
      <c r="F128" s="45" t="str">
        <f ca="1">IFERROR(__xludf.DUMMYFUNCTION("""COMPUTED_VALUE"""),"MAS AMITY PTE LTD")</f>
        <v>MAS AMITY PTE LTD</v>
      </c>
      <c r="G128" s="45" t="str">
        <f ca="1">IFERROR(__xludf.DUMMYFUNCTION("""COMPUTED_VALUE"""),"MAS Active(Pvt) Ltd – CONTOURLINE")</f>
        <v>MAS Active(Pvt) Ltd – CONTOURLINE</v>
      </c>
      <c r="H128" s="43">
        <f ca="1">IFERROR(__xludf.DUMMYFUNCTION("""COMPUTED_VALUE"""),452583055742)</f>
        <v>452583055742</v>
      </c>
      <c r="I128" s="45">
        <f ca="1">IFERROR(__xludf.DUMMYFUNCTION("""COMPUTED_VALUE"""),19803353)</f>
        <v>19803353</v>
      </c>
      <c r="J128" s="45" t="str">
        <f ca="1">IFERROR(__xludf.DUMMYFUNCTION("""COMPUTED_VALUE"""),"LM3FGKS")</f>
        <v>LM3FGKS</v>
      </c>
      <c r="K128" s="45" t="str">
        <f ca="1">IFERROR(__xludf.DUMMYFUNCTION("""COMPUTED_VALUE"""),"LM3FGKS-033454")</f>
        <v>LM3FGKS-033454</v>
      </c>
      <c r="L128" s="45">
        <f ca="1">IFERROR(__xludf.DUMMYFUNCTION("""COMPUTED_VALUE"""),1)</f>
        <v>1</v>
      </c>
      <c r="M128" s="45">
        <f ca="1">IFERROR(__xludf.DUMMYFUNCTION("""COMPUTED_VALUE"""),43)</f>
        <v>43</v>
      </c>
      <c r="N128" s="45">
        <f ca="1">IFERROR(__xludf.DUMMYFUNCTION("""COMPUTED_VALUE"""),10.058)</f>
        <v>10.058</v>
      </c>
      <c r="O128" s="45">
        <f ca="1">IFERROR(__xludf.DUMMYFUNCTION("""COMPUTED_VALUE"""),0.079)</f>
        <v>7.9000000000000001E-2</v>
      </c>
      <c r="P128" s="45" t="str">
        <f ca="1">IFERROR(__xludf.DUMMYFUNCTION("""COMPUTED_VALUE"""),"Colombo, LK")</f>
        <v>Colombo, LK</v>
      </c>
      <c r="Q128" s="45" t="str">
        <f ca="1">IFERROR(__xludf.DUMMYFUNCTION("""COMPUTED_VALUE"""),"Felixstowe, GB")</f>
        <v>Felixstowe, GB</v>
      </c>
      <c r="R128" s="44">
        <f ca="1">IFERROR(__xludf.DUMMYFUNCTION("""COMPUTED_VALUE"""),45817)</f>
        <v>45817</v>
      </c>
      <c r="S128" s="44">
        <f ca="1">IFERROR(__xludf.DUMMYFUNCTION("""COMPUTED_VALUE"""),45876)</f>
        <v>45876</v>
      </c>
      <c r="T128" s="45" t="str">
        <f ca="1">IFERROR(__xludf.DUMMYFUNCTION("""COMPUTED_VALUE"""),"Birmingham, GB")</f>
        <v>Birmingham, GB</v>
      </c>
      <c r="U128" s="45"/>
      <c r="V128" s="45"/>
      <c r="W128" s="45"/>
      <c r="X128" s="45"/>
      <c r="Y128" s="46">
        <f ca="1">IFERROR(__xludf.DUMMYFUNCTION("""COMPUTED_VALUE"""),45826)</f>
        <v>45826</v>
      </c>
      <c r="Z128" s="46">
        <f ca="1">IFERROR(__xludf.DUMMYFUNCTION("""COMPUTED_VALUE"""),45850)</f>
        <v>45850</v>
      </c>
      <c r="AA128" s="46">
        <f ca="1">IFERROR(__xludf.DUMMYFUNCTION("""COMPUTED_VALUE"""),45857)</f>
        <v>45857</v>
      </c>
      <c r="AB128" s="45" t="str">
        <f ca="1">IFERROR(__xludf.DUMMYFUNCTION("""COMPUTED_VALUE"""),"10A Faraday Ave")</f>
        <v>10A Faraday Ave</v>
      </c>
      <c r="AC128" s="45" t="str">
        <f ca="1">IFERROR(__xludf.DUMMYFUNCTION("""COMPUTED_VALUE"""),"Coleshill")</f>
        <v>Coleshill</v>
      </c>
      <c r="AD128" s="45" t="str">
        <f ca="1">IFERROR(__xludf.DUMMYFUNCTION("""COMPUTED_VALUE"""),"OCEAN")</f>
        <v>OCEAN</v>
      </c>
      <c r="AE128" s="45" t="str">
        <f ca="1">IFERROR(__xludf.DUMMYFUNCTION("""COMPUTED_VALUE"""),"N")</f>
        <v>N</v>
      </c>
      <c r="AF128" s="45"/>
      <c r="AG128" s="49" t="str">
        <f ca="1">IFERROR(__xludf.DUMMYFUNCTION("IFNA(vlookup(H128,IMPORTRANGE(""1vUGwO1n0QQGx9kKbO0_M5gmuhXZ6-LaxQxgrmJnzgP0"",""'TP# look up'!A:C""),3,0),"""")"),"")</f>
        <v/>
      </c>
      <c r="AH128" s="49" t="str">
        <f t="shared" ca="1" si="1"/>
        <v>LM</v>
      </c>
    </row>
    <row r="129" spans="1:34" ht="12.75" hidden="1">
      <c r="A129" s="45" t="str">
        <f ca="1">IFERROR(__xludf.DUMMYFUNCTION("""COMPUTED_VALUE"""),"Colombo")</f>
        <v>Colombo</v>
      </c>
      <c r="B129" s="45"/>
      <c r="C129" s="45">
        <f ca="1">IFERROR(__xludf.DUMMYFUNCTION("""COMPUTED_VALUE"""),3231485)</f>
        <v>3231485</v>
      </c>
      <c r="D129" s="45"/>
      <c r="E129" s="45" t="str">
        <f ca="1">IFERROR(__xludf.DUMMYFUNCTION("""COMPUTED_VALUE"""),"CFS")</f>
        <v>CFS</v>
      </c>
      <c r="F129" s="45" t="str">
        <f ca="1">IFERROR(__xludf.DUMMYFUNCTION("""COMPUTED_VALUE"""),"MAS AMITY PTE LTD")</f>
        <v>MAS AMITY PTE LTD</v>
      </c>
      <c r="G129" s="45" t="str">
        <f ca="1">IFERROR(__xludf.DUMMYFUNCTION("""COMPUTED_VALUE"""),"MAS Active(Pvt) Ltd – CONTOURLINE")</f>
        <v>MAS Active(Pvt) Ltd – CONTOURLINE</v>
      </c>
      <c r="H129" s="43">
        <f ca="1">IFERROR(__xludf.DUMMYFUNCTION("""COMPUTED_VALUE"""),452583681061)</f>
        <v>452583681061</v>
      </c>
      <c r="I129" s="45">
        <f ca="1">IFERROR(__xludf.DUMMYFUNCTION("""COMPUTED_VALUE"""),19925963)</f>
        <v>19925963</v>
      </c>
      <c r="J129" s="45" t="str">
        <f ca="1">IFERROR(__xludf.DUMMYFUNCTION("""COMPUTED_VALUE"""),"LW5FARS")</f>
        <v>LW5FARS</v>
      </c>
      <c r="K129" s="45" t="str">
        <f ca="1">IFERROR(__xludf.DUMMYFUNCTION("""COMPUTED_VALUE"""),"LW5FARS-0001")</f>
        <v>LW5FARS-0001</v>
      </c>
      <c r="L129" s="45">
        <f ca="1">IFERROR(__xludf.DUMMYFUNCTION("""COMPUTED_VALUE"""),4)</f>
        <v>4</v>
      </c>
      <c r="M129" s="45">
        <f ca="1">IFERROR(__xludf.DUMMYFUNCTION("""COMPUTED_VALUE"""),195)</f>
        <v>195</v>
      </c>
      <c r="N129" s="45">
        <f ca="1">IFERROR(__xludf.DUMMYFUNCTION("""COMPUTED_VALUE"""),41.983)</f>
        <v>41.982999999999997</v>
      </c>
      <c r="O129" s="45">
        <f ca="1">IFERROR(__xludf.DUMMYFUNCTION("""COMPUTED_VALUE"""),0.316)</f>
        <v>0.316</v>
      </c>
      <c r="P129" s="45" t="str">
        <f ca="1">IFERROR(__xludf.DUMMYFUNCTION("""COMPUTED_VALUE"""),"Colombo, LK")</f>
        <v>Colombo, LK</v>
      </c>
      <c r="Q129" s="45" t="str">
        <f ca="1">IFERROR(__xludf.DUMMYFUNCTION("""COMPUTED_VALUE"""),"Felixstowe, GB")</f>
        <v>Felixstowe, GB</v>
      </c>
      <c r="R129" s="44">
        <f ca="1">IFERROR(__xludf.DUMMYFUNCTION("""COMPUTED_VALUE"""),45817)</f>
        <v>45817</v>
      </c>
      <c r="S129" s="44">
        <f ca="1">IFERROR(__xludf.DUMMYFUNCTION("""COMPUTED_VALUE"""),45876)</f>
        <v>45876</v>
      </c>
      <c r="T129" s="45" t="str">
        <f ca="1">IFERROR(__xludf.DUMMYFUNCTION("""COMPUTED_VALUE"""),"Birmingham, GB")</f>
        <v>Birmingham, GB</v>
      </c>
      <c r="U129" s="45"/>
      <c r="V129" s="45"/>
      <c r="W129" s="45"/>
      <c r="X129" s="45"/>
      <c r="Y129" s="46">
        <f ca="1">IFERROR(__xludf.DUMMYFUNCTION("""COMPUTED_VALUE"""),45826)</f>
        <v>45826</v>
      </c>
      <c r="Z129" s="46">
        <f ca="1">IFERROR(__xludf.DUMMYFUNCTION("""COMPUTED_VALUE"""),45850)</f>
        <v>45850</v>
      </c>
      <c r="AA129" s="46">
        <f ca="1">IFERROR(__xludf.DUMMYFUNCTION("""COMPUTED_VALUE"""),45857)</f>
        <v>45857</v>
      </c>
      <c r="AB129" s="45" t="str">
        <f ca="1">IFERROR(__xludf.DUMMYFUNCTION("""COMPUTED_VALUE"""),"10A Faraday Ave")</f>
        <v>10A Faraday Ave</v>
      </c>
      <c r="AC129" s="45" t="str">
        <f ca="1">IFERROR(__xludf.DUMMYFUNCTION("""COMPUTED_VALUE"""),"Coleshill")</f>
        <v>Coleshill</v>
      </c>
      <c r="AD129" s="45" t="str">
        <f ca="1">IFERROR(__xludf.DUMMYFUNCTION("""COMPUTED_VALUE"""),"OCEAN")</f>
        <v>OCEAN</v>
      </c>
      <c r="AE129" s="45" t="str">
        <f ca="1">IFERROR(__xludf.DUMMYFUNCTION("""COMPUTED_VALUE"""),"N")</f>
        <v>N</v>
      </c>
      <c r="AF129" s="45"/>
      <c r="AG129" s="49" t="str">
        <f ca="1">IFERROR(__xludf.DUMMYFUNCTION("IFNA(vlookup(H129,IMPORTRANGE(""1vUGwO1n0QQGx9kKbO0_M5gmuhXZ6-LaxQxgrmJnzgP0"",""'TP# look up'!A:C""),3,0),"""")"),"")</f>
        <v/>
      </c>
      <c r="AH129" s="49" t="str">
        <f t="shared" ca="1" si="1"/>
        <v>LW</v>
      </c>
    </row>
    <row r="130" spans="1:34" ht="12.75" hidden="1">
      <c r="A130" s="45" t="str">
        <f ca="1">IFERROR(__xludf.DUMMYFUNCTION("""COMPUTED_VALUE"""),"Colombo")</f>
        <v>Colombo</v>
      </c>
      <c r="B130" s="45"/>
      <c r="C130" s="45">
        <f ca="1">IFERROR(__xludf.DUMMYFUNCTION("""COMPUTED_VALUE"""),3231485)</f>
        <v>3231485</v>
      </c>
      <c r="D130" s="45"/>
      <c r="E130" s="45" t="str">
        <f ca="1">IFERROR(__xludf.DUMMYFUNCTION("""COMPUTED_VALUE"""),"CFS")</f>
        <v>CFS</v>
      </c>
      <c r="F130" s="45" t="str">
        <f ca="1">IFERROR(__xludf.DUMMYFUNCTION("""COMPUTED_VALUE"""),"MAS AMITY PTE LTD")</f>
        <v>MAS AMITY PTE LTD</v>
      </c>
      <c r="G130" s="45" t="str">
        <f ca="1">IFERROR(__xludf.DUMMYFUNCTION("""COMPUTED_VALUE"""),"MAS Active(Pvt) Ltd – CONTOURLINE")</f>
        <v>MAS Active(Pvt) Ltd – CONTOURLINE</v>
      </c>
      <c r="H130" s="43">
        <f ca="1">IFERROR(__xludf.DUMMYFUNCTION("""COMPUTED_VALUE"""),452583681674)</f>
        <v>452583681674</v>
      </c>
      <c r="I130" s="45">
        <f ca="1">IFERROR(__xludf.DUMMYFUNCTION("""COMPUTED_VALUE"""),19803359)</f>
        <v>19803359</v>
      </c>
      <c r="J130" s="45" t="str">
        <f ca="1">IFERROR(__xludf.DUMMYFUNCTION("""COMPUTED_VALUE"""),"LM3FGKS")</f>
        <v>LM3FGKS</v>
      </c>
      <c r="K130" s="45" t="str">
        <f ca="1">IFERROR(__xludf.DUMMYFUNCTION("""COMPUTED_VALUE"""),"LM3FGKS-033454")</f>
        <v>LM3FGKS-033454</v>
      </c>
      <c r="L130" s="45">
        <f ca="1">IFERROR(__xludf.DUMMYFUNCTION("""COMPUTED_VALUE"""),2)</f>
        <v>2</v>
      </c>
      <c r="M130" s="45">
        <f ca="1">IFERROR(__xludf.DUMMYFUNCTION("""COMPUTED_VALUE"""),73)</f>
        <v>73</v>
      </c>
      <c r="N130" s="45">
        <f ca="1">IFERROR(__xludf.DUMMYFUNCTION("""COMPUTED_VALUE"""),17.573)</f>
        <v>17.573</v>
      </c>
      <c r="O130" s="45">
        <f ca="1">IFERROR(__xludf.DUMMYFUNCTION("""COMPUTED_VALUE"""),0.118)</f>
        <v>0.11799999999999999</v>
      </c>
      <c r="P130" s="45" t="str">
        <f ca="1">IFERROR(__xludf.DUMMYFUNCTION("""COMPUTED_VALUE"""),"Colombo, LK")</f>
        <v>Colombo, LK</v>
      </c>
      <c r="Q130" s="45" t="str">
        <f ca="1">IFERROR(__xludf.DUMMYFUNCTION("""COMPUTED_VALUE"""),"Felixstowe, GB")</f>
        <v>Felixstowe, GB</v>
      </c>
      <c r="R130" s="44">
        <f ca="1">IFERROR(__xludf.DUMMYFUNCTION("""COMPUTED_VALUE"""),45817)</f>
        <v>45817</v>
      </c>
      <c r="S130" s="44">
        <f ca="1">IFERROR(__xludf.DUMMYFUNCTION("""COMPUTED_VALUE"""),45876)</f>
        <v>45876</v>
      </c>
      <c r="T130" s="45" t="str">
        <f ca="1">IFERROR(__xludf.DUMMYFUNCTION("""COMPUTED_VALUE"""),"Birmingham, GB")</f>
        <v>Birmingham, GB</v>
      </c>
      <c r="U130" s="45"/>
      <c r="V130" s="45"/>
      <c r="W130" s="45"/>
      <c r="X130" s="45"/>
      <c r="Y130" s="46">
        <f ca="1">IFERROR(__xludf.DUMMYFUNCTION("""COMPUTED_VALUE"""),45826)</f>
        <v>45826</v>
      </c>
      <c r="Z130" s="46">
        <f ca="1">IFERROR(__xludf.DUMMYFUNCTION("""COMPUTED_VALUE"""),45850)</f>
        <v>45850</v>
      </c>
      <c r="AA130" s="46">
        <f ca="1">IFERROR(__xludf.DUMMYFUNCTION("""COMPUTED_VALUE"""),45857)</f>
        <v>45857</v>
      </c>
      <c r="AB130" s="45" t="str">
        <f ca="1">IFERROR(__xludf.DUMMYFUNCTION("""COMPUTED_VALUE"""),"10A Faraday Ave")</f>
        <v>10A Faraday Ave</v>
      </c>
      <c r="AC130" s="45" t="str">
        <f ca="1">IFERROR(__xludf.DUMMYFUNCTION("""COMPUTED_VALUE"""),"Coleshill")</f>
        <v>Coleshill</v>
      </c>
      <c r="AD130" s="45" t="str">
        <f ca="1">IFERROR(__xludf.DUMMYFUNCTION("""COMPUTED_VALUE"""),"OCEAN")</f>
        <v>OCEAN</v>
      </c>
      <c r="AE130" s="45" t="str">
        <f ca="1">IFERROR(__xludf.DUMMYFUNCTION("""COMPUTED_VALUE"""),"N")</f>
        <v>N</v>
      </c>
      <c r="AF130" s="45"/>
      <c r="AG130" s="49" t="str">
        <f ca="1">IFERROR(__xludf.DUMMYFUNCTION("IFNA(vlookup(H130,IMPORTRANGE(""1vUGwO1n0QQGx9kKbO0_M5gmuhXZ6-LaxQxgrmJnzgP0"",""'TP# look up'!A:C""),3,0),"""")"),"")</f>
        <v/>
      </c>
      <c r="AH130" s="49" t="str">
        <f t="shared" ref="AH130:AH193" ca="1" si="2">LEFT(J130,2)</f>
        <v>LM</v>
      </c>
    </row>
    <row r="131" spans="1:34" ht="12.75" hidden="1">
      <c r="A131" s="45" t="str">
        <f ca="1">IFERROR(__xludf.DUMMYFUNCTION("""COMPUTED_VALUE"""),"Colombo")</f>
        <v>Colombo</v>
      </c>
      <c r="B131" s="45"/>
      <c r="C131" s="45">
        <f ca="1">IFERROR(__xludf.DUMMYFUNCTION("""COMPUTED_VALUE"""),3231485)</f>
        <v>3231485</v>
      </c>
      <c r="D131" s="45"/>
      <c r="E131" s="45" t="str">
        <f ca="1">IFERROR(__xludf.DUMMYFUNCTION("""COMPUTED_VALUE"""),"CFS")</f>
        <v>CFS</v>
      </c>
      <c r="F131" s="45" t="str">
        <f ca="1">IFERROR(__xludf.DUMMYFUNCTION("""COMPUTED_VALUE"""),"MAS AMITY PTE LTD")</f>
        <v>MAS AMITY PTE LTD</v>
      </c>
      <c r="G131" s="45" t="str">
        <f ca="1">IFERROR(__xludf.DUMMYFUNCTION("""COMPUTED_VALUE"""),"MAS Fabrics (Pvt) Ltd Intimo")</f>
        <v>MAS Fabrics (Pvt) Ltd Intimo</v>
      </c>
      <c r="H131" s="43">
        <f ca="1">IFERROR(__xludf.DUMMYFUNCTION("""COMPUTED_VALUE"""),452583058525)</f>
        <v>452583058525</v>
      </c>
      <c r="I131" s="45">
        <f ca="1">IFERROR(__xludf.DUMMYFUNCTION("""COMPUTED_VALUE"""),19820984)</f>
        <v>19820984</v>
      </c>
      <c r="J131" s="45" t="str">
        <f ca="1">IFERROR(__xludf.DUMMYFUNCTION("""COMPUTED_VALUE"""),"LW3JSNS")</f>
        <v>LW3JSNS</v>
      </c>
      <c r="K131" s="45" t="str">
        <f ca="1">IFERROR(__xludf.DUMMYFUNCTION("""COMPUTED_VALUE"""),"LW3JSNS-071208")</f>
        <v>LW3JSNS-071208</v>
      </c>
      <c r="L131" s="45">
        <f ca="1">IFERROR(__xludf.DUMMYFUNCTION("""COMPUTED_VALUE"""),2)</f>
        <v>2</v>
      </c>
      <c r="M131" s="45">
        <f ca="1">IFERROR(__xludf.DUMMYFUNCTION("""COMPUTED_VALUE"""),81)</f>
        <v>81</v>
      </c>
      <c r="N131" s="45">
        <f ca="1">IFERROR(__xludf.DUMMYFUNCTION("""COMPUTED_VALUE"""),9.56)</f>
        <v>9.56</v>
      </c>
      <c r="O131" s="45">
        <f ca="1">IFERROR(__xludf.DUMMYFUNCTION("""COMPUTED_VALUE"""),0.118)</f>
        <v>0.11799999999999999</v>
      </c>
      <c r="P131" s="45" t="str">
        <f ca="1">IFERROR(__xludf.DUMMYFUNCTION("""COMPUTED_VALUE"""),"Colombo, LK")</f>
        <v>Colombo, LK</v>
      </c>
      <c r="Q131" s="45" t="str">
        <f ca="1">IFERROR(__xludf.DUMMYFUNCTION("""COMPUTED_VALUE"""),"Felixstowe, GB")</f>
        <v>Felixstowe, GB</v>
      </c>
      <c r="R131" s="44">
        <f ca="1">IFERROR(__xludf.DUMMYFUNCTION("""COMPUTED_VALUE"""),45817)</f>
        <v>45817</v>
      </c>
      <c r="S131" s="44">
        <f ca="1">IFERROR(__xludf.DUMMYFUNCTION("""COMPUTED_VALUE"""),45876)</f>
        <v>45876</v>
      </c>
      <c r="T131" s="45" t="str">
        <f ca="1">IFERROR(__xludf.DUMMYFUNCTION("""COMPUTED_VALUE"""),"Birmingham, GB")</f>
        <v>Birmingham, GB</v>
      </c>
      <c r="U131" s="45"/>
      <c r="V131" s="45"/>
      <c r="W131" s="45"/>
      <c r="X131" s="45"/>
      <c r="Y131" s="46">
        <f ca="1">IFERROR(__xludf.DUMMYFUNCTION("""COMPUTED_VALUE"""),45826)</f>
        <v>45826</v>
      </c>
      <c r="Z131" s="46">
        <f ca="1">IFERROR(__xludf.DUMMYFUNCTION("""COMPUTED_VALUE"""),45850)</f>
        <v>45850</v>
      </c>
      <c r="AA131" s="46">
        <f ca="1">IFERROR(__xludf.DUMMYFUNCTION("""COMPUTED_VALUE"""),45857)</f>
        <v>45857</v>
      </c>
      <c r="AB131" s="45" t="str">
        <f ca="1">IFERROR(__xludf.DUMMYFUNCTION("""COMPUTED_VALUE"""),"10A Faraday Ave")</f>
        <v>10A Faraday Ave</v>
      </c>
      <c r="AC131" s="45" t="str">
        <f ca="1">IFERROR(__xludf.DUMMYFUNCTION("""COMPUTED_VALUE"""),"Coleshill")</f>
        <v>Coleshill</v>
      </c>
      <c r="AD131" s="45" t="str">
        <f ca="1">IFERROR(__xludf.DUMMYFUNCTION("""COMPUTED_VALUE"""),"OCEAN")</f>
        <v>OCEAN</v>
      </c>
      <c r="AE131" s="45" t="str">
        <f ca="1">IFERROR(__xludf.DUMMYFUNCTION("""COMPUTED_VALUE"""),"N")</f>
        <v>N</v>
      </c>
      <c r="AF131" s="45"/>
      <c r="AG131" s="49" t="str">
        <f ca="1">IFERROR(__xludf.DUMMYFUNCTION("IFNA(vlookup(H131,IMPORTRANGE(""1vUGwO1n0QQGx9kKbO0_M5gmuhXZ6-LaxQxgrmJnzgP0"",""'TP# look up'!A:C""),3,0),"""")"),"")</f>
        <v/>
      </c>
      <c r="AH131" s="49" t="str">
        <f t="shared" ca="1" si="2"/>
        <v>LW</v>
      </c>
    </row>
    <row r="132" spans="1:34" ht="12.75" hidden="1">
      <c r="A132" s="45" t="str">
        <f ca="1">IFERROR(__xludf.DUMMYFUNCTION("""COMPUTED_VALUE"""),"Colombo")</f>
        <v>Colombo</v>
      </c>
      <c r="B132" s="45"/>
      <c r="C132" s="45">
        <f ca="1">IFERROR(__xludf.DUMMYFUNCTION("""COMPUTED_VALUE"""),3231485)</f>
        <v>3231485</v>
      </c>
      <c r="D132" s="45"/>
      <c r="E132" s="45" t="str">
        <f ca="1">IFERROR(__xludf.DUMMYFUNCTION("""COMPUTED_VALUE"""),"CFS")</f>
        <v>CFS</v>
      </c>
      <c r="F132" s="45" t="str">
        <f ca="1">IFERROR(__xludf.DUMMYFUNCTION("""COMPUTED_VALUE"""),"MAS AMITY PTE LTD")</f>
        <v>MAS AMITY PTE LTD</v>
      </c>
      <c r="G132" s="45" t="str">
        <f ca="1">IFERROR(__xludf.DUMMYFUNCTION("""COMPUTED_VALUE"""),"MAS Fabrics (Pvt) Ltd Intimo")</f>
        <v>MAS Fabrics (Pvt) Ltd Intimo</v>
      </c>
      <c r="H132" s="43">
        <f ca="1">IFERROR(__xludf.DUMMYFUNCTION("""COMPUTED_VALUE"""),452586573749)</f>
        <v>452586573749</v>
      </c>
      <c r="I132" s="45">
        <f ca="1">IFERROR(__xludf.DUMMYFUNCTION("""COMPUTED_VALUE"""),19820974)</f>
        <v>19820974</v>
      </c>
      <c r="J132" s="45" t="str">
        <f ca="1">IFERROR(__xludf.DUMMYFUNCTION("""COMPUTED_VALUE"""),"LW3JSMS")</f>
        <v>LW3JSMS</v>
      </c>
      <c r="K132" s="45" t="str">
        <f ca="1">IFERROR(__xludf.DUMMYFUNCTION("""COMPUTED_VALUE"""),"LW3JSMS-071210")</f>
        <v>LW3JSMS-071210</v>
      </c>
      <c r="L132" s="45">
        <f ca="1">IFERROR(__xludf.DUMMYFUNCTION("""COMPUTED_VALUE"""),2)</f>
        <v>2</v>
      </c>
      <c r="M132" s="45">
        <f ca="1">IFERROR(__xludf.DUMMYFUNCTION("""COMPUTED_VALUE"""),99)</f>
        <v>99</v>
      </c>
      <c r="N132" s="45">
        <f ca="1">IFERROR(__xludf.DUMMYFUNCTION("""COMPUTED_VALUE"""),13.451)</f>
        <v>13.451000000000001</v>
      </c>
      <c r="O132" s="45">
        <f ca="1">IFERROR(__xludf.DUMMYFUNCTION("""COMPUTED_VALUE"""),0.118)</f>
        <v>0.11799999999999999</v>
      </c>
      <c r="P132" s="45" t="str">
        <f ca="1">IFERROR(__xludf.DUMMYFUNCTION("""COMPUTED_VALUE"""),"Colombo, LK")</f>
        <v>Colombo, LK</v>
      </c>
      <c r="Q132" s="45" t="str">
        <f ca="1">IFERROR(__xludf.DUMMYFUNCTION("""COMPUTED_VALUE"""),"Felixstowe, GB")</f>
        <v>Felixstowe, GB</v>
      </c>
      <c r="R132" s="44">
        <f ca="1">IFERROR(__xludf.DUMMYFUNCTION("""COMPUTED_VALUE"""),45817)</f>
        <v>45817</v>
      </c>
      <c r="S132" s="44">
        <f ca="1">IFERROR(__xludf.DUMMYFUNCTION("""COMPUTED_VALUE"""),45876)</f>
        <v>45876</v>
      </c>
      <c r="T132" s="45" t="str">
        <f ca="1">IFERROR(__xludf.DUMMYFUNCTION("""COMPUTED_VALUE"""),"Birmingham, GB")</f>
        <v>Birmingham, GB</v>
      </c>
      <c r="U132" s="45"/>
      <c r="V132" s="45"/>
      <c r="W132" s="45"/>
      <c r="X132" s="45"/>
      <c r="Y132" s="46">
        <f ca="1">IFERROR(__xludf.DUMMYFUNCTION("""COMPUTED_VALUE"""),45826)</f>
        <v>45826</v>
      </c>
      <c r="Z132" s="46">
        <f ca="1">IFERROR(__xludf.DUMMYFUNCTION("""COMPUTED_VALUE"""),45850)</f>
        <v>45850</v>
      </c>
      <c r="AA132" s="46">
        <f ca="1">IFERROR(__xludf.DUMMYFUNCTION("""COMPUTED_VALUE"""),45857)</f>
        <v>45857</v>
      </c>
      <c r="AB132" s="45" t="str">
        <f ca="1">IFERROR(__xludf.DUMMYFUNCTION("""COMPUTED_VALUE"""),"10A Faraday Ave")</f>
        <v>10A Faraday Ave</v>
      </c>
      <c r="AC132" s="45" t="str">
        <f ca="1">IFERROR(__xludf.DUMMYFUNCTION("""COMPUTED_VALUE"""),"Coleshill")</f>
        <v>Coleshill</v>
      </c>
      <c r="AD132" s="45" t="str">
        <f ca="1">IFERROR(__xludf.DUMMYFUNCTION("""COMPUTED_VALUE"""),"OCEAN")</f>
        <v>OCEAN</v>
      </c>
      <c r="AE132" s="45" t="str">
        <f ca="1">IFERROR(__xludf.DUMMYFUNCTION("""COMPUTED_VALUE"""),"N")</f>
        <v>N</v>
      </c>
      <c r="AF132" s="45"/>
      <c r="AG132" s="49" t="str">
        <f ca="1">IFERROR(__xludf.DUMMYFUNCTION("IFNA(vlookup(H132,IMPORTRANGE(""1vUGwO1n0QQGx9kKbO0_M5gmuhXZ6-LaxQxgrmJnzgP0"",""'TP# look up'!A:C""),3,0),"""")"),"")</f>
        <v/>
      </c>
      <c r="AH132" s="49" t="str">
        <f t="shared" ca="1" si="2"/>
        <v>LW</v>
      </c>
    </row>
    <row r="133" spans="1:34" ht="12.75" hidden="1">
      <c r="A133" s="45" t="str">
        <f ca="1">IFERROR(__xludf.DUMMYFUNCTION("""COMPUTED_VALUE"""),"Colombo")</f>
        <v>Colombo</v>
      </c>
      <c r="B133" s="45"/>
      <c r="C133" s="45">
        <f ca="1">IFERROR(__xludf.DUMMYFUNCTION("""COMPUTED_VALUE"""),3231485)</f>
        <v>3231485</v>
      </c>
      <c r="D133" s="45"/>
      <c r="E133" s="45" t="str">
        <f ca="1">IFERROR(__xludf.DUMMYFUNCTION("""COMPUTED_VALUE"""),"CFS")</f>
        <v>CFS</v>
      </c>
      <c r="F133" s="45" t="str">
        <f ca="1">IFERROR(__xludf.DUMMYFUNCTION("""COMPUTED_VALUE"""),"MAS AMITY PTE LTD")</f>
        <v>MAS AMITY PTE LTD</v>
      </c>
      <c r="G133" s="45" t="str">
        <f ca="1">IFERROR(__xludf.DUMMYFUNCTION("""COMPUTED_VALUE"""),"MAS Fabrics (Pvt) Ltd Intimo")</f>
        <v>MAS Fabrics (Pvt) Ltd Intimo</v>
      </c>
      <c r="H133" s="43">
        <f ca="1">IFERROR(__xludf.DUMMYFUNCTION("""COMPUTED_VALUE"""),452586691064)</f>
        <v>452586691064</v>
      </c>
      <c r="I133" s="45">
        <f ca="1">IFERROR(__xludf.DUMMYFUNCTION("""COMPUTED_VALUE"""),19820858)</f>
        <v>19820858</v>
      </c>
      <c r="J133" s="45" t="str">
        <f ca="1">IFERROR(__xludf.DUMMYFUNCTION("""COMPUTED_VALUE"""),"LW3JE8S")</f>
        <v>LW3JE8S</v>
      </c>
      <c r="K133" s="45" t="str">
        <f ca="1">IFERROR(__xludf.DUMMYFUNCTION("""COMPUTED_VALUE"""),"LW3JE8S-042836")</f>
        <v>LW3JE8S-042836</v>
      </c>
      <c r="L133" s="45">
        <f ca="1">IFERROR(__xludf.DUMMYFUNCTION("""COMPUTED_VALUE"""),7)</f>
        <v>7</v>
      </c>
      <c r="M133" s="45">
        <f ca="1">IFERROR(__xludf.DUMMYFUNCTION("""COMPUTED_VALUE"""),267)</f>
        <v>267</v>
      </c>
      <c r="N133" s="45">
        <f ca="1">IFERROR(__xludf.DUMMYFUNCTION("""COMPUTED_VALUE"""),50.902)</f>
        <v>50.902000000000001</v>
      </c>
      <c r="O133" s="45">
        <f ca="1">IFERROR(__xludf.DUMMYFUNCTION("""COMPUTED_VALUE"""),0.434)</f>
        <v>0.434</v>
      </c>
      <c r="P133" s="45" t="str">
        <f ca="1">IFERROR(__xludf.DUMMYFUNCTION("""COMPUTED_VALUE"""),"Colombo, LK")</f>
        <v>Colombo, LK</v>
      </c>
      <c r="Q133" s="45" t="str">
        <f ca="1">IFERROR(__xludf.DUMMYFUNCTION("""COMPUTED_VALUE"""),"Felixstowe, GB")</f>
        <v>Felixstowe, GB</v>
      </c>
      <c r="R133" s="44">
        <f ca="1">IFERROR(__xludf.DUMMYFUNCTION("""COMPUTED_VALUE"""),45817)</f>
        <v>45817</v>
      </c>
      <c r="S133" s="44">
        <f ca="1">IFERROR(__xludf.DUMMYFUNCTION("""COMPUTED_VALUE"""),45876)</f>
        <v>45876</v>
      </c>
      <c r="T133" s="45" t="str">
        <f ca="1">IFERROR(__xludf.DUMMYFUNCTION("""COMPUTED_VALUE"""),"Birmingham, GB")</f>
        <v>Birmingham, GB</v>
      </c>
      <c r="U133" s="45"/>
      <c r="V133" s="45"/>
      <c r="W133" s="45"/>
      <c r="X133" s="45"/>
      <c r="Y133" s="46">
        <f ca="1">IFERROR(__xludf.DUMMYFUNCTION("""COMPUTED_VALUE"""),45826)</f>
        <v>45826</v>
      </c>
      <c r="Z133" s="46">
        <f ca="1">IFERROR(__xludf.DUMMYFUNCTION("""COMPUTED_VALUE"""),45850)</f>
        <v>45850</v>
      </c>
      <c r="AA133" s="46">
        <f ca="1">IFERROR(__xludf.DUMMYFUNCTION("""COMPUTED_VALUE"""),45857)</f>
        <v>45857</v>
      </c>
      <c r="AB133" s="45" t="str">
        <f ca="1">IFERROR(__xludf.DUMMYFUNCTION("""COMPUTED_VALUE"""),"10A Faraday Ave")</f>
        <v>10A Faraday Ave</v>
      </c>
      <c r="AC133" s="45" t="str">
        <f ca="1">IFERROR(__xludf.DUMMYFUNCTION("""COMPUTED_VALUE"""),"Coleshill")</f>
        <v>Coleshill</v>
      </c>
      <c r="AD133" s="45" t="str">
        <f ca="1">IFERROR(__xludf.DUMMYFUNCTION("""COMPUTED_VALUE"""),"OCEAN")</f>
        <v>OCEAN</v>
      </c>
      <c r="AE133" s="45" t="str">
        <f ca="1">IFERROR(__xludf.DUMMYFUNCTION("""COMPUTED_VALUE"""),"N")</f>
        <v>N</v>
      </c>
      <c r="AF133" s="45"/>
      <c r="AG133" s="49" t="str">
        <f ca="1">IFERROR(__xludf.DUMMYFUNCTION("IFNA(vlookup(H133,IMPORTRANGE(""1vUGwO1n0QQGx9kKbO0_M5gmuhXZ6-LaxQxgrmJnzgP0"",""'TP# look up'!A:C""),3,0),"""")"),"")</f>
        <v/>
      </c>
      <c r="AH133" s="49" t="str">
        <f t="shared" ca="1" si="2"/>
        <v>LW</v>
      </c>
    </row>
    <row r="134" spans="1:34" ht="12.75" hidden="1">
      <c r="A134" s="45" t="str">
        <f ca="1">IFERROR(__xludf.DUMMYFUNCTION("""COMPUTED_VALUE"""),"Colombo")</f>
        <v>Colombo</v>
      </c>
      <c r="B134" s="45"/>
      <c r="C134" s="45">
        <f ca="1">IFERROR(__xludf.DUMMYFUNCTION("""COMPUTED_VALUE"""),3231485)</f>
        <v>3231485</v>
      </c>
      <c r="D134" s="45"/>
      <c r="E134" s="45" t="str">
        <f ca="1">IFERROR(__xludf.DUMMYFUNCTION("""COMPUTED_VALUE"""),"CFS")</f>
        <v>CFS</v>
      </c>
      <c r="F134" s="45" t="str">
        <f ca="1">IFERROR(__xludf.DUMMYFUNCTION("""COMPUTED_VALUE"""),"MAS AMITY PTE LTD")</f>
        <v>MAS AMITY PTE LTD</v>
      </c>
      <c r="G134" s="45" t="str">
        <f ca="1">IFERROR(__xludf.DUMMYFUNCTION("""COMPUTED_VALUE"""),"MAS Fabrics (Pvt) Ltd Intimo")</f>
        <v>MAS Fabrics (Pvt) Ltd Intimo</v>
      </c>
      <c r="H134" s="43">
        <f ca="1">IFERROR(__xludf.DUMMYFUNCTION("""COMPUTED_VALUE"""),452588863929)</f>
        <v>452588863929</v>
      </c>
      <c r="I134" s="45">
        <f ca="1">IFERROR(__xludf.DUMMYFUNCTION("""COMPUTED_VALUE"""),19820865)</f>
        <v>19820865</v>
      </c>
      <c r="J134" s="45" t="str">
        <f ca="1">IFERROR(__xludf.DUMMYFUNCTION("""COMPUTED_VALUE"""),"LW3JE8S")</f>
        <v>LW3JE8S</v>
      </c>
      <c r="K134" s="45" t="str">
        <f ca="1">IFERROR(__xludf.DUMMYFUNCTION("""COMPUTED_VALUE"""),"LW3JE8S-042836")</f>
        <v>LW3JE8S-042836</v>
      </c>
      <c r="L134" s="45">
        <f ca="1">IFERROR(__xludf.DUMMYFUNCTION("""COMPUTED_VALUE"""),4)</f>
        <v>4</v>
      </c>
      <c r="M134" s="45">
        <f ca="1">IFERROR(__xludf.DUMMYFUNCTION("""COMPUTED_VALUE"""),108)</f>
        <v>108</v>
      </c>
      <c r="N134" s="45">
        <f ca="1">IFERROR(__xludf.DUMMYFUNCTION("""COMPUTED_VALUE"""),21.413)</f>
        <v>21.413</v>
      </c>
      <c r="O134" s="45">
        <f ca="1">IFERROR(__xludf.DUMMYFUNCTION("""COMPUTED_VALUE"""),0.197)</f>
        <v>0.19700000000000001</v>
      </c>
      <c r="P134" s="45" t="str">
        <f ca="1">IFERROR(__xludf.DUMMYFUNCTION("""COMPUTED_VALUE"""),"Colombo, LK")</f>
        <v>Colombo, LK</v>
      </c>
      <c r="Q134" s="45" t="str">
        <f ca="1">IFERROR(__xludf.DUMMYFUNCTION("""COMPUTED_VALUE"""),"Felixstowe, GB")</f>
        <v>Felixstowe, GB</v>
      </c>
      <c r="R134" s="44">
        <f ca="1">IFERROR(__xludf.DUMMYFUNCTION("""COMPUTED_VALUE"""),45817)</f>
        <v>45817</v>
      </c>
      <c r="S134" s="44">
        <f ca="1">IFERROR(__xludf.DUMMYFUNCTION("""COMPUTED_VALUE"""),45876)</f>
        <v>45876</v>
      </c>
      <c r="T134" s="45" t="str">
        <f ca="1">IFERROR(__xludf.DUMMYFUNCTION("""COMPUTED_VALUE"""),"Birmingham, GB")</f>
        <v>Birmingham, GB</v>
      </c>
      <c r="U134" s="45"/>
      <c r="V134" s="45"/>
      <c r="W134" s="45"/>
      <c r="X134" s="45"/>
      <c r="Y134" s="46">
        <f ca="1">IFERROR(__xludf.DUMMYFUNCTION("""COMPUTED_VALUE"""),45826)</f>
        <v>45826</v>
      </c>
      <c r="Z134" s="46">
        <f ca="1">IFERROR(__xludf.DUMMYFUNCTION("""COMPUTED_VALUE"""),45850)</f>
        <v>45850</v>
      </c>
      <c r="AA134" s="46">
        <f ca="1">IFERROR(__xludf.DUMMYFUNCTION("""COMPUTED_VALUE"""),45857)</f>
        <v>45857</v>
      </c>
      <c r="AB134" s="45" t="str">
        <f ca="1">IFERROR(__xludf.DUMMYFUNCTION("""COMPUTED_VALUE"""),"10A Faraday Ave")</f>
        <v>10A Faraday Ave</v>
      </c>
      <c r="AC134" s="45" t="str">
        <f ca="1">IFERROR(__xludf.DUMMYFUNCTION("""COMPUTED_VALUE"""),"Coleshill")</f>
        <v>Coleshill</v>
      </c>
      <c r="AD134" s="45" t="str">
        <f ca="1">IFERROR(__xludf.DUMMYFUNCTION("""COMPUTED_VALUE"""),"OCEAN")</f>
        <v>OCEAN</v>
      </c>
      <c r="AE134" s="45" t="str">
        <f ca="1">IFERROR(__xludf.DUMMYFUNCTION("""COMPUTED_VALUE"""),"N")</f>
        <v>N</v>
      </c>
      <c r="AF134" s="45"/>
      <c r="AG134" s="49" t="str">
        <f ca="1">IFERROR(__xludf.DUMMYFUNCTION("IFNA(vlookup(H134,IMPORTRANGE(""1vUGwO1n0QQGx9kKbO0_M5gmuhXZ6-LaxQxgrmJnzgP0"",""'TP# look up'!A:C""),3,0),"""")"),"")</f>
        <v/>
      </c>
      <c r="AH134" s="49" t="str">
        <f t="shared" ca="1" si="2"/>
        <v>LW</v>
      </c>
    </row>
    <row r="135" spans="1:34" ht="12.75" hidden="1">
      <c r="A135" s="45" t="str">
        <f ca="1">IFERROR(__xludf.DUMMYFUNCTION("""COMPUTED_VALUE"""),"Colombo")</f>
        <v>Colombo</v>
      </c>
      <c r="B135" s="45"/>
      <c r="C135" s="45">
        <f ca="1">IFERROR(__xludf.DUMMYFUNCTION("""COMPUTED_VALUE"""),3231485)</f>
        <v>3231485</v>
      </c>
      <c r="D135" s="45"/>
      <c r="E135" s="45" t="str">
        <f ca="1">IFERROR(__xludf.DUMMYFUNCTION("""COMPUTED_VALUE"""),"CFS")</f>
        <v>CFS</v>
      </c>
      <c r="F135" s="45" t="str">
        <f ca="1">IFERROR(__xludf.DUMMYFUNCTION("""COMPUTED_VALUE"""),"Bodyline Trading (Private) Limited")</f>
        <v>Bodyline Trading (Private) Limited</v>
      </c>
      <c r="G135" s="45" t="str">
        <f ca="1">IFERROR(__xludf.DUMMYFUNCTION("""COMPUTED_VALUE"""),"Bodyline (Private) Limited")</f>
        <v>Bodyline (Private) Limited</v>
      </c>
      <c r="H135" s="43">
        <f ca="1">IFERROR(__xludf.DUMMYFUNCTION("""COMPUTED_VALUE"""),452663777570)</f>
        <v>452663777570</v>
      </c>
      <c r="I135" s="45">
        <f ca="1">IFERROR(__xludf.DUMMYFUNCTION("""COMPUTED_VALUE"""),19828551)</f>
        <v>19828551</v>
      </c>
      <c r="J135" s="45" t="str">
        <f ca="1">IFERROR(__xludf.DUMMYFUNCTION("""COMPUTED_VALUE"""),"LW2DTJS")</f>
        <v>LW2DTJS</v>
      </c>
      <c r="K135" s="45" t="str">
        <f ca="1">IFERROR(__xludf.DUMMYFUNCTION("""COMPUTED_VALUE"""),"LW2DTJS-035486")</f>
        <v>LW2DTJS-035486</v>
      </c>
      <c r="L135" s="45">
        <f ca="1">IFERROR(__xludf.DUMMYFUNCTION("""COMPUTED_VALUE"""),4)</f>
        <v>4</v>
      </c>
      <c r="M135" s="45">
        <f ca="1">IFERROR(__xludf.DUMMYFUNCTION("""COMPUTED_VALUE"""),134)</f>
        <v>134</v>
      </c>
      <c r="N135" s="45">
        <f ca="1">IFERROR(__xludf.DUMMYFUNCTION("""COMPUTED_VALUE"""),20.926)</f>
        <v>20.925999999999998</v>
      </c>
      <c r="O135" s="45">
        <f ca="1">IFERROR(__xludf.DUMMYFUNCTION("""COMPUTED_VALUE"""),0.285)</f>
        <v>0.28499999999999998</v>
      </c>
      <c r="P135" s="45" t="str">
        <f ca="1">IFERROR(__xludf.DUMMYFUNCTION("""COMPUTED_VALUE"""),"Colombo, LK")</f>
        <v>Colombo, LK</v>
      </c>
      <c r="Q135" s="45" t="str">
        <f ca="1">IFERROR(__xludf.DUMMYFUNCTION("""COMPUTED_VALUE"""),"Felixstowe, GB")</f>
        <v>Felixstowe, GB</v>
      </c>
      <c r="R135" s="44">
        <f ca="1">IFERROR(__xludf.DUMMYFUNCTION("""COMPUTED_VALUE"""),45817)</f>
        <v>45817</v>
      </c>
      <c r="S135" s="44">
        <f ca="1">IFERROR(__xludf.DUMMYFUNCTION("""COMPUTED_VALUE"""),45876)</f>
        <v>45876</v>
      </c>
      <c r="T135" s="45" t="str">
        <f ca="1">IFERROR(__xludf.DUMMYFUNCTION("""COMPUTED_VALUE"""),"Birmingham, GB")</f>
        <v>Birmingham, GB</v>
      </c>
      <c r="U135" s="45"/>
      <c r="V135" s="45"/>
      <c r="W135" s="45"/>
      <c r="X135" s="45"/>
      <c r="Y135" s="46">
        <f ca="1">IFERROR(__xludf.DUMMYFUNCTION("""COMPUTED_VALUE"""),45826)</f>
        <v>45826</v>
      </c>
      <c r="Z135" s="46">
        <f ca="1">IFERROR(__xludf.DUMMYFUNCTION("""COMPUTED_VALUE"""),45850)</f>
        <v>45850</v>
      </c>
      <c r="AA135" s="46">
        <f ca="1">IFERROR(__xludf.DUMMYFUNCTION("""COMPUTED_VALUE"""),45857)</f>
        <v>45857</v>
      </c>
      <c r="AB135" s="45" t="str">
        <f ca="1">IFERROR(__xludf.DUMMYFUNCTION("""COMPUTED_VALUE"""),"10A Faraday Ave")</f>
        <v>10A Faraday Ave</v>
      </c>
      <c r="AC135" s="45" t="str">
        <f ca="1">IFERROR(__xludf.DUMMYFUNCTION("""COMPUTED_VALUE"""),"Coleshill")</f>
        <v>Coleshill</v>
      </c>
      <c r="AD135" s="45" t="str">
        <f ca="1">IFERROR(__xludf.DUMMYFUNCTION("""COMPUTED_VALUE"""),"OCEAN")</f>
        <v>OCEAN</v>
      </c>
      <c r="AE135" s="45" t="str">
        <f ca="1">IFERROR(__xludf.DUMMYFUNCTION("""COMPUTED_VALUE"""),"N")</f>
        <v>N</v>
      </c>
      <c r="AF135" s="45"/>
      <c r="AG135" s="49" t="str">
        <f ca="1">IFERROR(__xludf.DUMMYFUNCTION("IFNA(vlookup(H135,IMPORTRANGE(""1vUGwO1n0QQGx9kKbO0_M5gmuhXZ6-LaxQxgrmJnzgP0"",""'TP# look up'!A:C""),3,0),"""")"),"")</f>
        <v/>
      </c>
      <c r="AH135" s="49" t="str">
        <f t="shared" ca="1" si="2"/>
        <v>LW</v>
      </c>
    </row>
    <row r="136" spans="1:34" ht="12.75" hidden="1">
      <c r="A136" s="45" t="str">
        <f ca="1">IFERROR(__xludf.DUMMYFUNCTION("""COMPUTED_VALUE"""),"Colombo")</f>
        <v>Colombo</v>
      </c>
      <c r="B136" s="45"/>
      <c r="C136" s="45">
        <f ca="1">IFERROR(__xludf.DUMMYFUNCTION("""COMPUTED_VALUE"""),3231485)</f>
        <v>3231485</v>
      </c>
      <c r="D136" s="45"/>
      <c r="E136" s="45" t="str">
        <f ca="1">IFERROR(__xludf.DUMMYFUNCTION("""COMPUTED_VALUE"""),"CFS")</f>
        <v>CFS</v>
      </c>
      <c r="F136" s="45" t="str">
        <f ca="1">IFERROR(__xludf.DUMMYFUNCTION("""COMPUTED_VALUE"""),"Bodyline Trading (Private) Limited")</f>
        <v>Bodyline Trading (Private) Limited</v>
      </c>
      <c r="G136" s="45" t="str">
        <f ca="1">IFERROR(__xludf.DUMMYFUNCTION("""COMPUTED_VALUE"""),"Bodyline (Private) Limited")</f>
        <v>Bodyline (Private) Limited</v>
      </c>
      <c r="H136" s="43">
        <f ca="1">IFERROR(__xludf.DUMMYFUNCTION("""COMPUTED_VALUE"""),452664530160)</f>
        <v>452664530160</v>
      </c>
      <c r="I136" s="45">
        <f ca="1">IFERROR(__xludf.DUMMYFUNCTION("""COMPUTED_VALUE"""),19828539)</f>
        <v>19828539</v>
      </c>
      <c r="J136" s="45" t="str">
        <f ca="1">IFERROR(__xludf.DUMMYFUNCTION("""COMPUTED_VALUE"""),"LW2DTJS")</f>
        <v>LW2DTJS</v>
      </c>
      <c r="K136" s="45" t="str">
        <f ca="1">IFERROR(__xludf.DUMMYFUNCTION("""COMPUTED_VALUE"""),"LW2DTJS-035486")</f>
        <v>LW2DTJS-035486</v>
      </c>
      <c r="L136" s="45">
        <f ca="1">IFERROR(__xludf.DUMMYFUNCTION("""COMPUTED_VALUE"""),2)</f>
        <v>2</v>
      </c>
      <c r="M136" s="45">
        <f ca="1">IFERROR(__xludf.DUMMYFUNCTION("""COMPUTED_VALUE"""),76)</f>
        <v>76</v>
      </c>
      <c r="N136" s="45">
        <f ca="1">IFERROR(__xludf.DUMMYFUNCTION("""COMPUTED_VALUE"""),11.097)</f>
        <v>11.097</v>
      </c>
      <c r="O136" s="45">
        <f ca="1">IFERROR(__xludf.DUMMYFUNCTION("""COMPUTED_VALUE"""),0.124)</f>
        <v>0.124</v>
      </c>
      <c r="P136" s="45" t="str">
        <f ca="1">IFERROR(__xludf.DUMMYFUNCTION("""COMPUTED_VALUE"""),"Colombo, LK")</f>
        <v>Colombo, LK</v>
      </c>
      <c r="Q136" s="45" t="str">
        <f ca="1">IFERROR(__xludf.DUMMYFUNCTION("""COMPUTED_VALUE"""),"Felixstowe, GB")</f>
        <v>Felixstowe, GB</v>
      </c>
      <c r="R136" s="44">
        <f ca="1">IFERROR(__xludf.DUMMYFUNCTION("""COMPUTED_VALUE"""),45817)</f>
        <v>45817</v>
      </c>
      <c r="S136" s="44">
        <f ca="1">IFERROR(__xludf.DUMMYFUNCTION("""COMPUTED_VALUE"""),45876)</f>
        <v>45876</v>
      </c>
      <c r="T136" s="45" t="str">
        <f ca="1">IFERROR(__xludf.DUMMYFUNCTION("""COMPUTED_VALUE"""),"Birmingham, GB")</f>
        <v>Birmingham, GB</v>
      </c>
      <c r="U136" s="45"/>
      <c r="V136" s="45"/>
      <c r="W136" s="45"/>
      <c r="X136" s="45"/>
      <c r="Y136" s="46">
        <f ca="1">IFERROR(__xludf.DUMMYFUNCTION("""COMPUTED_VALUE"""),45826)</f>
        <v>45826</v>
      </c>
      <c r="Z136" s="46">
        <f ca="1">IFERROR(__xludf.DUMMYFUNCTION("""COMPUTED_VALUE"""),45850)</f>
        <v>45850</v>
      </c>
      <c r="AA136" s="46">
        <f ca="1">IFERROR(__xludf.DUMMYFUNCTION("""COMPUTED_VALUE"""),45857)</f>
        <v>45857</v>
      </c>
      <c r="AB136" s="45" t="str">
        <f ca="1">IFERROR(__xludf.DUMMYFUNCTION("""COMPUTED_VALUE"""),"10A Faraday Ave")</f>
        <v>10A Faraday Ave</v>
      </c>
      <c r="AC136" s="45" t="str">
        <f ca="1">IFERROR(__xludf.DUMMYFUNCTION("""COMPUTED_VALUE"""),"Coleshill")</f>
        <v>Coleshill</v>
      </c>
      <c r="AD136" s="45" t="str">
        <f ca="1">IFERROR(__xludf.DUMMYFUNCTION("""COMPUTED_VALUE"""),"OCEAN")</f>
        <v>OCEAN</v>
      </c>
      <c r="AE136" s="45" t="str">
        <f ca="1">IFERROR(__xludf.DUMMYFUNCTION("""COMPUTED_VALUE"""),"N")</f>
        <v>N</v>
      </c>
      <c r="AF136" s="45"/>
      <c r="AG136" s="49" t="str">
        <f ca="1">IFERROR(__xludf.DUMMYFUNCTION("IFNA(vlookup(H136,IMPORTRANGE(""1vUGwO1n0QQGx9kKbO0_M5gmuhXZ6-LaxQxgrmJnzgP0"",""'TP# look up'!A:C""),3,0),"""")"),"")</f>
        <v/>
      </c>
      <c r="AH136" s="49" t="str">
        <f t="shared" ca="1" si="2"/>
        <v>LW</v>
      </c>
    </row>
    <row r="137" spans="1:34" ht="12.75" hidden="1">
      <c r="A137" s="45" t="str">
        <f ca="1">IFERROR(__xludf.DUMMYFUNCTION("""COMPUTED_VALUE"""),"Colombo")</f>
        <v>Colombo</v>
      </c>
      <c r="B137" s="45"/>
      <c r="C137" s="45">
        <f ca="1">IFERROR(__xludf.DUMMYFUNCTION("""COMPUTED_VALUE"""),3231485)</f>
        <v>3231485</v>
      </c>
      <c r="D137" s="45"/>
      <c r="E137" s="45" t="str">
        <f ca="1">IFERROR(__xludf.DUMMYFUNCTION("""COMPUTED_VALUE"""),"CFS")</f>
        <v>CFS</v>
      </c>
      <c r="F137" s="45" t="str">
        <f ca="1">IFERROR(__xludf.DUMMYFUNCTION("""COMPUTED_VALUE"""),"Inqube Global (PVT) Ltd")</f>
        <v>Inqube Global (PVT) Ltd</v>
      </c>
      <c r="G137" s="45" t="str">
        <f ca="1">IFERROR(__xludf.DUMMYFUNCTION("""COMPUTED_VALUE"""),"Brandix Apparel Solutions Limited - Minuwangoda")</f>
        <v>Brandix Apparel Solutions Limited - Minuwangoda</v>
      </c>
      <c r="H137" s="43">
        <f ca="1">IFERROR(__xludf.DUMMYFUNCTION("""COMPUTED_VALUE"""),450836203621)</f>
        <v>450836203621</v>
      </c>
      <c r="I137" s="45">
        <f ca="1">IFERROR(__xludf.DUMMYFUNCTION("""COMPUTED_VALUE"""),19854896)</f>
        <v>19854896</v>
      </c>
      <c r="J137" s="45" t="str">
        <f ca="1">IFERROR(__xludf.DUMMYFUNCTION("""COMPUTED_VALUE"""),"LW3KASS")</f>
        <v>LW3KASS</v>
      </c>
      <c r="K137" s="45" t="str">
        <f ca="1">IFERROR(__xludf.DUMMYFUNCTION("""COMPUTED_VALUE"""),"LW3KASS-070108")</f>
        <v>LW3KASS-070108</v>
      </c>
      <c r="L137" s="45">
        <f ca="1">IFERROR(__xludf.DUMMYFUNCTION("""COMPUTED_VALUE"""),6)</f>
        <v>6</v>
      </c>
      <c r="M137" s="45">
        <f ca="1">IFERROR(__xludf.DUMMYFUNCTION("""COMPUTED_VALUE"""),109)</f>
        <v>109</v>
      </c>
      <c r="N137" s="45">
        <f ca="1">IFERROR(__xludf.DUMMYFUNCTION("""COMPUTED_VALUE"""),35.585)</f>
        <v>35.585000000000001</v>
      </c>
      <c r="O137" s="45">
        <f ca="1">IFERROR(__xludf.DUMMYFUNCTION("""COMPUTED_VALUE"""),0.471)</f>
        <v>0.47099999999999997</v>
      </c>
      <c r="P137" s="45" t="str">
        <f ca="1">IFERROR(__xludf.DUMMYFUNCTION("""COMPUTED_VALUE"""),"Colombo, LK")</f>
        <v>Colombo, LK</v>
      </c>
      <c r="Q137" s="45" t="str">
        <f ca="1">IFERROR(__xludf.DUMMYFUNCTION("""COMPUTED_VALUE"""),"Felixstowe, GB")</f>
        <v>Felixstowe, GB</v>
      </c>
      <c r="R137" s="44">
        <f ca="1">IFERROR(__xludf.DUMMYFUNCTION("""COMPUTED_VALUE"""),45817)</f>
        <v>45817</v>
      </c>
      <c r="S137" s="44">
        <f ca="1">IFERROR(__xludf.DUMMYFUNCTION("""COMPUTED_VALUE"""),45876)</f>
        <v>45876</v>
      </c>
      <c r="T137" s="45" t="str">
        <f ca="1">IFERROR(__xludf.DUMMYFUNCTION("""COMPUTED_VALUE"""),"Birmingham, GB")</f>
        <v>Birmingham, GB</v>
      </c>
      <c r="U137" s="45"/>
      <c r="V137" s="45"/>
      <c r="W137" s="45"/>
      <c r="X137" s="45"/>
      <c r="Y137" s="46">
        <f ca="1">IFERROR(__xludf.DUMMYFUNCTION("""COMPUTED_VALUE"""),45826)</f>
        <v>45826</v>
      </c>
      <c r="Z137" s="46">
        <f ca="1">IFERROR(__xludf.DUMMYFUNCTION("""COMPUTED_VALUE"""),45850)</f>
        <v>45850</v>
      </c>
      <c r="AA137" s="46">
        <f ca="1">IFERROR(__xludf.DUMMYFUNCTION("""COMPUTED_VALUE"""),45857)</f>
        <v>45857</v>
      </c>
      <c r="AB137" s="45" t="str">
        <f ca="1">IFERROR(__xludf.DUMMYFUNCTION("""COMPUTED_VALUE"""),"10A Faraday Ave")</f>
        <v>10A Faraday Ave</v>
      </c>
      <c r="AC137" s="45" t="str">
        <f ca="1">IFERROR(__xludf.DUMMYFUNCTION("""COMPUTED_VALUE"""),"Coleshill")</f>
        <v>Coleshill</v>
      </c>
      <c r="AD137" s="45" t="str">
        <f ca="1">IFERROR(__xludf.DUMMYFUNCTION("""COMPUTED_VALUE"""),"OCEAN")</f>
        <v>OCEAN</v>
      </c>
      <c r="AE137" s="45" t="str">
        <f ca="1">IFERROR(__xludf.DUMMYFUNCTION("""COMPUTED_VALUE"""),"N")</f>
        <v>N</v>
      </c>
      <c r="AF137" s="45"/>
      <c r="AG137" s="49" t="str">
        <f ca="1">IFERROR(__xludf.DUMMYFUNCTION("IFNA(vlookup(H137,IMPORTRANGE(""1vUGwO1n0QQGx9kKbO0_M5gmuhXZ6-LaxQxgrmJnzgP0"",""'TP# look up'!A:C""),3,0),"""")"),"")</f>
        <v/>
      </c>
      <c r="AH137" s="49" t="str">
        <f t="shared" ca="1" si="2"/>
        <v>LW</v>
      </c>
    </row>
    <row r="138" spans="1:34" ht="12.75" hidden="1">
      <c r="A138" s="45" t="str">
        <f ca="1">IFERROR(__xludf.DUMMYFUNCTION("""COMPUTED_VALUE"""),"Colombo")</f>
        <v>Colombo</v>
      </c>
      <c r="B138" s="45"/>
      <c r="C138" s="45">
        <f ca="1">IFERROR(__xludf.DUMMYFUNCTION("""COMPUTED_VALUE"""),3231490)</f>
        <v>3231490</v>
      </c>
      <c r="D138" s="45"/>
      <c r="E138" s="45" t="str">
        <f ca="1">IFERROR(__xludf.DUMMYFUNCTION("""COMPUTED_VALUE"""),"CFS")</f>
        <v>CFS</v>
      </c>
      <c r="F138" s="45" t="str">
        <f ca="1">IFERROR(__xludf.DUMMYFUNCTION("""COMPUTED_VALUE"""),"Inqube Global (PVT) Ltd")</f>
        <v>Inqube Global (PVT) Ltd</v>
      </c>
      <c r="G138" s="45" t="str">
        <f ca="1">IFERROR(__xludf.DUMMYFUNCTION("""COMPUTED_VALUE"""),"BRANDIX APPAREL SOLUTION LTD - GIRITALE")</f>
        <v>BRANDIX APPAREL SOLUTION LTD - GIRITALE</v>
      </c>
      <c r="H138" s="43">
        <f ca="1">IFERROR(__xludf.DUMMYFUNCTION("""COMPUTED_VALUE"""),450933746192)</f>
        <v>450933746192</v>
      </c>
      <c r="I138" s="45">
        <f ca="1">IFERROR(__xludf.DUMMYFUNCTION("""COMPUTED_VALUE"""),19807099)</f>
        <v>19807099</v>
      </c>
      <c r="J138" s="45" t="str">
        <f ca="1">IFERROR(__xludf.DUMMYFUNCTION("""COMPUTED_VALUE"""),"LM5AO4S")</f>
        <v>LM5AO4S</v>
      </c>
      <c r="K138" s="45" t="str">
        <f ca="1">IFERROR(__xludf.DUMMYFUNCTION("""COMPUTED_VALUE"""),"LM5AO4S-019222")</f>
        <v>LM5AO4S-019222</v>
      </c>
      <c r="L138" s="45">
        <f ca="1">IFERROR(__xludf.DUMMYFUNCTION("""COMPUTED_VALUE"""),8)</f>
        <v>8</v>
      </c>
      <c r="M138" s="45">
        <f ca="1">IFERROR(__xludf.DUMMYFUNCTION("""COMPUTED_VALUE"""),275)</f>
        <v>275</v>
      </c>
      <c r="N138" s="45">
        <f ca="1">IFERROR(__xludf.DUMMYFUNCTION("""COMPUTED_VALUE"""),121.3)</f>
        <v>121.3</v>
      </c>
      <c r="O138" s="45">
        <f ca="1">IFERROR(__xludf.DUMMYFUNCTION("""COMPUTED_VALUE"""),0.58)</f>
        <v>0.57999999999999996</v>
      </c>
      <c r="P138" s="45" t="str">
        <f ca="1">IFERROR(__xludf.DUMMYFUNCTION("""COMPUTED_VALUE"""),"Colombo, LK")</f>
        <v>Colombo, LK</v>
      </c>
      <c r="Q138" s="45" t="str">
        <f ca="1">IFERROR(__xludf.DUMMYFUNCTION("""COMPUTED_VALUE"""),"Rotterdam, NL")</f>
        <v>Rotterdam, NL</v>
      </c>
      <c r="R138" s="44">
        <f ca="1">IFERROR(__xludf.DUMMYFUNCTION("""COMPUTED_VALUE"""),45817)</f>
        <v>45817</v>
      </c>
      <c r="S138" s="44">
        <f ca="1">IFERROR(__xludf.DUMMYFUNCTION("""COMPUTED_VALUE"""),45871)</f>
        <v>45871</v>
      </c>
      <c r="T138" s="45" t="str">
        <f ca="1">IFERROR(__xludf.DUMMYFUNCTION("""COMPUTED_VALUE"""),"Rotterdam, NL")</f>
        <v>Rotterdam, NL</v>
      </c>
      <c r="U138" s="45"/>
      <c r="V138" s="45"/>
      <c r="W138" s="45"/>
      <c r="X138" s="45"/>
      <c r="Y138" s="46">
        <f ca="1">IFERROR(__xludf.DUMMYFUNCTION("""COMPUTED_VALUE"""),45825)</f>
        <v>45825</v>
      </c>
      <c r="Z138" s="46">
        <f ca="1">IFERROR(__xludf.DUMMYFUNCTION("""COMPUTED_VALUE"""),45854)</f>
        <v>45854</v>
      </c>
      <c r="AA138" s="46">
        <f ca="1">IFERROR(__xludf.DUMMYFUNCTION("""COMPUTED_VALUE"""),45861)</f>
        <v>45861</v>
      </c>
      <c r="AB138" s="45" t="str">
        <f ca="1">IFERROR(__xludf.DUMMYFUNCTION("""COMPUTED_VALUE"""),"Conradweg 26")</f>
        <v>Conradweg 26</v>
      </c>
      <c r="AC138" s="45"/>
      <c r="AD138" s="45" t="str">
        <f ca="1">IFERROR(__xludf.DUMMYFUNCTION("""COMPUTED_VALUE"""),"OCEAN")</f>
        <v>OCEAN</v>
      </c>
      <c r="AE138" s="45" t="str">
        <f ca="1">IFERROR(__xludf.DUMMYFUNCTION("""COMPUTED_VALUE"""),"N")</f>
        <v>N</v>
      </c>
      <c r="AF138" s="45"/>
      <c r="AG138" s="49" t="str">
        <f ca="1">IFERROR(__xludf.DUMMYFUNCTION("IFNA(vlookup(H138,IMPORTRANGE(""1vUGwO1n0QQGx9kKbO0_M5gmuhXZ6-LaxQxgrmJnzgP0"",""'TP# look up'!A:C""),3,0),"""")"),"")</f>
        <v/>
      </c>
      <c r="AH138" s="49" t="str">
        <f t="shared" ca="1" si="2"/>
        <v>LM</v>
      </c>
    </row>
    <row r="139" spans="1:34" ht="12.75" hidden="1">
      <c r="A139" s="45" t="str">
        <f ca="1">IFERROR(__xludf.DUMMYFUNCTION("""COMPUTED_VALUE"""),"Colombo")</f>
        <v>Colombo</v>
      </c>
      <c r="B139" s="45"/>
      <c r="C139" s="45">
        <f ca="1">IFERROR(__xludf.DUMMYFUNCTION("""COMPUTED_VALUE"""),3231490)</f>
        <v>3231490</v>
      </c>
      <c r="D139" s="45"/>
      <c r="E139" s="45" t="str">
        <f ca="1">IFERROR(__xludf.DUMMYFUNCTION("""COMPUTED_VALUE"""),"CFS")</f>
        <v>CFS</v>
      </c>
      <c r="F139" s="45" t="str">
        <f ca="1">IFERROR(__xludf.DUMMYFUNCTION("""COMPUTED_VALUE"""),"Inqube Global (PVT) Ltd")</f>
        <v>Inqube Global (PVT) Ltd</v>
      </c>
      <c r="G139" s="45" t="str">
        <f ca="1">IFERROR(__xludf.DUMMYFUNCTION("""COMPUTED_VALUE"""),"BRANDIX APPAREL SOLUTION LTD - GIRITALE")</f>
        <v>BRANDIX APPAREL SOLUTION LTD - GIRITALE</v>
      </c>
      <c r="H139" s="43">
        <f ca="1">IFERROR(__xludf.DUMMYFUNCTION("""COMPUTED_VALUE"""),450935129430)</f>
        <v>450935129430</v>
      </c>
      <c r="I139" s="45">
        <f ca="1">IFERROR(__xludf.DUMMYFUNCTION("""COMPUTED_VALUE"""),19807105)</f>
        <v>19807105</v>
      </c>
      <c r="J139" s="45" t="str">
        <f ca="1">IFERROR(__xludf.DUMMYFUNCTION("""COMPUTED_VALUE"""),"LM5AO4S")</f>
        <v>LM5AO4S</v>
      </c>
      <c r="K139" s="45" t="str">
        <f ca="1">IFERROR(__xludf.DUMMYFUNCTION("""COMPUTED_VALUE"""),"LM5AO4S-019222")</f>
        <v>LM5AO4S-019222</v>
      </c>
      <c r="L139" s="45">
        <f ca="1">IFERROR(__xludf.DUMMYFUNCTION("""COMPUTED_VALUE"""),6)</f>
        <v>6</v>
      </c>
      <c r="M139" s="45">
        <f ca="1">IFERROR(__xludf.DUMMYFUNCTION("""COMPUTED_VALUE"""),146)</f>
        <v>146</v>
      </c>
      <c r="N139" s="45">
        <f ca="1">IFERROR(__xludf.DUMMYFUNCTION("""COMPUTED_VALUE"""),65.9)</f>
        <v>65.900000000000006</v>
      </c>
      <c r="O139" s="45">
        <f ca="1">IFERROR(__xludf.DUMMYFUNCTION("""COMPUTED_VALUE"""),0.375)</f>
        <v>0.375</v>
      </c>
      <c r="P139" s="45" t="str">
        <f ca="1">IFERROR(__xludf.DUMMYFUNCTION("""COMPUTED_VALUE"""),"Colombo, LK")</f>
        <v>Colombo, LK</v>
      </c>
      <c r="Q139" s="45" t="str">
        <f ca="1">IFERROR(__xludf.DUMMYFUNCTION("""COMPUTED_VALUE"""),"Rotterdam, NL")</f>
        <v>Rotterdam, NL</v>
      </c>
      <c r="R139" s="44">
        <f ca="1">IFERROR(__xludf.DUMMYFUNCTION("""COMPUTED_VALUE"""),45817)</f>
        <v>45817</v>
      </c>
      <c r="S139" s="44">
        <f ca="1">IFERROR(__xludf.DUMMYFUNCTION("""COMPUTED_VALUE"""),45871)</f>
        <v>45871</v>
      </c>
      <c r="T139" s="45" t="str">
        <f ca="1">IFERROR(__xludf.DUMMYFUNCTION("""COMPUTED_VALUE"""),"Rotterdam, NL")</f>
        <v>Rotterdam, NL</v>
      </c>
      <c r="U139" s="45"/>
      <c r="V139" s="45"/>
      <c r="W139" s="45"/>
      <c r="X139" s="45"/>
      <c r="Y139" s="46">
        <f ca="1">IFERROR(__xludf.DUMMYFUNCTION("""COMPUTED_VALUE"""),45825)</f>
        <v>45825</v>
      </c>
      <c r="Z139" s="46">
        <f ca="1">IFERROR(__xludf.DUMMYFUNCTION("""COMPUTED_VALUE"""),45854)</f>
        <v>45854</v>
      </c>
      <c r="AA139" s="46">
        <f ca="1">IFERROR(__xludf.DUMMYFUNCTION("""COMPUTED_VALUE"""),45861)</f>
        <v>45861</v>
      </c>
      <c r="AB139" s="45" t="str">
        <f ca="1">IFERROR(__xludf.DUMMYFUNCTION("""COMPUTED_VALUE"""),"Conradweg 26")</f>
        <v>Conradweg 26</v>
      </c>
      <c r="AC139" s="45"/>
      <c r="AD139" s="45" t="str">
        <f ca="1">IFERROR(__xludf.DUMMYFUNCTION("""COMPUTED_VALUE"""),"OCEAN")</f>
        <v>OCEAN</v>
      </c>
      <c r="AE139" s="45" t="str">
        <f ca="1">IFERROR(__xludf.DUMMYFUNCTION("""COMPUTED_VALUE"""),"N")</f>
        <v>N</v>
      </c>
      <c r="AF139" s="45"/>
      <c r="AG139" s="49" t="str">
        <f ca="1">IFERROR(__xludf.DUMMYFUNCTION("IFNA(vlookup(H139,IMPORTRANGE(""1vUGwO1n0QQGx9kKbO0_M5gmuhXZ6-LaxQxgrmJnzgP0"",""'TP# look up'!A:C""),3,0),"""")"),"")</f>
        <v/>
      </c>
      <c r="AH139" s="49" t="str">
        <f t="shared" ca="1" si="2"/>
        <v>LM</v>
      </c>
    </row>
    <row r="140" spans="1:34" ht="12.75" hidden="1">
      <c r="A140" s="45" t="str">
        <f ca="1">IFERROR(__xludf.DUMMYFUNCTION("""COMPUTED_VALUE"""),"Colombo")</f>
        <v>Colombo</v>
      </c>
      <c r="B140" s="45"/>
      <c r="C140" s="45">
        <f ca="1">IFERROR(__xludf.DUMMYFUNCTION("""COMPUTED_VALUE"""),3231490)</f>
        <v>3231490</v>
      </c>
      <c r="D140" s="45"/>
      <c r="E140" s="45" t="str">
        <f ca="1">IFERROR(__xludf.DUMMYFUNCTION("""COMPUTED_VALUE"""),"CFS")</f>
        <v>CFS</v>
      </c>
      <c r="F140" s="45" t="str">
        <f ca="1">IFERROR(__xludf.DUMMYFUNCTION("""COMPUTED_VALUE"""),"Bodyline Trading (Private) Limited")</f>
        <v>Bodyline Trading (Private) Limited</v>
      </c>
      <c r="G140" s="45" t="str">
        <f ca="1">IFERROR(__xludf.DUMMYFUNCTION("""COMPUTED_VALUE"""),"Bodyline (Private) Limited")</f>
        <v>Bodyline (Private) Limited</v>
      </c>
      <c r="H140" s="43">
        <f ca="1">IFERROR(__xludf.DUMMYFUNCTION("""COMPUTED_VALUE"""),451166276038)</f>
        <v>451166276038</v>
      </c>
      <c r="I140" s="45">
        <f ca="1">IFERROR(__xludf.DUMMYFUNCTION("""COMPUTED_VALUE"""),19828427)</f>
        <v>19828427</v>
      </c>
      <c r="J140" s="45" t="str">
        <f ca="1">IFERROR(__xludf.DUMMYFUNCTION("""COMPUTED_VALUE"""),"LW2DPOS")</f>
        <v>LW2DPOS</v>
      </c>
      <c r="K140" s="45" t="str">
        <f ca="1">IFERROR(__xludf.DUMMYFUNCTION("""COMPUTED_VALUE"""),"LW2DPOS-0001")</f>
        <v>LW2DPOS-0001</v>
      </c>
      <c r="L140" s="45">
        <f ca="1">IFERROR(__xludf.DUMMYFUNCTION("""COMPUTED_VALUE"""),2)</f>
        <v>2</v>
      </c>
      <c r="M140" s="45">
        <f ca="1">IFERROR(__xludf.DUMMYFUNCTION("""COMPUTED_VALUE"""),57)</f>
        <v>57</v>
      </c>
      <c r="N140" s="45">
        <f ca="1">IFERROR(__xludf.DUMMYFUNCTION("""COMPUTED_VALUE"""),8.856)</f>
        <v>8.8559999999999999</v>
      </c>
      <c r="O140" s="45">
        <f ca="1">IFERROR(__xludf.DUMMYFUNCTION("""COMPUTED_VALUE"""),0.124)</f>
        <v>0.124</v>
      </c>
      <c r="P140" s="45" t="str">
        <f ca="1">IFERROR(__xludf.DUMMYFUNCTION("""COMPUTED_VALUE"""),"Colombo, LK")</f>
        <v>Colombo, LK</v>
      </c>
      <c r="Q140" s="45" t="str">
        <f ca="1">IFERROR(__xludf.DUMMYFUNCTION("""COMPUTED_VALUE"""),"Rotterdam, NL")</f>
        <v>Rotterdam, NL</v>
      </c>
      <c r="R140" s="44">
        <f ca="1">IFERROR(__xludf.DUMMYFUNCTION("""COMPUTED_VALUE"""),45817)</f>
        <v>45817</v>
      </c>
      <c r="S140" s="44">
        <f ca="1">IFERROR(__xludf.DUMMYFUNCTION("""COMPUTED_VALUE"""),45871)</f>
        <v>45871</v>
      </c>
      <c r="T140" s="45" t="str">
        <f ca="1">IFERROR(__xludf.DUMMYFUNCTION("""COMPUTED_VALUE"""),"Rotterdam, NL")</f>
        <v>Rotterdam, NL</v>
      </c>
      <c r="U140" s="45"/>
      <c r="V140" s="45"/>
      <c r="W140" s="45"/>
      <c r="X140" s="45"/>
      <c r="Y140" s="46">
        <f ca="1">IFERROR(__xludf.DUMMYFUNCTION("""COMPUTED_VALUE"""),45825)</f>
        <v>45825</v>
      </c>
      <c r="Z140" s="46">
        <f ca="1">IFERROR(__xludf.DUMMYFUNCTION("""COMPUTED_VALUE"""),45854)</f>
        <v>45854</v>
      </c>
      <c r="AA140" s="46">
        <f ca="1">IFERROR(__xludf.DUMMYFUNCTION("""COMPUTED_VALUE"""),45861)</f>
        <v>45861</v>
      </c>
      <c r="AB140" s="45" t="str">
        <f ca="1">IFERROR(__xludf.DUMMYFUNCTION("""COMPUTED_VALUE"""),"Conradweg 26")</f>
        <v>Conradweg 26</v>
      </c>
      <c r="AC140" s="45"/>
      <c r="AD140" s="45" t="str">
        <f ca="1">IFERROR(__xludf.DUMMYFUNCTION("""COMPUTED_VALUE"""),"OCEAN")</f>
        <v>OCEAN</v>
      </c>
      <c r="AE140" s="45" t="str">
        <f ca="1">IFERROR(__xludf.DUMMYFUNCTION("""COMPUTED_VALUE"""),"N")</f>
        <v>N</v>
      </c>
      <c r="AF140" s="45"/>
      <c r="AG140" s="49" t="str">
        <f ca="1">IFERROR(__xludf.DUMMYFUNCTION("IFNA(vlookup(H140,IMPORTRANGE(""1vUGwO1n0QQGx9kKbO0_M5gmuhXZ6-LaxQxgrmJnzgP0"",""'TP# look up'!A:C""),3,0),"""")"),"")</f>
        <v/>
      </c>
      <c r="AH140" s="49" t="str">
        <f t="shared" ca="1" si="2"/>
        <v>LW</v>
      </c>
    </row>
    <row r="141" spans="1:34" ht="12.75" hidden="1">
      <c r="A141" s="45" t="str">
        <f ca="1">IFERROR(__xludf.DUMMYFUNCTION("""COMPUTED_VALUE"""),"Colombo")</f>
        <v>Colombo</v>
      </c>
      <c r="B141" s="45"/>
      <c r="C141" s="45">
        <f ca="1">IFERROR(__xludf.DUMMYFUNCTION("""COMPUTED_VALUE"""),3231490)</f>
        <v>3231490</v>
      </c>
      <c r="D141" s="45"/>
      <c r="E141" s="45" t="str">
        <f ca="1">IFERROR(__xludf.DUMMYFUNCTION("""COMPUTED_VALUE"""),"CFS")</f>
        <v>CFS</v>
      </c>
      <c r="F141" s="45" t="str">
        <f ca="1">IFERROR(__xludf.DUMMYFUNCTION("""COMPUTED_VALUE"""),"Bodyline Trading (Private) Limited")</f>
        <v>Bodyline Trading (Private) Limited</v>
      </c>
      <c r="G141" s="45" t="str">
        <f ca="1">IFERROR(__xludf.DUMMYFUNCTION("""COMPUTED_VALUE"""),"Bodyline (Private) Limited")</f>
        <v>Bodyline (Private) Limited</v>
      </c>
      <c r="H141" s="43">
        <f ca="1">IFERROR(__xludf.DUMMYFUNCTION("""COMPUTED_VALUE"""),451166317800)</f>
        <v>451166317800</v>
      </c>
      <c r="I141" s="45">
        <f ca="1">IFERROR(__xludf.DUMMYFUNCTION("""COMPUTED_VALUE"""),19828429)</f>
        <v>19828429</v>
      </c>
      <c r="J141" s="45" t="str">
        <f ca="1">IFERROR(__xludf.DUMMYFUNCTION("""COMPUTED_VALUE"""),"LW2DPOS")</f>
        <v>LW2DPOS</v>
      </c>
      <c r="K141" s="45" t="str">
        <f ca="1">IFERROR(__xludf.DUMMYFUNCTION("""COMPUTED_VALUE"""),"LW2DPOS-0001")</f>
        <v>LW2DPOS-0001</v>
      </c>
      <c r="L141" s="45">
        <f ca="1">IFERROR(__xludf.DUMMYFUNCTION("""COMPUTED_VALUE"""),4)</f>
        <v>4</v>
      </c>
      <c r="M141" s="45">
        <f ca="1">IFERROR(__xludf.DUMMYFUNCTION("""COMPUTED_VALUE"""),192)</f>
        <v>192</v>
      </c>
      <c r="N141" s="45">
        <f ca="1">IFERROR(__xludf.DUMMYFUNCTION("""COMPUTED_VALUE"""),28.287)</f>
        <v>28.286999999999999</v>
      </c>
      <c r="O141" s="45">
        <f ca="1">IFERROR(__xludf.DUMMYFUNCTION("""COMPUTED_VALUE"""),0.322)</f>
        <v>0.32200000000000001</v>
      </c>
      <c r="P141" s="45" t="str">
        <f ca="1">IFERROR(__xludf.DUMMYFUNCTION("""COMPUTED_VALUE"""),"Colombo, LK")</f>
        <v>Colombo, LK</v>
      </c>
      <c r="Q141" s="45" t="str">
        <f ca="1">IFERROR(__xludf.DUMMYFUNCTION("""COMPUTED_VALUE"""),"Rotterdam, NL")</f>
        <v>Rotterdam, NL</v>
      </c>
      <c r="R141" s="44">
        <f ca="1">IFERROR(__xludf.DUMMYFUNCTION("""COMPUTED_VALUE"""),45817)</f>
        <v>45817</v>
      </c>
      <c r="S141" s="44">
        <f ca="1">IFERROR(__xludf.DUMMYFUNCTION("""COMPUTED_VALUE"""),45871)</f>
        <v>45871</v>
      </c>
      <c r="T141" s="45" t="str">
        <f ca="1">IFERROR(__xludf.DUMMYFUNCTION("""COMPUTED_VALUE"""),"Rotterdam, NL")</f>
        <v>Rotterdam, NL</v>
      </c>
      <c r="U141" s="45"/>
      <c r="V141" s="45"/>
      <c r="W141" s="45"/>
      <c r="X141" s="45"/>
      <c r="Y141" s="46">
        <f ca="1">IFERROR(__xludf.DUMMYFUNCTION("""COMPUTED_VALUE"""),45825)</f>
        <v>45825</v>
      </c>
      <c r="Z141" s="46">
        <f ca="1">IFERROR(__xludf.DUMMYFUNCTION("""COMPUTED_VALUE"""),45854)</f>
        <v>45854</v>
      </c>
      <c r="AA141" s="46">
        <f ca="1">IFERROR(__xludf.DUMMYFUNCTION("""COMPUTED_VALUE"""),45861)</f>
        <v>45861</v>
      </c>
      <c r="AB141" s="45" t="str">
        <f ca="1">IFERROR(__xludf.DUMMYFUNCTION("""COMPUTED_VALUE"""),"Conradweg 26")</f>
        <v>Conradweg 26</v>
      </c>
      <c r="AC141" s="45"/>
      <c r="AD141" s="45" t="str">
        <f ca="1">IFERROR(__xludf.DUMMYFUNCTION("""COMPUTED_VALUE"""),"OCEAN")</f>
        <v>OCEAN</v>
      </c>
      <c r="AE141" s="45" t="str">
        <f ca="1">IFERROR(__xludf.DUMMYFUNCTION("""COMPUTED_VALUE"""),"N")</f>
        <v>N</v>
      </c>
      <c r="AF141" s="45"/>
      <c r="AG141" s="49" t="str">
        <f ca="1">IFERROR(__xludf.DUMMYFUNCTION("IFNA(vlookup(H141,IMPORTRANGE(""1vUGwO1n0QQGx9kKbO0_M5gmuhXZ6-LaxQxgrmJnzgP0"",""'TP# look up'!A:C""),3,0),"""")"),"")</f>
        <v/>
      </c>
      <c r="AH141" s="49" t="str">
        <f t="shared" ca="1" si="2"/>
        <v>LW</v>
      </c>
    </row>
    <row r="142" spans="1:34" ht="12.75" hidden="1">
      <c r="A142" s="45" t="str">
        <f ca="1">IFERROR(__xludf.DUMMYFUNCTION("""COMPUTED_VALUE"""),"Colombo")</f>
        <v>Colombo</v>
      </c>
      <c r="B142" s="45"/>
      <c r="C142" s="45">
        <f ca="1">IFERROR(__xludf.DUMMYFUNCTION("""COMPUTED_VALUE"""),3231490)</f>
        <v>3231490</v>
      </c>
      <c r="D142" s="45"/>
      <c r="E142" s="45" t="str">
        <f ca="1">IFERROR(__xludf.DUMMYFUNCTION("""COMPUTED_VALUE"""),"CFS")</f>
        <v>CFS</v>
      </c>
      <c r="F142" s="45" t="str">
        <f ca="1">IFERROR(__xludf.DUMMYFUNCTION("""COMPUTED_VALUE"""),"Inqube Global (PVT) Ltd")</f>
        <v>Inqube Global (PVT) Ltd</v>
      </c>
      <c r="G142" s="45" t="str">
        <f ca="1">IFERROR(__xludf.DUMMYFUNCTION("""COMPUTED_VALUE"""),"Quantum Clothing Lanka (Pvt) Ltd")</f>
        <v>Quantum Clothing Lanka (Pvt) Ltd</v>
      </c>
      <c r="H142" s="43">
        <f ca="1">IFERROR(__xludf.DUMMYFUNCTION("""COMPUTED_VALUE"""),451351259163)</f>
        <v>451351259163</v>
      </c>
      <c r="I142" s="45">
        <f ca="1">IFERROR(__xludf.DUMMYFUNCTION("""COMPUTED_VALUE"""),19727215)</f>
        <v>19727215</v>
      </c>
      <c r="J142" s="45" t="str">
        <f ca="1">IFERROR(__xludf.DUMMYFUNCTION("""COMPUTED_VALUE"""),"LW2E01S")</f>
        <v>LW2E01S</v>
      </c>
      <c r="K142" s="45" t="str">
        <f ca="1">IFERROR(__xludf.DUMMYFUNCTION("""COMPUTED_VALUE"""),"LW2E01S-031382")</f>
        <v>LW2E01S-031382</v>
      </c>
      <c r="L142" s="45">
        <f ca="1">IFERROR(__xludf.DUMMYFUNCTION("""COMPUTED_VALUE"""),19)</f>
        <v>19</v>
      </c>
      <c r="M142" s="45">
        <f ca="1">IFERROR(__xludf.DUMMYFUNCTION("""COMPUTED_VALUE"""),181)</f>
        <v>181</v>
      </c>
      <c r="N142" s="45">
        <f ca="1">IFERROR(__xludf.DUMMYFUNCTION("""COMPUTED_VALUE"""),65.689)</f>
        <v>65.688999999999993</v>
      </c>
      <c r="O142" s="45">
        <f ca="1">IFERROR(__xludf.DUMMYFUNCTION("""COMPUTED_VALUE"""),1.596)</f>
        <v>1.5960000000000001</v>
      </c>
      <c r="P142" s="45" t="str">
        <f ca="1">IFERROR(__xludf.DUMMYFUNCTION("""COMPUTED_VALUE"""),"Colombo, LK")</f>
        <v>Colombo, LK</v>
      </c>
      <c r="Q142" s="45" t="str">
        <f ca="1">IFERROR(__xludf.DUMMYFUNCTION("""COMPUTED_VALUE"""),"Rotterdam, NL")</f>
        <v>Rotterdam, NL</v>
      </c>
      <c r="R142" s="44">
        <f ca="1">IFERROR(__xludf.DUMMYFUNCTION("""COMPUTED_VALUE"""),45817)</f>
        <v>45817</v>
      </c>
      <c r="S142" s="44">
        <f ca="1">IFERROR(__xludf.DUMMYFUNCTION("""COMPUTED_VALUE"""),45871)</f>
        <v>45871</v>
      </c>
      <c r="T142" s="45" t="str">
        <f ca="1">IFERROR(__xludf.DUMMYFUNCTION("""COMPUTED_VALUE"""),"Rotterdam, NL")</f>
        <v>Rotterdam, NL</v>
      </c>
      <c r="U142" s="45"/>
      <c r="V142" s="45"/>
      <c r="W142" s="45"/>
      <c r="X142" s="45"/>
      <c r="Y142" s="46">
        <f ca="1">IFERROR(__xludf.DUMMYFUNCTION("""COMPUTED_VALUE"""),45820)</f>
        <v>45820</v>
      </c>
      <c r="Z142" s="46">
        <f ca="1">IFERROR(__xludf.DUMMYFUNCTION("""COMPUTED_VALUE"""),45854)</f>
        <v>45854</v>
      </c>
      <c r="AA142" s="46">
        <f ca="1">IFERROR(__xludf.DUMMYFUNCTION("""COMPUTED_VALUE"""),45861)</f>
        <v>45861</v>
      </c>
      <c r="AB142" s="45" t="str">
        <f ca="1">IFERROR(__xludf.DUMMYFUNCTION("""COMPUTED_VALUE"""),"Conradweg 26")</f>
        <v>Conradweg 26</v>
      </c>
      <c r="AC142" s="45"/>
      <c r="AD142" s="45" t="str">
        <f ca="1">IFERROR(__xludf.DUMMYFUNCTION("""COMPUTED_VALUE"""),"OCEAN")</f>
        <v>OCEAN</v>
      </c>
      <c r="AE142" s="45" t="str">
        <f ca="1">IFERROR(__xludf.DUMMYFUNCTION("""COMPUTED_VALUE"""),"N")</f>
        <v>N</v>
      </c>
      <c r="AF142" s="45" t="str">
        <f ca="1">IFERROR(__xludf.DUMMYFUNCTION("""COMPUTED_VALUE"""),"Qty changed from 191 to 181.0, Cartons changed from 20 to 19.0, Volume changed from 1.68 to 1.596, Gross Volume changed from 1.68 to 1.596, Weight changed from 69.199 to 65.689, Gross Weight changed from 69.199 to 65.689, Total PackUnits changed from 20 t"&amp;"o 19.0")</f>
        <v>Qty changed from 191 to 181.0, Cartons changed from 20 to 19.0, Volume changed from 1.68 to 1.596, Gross Volume changed from 1.68 to 1.596, Weight changed from 69.199 to 65.689, Gross Weight changed from 69.199 to 65.689, Total PackUnits changed from 20 to 19.0</v>
      </c>
      <c r="AG142" s="49" t="str">
        <f ca="1">IFERROR(__xludf.DUMMYFUNCTION("IFNA(vlookup(H142,IMPORTRANGE(""1vUGwO1n0QQGx9kKbO0_M5gmuhXZ6-LaxQxgrmJnzgP0"",""'TP# look up'!A:C""),3,0),"""")"),"")</f>
        <v/>
      </c>
      <c r="AH142" s="49" t="str">
        <f t="shared" ca="1" si="2"/>
        <v>LW</v>
      </c>
    </row>
    <row r="143" spans="1:34" ht="12.75" hidden="1">
      <c r="A143" s="45" t="str">
        <f ca="1">IFERROR(__xludf.DUMMYFUNCTION("""COMPUTED_VALUE"""),"Colombo")</f>
        <v>Colombo</v>
      </c>
      <c r="B143" s="45"/>
      <c r="C143" s="45">
        <f ca="1">IFERROR(__xludf.DUMMYFUNCTION("""COMPUTED_VALUE"""),3231490)</f>
        <v>3231490</v>
      </c>
      <c r="D143" s="45"/>
      <c r="E143" s="45" t="str">
        <f ca="1">IFERROR(__xludf.DUMMYFUNCTION("""COMPUTED_VALUE"""),"CFS")</f>
        <v>CFS</v>
      </c>
      <c r="F143" s="45" t="str">
        <f ca="1">IFERROR(__xludf.DUMMYFUNCTION("""COMPUTED_VALUE"""),"Inqube Global (PVT) Ltd")</f>
        <v>Inqube Global (PVT) Ltd</v>
      </c>
      <c r="G143" s="45" t="str">
        <f ca="1">IFERROR(__xludf.DUMMYFUNCTION("""COMPUTED_VALUE"""),"Quantum Clothing Lanka (Pvt) Ltd")</f>
        <v>Quantum Clothing Lanka (Pvt) Ltd</v>
      </c>
      <c r="H143" s="43">
        <f ca="1">IFERROR(__xludf.DUMMYFUNCTION("""COMPUTED_VALUE"""),451351770048)</f>
        <v>451351770048</v>
      </c>
      <c r="I143" s="45">
        <f ca="1">IFERROR(__xludf.DUMMYFUNCTION("""COMPUTED_VALUE"""),19727216)</f>
        <v>19727216</v>
      </c>
      <c r="J143" s="45" t="str">
        <f ca="1">IFERROR(__xludf.DUMMYFUNCTION("""COMPUTED_VALUE"""),"LW2E01S")</f>
        <v>LW2E01S</v>
      </c>
      <c r="K143" s="45" t="str">
        <f ca="1">IFERROR(__xludf.DUMMYFUNCTION("""COMPUTED_VALUE"""),"LW2E01S-031382")</f>
        <v>LW2E01S-031382</v>
      </c>
      <c r="L143" s="45">
        <f ca="1">IFERROR(__xludf.DUMMYFUNCTION("""COMPUTED_VALUE"""),21)</f>
        <v>21</v>
      </c>
      <c r="M143" s="45">
        <f ca="1">IFERROR(__xludf.DUMMYFUNCTION("""COMPUTED_VALUE"""),203)</f>
        <v>203</v>
      </c>
      <c r="N143" s="45">
        <f ca="1">IFERROR(__xludf.DUMMYFUNCTION("""COMPUTED_VALUE"""),73.037)</f>
        <v>73.037000000000006</v>
      </c>
      <c r="O143" s="45">
        <f ca="1">IFERROR(__xludf.DUMMYFUNCTION("""COMPUTED_VALUE"""),1.764)</f>
        <v>1.764</v>
      </c>
      <c r="P143" s="45" t="str">
        <f ca="1">IFERROR(__xludf.DUMMYFUNCTION("""COMPUTED_VALUE"""),"Colombo, LK")</f>
        <v>Colombo, LK</v>
      </c>
      <c r="Q143" s="45" t="str">
        <f ca="1">IFERROR(__xludf.DUMMYFUNCTION("""COMPUTED_VALUE"""),"Rotterdam, NL")</f>
        <v>Rotterdam, NL</v>
      </c>
      <c r="R143" s="44">
        <f ca="1">IFERROR(__xludf.DUMMYFUNCTION("""COMPUTED_VALUE"""),45817)</f>
        <v>45817</v>
      </c>
      <c r="S143" s="44">
        <f ca="1">IFERROR(__xludf.DUMMYFUNCTION("""COMPUTED_VALUE"""),45871)</f>
        <v>45871</v>
      </c>
      <c r="T143" s="45" t="str">
        <f ca="1">IFERROR(__xludf.DUMMYFUNCTION("""COMPUTED_VALUE"""),"Rotterdam, NL")</f>
        <v>Rotterdam, NL</v>
      </c>
      <c r="U143" s="45"/>
      <c r="V143" s="45"/>
      <c r="W143" s="45"/>
      <c r="X143" s="45"/>
      <c r="Y143" s="46">
        <f ca="1">IFERROR(__xludf.DUMMYFUNCTION("""COMPUTED_VALUE"""),45825)</f>
        <v>45825</v>
      </c>
      <c r="Z143" s="46">
        <f ca="1">IFERROR(__xludf.DUMMYFUNCTION("""COMPUTED_VALUE"""),45854)</f>
        <v>45854</v>
      </c>
      <c r="AA143" s="46">
        <f ca="1">IFERROR(__xludf.DUMMYFUNCTION("""COMPUTED_VALUE"""),45861)</f>
        <v>45861</v>
      </c>
      <c r="AB143" s="45" t="str">
        <f ca="1">IFERROR(__xludf.DUMMYFUNCTION("""COMPUTED_VALUE"""),"Conradweg 26")</f>
        <v>Conradweg 26</v>
      </c>
      <c r="AC143" s="45"/>
      <c r="AD143" s="45" t="str">
        <f ca="1">IFERROR(__xludf.DUMMYFUNCTION("""COMPUTED_VALUE"""),"OCEAN")</f>
        <v>OCEAN</v>
      </c>
      <c r="AE143" s="45" t="str">
        <f ca="1">IFERROR(__xludf.DUMMYFUNCTION("""COMPUTED_VALUE"""),"N")</f>
        <v>N</v>
      </c>
      <c r="AF143" s="45"/>
      <c r="AG143" s="49" t="str">
        <f ca="1">IFERROR(__xludf.DUMMYFUNCTION("IFNA(vlookup(H143,IMPORTRANGE(""1vUGwO1n0QQGx9kKbO0_M5gmuhXZ6-LaxQxgrmJnzgP0"",""'TP# look up'!A:C""),3,0),"""")"),"")</f>
        <v/>
      </c>
      <c r="AH143" s="49" t="str">
        <f t="shared" ca="1" si="2"/>
        <v>LW</v>
      </c>
    </row>
    <row r="144" spans="1:34" ht="12.75" hidden="1">
      <c r="A144" s="45" t="str">
        <f ca="1">IFERROR(__xludf.DUMMYFUNCTION("""COMPUTED_VALUE"""),"Colombo")</f>
        <v>Colombo</v>
      </c>
      <c r="B144" s="45"/>
      <c r="C144" s="45">
        <f ca="1">IFERROR(__xludf.DUMMYFUNCTION("""COMPUTED_VALUE"""),3231490)</f>
        <v>3231490</v>
      </c>
      <c r="D144" s="45"/>
      <c r="E144" s="45" t="str">
        <f ca="1">IFERROR(__xludf.DUMMYFUNCTION("""COMPUTED_VALUE"""),"CFS")</f>
        <v>CFS</v>
      </c>
      <c r="F144" s="45" t="str">
        <f ca="1">IFERROR(__xludf.DUMMYFUNCTION("""COMPUTED_VALUE"""),"Inqube Global (PVT) Ltd")</f>
        <v>Inqube Global (PVT) Ltd</v>
      </c>
      <c r="G144" s="45" t="str">
        <f ca="1">IFERROR(__xludf.DUMMYFUNCTION("""COMPUTED_VALUE"""),"Quantum Clothing Lanka (Pvt) Ltd")</f>
        <v>Quantum Clothing Lanka (Pvt) Ltd</v>
      </c>
      <c r="H144" s="43">
        <f ca="1">IFERROR(__xludf.DUMMYFUNCTION("""COMPUTED_VALUE"""),451370208350)</f>
        <v>451370208350</v>
      </c>
      <c r="I144" s="45">
        <f ca="1">IFERROR(__xludf.DUMMYFUNCTION("""COMPUTED_VALUE"""),19757216)</f>
        <v>19757216</v>
      </c>
      <c r="J144" s="45" t="str">
        <f ca="1">IFERROR(__xludf.DUMMYFUNCTION("""COMPUTED_VALUE"""),"LW2E01S")</f>
        <v>LW2E01S</v>
      </c>
      <c r="K144" s="45" t="str">
        <f ca="1">IFERROR(__xludf.DUMMYFUNCTION("""COMPUTED_VALUE"""),"LW2E01S-031382")</f>
        <v>LW2E01S-031382</v>
      </c>
      <c r="L144" s="45">
        <f ca="1">IFERROR(__xludf.DUMMYFUNCTION("""COMPUTED_VALUE"""),6)</f>
        <v>6</v>
      </c>
      <c r="M144" s="45">
        <f ca="1">IFERROR(__xludf.DUMMYFUNCTION("""COMPUTED_VALUE"""),48)</f>
        <v>48</v>
      </c>
      <c r="N144" s="45">
        <f ca="1">IFERROR(__xludf.DUMMYFUNCTION("""COMPUTED_VALUE"""),18.2)</f>
        <v>18.2</v>
      </c>
      <c r="O144" s="45">
        <f ca="1">IFERROR(__xludf.DUMMYFUNCTION("""COMPUTED_VALUE"""),0.462)</f>
        <v>0.46200000000000002</v>
      </c>
      <c r="P144" s="45" t="str">
        <f ca="1">IFERROR(__xludf.DUMMYFUNCTION("""COMPUTED_VALUE"""),"Colombo, LK")</f>
        <v>Colombo, LK</v>
      </c>
      <c r="Q144" s="45" t="str">
        <f ca="1">IFERROR(__xludf.DUMMYFUNCTION("""COMPUTED_VALUE"""),"Rotterdam, NL")</f>
        <v>Rotterdam, NL</v>
      </c>
      <c r="R144" s="44">
        <f ca="1">IFERROR(__xludf.DUMMYFUNCTION("""COMPUTED_VALUE"""),45817)</f>
        <v>45817</v>
      </c>
      <c r="S144" s="44">
        <f ca="1">IFERROR(__xludf.DUMMYFUNCTION("""COMPUTED_VALUE"""),45871)</f>
        <v>45871</v>
      </c>
      <c r="T144" s="45" t="str">
        <f ca="1">IFERROR(__xludf.DUMMYFUNCTION("""COMPUTED_VALUE"""),"Rotterdam, NL")</f>
        <v>Rotterdam, NL</v>
      </c>
      <c r="U144" s="45"/>
      <c r="V144" s="45"/>
      <c r="W144" s="45"/>
      <c r="X144" s="45"/>
      <c r="Y144" s="46">
        <f ca="1">IFERROR(__xludf.DUMMYFUNCTION("""COMPUTED_VALUE"""),45825)</f>
        <v>45825</v>
      </c>
      <c r="Z144" s="46">
        <f ca="1">IFERROR(__xludf.DUMMYFUNCTION("""COMPUTED_VALUE"""),45854)</f>
        <v>45854</v>
      </c>
      <c r="AA144" s="46">
        <f ca="1">IFERROR(__xludf.DUMMYFUNCTION("""COMPUTED_VALUE"""),45861)</f>
        <v>45861</v>
      </c>
      <c r="AB144" s="45" t="str">
        <f ca="1">IFERROR(__xludf.DUMMYFUNCTION("""COMPUTED_VALUE"""),"Conradweg 26")</f>
        <v>Conradweg 26</v>
      </c>
      <c r="AC144" s="45"/>
      <c r="AD144" s="45" t="str">
        <f ca="1">IFERROR(__xludf.DUMMYFUNCTION("""COMPUTED_VALUE"""),"OCEAN")</f>
        <v>OCEAN</v>
      </c>
      <c r="AE144" s="45" t="str">
        <f ca="1">IFERROR(__xludf.DUMMYFUNCTION("""COMPUTED_VALUE"""),"N")</f>
        <v>N</v>
      </c>
      <c r="AF144" s="45"/>
      <c r="AG144" s="49" t="str">
        <f ca="1">IFERROR(__xludf.DUMMYFUNCTION("IFNA(vlookup(H144,IMPORTRANGE(""1vUGwO1n0QQGx9kKbO0_M5gmuhXZ6-LaxQxgrmJnzgP0"",""'TP# look up'!A:C""),3,0),"""")"),"")</f>
        <v/>
      </c>
      <c r="AH144" s="49" t="str">
        <f t="shared" ca="1" si="2"/>
        <v>LW</v>
      </c>
    </row>
    <row r="145" spans="1:34" ht="12.75" hidden="1">
      <c r="A145" s="45" t="str">
        <f ca="1">IFERROR(__xludf.DUMMYFUNCTION("""COMPUTED_VALUE"""),"Colombo")</f>
        <v>Colombo</v>
      </c>
      <c r="B145" s="45"/>
      <c r="C145" s="45">
        <f ca="1">IFERROR(__xludf.DUMMYFUNCTION("""COMPUTED_VALUE"""),3231490)</f>
        <v>3231490</v>
      </c>
      <c r="D145" s="45"/>
      <c r="E145" s="45" t="str">
        <f ca="1">IFERROR(__xludf.DUMMYFUNCTION("""COMPUTED_VALUE"""),"CFS")</f>
        <v>CFS</v>
      </c>
      <c r="F145" s="45" t="str">
        <f ca="1">IFERROR(__xludf.DUMMYFUNCTION("""COMPUTED_VALUE"""),"Inqube Global (PVT) Ltd")</f>
        <v>Inqube Global (PVT) Ltd</v>
      </c>
      <c r="G145" s="45" t="str">
        <f ca="1">IFERROR(__xludf.DUMMYFUNCTION("""COMPUTED_VALUE"""),"Quantum Clothing Lanka (Pvt) Ltd")</f>
        <v>Quantum Clothing Lanka (Pvt) Ltd</v>
      </c>
      <c r="H145" s="43">
        <f ca="1">IFERROR(__xludf.DUMMYFUNCTION("""COMPUTED_VALUE"""),451374089824)</f>
        <v>451374089824</v>
      </c>
      <c r="I145" s="45">
        <f ca="1">IFERROR(__xludf.DUMMYFUNCTION("""COMPUTED_VALUE"""),19855323)</f>
        <v>19855323</v>
      </c>
      <c r="J145" s="45" t="str">
        <f ca="1">IFERROR(__xludf.DUMMYFUNCTION("""COMPUTED_VALUE"""),"LW2EDNS")</f>
        <v>LW2EDNS</v>
      </c>
      <c r="K145" s="45" t="str">
        <f ca="1">IFERROR(__xludf.DUMMYFUNCTION("""COMPUTED_VALUE"""),"LW2EDNS-0001")</f>
        <v>LW2EDNS-0001</v>
      </c>
      <c r="L145" s="45">
        <f ca="1">IFERROR(__xludf.DUMMYFUNCTION("""COMPUTED_VALUE"""),1)</f>
        <v>1</v>
      </c>
      <c r="M145" s="45">
        <f ca="1">IFERROR(__xludf.DUMMYFUNCTION("""COMPUTED_VALUE"""),49)</f>
        <v>49</v>
      </c>
      <c r="N145" s="45">
        <f ca="1">IFERROR(__xludf.DUMMYFUNCTION("""COMPUTED_VALUE"""),4.51)</f>
        <v>4.51</v>
      </c>
      <c r="O145" s="45">
        <f ca="1">IFERROR(__xludf.DUMMYFUNCTION("""COMPUTED_VALUE"""),0.04)</f>
        <v>0.04</v>
      </c>
      <c r="P145" s="45" t="str">
        <f ca="1">IFERROR(__xludf.DUMMYFUNCTION("""COMPUTED_VALUE"""),"Colombo, LK")</f>
        <v>Colombo, LK</v>
      </c>
      <c r="Q145" s="45" t="str">
        <f ca="1">IFERROR(__xludf.DUMMYFUNCTION("""COMPUTED_VALUE"""),"Rotterdam, NL")</f>
        <v>Rotterdam, NL</v>
      </c>
      <c r="R145" s="44">
        <f ca="1">IFERROR(__xludf.DUMMYFUNCTION("""COMPUTED_VALUE"""),45817)</f>
        <v>45817</v>
      </c>
      <c r="S145" s="44">
        <f ca="1">IFERROR(__xludf.DUMMYFUNCTION("""COMPUTED_VALUE"""),45871)</f>
        <v>45871</v>
      </c>
      <c r="T145" s="45" t="str">
        <f ca="1">IFERROR(__xludf.DUMMYFUNCTION("""COMPUTED_VALUE"""),"Rotterdam, NL")</f>
        <v>Rotterdam, NL</v>
      </c>
      <c r="U145" s="45"/>
      <c r="V145" s="45"/>
      <c r="W145" s="45"/>
      <c r="X145" s="45"/>
      <c r="Y145" s="46">
        <f ca="1">IFERROR(__xludf.DUMMYFUNCTION("""COMPUTED_VALUE"""),45825)</f>
        <v>45825</v>
      </c>
      <c r="Z145" s="46">
        <f ca="1">IFERROR(__xludf.DUMMYFUNCTION("""COMPUTED_VALUE"""),45854)</f>
        <v>45854</v>
      </c>
      <c r="AA145" s="46">
        <f ca="1">IFERROR(__xludf.DUMMYFUNCTION("""COMPUTED_VALUE"""),45861)</f>
        <v>45861</v>
      </c>
      <c r="AB145" s="45" t="str">
        <f ca="1">IFERROR(__xludf.DUMMYFUNCTION("""COMPUTED_VALUE"""),"Conradweg 26")</f>
        <v>Conradweg 26</v>
      </c>
      <c r="AC145" s="45"/>
      <c r="AD145" s="45" t="str">
        <f ca="1">IFERROR(__xludf.DUMMYFUNCTION("""COMPUTED_VALUE"""),"OCEAN")</f>
        <v>OCEAN</v>
      </c>
      <c r="AE145" s="45" t="str">
        <f ca="1">IFERROR(__xludf.DUMMYFUNCTION("""COMPUTED_VALUE"""),"N")</f>
        <v>N</v>
      </c>
      <c r="AF145" s="45"/>
      <c r="AG145" s="49" t="str">
        <f ca="1">IFERROR(__xludf.DUMMYFUNCTION("IFNA(vlookup(H145,IMPORTRANGE(""1vUGwO1n0QQGx9kKbO0_M5gmuhXZ6-LaxQxgrmJnzgP0"",""'TP# look up'!A:C""),3,0),"""")"),"")</f>
        <v/>
      </c>
      <c r="AH145" s="49" t="str">
        <f t="shared" ca="1" si="2"/>
        <v>LW</v>
      </c>
    </row>
    <row r="146" spans="1:34" ht="12.75" hidden="1">
      <c r="A146" s="45" t="str">
        <f ca="1">IFERROR(__xludf.DUMMYFUNCTION("""COMPUTED_VALUE"""),"Colombo")</f>
        <v>Colombo</v>
      </c>
      <c r="B146" s="45"/>
      <c r="C146" s="45">
        <f ca="1">IFERROR(__xludf.DUMMYFUNCTION("""COMPUTED_VALUE"""),3231490)</f>
        <v>3231490</v>
      </c>
      <c r="D146" s="45"/>
      <c r="E146" s="45" t="str">
        <f ca="1">IFERROR(__xludf.DUMMYFUNCTION("""COMPUTED_VALUE"""),"CFS")</f>
        <v>CFS</v>
      </c>
      <c r="F146" s="45" t="str">
        <f ca="1">IFERROR(__xludf.DUMMYFUNCTION("""COMPUTED_VALUE"""),"Inqube Global (PVT) Ltd")</f>
        <v>Inqube Global (PVT) Ltd</v>
      </c>
      <c r="G146" s="45" t="str">
        <f ca="1">IFERROR(__xludf.DUMMYFUNCTION("""COMPUTED_VALUE"""),"Quantum Clothing Lanka (Pvt) Ltd")</f>
        <v>Quantum Clothing Lanka (Pvt) Ltd</v>
      </c>
      <c r="H146" s="43">
        <f ca="1">IFERROR(__xludf.DUMMYFUNCTION("""COMPUTED_VALUE"""),451374461224)</f>
        <v>451374461224</v>
      </c>
      <c r="I146" s="45">
        <f ca="1">IFERROR(__xludf.DUMMYFUNCTION("""COMPUTED_VALUE"""),19855321)</f>
        <v>19855321</v>
      </c>
      <c r="J146" s="45" t="str">
        <f ca="1">IFERROR(__xludf.DUMMYFUNCTION("""COMPUTED_VALUE"""),"LW2EDNS")</f>
        <v>LW2EDNS</v>
      </c>
      <c r="K146" s="45" t="str">
        <f ca="1">IFERROR(__xludf.DUMMYFUNCTION("""COMPUTED_VALUE"""),"LW2EDNS-0001")</f>
        <v>LW2EDNS-0001</v>
      </c>
      <c r="L146" s="45">
        <f ca="1">IFERROR(__xludf.DUMMYFUNCTION("""COMPUTED_VALUE"""),1)</f>
        <v>1</v>
      </c>
      <c r="M146" s="45">
        <f ca="1">IFERROR(__xludf.DUMMYFUNCTION("""COMPUTED_VALUE"""),176)</f>
        <v>176</v>
      </c>
      <c r="N146" s="45">
        <f ca="1">IFERROR(__xludf.DUMMYFUNCTION("""COMPUTED_VALUE"""),14.535)</f>
        <v>14.535</v>
      </c>
      <c r="O146" s="45">
        <f ca="1">IFERROR(__xludf.DUMMYFUNCTION("""COMPUTED_VALUE"""),0.084)</f>
        <v>8.4000000000000005E-2</v>
      </c>
      <c r="P146" s="45" t="str">
        <f ca="1">IFERROR(__xludf.DUMMYFUNCTION("""COMPUTED_VALUE"""),"Colombo, LK")</f>
        <v>Colombo, LK</v>
      </c>
      <c r="Q146" s="45" t="str">
        <f ca="1">IFERROR(__xludf.DUMMYFUNCTION("""COMPUTED_VALUE"""),"Rotterdam, NL")</f>
        <v>Rotterdam, NL</v>
      </c>
      <c r="R146" s="44">
        <f ca="1">IFERROR(__xludf.DUMMYFUNCTION("""COMPUTED_VALUE"""),45817)</f>
        <v>45817</v>
      </c>
      <c r="S146" s="44">
        <f ca="1">IFERROR(__xludf.DUMMYFUNCTION("""COMPUTED_VALUE"""),45871)</f>
        <v>45871</v>
      </c>
      <c r="T146" s="45" t="str">
        <f ca="1">IFERROR(__xludf.DUMMYFUNCTION("""COMPUTED_VALUE"""),"Rotterdam, NL")</f>
        <v>Rotterdam, NL</v>
      </c>
      <c r="U146" s="45"/>
      <c r="V146" s="45"/>
      <c r="W146" s="45"/>
      <c r="X146" s="45"/>
      <c r="Y146" s="46">
        <f ca="1">IFERROR(__xludf.DUMMYFUNCTION("""COMPUTED_VALUE"""),45825)</f>
        <v>45825</v>
      </c>
      <c r="Z146" s="46">
        <f ca="1">IFERROR(__xludf.DUMMYFUNCTION("""COMPUTED_VALUE"""),45854)</f>
        <v>45854</v>
      </c>
      <c r="AA146" s="46">
        <f ca="1">IFERROR(__xludf.DUMMYFUNCTION("""COMPUTED_VALUE"""),45861)</f>
        <v>45861</v>
      </c>
      <c r="AB146" s="45" t="str">
        <f ca="1">IFERROR(__xludf.DUMMYFUNCTION("""COMPUTED_VALUE"""),"Conradweg 26")</f>
        <v>Conradweg 26</v>
      </c>
      <c r="AC146" s="45"/>
      <c r="AD146" s="45" t="str">
        <f ca="1">IFERROR(__xludf.DUMMYFUNCTION("""COMPUTED_VALUE"""),"OCEAN")</f>
        <v>OCEAN</v>
      </c>
      <c r="AE146" s="45" t="str">
        <f ca="1">IFERROR(__xludf.DUMMYFUNCTION("""COMPUTED_VALUE"""),"N")</f>
        <v>N</v>
      </c>
      <c r="AF146" s="45"/>
      <c r="AG146" s="49" t="str">
        <f ca="1">IFERROR(__xludf.DUMMYFUNCTION("IFNA(vlookup(H146,IMPORTRANGE(""1vUGwO1n0QQGx9kKbO0_M5gmuhXZ6-LaxQxgrmJnzgP0"",""'TP# look up'!A:C""),3,0),"""")"),"")</f>
        <v/>
      </c>
      <c r="AH146" s="49" t="str">
        <f t="shared" ca="1" si="2"/>
        <v>LW</v>
      </c>
    </row>
    <row r="147" spans="1:34" ht="12.75" hidden="1">
      <c r="A147" s="45" t="str">
        <f ca="1">IFERROR(__xludf.DUMMYFUNCTION("""COMPUTED_VALUE"""),"Colombo")</f>
        <v>Colombo</v>
      </c>
      <c r="B147" s="45"/>
      <c r="C147" s="45">
        <f ca="1">IFERROR(__xludf.DUMMYFUNCTION("""COMPUTED_VALUE"""),3231490)</f>
        <v>3231490</v>
      </c>
      <c r="D147" s="45"/>
      <c r="E147" s="45" t="str">
        <f ca="1">IFERROR(__xludf.DUMMYFUNCTION("""COMPUTED_VALUE"""),"CFS")</f>
        <v>CFS</v>
      </c>
      <c r="F147" s="45" t="str">
        <f ca="1">IFERROR(__xludf.DUMMYFUNCTION("""COMPUTED_VALUE"""),"Bodyline Trading (Private) Limited")</f>
        <v>Bodyline Trading (Private) Limited</v>
      </c>
      <c r="G147" s="45" t="str">
        <f ca="1">IFERROR(__xludf.DUMMYFUNCTION("""COMPUTED_VALUE"""),"Bodyline (Private) Limited")</f>
        <v>Bodyline (Private) Limited</v>
      </c>
      <c r="H147" s="43">
        <f ca="1">IFERROR(__xludf.DUMMYFUNCTION("""COMPUTED_VALUE"""),451923409815)</f>
        <v>451923409815</v>
      </c>
      <c r="I147" s="45">
        <f ca="1">IFERROR(__xludf.DUMMYFUNCTION("""COMPUTED_VALUE"""),19828550)</f>
        <v>19828550</v>
      </c>
      <c r="J147" s="45" t="str">
        <f ca="1">IFERROR(__xludf.DUMMYFUNCTION("""COMPUTED_VALUE"""),"LW2DTJS")</f>
        <v>LW2DTJS</v>
      </c>
      <c r="K147" s="45" t="str">
        <f ca="1">IFERROR(__xludf.DUMMYFUNCTION("""COMPUTED_VALUE"""),"LW2DTJS-035486")</f>
        <v>LW2DTJS-035486</v>
      </c>
      <c r="L147" s="45">
        <f ca="1">IFERROR(__xludf.DUMMYFUNCTION("""COMPUTED_VALUE"""),5)</f>
        <v>5</v>
      </c>
      <c r="M147" s="45">
        <f ca="1">IFERROR(__xludf.DUMMYFUNCTION("""COMPUTED_VALUE"""),222)</f>
        <v>222</v>
      </c>
      <c r="N147" s="45">
        <f ca="1">IFERROR(__xludf.DUMMYFUNCTION("""COMPUTED_VALUE"""),33)</f>
        <v>33</v>
      </c>
      <c r="O147" s="45">
        <f ca="1">IFERROR(__xludf.DUMMYFUNCTION("""COMPUTED_VALUE"""),0.366)</f>
        <v>0.36599999999999999</v>
      </c>
      <c r="P147" s="45" t="str">
        <f ca="1">IFERROR(__xludf.DUMMYFUNCTION("""COMPUTED_VALUE"""),"Colombo, LK")</f>
        <v>Colombo, LK</v>
      </c>
      <c r="Q147" s="45" t="str">
        <f ca="1">IFERROR(__xludf.DUMMYFUNCTION("""COMPUTED_VALUE"""),"Rotterdam, NL")</f>
        <v>Rotterdam, NL</v>
      </c>
      <c r="R147" s="44">
        <f ca="1">IFERROR(__xludf.DUMMYFUNCTION("""COMPUTED_VALUE"""),45817)</f>
        <v>45817</v>
      </c>
      <c r="S147" s="44">
        <f ca="1">IFERROR(__xludf.DUMMYFUNCTION("""COMPUTED_VALUE"""),45871)</f>
        <v>45871</v>
      </c>
      <c r="T147" s="45" t="str">
        <f ca="1">IFERROR(__xludf.DUMMYFUNCTION("""COMPUTED_VALUE"""),"Rotterdam, NL")</f>
        <v>Rotterdam, NL</v>
      </c>
      <c r="U147" s="45"/>
      <c r="V147" s="45"/>
      <c r="W147" s="45"/>
      <c r="X147" s="45"/>
      <c r="Y147" s="46">
        <f ca="1">IFERROR(__xludf.DUMMYFUNCTION("""COMPUTED_VALUE"""),45825)</f>
        <v>45825</v>
      </c>
      <c r="Z147" s="46">
        <f ca="1">IFERROR(__xludf.DUMMYFUNCTION("""COMPUTED_VALUE"""),45854)</f>
        <v>45854</v>
      </c>
      <c r="AA147" s="46">
        <f ca="1">IFERROR(__xludf.DUMMYFUNCTION("""COMPUTED_VALUE"""),45861)</f>
        <v>45861</v>
      </c>
      <c r="AB147" s="45" t="str">
        <f ca="1">IFERROR(__xludf.DUMMYFUNCTION("""COMPUTED_VALUE"""),"Conradweg 26")</f>
        <v>Conradweg 26</v>
      </c>
      <c r="AC147" s="45"/>
      <c r="AD147" s="45" t="str">
        <f ca="1">IFERROR(__xludf.DUMMYFUNCTION("""COMPUTED_VALUE"""),"OCEAN")</f>
        <v>OCEAN</v>
      </c>
      <c r="AE147" s="45" t="str">
        <f ca="1">IFERROR(__xludf.DUMMYFUNCTION("""COMPUTED_VALUE"""),"N")</f>
        <v>N</v>
      </c>
      <c r="AF147" s="45"/>
      <c r="AG147" s="49" t="str">
        <f ca="1">IFERROR(__xludf.DUMMYFUNCTION("IFNA(vlookup(H147,IMPORTRANGE(""1vUGwO1n0QQGx9kKbO0_M5gmuhXZ6-LaxQxgrmJnzgP0"",""'TP# look up'!A:C""),3,0),"""")"),"")</f>
        <v/>
      </c>
      <c r="AH147" s="49" t="str">
        <f t="shared" ca="1" si="2"/>
        <v>LW</v>
      </c>
    </row>
    <row r="148" spans="1:34" ht="12.75" hidden="1">
      <c r="A148" s="45" t="str">
        <f ca="1">IFERROR(__xludf.DUMMYFUNCTION("""COMPUTED_VALUE"""),"Colombo")</f>
        <v>Colombo</v>
      </c>
      <c r="B148" s="45"/>
      <c r="C148" s="45">
        <f ca="1">IFERROR(__xludf.DUMMYFUNCTION("""COMPUTED_VALUE"""),3231490)</f>
        <v>3231490</v>
      </c>
      <c r="D148" s="45"/>
      <c r="E148" s="45" t="str">
        <f ca="1">IFERROR(__xludf.DUMMYFUNCTION("""COMPUTED_VALUE"""),"CFS")</f>
        <v>CFS</v>
      </c>
      <c r="F148" s="45" t="str">
        <f ca="1">IFERROR(__xludf.DUMMYFUNCTION("""COMPUTED_VALUE"""),"MAS AMITY PTE LTD")</f>
        <v>MAS AMITY PTE LTD</v>
      </c>
      <c r="G148" s="45" t="str">
        <f ca="1">IFERROR(__xludf.DUMMYFUNCTION("""COMPUTED_VALUE"""),"MAS Active(Pvt) Ltd – CONTOURLINE")</f>
        <v>MAS Active(Pvt) Ltd – CONTOURLINE</v>
      </c>
      <c r="H148" s="43">
        <f ca="1">IFERROR(__xludf.DUMMYFUNCTION("""COMPUTED_VALUE"""),452566081050)</f>
        <v>452566081050</v>
      </c>
      <c r="I148" s="45">
        <f ca="1">IFERROR(__xludf.DUMMYFUNCTION("""COMPUTED_VALUE"""),19925857)</f>
        <v>19925857</v>
      </c>
      <c r="J148" s="45" t="str">
        <f ca="1">IFERROR(__xludf.DUMMYFUNCTION("""COMPUTED_VALUE"""),"LW5EPSS")</f>
        <v>LW5EPSS</v>
      </c>
      <c r="K148" s="45" t="str">
        <f ca="1">IFERROR(__xludf.DUMMYFUNCTION("""COMPUTED_VALUE"""),"LW5EPSS-035487")</f>
        <v>LW5EPSS-035487</v>
      </c>
      <c r="L148" s="45">
        <f ca="1">IFERROR(__xludf.DUMMYFUNCTION("""COMPUTED_VALUE"""),7)</f>
        <v>7</v>
      </c>
      <c r="M148" s="45">
        <f ca="1">IFERROR(__xludf.DUMMYFUNCTION("""COMPUTED_VALUE"""),315)</f>
        <v>315</v>
      </c>
      <c r="N148" s="45">
        <f ca="1">IFERROR(__xludf.DUMMYFUNCTION("""COMPUTED_VALUE"""),71.243)</f>
        <v>71.242999999999995</v>
      </c>
      <c r="O148" s="45">
        <f ca="1">IFERROR(__xludf.DUMMYFUNCTION("""COMPUTED_VALUE"""),0.395)</f>
        <v>0.39500000000000002</v>
      </c>
      <c r="P148" s="45" t="str">
        <f ca="1">IFERROR(__xludf.DUMMYFUNCTION("""COMPUTED_VALUE"""),"Colombo, LK")</f>
        <v>Colombo, LK</v>
      </c>
      <c r="Q148" s="45" t="str">
        <f ca="1">IFERROR(__xludf.DUMMYFUNCTION("""COMPUTED_VALUE"""),"Rotterdam, NL")</f>
        <v>Rotterdam, NL</v>
      </c>
      <c r="R148" s="44">
        <f ca="1">IFERROR(__xludf.DUMMYFUNCTION("""COMPUTED_VALUE"""),45817)</f>
        <v>45817</v>
      </c>
      <c r="S148" s="44">
        <f ca="1">IFERROR(__xludf.DUMMYFUNCTION("""COMPUTED_VALUE"""),45871)</f>
        <v>45871</v>
      </c>
      <c r="T148" s="45" t="str">
        <f ca="1">IFERROR(__xludf.DUMMYFUNCTION("""COMPUTED_VALUE"""),"Rotterdam, NL")</f>
        <v>Rotterdam, NL</v>
      </c>
      <c r="U148" s="45"/>
      <c r="V148" s="45"/>
      <c r="W148" s="45"/>
      <c r="X148" s="45"/>
      <c r="Y148" s="46">
        <f ca="1">IFERROR(__xludf.DUMMYFUNCTION("""COMPUTED_VALUE"""),45825)</f>
        <v>45825</v>
      </c>
      <c r="Z148" s="46">
        <f ca="1">IFERROR(__xludf.DUMMYFUNCTION("""COMPUTED_VALUE"""),45854)</f>
        <v>45854</v>
      </c>
      <c r="AA148" s="46">
        <f ca="1">IFERROR(__xludf.DUMMYFUNCTION("""COMPUTED_VALUE"""),45861)</f>
        <v>45861</v>
      </c>
      <c r="AB148" s="45" t="str">
        <f ca="1">IFERROR(__xludf.DUMMYFUNCTION("""COMPUTED_VALUE"""),"Conradweg 26")</f>
        <v>Conradweg 26</v>
      </c>
      <c r="AC148" s="45"/>
      <c r="AD148" s="45" t="str">
        <f ca="1">IFERROR(__xludf.DUMMYFUNCTION("""COMPUTED_VALUE"""),"OCEAN")</f>
        <v>OCEAN</v>
      </c>
      <c r="AE148" s="45" t="str">
        <f ca="1">IFERROR(__xludf.DUMMYFUNCTION("""COMPUTED_VALUE"""),"N")</f>
        <v>N</v>
      </c>
      <c r="AF148" s="45"/>
      <c r="AG148" s="49" t="str">
        <f ca="1">IFERROR(__xludf.DUMMYFUNCTION("IFNA(vlookup(H148,IMPORTRANGE(""1vUGwO1n0QQGx9kKbO0_M5gmuhXZ6-LaxQxgrmJnzgP0"",""'TP# look up'!A:C""),3,0),"""")"),"")</f>
        <v/>
      </c>
      <c r="AH148" s="49" t="str">
        <f t="shared" ca="1" si="2"/>
        <v>LW</v>
      </c>
    </row>
    <row r="149" spans="1:34" ht="12.75">
      <c r="A149" s="45" t="str">
        <f ca="1">IFERROR(__xludf.DUMMYFUNCTION("""COMPUTED_VALUE"""),"Colombo")</f>
        <v>Colombo</v>
      </c>
      <c r="B149" s="45"/>
      <c r="C149" s="45">
        <f ca="1">IFERROR(__xludf.DUMMYFUNCTION("""COMPUTED_VALUE"""),3231490)</f>
        <v>3231490</v>
      </c>
      <c r="D149" s="45"/>
      <c r="E149" s="45" t="str">
        <f ca="1">IFERROR(__xludf.DUMMYFUNCTION("""COMPUTED_VALUE"""),"CFS")</f>
        <v>CFS</v>
      </c>
      <c r="F149" s="45" t="str">
        <f ca="1">IFERROR(__xludf.DUMMYFUNCTION("""COMPUTED_VALUE"""),"MAS AMITY PTE LTD")</f>
        <v>MAS AMITY PTE LTD</v>
      </c>
      <c r="G149" s="45" t="str">
        <f ca="1">IFERROR(__xludf.DUMMYFUNCTION("""COMPUTED_VALUE"""),"MAS Active(Pvt) Ltd – CONTOURLINE")</f>
        <v>MAS Active(Pvt) Ltd – CONTOURLINE</v>
      </c>
      <c r="H149" s="43">
        <f ca="1">IFERROR(__xludf.DUMMYFUNCTION("""COMPUTED_VALUE"""),452567468811)</f>
        <v>452567468811</v>
      </c>
      <c r="I149" s="45">
        <f ca="1">IFERROR(__xludf.DUMMYFUNCTION("""COMPUTED_VALUE"""),19925865)</f>
        <v>19925865</v>
      </c>
      <c r="J149" s="45" t="str">
        <f ca="1">IFERROR(__xludf.DUMMYFUNCTION("""COMPUTED_VALUE"""),"LW5EPSS")</f>
        <v>LW5EPSS</v>
      </c>
      <c r="K149" s="45" t="str">
        <f ca="1">IFERROR(__xludf.DUMMYFUNCTION("""COMPUTED_VALUE"""),"LW5EPSS-035487")</f>
        <v>LW5EPSS-035487</v>
      </c>
      <c r="L149" s="45">
        <f ca="1">IFERROR(__xludf.DUMMYFUNCTION("""COMPUTED_VALUE"""),1)</f>
        <v>1</v>
      </c>
      <c r="M149" s="45">
        <f ca="1">IFERROR(__xludf.DUMMYFUNCTION("""COMPUTED_VALUE"""),57)</f>
        <v>57</v>
      </c>
      <c r="N149" s="45">
        <f ca="1">IFERROR(__xludf.DUMMYFUNCTION("""COMPUTED_VALUE"""),12.778)</f>
        <v>12.778</v>
      </c>
      <c r="O149" s="45">
        <f ca="1">IFERROR(__xludf.DUMMYFUNCTION("""COMPUTED_VALUE"""),0.079)</f>
        <v>7.9000000000000001E-2</v>
      </c>
      <c r="P149" s="45" t="str">
        <f ca="1">IFERROR(__xludf.DUMMYFUNCTION("""COMPUTED_VALUE"""),"Colombo, LK")</f>
        <v>Colombo, LK</v>
      </c>
      <c r="Q149" s="45" t="str">
        <f ca="1">IFERROR(__xludf.DUMMYFUNCTION("""COMPUTED_VALUE"""),"Rotterdam, NL")</f>
        <v>Rotterdam, NL</v>
      </c>
      <c r="R149" s="44">
        <f ca="1">IFERROR(__xludf.DUMMYFUNCTION("""COMPUTED_VALUE"""),45817)</f>
        <v>45817</v>
      </c>
      <c r="S149" s="44">
        <f ca="1">IFERROR(__xludf.DUMMYFUNCTION("""COMPUTED_VALUE"""),45871)</f>
        <v>45871</v>
      </c>
      <c r="T149" s="45" t="str">
        <f ca="1">IFERROR(__xludf.DUMMYFUNCTION("""COMPUTED_VALUE"""),"Rotterdam, NL")</f>
        <v>Rotterdam, NL</v>
      </c>
      <c r="U149" s="45"/>
      <c r="V149" s="45"/>
      <c r="W149" s="45"/>
      <c r="X149" s="45"/>
      <c r="Y149" s="46">
        <f ca="1">IFERROR(__xludf.DUMMYFUNCTION("""COMPUTED_VALUE"""),45825)</f>
        <v>45825</v>
      </c>
      <c r="Z149" s="46">
        <f ca="1">IFERROR(__xludf.DUMMYFUNCTION("""COMPUTED_VALUE"""),45854)</f>
        <v>45854</v>
      </c>
      <c r="AA149" s="46">
        <f ca="1">IFERROR(__xludf.DUMMYFUNCTION("""COMPUTED_VALUE"""),45861)</f>
        <v>45861</v>
      </c>
      <c r="AB149" s="45" t="str">
        <f ca="1">IFERROR(__xludf.DUMMYFUNCTION("""COMPUTED_VALUE"""),"Conradweg 26")</f>
        <v>Conradweg 26</v>
      </c>
      <c r="AC149" s="45"/>
      <c r="AD149" s="45" t="str">
        <f ca="1">IFERROR(__xludf.DUMMYFUNCTION("""COMPUTED_VALUE"""),"OCEAN")</f>
        <v>OCEAN</v>
      </c>
      <c r="AE149" s="45" t="str">
        <f ca="1">IFERROR(__xludf.DUMMYFUNCTION("""COMPUTED_VALUE"""),"N")</f>
        <v>N</v>
      </c>
      <c r="AF149" s="45"/>
      <c r="AG149" s="49" t="str">
        <f ca="1">IFERROR(__xludf.DUMMYFUNCTION("IFNA(vlookup(H149,IMPORTRANGE(""1vUGwO1n0QQGx9kKbO0_M5gmuhXZ6-LaxQxgrmJnzgP0"",""'TP# look up'!A:C""),3,0),"""")"),"")</f>
        <v/>
      </c>
      <c r="AH149" s="49" t="str">
        <f t="shared" ca="1" si="2"/>
        <v>LW</v>
      </c>
    </row>
    <row r="150" spans="1:34" ht="12.75" hidden="1">
      <c r="A150" s="45" t="str">
        <f ca="1">IFERROR(__xludf.DUMMYFUNCTION("""COMPUTED_VALUE"""),"Colombo")</f>
        <v>Colombo</v>
      </c>
      <c r="B150" s="45"/>
      <c r="C150" s="45">
        <f ca="1">IFERROR(__xludf.DUMMYFUNCTION("""COMPUTED_VALUE"""),3231490)</f>
        <v>3231490</v>
      </c>
      <c r="D150" s="45"/>
      <c r="E150" s="45" t="str">
        <f ca="1">IFERROR(__xludf.DUMMYFUNCTION("""COMPUTED_VALUE"""),"CFS")</f>
        <v>CFS</v>
      </c>
      <c r="F150" s="45" t="str">
        <f ca="1">IFERROR(__xludf.DUMMYFUNCTION("""COMPUTED_VALUE"""),"MAS AMITY PTE LTD")</f>
        <v>MAS AMITY PTE LTD</v>
      </c>
      <c r="G150" s="45" t="str">
        <f ca="1">IFERROR(__xludf.DUMMYFUNCTION("""COMPUTED_VALUE"""),"MAS Active(Pvt) Ltd – CONTOURLINE")</f>
        <v>MAS Active(Pvt) Ltd – CONTOURLINE</v>
      </c>
      <c r="H150" s="43">
        <f ca="1">IFERROR(__xludf.DUMMYFUNCTION("""COMPUTED_VALUE"""),452570967363)</f>
        <v>452570967363</v>
      </c>
      <c r="I150" s="45">
        <f ca="1">IFERROR(__xludf.DUMMYFUNCTION("""COMPUTED_VALUE"""),19921024)</f>
        <v>19921024</v>
      </c>
      <c r="J150" s="45" t="str">
        <f ca="1">IFERROR(__xludf.DUMMYFUNCTION("""COMPUTED_VALUE"""),"LW2EB3S")</f>
        <v>LW2EB3S</v>
      </c>
      <c r="K150" s="45" t="str">
        <f ca="1">IFERROR(__xludf.DUMMYFUNCTION("""COMPUTED_VALUE"""),"LW2EB3S-035486")</f>
        <v>LW2EB3S-035486</v>
      </c>
      <c r="L150" s="45">
        <f ca="1">IFERROR(__xludf.DUMMYFUNCTION("""COMPUTED_VALUE"""),3)</f>
        <v>3</v>
      </c>
      <c r="M150" s="45">
        <f ca="1">IFERROR(__xludf.DUMMYFUNCTION("""COMPUTED_VALUE"""),248)</f>
        <v>248</v>
      </c>
      <c r="N150" s="45">
        <f ca="1">IFERROR(__xludf.DUMMYFUNCTION("""COMPUTED_VALUE"""),30.906)</f>
        <v>30.905999999999999</v>
      </c>
      <c r="O150" s="45">
        <f ca="1">IFERROR(__xludf.DUMMYFUNCTION("""COMPUTED_VALUE"""),0.237)</f>
        <v>0.23699999999999999</v>
      </c>
      <c r="P150" s="45" t="str">
        <f ca="1">IFERROR(__xludf.DUMMYFUNCTION("""COMPUTED_VALUE"""),"Colombo, LK")</f>
        <v>Colombo, LK</v>
      </c>
      <c r="Q150" s="45" t="str">
        <f ca="1">IFERROR(__xludf.DUMMYFUNCTION("""COMPUTED_VALUE"""),"Rotterdam, NL")</f>
        <v>Rotterdam, NL</v>
      </c>
      <c r="R150" s="44">
        <f ca="1">IFERROR(__xludf.DUMMYFUNCTION("""COMPUTED_VALUE"""),45817)</f>
        <v>45817</v>
      </c>
      <c r="S150" s="44">
        <f ca="1">IFERROR(__xludf.DUMMYFUNCTION("""COMPUTED_VALUE"""),45871)</f>
        <v>45871</v>
      </c>
      <c r="T150" s="45" t="str">
        <f ca="1">IFERROR(__xludf.DUMMYFUNCTION("""COMPUTED_VALUE"""),"Rotterdam, NL")</f>
        <v>Rotterdam, NL</v>
      </c>
      <c r="U150" s="45"/>
      <c r="V150" s="45"/>
      <c r="W150" s="45"/>
      <c r="X150" s="45"/>
      <c r="Y150" s="46">
        <f ca="1">IFERROR(__xludf.DUMMYFUNCTION("""COMPUTED_VALUE"""),45825)</f>
        <v>45825</v>
      </c>
      <c r="Z150" s="46">
        <f ca="1">IFERROR(__xludf.DUMMYFUNCTION("""COMPUTED_VALUE"""),45854)</f>
        <v>45854</v>
      </c>
      <c r="AA150" s="46">
        <f ca="1">IFERROR(__xludf.DUMMYFUNCTION("""COMPUTED_VALUE"""),45861)</f>
        <v>45861</v>
      </c>
      <c r="AB150" s="45" t="str">
        <f ca="1">IFERROR(__xludf.DUMMYFUNCTION("""COMPUTED_VALUE"""),"Conradweg 26")</f>
        <v>Conradweg 26</v>
      </c>
      <c r="AC150" s="45"/>
      <c r="AD150" s="45" t="str">
        <f ca="1">IFERROR(__xludf.DUMMYFUNCTION("""COMPUTED_VALUE"""),"OCEAN")</f>
        <v>OCEAN</v>
      </c>
      <c r="AE150" s="45" t="str">
        <f ca="1">IFERROR(__xludf.DUMMYFUNCTION("""COMPUTED_VALUE"""),"N")</f>
        <v>N</v>
      </c>
      <c r="AF150" s="45"/>
      <c r="AG150" s="49" t="str">
        <f ca="1">IFERROR(__xludf.DUMMYFUNCTION("IFNA(vlookup(H150,IMPORTRANGE(""1vUGwO1n0QQGx9kKbO0_M5gmuhXZ6-LaxQxgrmJnzgP0"",""'TP# look up'!A:C""),3,0),"""")"),"")</f>
        <v/>
      </c>
      <c r="AH150" s="49" t="str">
        <f t="shared" ca="1" si="2"/>
        <v>LW</v>
      </c>
    </row>
    <row r="151" spans="1:34" ht="12.75" hidden="1">
      <c r="A151" s="45" t="str">
        <f ca="1">IFERROR(__xludf.DUMMYFUNCTION("""COMPUTED_VALUE"""),"Colombo")</f>
        <v>Colombo</v>
      </c>
      <c r="B151" s="45"/>
      <c r="C151" s="45">
        <f ca="1">IFERROR(__xludf.DUMMYFUNCTION("""COMPUTED_VALUE"""),3231490)</f>
        <v>3231490</v>
      </c>
      <c r="D151" s="45"/>
      <c r="E151" s="45" t="str">
        <f ca="1">IFERROR(__xludf.DUMMYFUNCTION("""COMPUTED_VALUE"""),"CFS")</f>
        <v>CFS</v>
      </c>
      <c r="F151" s="45" t="str">
        <f ca="1">IFERROR(__xludf.DUMMYFUNCTION("""COMPUTED_VALUE"""),"MAS AMITY PTE LTD")</f>
        <v>MAS AMITY PTE LTD</v>
      </c>
      <c r="G151" s="45" t="str">
        <f ca="1">IFERROR(__xludf.DUMMYFUNCTION("""COMPUTED_VALUE"""),"MAS Active(Pvt) Ltd – CONTOURLINE")</f>
        <v>MAS Active(Pvt) Ltd – CONTOURLINE</v>
      </c>
      <c r="H151" s="43">
        <f ca="1">IFERROR(__xludf.DUMMYFUNCTION("""COMPUTED_VALUE"""),452584298494)</f>
        <v>452584298494</v>
      </c>
      <c r="I151" s="45">
        <f ca="1">IFERROR(__xludf.DUMMYFUNCTION("""COMPUTED_VALUE"""),19925962)</f>
        <v>19925962</v>
      </c>
      <c r="J151" s="45" t="str">
        <f ca="1">IFERROR(__xludf.DUMMYFUNCTION("""COMPUTED_VALUE"""),"LW5FARS")</f>
        <v>LW5FARS</v>
      </c>
      <c r="K151" s="45" t="str">
        <f ca="1">IFERROR(__xludf.DUMMYFUNCTION("""COMPUTED_VALUE"""),"LW5FARS-0001")</f>
        <v>LW5FARS-0001</v>
      </c>
      <c r="L151" s="45">
        <f ca="1">IFERROR(__xludf.DUMMYFUNCTION("""COMPUTED_VALUE"""),6)</f>
        <v>6</v>
      </c>
      <c r="M151" s="45">
        <f ca="1">IFERROR(__xludf.DUMMYFUNCTION("""COMPUTED_VALUE"""),315)</f>
        <v>315</v>
      </c>
      <c r="N151" s="45">
        <f ca="1">IFERROR(__xludf.DUMMYFUNCTION("""COMPUTED_VALUE"""),66.613)</f>
        <v>66.613</v>
      </c>
      <c r="O151" s="45">
        <f ca="1">IFERROR(__xludf.DUMMYFUNCTION("""COMPUTED_VALUE"""),0.395)</f>
        <v>0.39500000000000002</v>
      </c>
      <c r="P151" s="45" t="str">
        <f ca="1">IFERROR(__xludf.DUMMYFUNCTION("""COMPUTED_VALUE"""),"Colombo, LK")</f>
        <v>Colombo, LK</v>
      </c>
      <c r="Q151" s="45" t="str">
        <f ca="1">IFERROR(__xludf.DUMMYFUNCTION("""COMPUTED_VALUE"""),"Rotterdam, NL")</f>
        <v>Rotterdam, NL</v>
      </c>
      <c r="R151" s="44">
        <f ca="1">IFERROR(__xludf.DUMMYFUNCTION("""COMPUTED_VALUE"""),45817)</f>
        <v>45817</v>
      </c>
      <c r="S151" s="44">
        <f ca="1">IFERROR(__xludf.DUMMYFUNCTION("""COMPUTED_VALUE"""),45871)</f>
        <v>45871</v>
      </c>
      <c r="T151" s="45" t="str">
        <f ca="1">IFERROR(__xludf.DUMMYFUNCTION("""COMPUTED_VALUE"""),"Rotterdam, NL")</f>
        <v>Rotterdam, NL</v>
      </c>
      <c r="U151" s="45"/>
      <c r="V151" s="45"/>
      <c r="W151" s="45"/>
      <c r="X151" s="45"/>
      <c r="Y151" s="46">
        <f ca="1">IFERROR(__xludf.DUMMYFUNCTION("""COMPUTED_VALUE"""),45825)</f>
        <v>45825</v>
      </c>
      <c r="Z151" s="46">
        <f ca="1">IFERROR(__xludf.DUMMYFUNCTION("""COMPUTED_VALUE"""),45854)</f>
        <v>45854</v>
      </c>
      <c r="AA151" s="46">
        <f ca="1">IFERROR(__xludf.DUMMYFUNCTION("""COMPUTED_VALUE"""),45861)</f>
        <v>45861</v>
      </c>
      <c r="AB151" s="45" t="str">
        <f ca="1">IFERROR(__xludf.DUMMYFUNCTION("""COMPUTED_VALUE"""),"Conradweg 26")</f>
        <v>Conradweg 26</v>
      </c>
      <c r="AC151" s="45"/>
      <c r="AD151" s="45" t="str">
        <f ca="1">IFERROR(__xludf.DUMMYFUNCTION("""COMPUTED_VALUE"""),"OCEAN")</f>
        <v>OCEAN</v>
      </c>
      <c r="AE151" s="45" t="str">
        <f ca="1">IFERROR(__xludf.DUMMYFUNCTION("""COMPUTED_VALUE"""),"N")</f>
        <v>N</v>
      </c>
      <c r="AF151" s="45"/>
      <c r="AG151" s="49" t="str">
        <f ca="1">IFERROR(__xludf.DUMMYFUNCTION("IFNA(vlookup(H151,IMPORTRANGE(""1vUGwO1n0QQGx9kKbO0_M5gmuhXZ6-LaxQxgrmJnzgP0"",""'TP# look up'!A:C""),3,0),"""")"),"")</f>
        <v/>
      </c>
      <c r="AH151" s="49" t="str">
        <f t="shared" ca="1" si="2"/>
        <v>LW</v>
      </c>
    </row>
    <row r="152" spans="1:34" ht="12.75">
      <c r="A152" s="45" t="str">
        <f ca="1">IFERROR(__xludf.DUMMYFUNCTION("""COMPUTED_VALUE"""),"Colombo")</f>
        <v>Colombo</v>
      </c>
      <c r="B152" s="45"/>
      <c r="C152" s="45">
        <f ca="1">IFERROR(__xludf.DUMMYFUNCTION("""COMPUTED_VALUE"""),3231490)</f>
        <v>3231490</v>
      </c>
      <c r="D152" s="45"/>
      <c r="E152" s="45" t="str">
        <f ca="1">IFERROR(__xludf.DUMMYFUNCTION("""COMPUTED_VALUE"""),"CFS")</f>
        <v>CFS</v>
      </c>
      <c r="F152" s="45" t="str">
        <f ca="1">IFERROR(__xludf.DUMMYFUNCTION("""COMPUTED_VALUE"""),"MAS AMITY PTE LTD")</f>
        <v>MAS AMITY PTE LTD</v>
      </c>
      <c r="G152" s="45" t="str">
        <f ca="1">IFERROR(__xludf.DUMMYFUNCTION("""COMPUTED_VALUE"""),"MAS Active(Pvt) Ltd – CONTOURLINE")</f>
        <v>MAS Active(Pvt) Ltd – CONTOURLINE</v>
      </c>
      <c r="H152" s="43">
        <f ca="1">IFERROR(__xludf.DUMMYFUNCTION("""COMPUTED_VALUE"""),452584495556)</f>
        <v>452584495556</v>
      </c>
      <c r="I152" s="45">
        <f ca="1">IFERROR(__xludf.DUMMYFUNCTION("""COMPUTED_VALUE"""),19803352)</f>
        <v>19803352</v>
      </c>
      <c r="J152" s="45" t="str">
        <f ca="1">IFERROR(__xludf.DUMMYFUNCTION("""COMPUTED_VALUE"""),"LM3FGKS")</f>
        <v>LM3FGKS</v>
      </c>
      <c r="K152" s="45" t="str">
        <f ca="1">IFERROR(__xludf.DUMMYFUNCTION("""COMPUTED_VALUE"""),"LM3FGKS-033454")</f>
        <v>LM3FGKS-033454</v>
      </c>
      <c r="L152" s="45">
        <f ca="1">IFERROR(__xludf.DUMMYFUNCTION("""COMPUTED_VALUE"""),3)</f>
        <v>3</v>
      </c>
      <c r="M152" s="45">
        <f ca="1">IFERROR(__xludf.DUMMYFUNCTION("""COMPUTED_VALUE"""),122)</f>
        <v>122</v>
      </c>
      <c r="N152" s="45">
        <f ca="1">IFERROR(__xludf.DUMMYFUNCTION("""COMPUTED_VALUE"""),28.644)</f>
        <v>28.643999999999998</v>
      </c>
      <c r="O152" s="45">
        <f ca="1">IFERROR(__xludf.DUMMYFUNCTION("""COMPUTED_VALUE"""),0.237)</f>
        <v>0.23699999999999999</v>
      </c>
      <c r="P152" s="45" t="str">
        <f ca="1">IFERROR(__xludf.DUMMYFUNCTION("""COMPUTED_VALUE"""),"Colombo, LK")</f>
        <v>Colombo, LK</v>
      </c>
      <c r="Q152" s="45" t="str">
        <f ca="1">IFERROR(__xludf.DUMMYFUNCTION("""COMPUTED_VALUE"""),"Rotterdam, NL")</f>
        <v>Rotterdam, NL</v>
      </c>
      <c r="R152" s="44">
        <f ca="1">IFERROR(__xludf.DUMMYFUNCTION("""COMPUTED_VALUE"""),45817)</f>
        <v>45817</v>
      </c>
      <c r="S152" s="44">
        <f ca="1">IFERROR(__xludf.DUMMYFUNCTION("""COMPUTED_VALUE"""),45871)</f>
        <v>45871</v>
      </c>
      <c r="T152" s="45" t="str">
        <f ca="1">IFERROR(__xludf.DUMMYFUNCTION("""COMPUTED_VALUE"""),"Rotterdam, NL")</f>
        <v>Rotterdam, NL</v>
      </c>
      <c r="U152" s="45"/>
      <c r="V152" s="45"/>
      <c r="W152" s="45"/>
      <c r="X152" s="45"/>
      <c r="Y152" s="46">
        <f ca="1">IFERROR(__xludf.DUMMYFUNCTION("""COMPUTED_VALUE"""),45825)</f>
        <v>45825</v>
      </c>
      <c r="Z152" s="46">
        <f ca="1">IFERROR(__xludf.DUMMYFUNCTION("""COMPUTED_VALUE"""),45854)</f>
        <v>45854</v>
      </c>
      <c r="AA152" s="46">
        <f ca="1">IFERROR(__xludf.DUMMYFUNCTION("""COMPUTED_VALUE"""),45861)</f>
        <v>45861</v>
      </c>
      <c r="AB152" s="45" t="str">
        <f ca="1">IFERROR(__xludf.DUMMYFUNCTION("""COMPUTED_VALUE"""),"Conradweg 26")</f>
        <v>Conradweg 26</v>
      </c>
      <c r="AC152" s="45"/>
      <c r="AD152" s="45" t="str">
        <f ca="1">IFERROR(__xludf.DUMMYFUNCTION("""COMPUTED_VALUE"""),"OCEAN")</f>
        <v>OCEAN</v>
      </c>
      <c r="AE152" s="45" t="str">
        <f ca="1">IFERROR(__xludf.DUMMYFUNCTION("""COMPUTED_VALUE"""),"N")</f>
        <v>N</v>
      </c>
      <c r="AF152" s="45"/>
      <c r="AG152" s="49" t="str">
        <f ca="1">IFERROR(__xludf.DUMMYFUNCTION("IFNA(vlookup(H152,IMPORTRANGE(""1vUGwO1n0QQGx9kKbO0_M5gmuhXZ6-LaxQxgrmJnzgP0"",""'TP# look up'!A:C""),3,0),"""")"),"")</f>
        <v/>
      </c>
      <c r="AH152" s="49" t="str">
        <f t="shared" ca="1" si="2"/>
        <v>LM</v>
      </c>
    </row>
    <row r="153" spans="1:34" ht="12.75" hidden="1">
      <c r="A153" s="45" t="str">
        <f ca="1">IFERROR(__xludf.DUMMYFUNCTION("""COMPUTED_VALUE"""),"Colombo")</f>
        <v>Colombo</v>
      </c>
      <c r="B153" s="45"/>
      <c r="C153" s="45">
        <f ca="1">IFERROR(__xludf.DUMMYFUNCTION("""COMPUTED_VALUE"""),3231490)</f>
        <v>3231490</v>
      </c>
      <c r="D153" s="45"/>
      <c r="E153" s="45" t="str">
        <f ca="1">IFERROR(__xludf.DUMMYFUNCTION("""COMPUTED_VALUE"""),"CFS")</f>
        <v>CFS</v>
      </c>
      <c r="F153" s="45" t="str">
        <f ca="1">IFERROR(__xludf.DUMMYFUNCTION("""COMPUTED_VALUE"""),"MAS AMITY PTE LTD")</f>
        <v>MAS AMITY PTE LTD</v>
      </c>
      <c r="G153" s="45" t="str">
        <f ca="1">IFERROR(__xludf.DUMMYFUNCTION("""COMPUTED_VALUE"""),"MAS Active(Pvt) Ltd – CONTOURLINE")</f>
        <v>MAS Active(Pvt) Ltd – CONTOURLINE</v>
      </c>
      <c r="H153" s="43">
        <f ca="1">IFERROR(__xludf.DUMMYFUNCTION("""COMPUTED_VALUE"""),452584670396)</f>
        <v>452584670396</v>
      </c>
      <c r="I153" s="45">
        <f ca="1">IFERROR(__xludf.DUMMYFUNCTION("""COMPUTED_VALUE"""),19803358)</f>
        <v>19803358</v>
      </c>
      <c r="J153" s="45" t="str">
        <f ca="1">IFERROR(__xludf.DUMMYFUNCTION("""COMPUTED_VALUE"""),"LM3FGKS")</f>
        <v>LM3FGKS</v>
      </c>
      <c r="K153" s="45" t="str">
        <f ca="1">IFERROR(__xludf.DUMMYFUNCTION("""COMPUTED_VALUE"""),"LM3FGKS-033454")</f>
        <v>LM3FGKS-033454</v>
      </c>
      <c r="L153" s="45">
        <f ca="1">IFERROR(__xludf.DUMMYFUNCTION("""COMPUTED_VALUE"""),1)</f>
        <v>1</v>
      </c>
      <c r="M153" s="45">
        <f ca="1">IFERROR(__xludf.DUMMYFUNCTION("""COMPUTED_VALUE"""),58)</f>
        <v>58</v>
      </c>
      <c r="N153" s="45">
        <f ca="1">IFERROR(__xludf.DUMMYFUNCTION("""COMPUTED_VALUE"""),13.596)</f>
        <v>13.596</v>
      </c>
      <c r="O153" s="45">
        <f ca="1">IFERROR(__xludf.DUMMYFUNCTION("""COMPUTED_VALUE"""),0.079)</f>
        <v>7.9000000000000001E-2</v>
      </c>
      <c r="P153" s="45" t="str">
        <f ca="1">IFERROR(__xludf.DUMMYFUNCTION("""COMPUTED_VALUE"""),"Colombo, LK")</f>
        <v>Colombo, LK</v>
      </c>
      <c r="Q153" s="45" t="str">
        <f ca="1">IFERROR(__xludf.DUMMYFUNCTION("""COMPUTED_VALUE"""),"Rotterdam, NL")</f>
        <v>Rotterdam, NL</v>
      </c>
      <c r="R153" s="44">
        <f ca="1">IFERROR(__xludf.DUMMYFUNCTION("""COMPUTED_VALUE"""),45817)</f>
        <v>45817</v>
      </c>
      <c r="S153" s="44">
        <f ca="1">IFERROR(__xludf.DUMMYFUNCTION("""COMPUTED_VALUE"""),45871)</f>
        <v>45871</v>
      </c>
      <c r="T153" s="45" t="str">
        <f ca="1">IFERROR(__xludf.DUMMYFUNCTION("""COMPUTED_VALUE"""),"Rotterdam, NL")</f>
        <v>Rotterdam, NL</v>
      </c>
      <c r="U153" s="45"/>
      <c r="V153" s="45"/>
      <c r="W153" s="45"/>
      <c r="X153" s="45"/>
      <c r="Y153" s="46">
        <f ca="1">IFERROR(__xludf.DUMMYFUNCTION("""COMPUTED_VALUE"""),45825)</f>
        <v>45825</v>
      </c>
      <c r="Z153" s="46">
        <f ca="1">IFERROR(__xludf.DUMMYFUNCTION("""COMPUTED_VALUE"""),45854)</f>
        <v>45854</v>
      </c>
      <c r="AA153" s="46">
        <f ca="1">IFERROR(__xludf.DUMMYFUNCTION("""COMPUTED_VALUE"""),45861)</f>
        <v>45861</v>
      </c>
      <c r="AB153" s="45" t="str">
        <f ca="1">IFERROR(__xludf.DUMMYFUNCTION("""COMPUTED_VALUE"""),"Conradweg 26")</f>
        <v>Conradweg 26</v>
      </c>
      <c r="AC153" s="45"/>
      <c r="AD153" s="45" t="str">
        <f ca="1">IFERROR(__xludf.DUMMYFUNCTION("""COMPUTED_VALUE"""),"OCEAN")</f>
        <v>OCEAN</v>
      </c>
      <c r="AE153" s="45" t="str">
        <f ca="1">IFERROR(__xludf.DUMMYFUNCTION("""COMPUTED_VALUE"""),"N")</f>
        <v>N</v>
      </c>
      <c r="AF153" s="45"/>
      <c r="AG153" s="49" t="str">
        <f ca="1">IFERROR(__xludf.DUMMYFUNCTION("IFNA(vlookup(H153,IMPORTRANGE(""1vUGwO1n0QQGx9kKbO0_M5gmuhXZ6-LaxQxgrmJnzgP0"",""'TP# look up'!A:C""),3,0),"""")"),"")</f>
        <v/>
      </c>
      <c r="AH153" s="49" t="str">
        <f t="shared" ca="1" si="2"/>
        <v>LM</v>
      </c>
    </row>
    <row r="154" spans="1:34" ht="12.75" hidden="1">
      <c r="A154" s="45" t="str">
        <f ca="1">IFERROR(__xludf.DUMMYFUNCTION("""COMPUTED_VALUE"""),"Colombo")</f>
        <v>Colombo</v>
      </c>
      <c r="B154" s="45"/>
      <c r="C154" s="45">
        <f ca="1">IFERROR(__xludf.DUMMYFUNCTION("""COMPUTED_VALUE"""),3231490)</f>
        <v>3231490</v>
      </c>
      <c r="D154" s="45"/>
      <c r="E154" s="45" t="str">
        <f ca="1">IFERROR(__xludf.DUMMYFUNCTION("""COMPUTED_VALUE"""),"CFS")</f>
        <v>CFS</v>
      </c>
      <c r="F154" s="45" t="str">
        <f ca="1">IFERROR(__xludf.DUMMYFUNCTION("""COMPUTED_VALUE"""),"MAS AMITY PTE LTD")</f>
        <v>MAS AMITY PTE LTD</v>
      </c>
      <c r="G154" s="45" t="str">
        <f ca="1">IFERROR(__xludf.DUMMYFUNCTION("""COMPUTED_VALUE"""),"MAS Active(Pvt) Ltd – CONTOURLINE")</f>
        <v>MAS Active(Pvt) Ltd – CONTOURLINE</v>
      </c>
      <c r="H154" s="43">
        <f ca="1">IFERROR(__xludf.DUMMYFUNCTION("""COMPUTED_VALUE"""),452585440630)</f>
        <v>452585440630</v>
      </c>
      <c r="I154" s="45">
        <f ca="1">IFERROR(__xludf.DUMMYFUNCTION("""COMPUTED_VALUE"""),19921030)</f>
        <v>19921030</v>
      </c>
      <c r="J154" s="45" t="str">
        <f ca="1">IFERROR(__xludf.DUMMYFUNCTION("""COMPUTED_VALUE"""),"LM7BCVS")</f>
        <v>LM7BCVS</v>
      </c>
      <c r="K154" s="45" t="str">
        <f ca="1">IFERROR(__xludf.DUMMYFUNCTION("""COMPUTED_VALUE"""),"LM7BCVS-072148")</f>
        <v>LM7BCVS-072148</v>
      </c>
      <c r="L154" s="45">
        <f ca="1">IFERROR(__xludf.DUMMYFUNCTION("""COMPUTED_VALUE"""),1)</f>
        <v>1</v>
      </c>
      <c r="M154" s="45">
        <f ca="1">IFERROR(__xludf.DUMMYFUNCTION("""COMPUTED_VALUE"""),31)</f>
        <v>31</v>
      </c>
      <c r="N154" s="45">
        <f ca="1">IFERROR(__xludf.DUMMYFUNCTION("""COMPUTED_VALUE"""),5.84)</f>
        <v>5.84</v>
      </c>
      <c r="O154" s="45">
        <f ca="1">IFERROR(__xludf.DUMMYFUNCTION("""COMPUTED_VALUE"""),0.079)</f>
        <v>7.9000000000000001E-2</v>
      </c>
      <c r="P154" s="45" t="str">
        <f ca="1">IFERROR(__xludf.DUMMYFUNCTION("""COMPUTED_VALUE"""),"Colombo, LK")</f>
        <v>Colombo, LK</v>
      </c>
      <c r="Q154" s="45" t="str">
        <f ca="1">IFERROR(__xludf.DUMMYFUNCTION("""COMPUTED_VALUE"""),"Rotterdam, NL")</f>
        <v>Rotterdam, NL</v>
      </c>
      <c r="R154" s="44">
        <f ca="1">IFERROR(__xludf.DUMMYFUNCTION("""COMPUTED_VALUE"""),45817)</f>
        <v>45817</v>
      </c>
      <c r="S154" s="44">
        <f ca="1">IFERROR(__xludf.DUMMYFUNCTION("""COMPUTED_VALUE"""),45871)</f>
        <v>45871</v>
      </c>
      <c r="T154" s="45" t="str">
        <f ca="1">IFERROR(__xludf.DUMMYFUNCTION("""COMPUTED_VALUE"""),"Rotterdam, NL")</f>
        <v>Rotterdam, NL</v>
      </c>
      <c r="U154" s="45"/>
      <c r="V154" s="45"/>
      <c r="W154" s="45"/>
      <c r="X154" s="45"/>
      <c r="Y154" s="46">
        <f ca="1">IFERROR(__xludf.DUMMYFUNCTION("""COMPUTED_VALUE"""),45825)</f>
        <v>45825</v>
      </c>
      <c r="Z154" s="46">
        <f ca="1">IFERROR(__xludf.DUMMYFUNCTION("""COMPUTED_VALUE"""),45854)</f>
        <v>45854</v>
      </c>
      <c r="AA154" s="46">
        <f ca="1">IFERROR(__xludf.DUMMYFUNCTION("""COMPUTED_VALUE"""),45861)</f>
        <v>45861</v>
      </c>
      <c r="AB154" s="45" t="str">
        <f ca="1">IFERROR(__xludf.DUMMYFUNCTION("""COMPUTED_VALUE"""),"Conradweg 26")</f>
        <v>Conradweg 26</v>
      </c>
      <c r="AC154" s="45"/>
      <c r="AD154" s="45" t="str">
        <f ca="1">IFERROR(__xludf.DUMMYFUNCTION("""COMPUTED_VALUE"""),"OCEAN")</f>
        <v>OCEAN</v>
      </c>
      <c r="AE154" s="45" t="str">
        <f ca="1">IFERROR(__xludf.DUMMYFUNCTION("""COMPUTED_VALUE"""),"N")</f>
        <v>N</v>
      </c>
      <c r="AF154" s="45"/>
      <c r="AG154" s="49" t="str">
        <f ca="1">IFERROR(__xludf.DUMMYFUNCTION("IFNA(vlookup(H154,IMPORTRANGE(""1vUGwO1n0QQGx9kKbO0_M5gmuhXZ6-LaxQxgrmJnzgP0"",""'TP# look up'!A:C""),3,0),"""")"),"")</f>
        <v/>
      </c>
      <c r="AH154" s="49" t="str">
        <f t="shared" ca="1" si="2"/>
        <v>LM</v>
      </c>
    </row>
    <row r="155" spans="1:34" ht="12.75" hidden="1">
      <c r="A155" s="45" t="str">
        <f ca="1">IFERROR(__xludf.DUMMYFUNCTION("""COMPUTED_VALUE"""),"Colombo")</f>
        <v>Colombo</v>
      </c>
      <c r="B155" s="45"/>
      <c r="C155" s="45">
        <f ca="1">IFERROR(__xludf.DUMMYFUNCTION("""COMPUTED_VALUE"""),3231490)</f>
        <v>3231490</v>
      </c>
      <c r="D155" s="45"/>
      <c r="E155" s="45" t="str">
        <f ca="1">IFERROR(__xludf.DUMMYFUNCTION("""COMPUTED_VALUE"""),"CFS")</f>
        <v>CFS</v>
      </c>
      <c r="F155" s="45" t="str">
        <f ca="1">IFERROR(__xludf.DUMMYFUNCTION("""COMPUTED_VALUE"""),"MAS AMITY PTE LTD")</f>
        <v>MAS AMITY PTE LTD</v>
      </c>
      <c r="G155" s="45" t="str">
        <f ca="1">IFERROR(__xludf.DUMMYFUNCTION("""COMPUTED_VALUE"""),"MAS Active(Pvt) Ltd – CONTOURLINE")</f>
        <v>MAS Active(Pvt) Ltd – CONTOURLINE</v>
      </c>
      <c r="H155" s="43">
        <f ca="1">IFERROR(__xludf.DUMMYFUNCTION("""COMPUTED_VALUE"""),452585669160)</f>
        <v>452585669160</v>
      </c>
      <c r="I155" s="45">
        <f ca="1">IFERROR(__xludf.DUMMYFUNCTION("""COMPUTED_VALUE"""),19939880)</f>
        <v>19939880</v>
      </c>
      <c r="J155" s="45" t="str">
        <f ca="1">IFERROR(__xludf.DUMMYFUNCTION("""COMPUTED_VALUE"""),"LM7BI2S")</f>
        <v>LM7BI2S</v>
      </c>
      <c r="K155" s="45" t="str">
        <f ca="1">IFERROR(__xludf.DUMMYFUNCTION("""COMPUTED_VALUE"""),"LM7BI2S-068578")</f>
        <v>LM7BI2S-068578</v>
      </c>
      <c r="L155" s="45">
        <f ca="1">IFERROR(__xludf.DUMMYFUNCTION("""COMPUTED_VALUE"""),1)</f>
        <v>1</v>
      </c>
      <c r="M155" s="45">
        <f ca="1">IFERROR(__xludf.DUMMYFUNCTION("""COMPUTED_VALUE"""),12)</f>
        <v>12</v>
      </c>
      <c r="N155" s="45">
        <f ca="1">IFERROR(__xludf.DUMMYFUNCTION("""COMPUTED_VALUE"""),3.346)</f>
        <v>3.3460000000000001</v>
      </c>
      <c r="O155" s="45">
        <f ca="1">IFERROR(__xludf.DUMMYFUNCTION("""COMPUTED_VALUE"""),0.039)</f>
        <v>3.9E-2</v>
      </c>
      <c r="P155" s="45" t="str">
        <f ca="1">IFERROR(__xludf.DUMMYFUNCTION("""COMPUTED_VALUE"""),"Colombo, LK")</f>
        <v>Colombo, LK</v>
      </c>
      <c r="Q155" s="45" t="str">
        <f ca="1">IFERROR(__xludf.DUMMYFUNCTION("""COMPUTED_VALUE"""),"Rotterdam, NL")</f>
        <v>Rotterdam, NL</v>
      </c>
      <c r="R155" s="44">
        <f ca="1">IFERROR(__xludf.DUMMYFUNCTION("""COMPUTED_VALUE"""),45817)</f>
        <v>45817</v>
      </c>
      <c r="S155" s="44">
        <f ca="1">IFERROR(__xludf.DUMMYFUNCTION("""COMPUTED_VALUE"""),45871)</f>
        <v>45871</v>
      </c>
      <c r="T155" s="45" t="str">
        <f ca="1">IFERROR(__xludf.DUMMYFUNCTION("""COMPUTED_VALUE"""),"Rotterdam, NL")</f>
        <v>Rotterdam, NL</v>
      </c>
      <c r="U155" s="45"/>
      <c r="V155" s="45"/>
      <c r="W155" s="45"/>
      <c r="X155" s="45"/>
      <c r="Y155" s="46">
        <f ca="1">IFERROR(__xludf.DUMMYFUNCTION("""COMPUTED_VALUE"""),45825)</f>
        <v>45825</v>
      </c>
      <c r="Z155" s="46">
        <f ca="1">IFERROR(__xludf.DUMMYFUNCTION("""COMPUTED_VALUE"""),45854)</f>
        <v>45854</v>
      </c>
      <c r="AA155" s="46">
        <f ca="1">IFERROR(__xludf.DUMMYFUNCTION("""COMPUTED_VALUE"""),45861)</f>
        <v>45861</v>
      </c>
      <c r="AB155" s="45" t="str">
        <f ca="1">IFERROR(__xludf.DUMMYFUNCTION("""COMPUTED_VALUE"""),"Conradweg 26")</f>
        <v>Conradweg 26</v>
      </c>
      <c r="AC155" s="45"/>
      <c r="AD155" s="45" t="str">
        <f ca="1">IFERROR(__xludf.DUMMYFUNCTION("""COMPUTED_VALUE"""),"OCEAN")</f>
        <v>OCEAN</v>
      </c>
      <c r="AE155" s="45" t="str">
        <f ca="1">IFERROR(__xludf.DUMMYFUNCTION("""COMPUTED_VALUE"""),"N")</f>
        <v>N</v>
      </c>
      <c r="AF155" s="45"/>
      <c r="AG155" s="49" t="str">
        <f ca="1">IFERROR(__xludf.DUMMYFUNCTION("IFNA(vlookup(H155,IMPORTRANGE(""1vUGwO1n0QQGx9kKbO0_M5gmuhXZ6-LaxQxgrmJnzgP0"",""'TP# look up'!A:C""),3,0),"""")"),"")</f>
        <v/>
      </c>
      <c r="AH155" s="49" t="str">
        <f t="shared" ca="1" si="2"/>
        <v>LM</v>
      </c>
    </row>
    <row r="156" spans="1:34" ht="12.75">
      <c r="A156" s="45" t="str">
        <f ca="1">IFERROR(__xludf.DUMMYFUNCTION("""COMPUTED_VALUE"""),"Colombo")</f>
        <v>Colombo</v>
      </c>
      <c r="B156" s="45"/>
      <c r="C156" s="45">
        <f ca="1">IFERROR(__xludf.DUMMYFUNCTION("""COMPUTED_VALUE"""),3231490)</f>
        <v>3231490</v>
      </c>
      <c r="D156" s="45"/>
      <c r="E156" s="45" t="str">
        <f ca="1">IFERROR(__xludf.DUMMYFUNCTION("""COMPUTED_VALUE"""),"CFS")</f>
        <v>CFS</v>
      </c>
      <c r="F156" s="45" t="str">
        <f ca="1">IFERROR(__xludf.DUMMYFUNCTION("""COMPUTED_VALUE"""),"MAS AMITY PTE LTD")</f>
        <v>MAS AMITY PTE LTD</v>
      </c>
      <c r="G156" s="45" t="str">
        <f ca="1">IFERROR(__xludf.DUMMYFUNCTION("""COMPUTED_VALUE"""),"MAS Fabrics (Pvt) Ltd Intimo")</f>
        <v>MAS Fabrics (Pvt) Ltd Intimo</v>
      </c>
      <c r="H156" s="43">
        <f ca="1">IFERROR(__xludf.DUMMYFUNCTION("""COMPUTED_VALUE"""),452583058270)</f>
        <v>452583058270</v>
      </c>
      <c r="I156" s="45">
        <f ca="1">IFERROR(__xludf.DUMMYFUNCTION("""COMPUTED_VALUE"""),19820857)</f>
        <v>19820857</v>
      </c>
      <c r="J156" s="45" t="str">
        <f ca="1">IFERROR(__xludf.DUMMYFUNCTION("""COMPUTED_VALUE"""),"LW3JE8S")</f>
        <v>LW3JE8S</v>
      </c>
      <c r="K156" s="45" t="str">
        <f ca="1">IFERROR(__xludf.DUMMYFUNCTION("""COMPUTED_VALUE"""),"LW3JE8S-042836")</f>
        <v>LW3JE8S-042836</v>
      </c>
      <c r="L156" s="45">
        <f ca="1">IFERROR(__xludf.DUMMYFUNCTION("""COMPUTED_VALUE"""),8)</f>
        <v>8</v>
      </c>
      <c r="M156" s="45">
        <f ca="1">IFERROR(__xludf.DUMMYFUNCTION("""COMPUTED_VALUE"""),317)</f>
        <v>317</v>
      </c>
      <c r="N156" s="45">
        <f ca="1">IFERROR(__xludf.DUMMYFUNCTION("""COMPUTED_VALUE"""),59.605)</f>
        <v>59.604999999999997</v>
      </c>
      <c r="O156" s="45">
        <f ca="1">IFERROR(__xludf.DUMMYFUNCTION("""COMPUTED_VALUE"""),0.434)</f>
        <v>0.434</v>
      </c>
      <c r="P156" s="45" t="str">
        <f ca="1">IFERROR(__xludf.DUMMYFUNCTION("""COMPUTED_VALUE"""),"Colombo, LK")</f>
        <v>Colombo, LK</v>
      </c>
      <c r="Q156" s="45" t="str">
        <f ca="1">IFERROR(__xludf.DUMMYFUNCTION("""COMPUTED_VALUE"""),"Rotterdam, NL")</f>
        <v>Rotterdam, NL</v>
      </c>
      <c r="R156" s="44">
        <f ca="1">IFERROR(__xludf.DUMMYFUNCTION("""COMPUTED_VALUE"""),45817)</f>
        <v>45817</v>
      </c>
      <c r="S156" s="44">
        <f ca="1">IFERROR(__xludf.DUMMYFUNCTION("""COMPUTED_VALUE"""),45871)</f>
        <v>45871</v>
      </c>
      <c r="T156" s="45" t="str">
        <f ca="1">IFERROR(__xludf.DUMMYFUNCTION("""COMPUTED_VALUE"""),"Rotterdam, NL")</f>
        <v>Rotterdam, NL</v>
      </c>
      <c r="U156" s="45"/>
      <c r="V156" s="45"/>
      <c r="W156" s="45"/>
      <c r="X156" s="45"/>
      <c r="Y156" s="46">
        <f ca="1">IFERROR(__xludf.DUMMYFUNCTION("""COMPUTED_VALUE"""),45825)</f>
        <v>45825</v>
      </c>
      <c r="Z156" s="46">
        <f ca="1">IFERROR(__xludf.DUMMYFUNCTION("""COMPUTED_VALUE"""),45854)</f>
        <v>45854</v>
      </c>
      <c r="AA156" s="46">
        <f ca="1">IFERROR(__xludf.DUMMYFUNCTION("""COMPUTED_VALUE"""),45861)</f>
        <v>45861</v>
      </c>
      <c r="AB156" s="45" t="str">
        <f ca="1">IFERROR(__xludf.DUMMYFUNCTION("""COMPUTED_VALUE"""),"Conradweg 26")</f>
        <v>Conradweg 26</v>
      </c>
      <c r="AC156" s="45"/>
      <c r="AD156" s="45" t="str">
        <f ca="1">IFERROR(__xludf.DUMMYFUNCTION("""COMPUTED_VALUE"""),"OCEAN")</f>
        <v>OCEAN</v>
      </c>
      <c r="AE156" s="45" t="str">
        <f ca="1">IFERROR(__xludf.DUMMYFUNCTION("""COMPUTED_VALUE"""),"N")</f>
        <v>N</v>
      </c>
      <c r="AF156" s="45"/>
      <c r="AG156" s="49" t="str">
        <f ca="1">IFERROR(__xludf.DUMMYFUNCTION("IFNA(vlookup(H156,IMPORTRANGE(""1vUGwO1n0QQGx9kKbO0_M5gmuhXZ6-LaxQxgrmJnzgP0"",""'TP# look up'!A:C""),3,0),"""")"),"")</f>
        <v/>
      </c>
      <c r="AH156" s="49" t="str">
        <f t="shared" ca="1" si="2"/>
        <v>LW</v>
      </c>
    </row>
    <row r="157" spans="1:34" ht="12.75">
      <c r="A157" s="45" t="str">
        <f ca="1">IFERROR(__xludf.DUMMYFUNCTION("""COMPUTED_VALUE"""),"Colombo")</f>
        <v>Colombo</v>
      </c>
      <c r="B157" s="45"/>
      <c r="C157" s="45">
        <f ca="1">IFERROR(__xludf.DUMMYFUNCTION("""COMPUTED_VALUE"""),3231490)</f>
        <v>3231490</v>
      </c>
      <c r="D157" s="45"/>
      <c r="E157" s="45" t="str">
        <f ca="1">IFERROR(__xludf.DUMMYFUNCTION("""COMPUTED_VALUE"""),"CFS")</f>
        <v>CFS</v>
      </c>
      <c r="F157" s="45" t="str">
        <f ca="1">IFERROR(__xludf.DUMMYFUNCTION("""COMPUTED_VALUE"""),"MAS AMITY PTE LTD")</f>
        <v>MAS AMITY PTE LTD</v>
      </c>
      <c r="G157" s="45" t="str">
        <f ca="1">IFERROR(__xludf.DUMMYFUNCTION("""COMPUTED_VALUE"""),"MAS Fabrics (Pvt) Ltd Intimo")</f>
        <v>MAS Fabrics (Pvt) Ltd Intimo</v>
      </c>
      <c r="H157" s="43">
        <f ca="1">IFERROR(__xludf.DUMMYFUNCTION("""COMPUTED_VALUE"""),452584497649)</f>
        <v>452584497649</v>
      </c>
      <c r="I157" s="45">
        <f ca="1">IFERROR(__xludf.DUMMYFUNCTION("""COMPUTED_VALUE"""),19820983)</f>
        <v>19820983</v>
      </c>
      <c r="J157" s="45" t="str">
        <f ca="1">IFERROR(__xludf.DUMMYFUNCTION("""COMPUTED_VALUE"""),"LW3JSNS")</f>
        <v>LW3JSNS</v>
      </c>
      <c r="K157" s="45" t="str">
        <f ca="1">IFERROR(__xludf.DUMMYFUNCTION("""COMPUTED_VALUE"""),"LW3JSNS-071208")</f>
        <v>LW3JSNS-071208</v>
      </c>
      <c r="L157" s="45">
        <f ca="1">IFERROR(__xludf.DUMMYFUNCTION("""COMPUTED_VALUE"""),2)</f>
        <v>2</v>
      </c>
      <c r="M157" s="45">
        <f ca="1">IFERROR(__xludf.DUMMYFUNCTION("""COMPUTED_VALUE"""),97)</f>
        <v>97</v>
      </c>
      <c r="N157" s="45">
        <f ca="1">IFERROR(__xludf.DUMMYFUNCTION("""COMPUTED_VALUE"""),11.064)</f>
        <v>11.064</v>
      </c>
      <c r="O157" s="45">
        <f ca="1">IFERROR(__xludf.DUMMYFUNCTION("""COMPUTED_VALUE"""),0.118)</f>
        <v>0.11799999999999999</v>
      </c>
      <c r="P157" s="45" t="str">
        <f ca="1">IFERROR(__xludf.DUMMYFUNCTION("""COMPUTED_VALUE"""),"Colombo, LK")</f>
        <v>Colombo, LK</v>
      </c>
      <c r="Q157" s="45" t="str">
        <f ca="1">IFERROR(__xludf.DUMMYFUNCTION("""COMPUTED_VALUE"""),"Rotterdam, NL")</f>
        <v>Rotterdam, NL</v>
      </c>
      <c r="R157" s="44">
        <f ca="1">IFERROR(__xludf.DUMMYFUNCTION("""COMPUTED_VALUE"""),45817)</f>
        <v>45817</v>
      </c>
      <c r="S157" s="44">
        <f ca="1">IFERROR(__xludf.DUMMYFUNCTION("""COMPUTED_VALUE"""),45871)</f>
        <v>45871</v>
      </c>
      <c r="T157" s="45" t="str">
        <f ca="1">IFERROR(__xludf.DUMMYFUNCTION("""COMPUTED_VALUE"""),"Rotterdam, NL")</f>
        <v>Rotterdam, NL</v>
      </c>
      <c r="U157" s="45"/>
      <c r="V157" s="45"/>
      <c r="W157" s="45"/>
      <c r="X157" s="45"/>
      <c r="Y157" s="46">
        <f ca="1">IFERROR(__xludf.DUMMYFUNCTION("""COMPUTED_VALUE"""),45825)</f>
        <v>45825</v>
      </c>
      <c r="Z157" s="46">
        <f ca="1">IFERROR(__xludf.DUMMYFUNCTION("""COMPUTED_VALUE"""),45854)</f>
        <v>45854</v>
      </c>
      <c r="AA157" s="46">
        <f ca="1">IFERROR(__xludf.DUMMYFUNCTION("""COMPUTED_VALUE"""),45861)</f>
        <v>45861</v>
      </c>
      <c r="AB157" s="45" t="str">
        <f ca="1">IFERROR(__xludf.DUMMYFUNCTION("""COMPUTED_VALUE"""),"Conradweg 26")</f>
        <v>Conradweg 26</v>
      </c>
      <c r="AC157" s="45"/>
      <c r="AD157" s="45" t="str">
        <f ca="1">IFERROR(__xludf.DUMMYFUNCTION("""COMPUTED_VALUE"""),"OCEAN")</f>
        <v>OCEAN</v>
      </c>
      <c r="AE157" s="45" t="str">
        <f ca="1">IFERROR(__xludf.DUMMYFUNCTION("""COMPUTED_VALUE"""),"N")</f>
        <v>N</v>
      </c>
      <c r="AF157" s="45"/>
      <c r="AG157" s="49" t="str">
        <f ca="1">IFERROR(__xludf.DUMMYFUNCTION("IFNA(vlookup(H157,IMPORTRANGE(""1vUGwO1n0QQGx9kKbO0_M5gmuhXZ6-LaxQxgrmJnzgP0"",""'TP# look up'!A:C""),3,0),"""")"),"")</f>
        <v/>
      </c>
      <c r="AH157" s="49" t="str">
        <f t="shared" ca="1" si="2"/>
        <v>LW</v>
      </c>
    </row>
    <row r="158" spans="1:34" ht="12.75">
      <c r="A158" s="45" t="str">
        <f ca="1">IFERROR(__xludf.DUMMYFUNCTION("""COMPUTED_VALUE"""),"Colombo")</f>
        <v>Colombo</v>
      </c>
      <c r="B158" s="45"/>
      <c r="C158" s="45">
        <f ca="1">IFERROR(__xludf.DUMMYFUNCTION("""COMPUTED_VALUE"""),3231490)</f>
        <v>3231490</v>
      </c>
      <c r="D158" s="45"/>
      <c r="E158" s="45" t="str">
        <f ca="1">IFERROR(__xludf.DUMMYFUNCTION("""COMPUTED_VALUE"""),"CFS")</f>
        <v>CFS</v>
      </c>
      <c r="F158" s="45" t="str">
        <f ca="1">IFERROR(__xludf.DUMMYFUNCTION("""COMPUTED_VALUE"""),"MAS AMITY PTE LTD")</f>
        <v>MAS AMITY PTE LTD</v>
      </c>
      <c r="G158" s="45" t="str">
        <f ca="1">IFERROR(__xludf.DUMMYFUNCTION("""COMPUTED_VALUE"""),"MAS Fabrics (Pvt) Ltd Intimo")</f>
        <v>MAS Fabrics (Pvt) Ltd Intimo</v>
      </c>
      <c r="H158" s="43">
        <f ca="1">IFERROR(__xludf.DUMMYFUNCTION("""COMPUTED_VALUE"""),452586691129)</f>
        <v>452586691129</v>
      </c>
      <c r="I158" s="45">
        <f ca="1">IFERROR(__xludf.DUMMYFUNCTION("""COMPUTED_VALUE"""),19820864)</f>
        <v>19820864</v>
      </c>
      <c r="J158" s="45" t="str">
        <f ca="1">IFERROR(__xludf.DUMMYFUNCTION("""COMPUTED_VALUE"""),"LW3JE8S")</f>
        <v>LW3JE8S</v>
      </c>
      <c r="K158" s="45" t="str">
        <f ca="1">IFERROR(__xludf.DUMMYFUNCTION("""COMPUTED_VALUE"""),"LW3JE8S-042836")</f>
        <v>LW3JE8S-042836</v>
      </c>
      <c r="L158" s="45">
        <f ca="1">IFERROR(__xludf.DUMMYFUNCTION("""COMPUTED_VALUE"""),4)</f>
        <v>4</v>
      </c>
      <c r="M158" s="45">
        <f ca="1">IFERROR(__xludf.DUMMYFUNCTION("""COMPUTED_VALUE"""),144)</f>
        <v>144</v>
      </c>
      <c r="N158" s="45">
        <f ca="1">IFERROR(__xludf.DUMMYFUNCTION("""COMPUTED_VALUE"""),28.042)</f>
        <v>28.042000000000002</v>
      </c>
      <c r="O158" s="45">
        <f ca="1">IFERROR(__xludf.DUMMYFUNCTION("""COMPUTED_VALUE"""),0.276)</f>
        <v>0.27600000000000002</v>
      </c>
      <c r="P158" s="45" t="str">
        <f ca="1">IFERROR(__xludf.DUMMYFUNCTION("""COMPUTED_VALUE"""),"Colombo, LK")</f>
        <v>Colombo, LK</v>
      </c>
      <c r="Q158" s="45" t="str">
        <f ca="1">IFERROR(__xludf.DUMMYFUNCTION("""COMPUTED_VALUE"""),"Rotterdam, NL")</f>
        <v>Rotterdam, NL</v>
      </c>
      <c r="R158" s="44">
        <f ca="1">IFERROR(__xludf.DUMMYFUNCTION("""COMPUTED_VALUE"""),45817)</f>
        <v>45817</v>
      </c>
      <c r="S158" s="44">
        <f ca="1">IFERROR(__xludf.DUMMYFUNCTION("""COMPUTED_VALUE"""),45871)</f>
        <v>45871</v>
      </c>
      <c r="T158" s="45" t="str">
        <f ca="1">IFERROR(__xludf.DUMMYFUNCTION("""COMPUTED_VALUE"""),"Rotterdam, NL")</f>
        <v>Rotterdam, NL</v>
      </c>
      <c r="U158" s="45"/>
      <c r="V158" s="45"/>
      <c r="W158" s="45"/>
      <c r="X158" s="45"/>
      <c r="Y158" s="46">
        <f ca="1">IFERROR(__xludf.DUMMYFUNCTION("""COMPUTED_VALUE"""),45825)</f>
        <v>45825</v>
      </c>
      <c r="Z158" s="46">
        <f ca="1">IFERROR(__xludf.DUMMYFUNCTION("""COMPUTED_VALUE"""),45854)</f>
        <v>45854</v>
      </c>
      <c r="AA158" s="46">
        <f ca="1">IFERROR(__xludf.DUMMYFUNCTION("""COMPUTED_VALUE"""),45861)</f>
        <v>45861</v>
      </c>
      <c r="AB158" s="45" t="str">
        <f ca="1">IFERROR(__xludf.DUMMYFUNCTION("""COMPUTED_VALUE"""),"Conradweg 26")</f>
        <v>Conradweg 26</v>
      </c>
      <c r="AC158" s="45"/>
      <c r="AD158" s="45" t="str">
        <f ca="1">IFERROR(__xludf.DUMMYFUNCTION("""COMPUTED_VALUE"""),"OCEAN")</f>
        <v>OCEAN</v>
      </c>
      <c r="AE158" s="45" t="str">
        <f ca="1">IFERROR(__xludf.DUMMYFUNCTION("""COMPUTED_VALUE"""),"N")</f>
        <v>N</v>
      </c>
      <c r="AF158" s="45"/>
      <c r="AG158" s="49" t="str">
        <f ca="1">IFERROR(__xludf.DUMMYFUNCTION("IFNA(vlookup(H158,IMPORTRANGE(""1vUGwO1n0QQGx9kKbO0_M5gmuhXZ6-LaxQxgrmJnzgP0"",""'TP# look up'!A:C""),3,0),"""")"),"")</f>
        <v/>
      </c>
      <c r="AH158" s="49" t="str">
        <f t="shared" ca="1" si="2"/>
        <v>LW</v>
      </c>
    </row>
    <row r="159" spans="1:34" ht="12.75" hidden="1">
      <c r="A159" s="45" t="str">
        <f ca="1">IFERROR(__xludf.DUMMYFUNCTION("""COMPUTED_VALUE"""),"Colombo")</f>
        <v>Colombo</v>
      </c>
      <c r="B159" s="45"/>
      <c r="C159" s="45">
        <f ca="1">IFERROR(__xludf.DUMMYFUNCTION("""COMPUTED_VALUE"""),3231490)</f>
        <v>3231490</v>
      </c>
      <c r="D159" s="45"/>
      <c r="E159" s="45" t="str">
        <f ca="1">IFERROR(__xludf.DUMMYFUNCTION("""COMPUTED_VALUE"""),"CFS")</f>
        <v>CFS</v>
      </c>
      <c r="F159" s="45" t="str">
        <f ca="1">IFERROR(__xludf.DUMMYFUNCTION("""COMPUTED_VALUE"""),"MAS AMITY PTE LTD")</f>
        <v>MAS AMITY PTE LTD</v>
      </c>
      <c r="G159" s="45" t="str">
        <f ca="1">IFERROR(__xludf.DUMMYFUNCTION("""COMPUTED_VALUE"""),"MAS Fabrics (Pvt) Ltd Intimo")</f>
        <v>MAS Fabrics (Pvt) Ltd Intimo</v>
      </c>
      <c r="H159" s="43">
        <f ca="1">IFERROR(__xludf.DUMMYFUNCTION("""COMPUTED_VALUE"""),452586691204)</f>
        <v>452586691204</v>
      </c>
      <c r="I159" s="45">
        <f ca="1">IFERROR(__xludf.DUMMYFUNCTION("""COMPUTED_VALUE"""),19820973)</f>
        <v>19820973</v>
      </c>
      <c r="J159" s="45" t="str">
        <f ca="1">IFERROR(__xludf.DUMMYFUNCTION("""COMPUTED_VALUE"""),"LW3JSMS")</f>
        <v>LW3JSMS</v>
      </c>
      <c r="K159" s="45" t="str">
        <f ca="1">IFERROR(__xludf.DUMMYFUNCTION("""COMPUTED_VALUE"""),"LW3JSMS-071210")</f>
        <v>LW3JSMS-071210</v>
      </c>
      <c r="L159" s="45">
        <f ca="1">IFERROR(__xludf.DUMMYFUNCTION("""COMPUTED_VALUE"""),3)</f>
        <v>3</v>
      </c>
      <c r="M159" s="45">
        <f ca="1">IFERROR(__xludf.DUMMYFUNCTION("""COMPUTED_VALUE"""),136)</f>
        <v>136</v>
      </c>
      <c r="N159" s="45">
        <f ca="1">IFERROR(__xludf.DUMMYFUNCTION("""COMPUTED_VALUE"""),18.601)</f>
        <v>18.600999999999999</v>
      </c>
      <c r="O159" s="45">
        <f ca="1">IFERROR(__xludf.DUMMYFUNCTION("""COMPUTED_VALUE"""),0.158)</f>
        <v>0.158</v>
      </c>
      <c r="P159" s="45" t="str">
        <f ca="1">IFERROR(__xludf.DUMMYFUNCTION("""COMPUTED_VALUE"""),"Colombo, LK")</f>
        <v>Colombo, LK</v>
      </c>
      <c r="Q159" s="45" t="str">
        <f ca="1">IFERROR(__xludf.DUMMYFUNCTION("""COMPUTED_VALUE"""),"Rotterdam, NL")</f>
        <v>Rotterdam, NL</v>
      </c>
      <c r="R159" s="44">
        <f ca="1">IFERROR(__xludf.DUMMYFUNCTION("""COMPUTED_VALUE"""),45817)</f>
        <v>45817</v>
      </c>
      <c r="S159" s="44">
        <f ca="1">IFERROR(__xludf.DUMMYFUNCTION("""COMPUTED_VALUE"""),45871)</f>
        <v>45871</v>
      </c>
      <c r="T159" s="45" t="str">
        <f ca="1">IFERROR(__xludf.DUMMYFUNCTION("""COMPUTED_VALUE"""),"Rotterdam, NL")</f>
        <v>Rotterdam, NL</v>
      </c>
      <c r="U159" s="45"/>
      <c r="V159" s="45"/>
      <c r="W159" s="45"/>
      <c r="X159" s="45"/>
      <c r="Y159" s="46">
        <f ca="1">IFERROR(__xludf.DUMMYFUNCTION("""COMPUTED_VALUE"""),45825)</f>
        <v>45825</v>
      </c>
      <c r="Z159" s="46">
        <f ca="1">IFERROR(__xludf.DUMMYFUNCTION("""COMPUTED_VALUE"""),45854)</f>
        <v>45854</v>
      </c>
      <c r="AA159" s="46">
        <f ca="1">IFERROR(__xludf.DUMMYFUNCTION("""COMPUTED_VALUE"""),45861)</f>
        <v>45861</v>
      </c>
      <c r="AB159" s="45" t="str">
        <f ca="1">IFERROR(__xludf.DUMMYFUNCTION("""COMPUTED_VALUE"""),"Conradweg 26")</f>
        <v>Conradweg 26</v>
      </c>
      <c r="AC159" s="45"/>
      <c r="AD159" s="45" t="str">
        <f ca="1">IFERROR(__xludf.DUMMYFUNCTION("""COMPUTED_VALUE"""),"OCEAN")</f>
        <v>OCEAN</v>
      </c>
      <c r="AE159" s="45" t="str">
        <f ca="1">IFERROR(__xludf.DUMMYFUNCTION("""COMPUTED_VALUE"""),"N")</f>
        <v>N</v>
      </c>
      <c r="AF159" s="45"/>
      <c r="AG159" s="49" t="str">
        <f ca="1">IFERROR(__xludf.DUMMYFUNCTION("IFNA(vlookup(H159,IMPORTRANGE(""1vUGwO1n0QQGx9kKbO0_M5gmuhXZ6-LaxQxgrmJnzgP0"",""'TP# look up'!A:C""),3,0),"""")"),"")</f>
        <v/>
      </c>
      <c r="AH159" s="49" t="str">
        <f t="shared" ca="1" si="2"/>
        <v>LW</v>
      </c>
    </row>
    <row r="160" spans="1:34" ht="12.75" hidden="1">
      <c r="A160" s="45" t="str">
        <f ca="1">IFERROR(__xludf.DUMMYFUNCTION("""COMPUTED_VALUE"""),"Colombo")</f>
        <v>Colombo</v>
      </c>
      <c r="B160" s="45"/>
      <c r="C160" s="45">
        <f ca="1">IFERROR(__xludf.DUMMYFUNCTION("""COMPUTED_VALUE"""),3231490)</f>
        <v>3231490</v>
      </c>
      <c r="D160" s="45"/>
      <c r="E160" s="45" t="str">
        <f ca="1">IFERROR(__xludf.DUMMYFUNCTION("""COMPUTED_VALUE"""),"CFS")</f>
        <v>CFS</v>
      </c>
      <c r="F160" s="45" t="str">
        <f ca="1">IFERROR(__xludf.DUMMYFUNCTION("""COMPUTED_VALUE"""),"Bodyline Trading (Private) Limited")</f>
        <v>Bodyline Trading (Private) Limited</v>
      </c>
      <c r="G160" s="45" t="str">
        <f ca="1">IFERROR(__xludf.DUMMYFUNCTION("""COMPUTED_VALUE"""),"Bodyline (Private) Limited")</f>
        <v>Bodyline (Private) Limited</v>
      </c>
      <c r="H160" s="43">
        <f ca="1">IFERROR(__xludf.DUMMYFUNCTION("""COMPUTED_VALUE"""),452693349562)</f>
        <v>452693349562</v>
      </c>
      <c r="I160" s="45">
        <f ca="1">IFERROR(__xludf.DUMMYFUNCTION("""COMPUTED_VALUE"""),19828538)</f>
        <v>19828538</v>
      </c>
      <c r="J160" s="45" t="str">
        <f ca="1">IFERROR(__xludf.DUMMYFUNCTION("""COMPUTED_VALUE"""),"LW2DTJS")</f>
        <v>LW2DTJS</v>
      </c>
      <c r="K160" s="45" t="str">
        <f ca="1">IFERROR(__xludf.DUMMYFUNCTION("""COMPUTED_VALUE"""),"LW2DTJS-035486")</f>
        <v>LW2DTJS-035486</v>
      </c>
      <c r="L160" s="45">
        <f ca="1">IFERROR(__xludf.DUMMYFUNCTION("""COMPUTED_VALUE"""),4)</f>
        <v>4</v>
      </c>
      <c r="M160" s="45">
        <f ca="1">IFERROR(__xludf.DUMMYFUNCTION("""COMPUTED_VALUE"""),167)</f>
        <v>167</v>
      </c>
      <c r="N160" s="45">
        <f ca="1">IFERROR(__xludf.DUMMYFUNCTION("""COMPUTED_VALUE"""),24.457)</f>
        <v>24.457000000000001</v>
      </c>
      <c r="O160" s="45">
        <f ca="1">IFERROR(__xludf.DUMMYFUNCTION("""COMPUTED_VALUE"""),0.322)</f>
        <v>0.32200000000000001</v>
      </c>
      <c r="P160" s="45" t="str">
        <f ca="1">IFERROR(__xludf.DUMMYFUNCTION("""COMPUTED_VALUE"""),"Colombo, LK")</f>
        <v>Colombo, LK</v>
      </c>
      <c r="Q160" s="45" t="str">
        <f ca="1">IFERROR(__xludf.DUMMYFUNCTION("""COMPUTED_VALUE"""),"Rotterdam, NL")</f>
        <v>Rotterdam, NL</v>
      </c>
      <c r="R160" s="44">
        <f ca="1">IFERROR(__xludf.DUMMYFUNCTION("""COMPUTED_VALUE"""),45817)</f>
        <v>45817</v>
      </c>
      <c r="S160" s="44">
        <f ca="1">IFERROR(__xludf.DUMMYFUNCTION("""COMPUTED_VALUE"""),45871)</f>
        <v>45871</v>
      </c>
      <c r="T160" s="45" t="str">
        <f ca="1">IFERROR(__xludf.DUMMYFUNCTION("""COMPUTED_VALUE"""),"Rotterdam, NL")</f>
        <v>Rotterdam, NL</v>
      </c>
      <c r="U160" s="45"/>
      <c r="V160" s="45"/>
      <c r="W160" s="45"/>
      <c r="X160" s="45"/>
      <c r="Y160" s="46">
        <f ca="1">IFERROR(__xludf.DUMMYFUNCTION("""COMPUTED_VALUE"""),45825)</f>
        <v>45825</v>
      </c>
      <c r="Z160" s="46">
        <f ca="1">IFERROR(__xludf.DUMMYFUNCTION("""COMPUTED_VALUE"""),45854)</f>
        <v>45854</v>
      </c>
      <c r="AA160" s="46">
        <f ca="1">IFERROR(__xludf.DUMMYFUNCTION("""COMPUTED_VALUE"""),45861)</f>
        <v>45861</v>
      </c>
      <c r="AB160" s="45" t="str">
        <f ca="1">IFERROR(__xludf.DUMMYFUNCTION("""COMPUTED_VALUE"""),"Conradweg 26")</f>
        <v>Conradweg 26</v>
      </c>
      <c r="AC160" s="45"/>
      <c r="AD160" s="45" t="str">
        <f ca="1">IFERROR(__xludf.DUMMYFUNCTION("""COMPUTED_VALUE"""),"OCEAN")</f>
        <v>OCEAN</v>
      </c>
      <c r="AE160" s="45" t="str">
        <f ca="1">IFERROR(__xludf.DUMMYFUNCTION("""COMPUTED_VALUE"""),"N")</f>
        <v>N</v>
      </c>
      <c r="AF160" s="45"/>
      <c r="AG160" s="49" t="str">
        <f ca="1">IFERROR(__xludf.DUMMYFUNCTION("IFNA(vlookup(H160,IMPORTRANGE(""1vUGwO1n0QQGx9kKbO0_M5gmuhXZ6-LaxQxgrmJnzgP0"",""'TP# look up'!A:C""),3,0),"""")"),"")</f>
        <v/>
      </c>
      <c r="AH160" s="49" t="str">
        <f t="shared" ca="1" si="2"/>
        <v>LW</v>
      </c>
    </row>
    <row r="161" spans="1:34" ht="12.75" hidden="1">
      <c r="A161" s="45" t="str">
        <f ca="1">IFERROR(__xludf.DUMMYFUNCTION("""COMPUTED_VALUE"""),"Colombo")</f>
        <v>Colombo</v>
      </c>
      <c r="B161" s="45"/>
      <c r="C161" s="45">
        <f ca="1">IFERROR(__xludf.DUMMYFUNCTION("""COMPUTED_VALUE"""),3231490)</f>
        <v>3231490</v>
      </c>
      <c r="D161" s="45"/>
      <c r="E161" s="45" t="str">
        <f ca="1">IFERROR(__xludf.DUMMYFUNCTION("""COMPUTED_VALUE"""),"CFS")</f>
        <v>CFS</v>
      </c>
      <c r="F161" s="45" t="str">
        <f ca="1">IFERROR(__xludf.DUMMYFUNCTION("""COMPUTED_VALUE"""),"MAS AMITY PTE LTD")</f>
        <v>MAS AMITY PTE LTD</v>
      </c>
      <c r="G161" s="45" t="str">
        <f ca="1">IFERROR(__xludf.DUMMYFUNCTION("""COMPUTED_VALUE"""),"MAS Active(Pvt) Ltd – CONTOURLINE")</f>
        <v>MAS Active(Pvt) Ltd – CONTOURLINE</v>
      </c>
      <c r="H161" s="43">
        <f ca="1">IFERROR(__xludf.DUMMYFUNCTION("""COMPUTED_VALUE"""),452819751965)</f>
        <v>452819751965</v>
      </c>
      <c r="I161" s="45">
        <f ca="1">IFERROR(__xludf.DUMMYFUNCTION("""COMPUTED_VALUE"""),19920980)</f>
        <v>19920980</v>
      </c>
      <c r="J161" s="45" t="str">
        <f ca="1">IFERROR(__xludf.DUMMYFUNCTION("""COMPUTED_VALUE"""),"LW5FODS")</f>
        <v>LW5FODS</v>
      </c>
      <c r="K161" s="45" t="str">
        <f ca="1">IFERROR(__xludf.DUMMYFUNCTION("""COMPUTED_VALUE"""),"LW5FODS-071300")</f>
        <v>LW5FODS-071300</v>
      </c>
      <c r="L161" s="45">
        <f ca="1">IFERROR(__xludf.DUMMYFUNCTION("""COMPUTED_VALUE"""),1)</f>
        <v>1</v>
      </c>
      <c r="M161" s="45">
        <f ca="1">IFERROR(__xludf.DUMMYFUNCTION("""COMPUTED_VALUE"""),63)</f>
        <v>63</v>
      </c>
      <c r="N161" s="45">
        <f ca="1">IFERROR(__xludf.DUMMYFUNCTION("""COMPUTED_VALUE"""),13.175)</f>
        <v>13.175000000000001</v>
      </c>
      <c r="O161" s="45">
        <f ca="1">IFERROR(__xludf.DUMMYFUNCTION("""COMPUTED_VALUE"""),0.079)</f>
        <v>7.9000000000000001E-2</v>
      </c>
      <c r="P161" s="45" t="str">
        <f ca="1">IFERROR(__xludf.DUMMYFUNCTION("""COMPUTED_VALUE"""),"Colombo, LK")</f>
        <v>Colombo, LK</v>
      </c>
      <c r="Q161" s="45" t="str">
        <f ca="1">IFERROR(__xludf.DUMMYFUNCTION("""COMPUTED_VALUE"""),"Rotterdam, NL")</f>
        <v>Rotterdam, NL</v>
      </c>
      <c r="R161" s="44">
        <f ca="1">IFERROR(__xludf.DUMMYFUNCTION("""COMPUTED_VALUE"""),45817)</f>
        <v>45817</v>
      </c>
      <c r="S161" s="44">
        <f ca="1">IFERROR(__xludf.DUMMYFUNCTION("""COMPUTED_VALUE"""),45871)</f>
        <v>45871</v>
      </c>
      <c r="T161" s="45" t="str">
        <f ca="1">IFERROR(__xludf.DUMMYFUNCTION("""COMPUTED_VALUE"""),"Rotterdam, NL")</f>
        <v>Rotterdam, NL</v>
      </c>
      <c r="U161" s="45"/>
      <c r="V161" s="45"/>
      <c r="W161" s="45"/>
      <c r="X161" s="45"/>
      <c r="Y161" s="46">
        <f ca="1">IFERROR(__xludf.DUMMYFUNCTION("""COMPUTED_VALUE"""),45825)</f>
        <v>45825</v>
      </c>
      <c r="Z161" s="46">
        <f ca="1">IFERROR(__xludf.DUMMYFUNCTION("""COMPUTED_VALUE"""),45854)</f>
        <v>45854</v>
      </c>
      <c r="AA161" s="46">
        <f ca="1">IFERROR(__xludf.DUMMYFUNCTION("""COMPUTED_VALUE"""),45861)</f>
        <v>45861</v>
      </c>
      <c r="AB161" s="45" t="str">
        <f ca="1">IFERROR(__xludf.DUMMYFUNCTION("""COMPUTED_VALUE"""),"Conradweg 26")</f>
        <v>Conradweg 26</v>
      </c>
      <c r="AC161" s="45"/>
      <c r="AD161" s="45" t="str">
        <f ca="1">IFERROR(__xludf.DUMMYFUNCTION("""COMPUTED_VALUE"""),"OCEAN")</f>
        <v>OCEAN</v>
      </c>
      <c r="AE161" s="45" t="str">
        <f ca="1">IFERROR(__xludf.DUMMYFUNCTION("""COMPUTED_VALUE"""),"N")</f>
        <v>N</v>
      </c>
      <c r="AF161" s="45"/>
      <c r="AG161" s="49" t="str">
        <f ca="1">IFERROR(__xludf.DUMMYFUNCTION("IFNA(vlookup(H161,IMPORTRANGE(""1vUGwO1n0QQGx9kKbO0_M5gmuhXZ6-LaxQxgrmJnzgP0"",""'TP# look up'!A:C""),3,0),"""")"),"")</f>
        <v/>
      </c>
      <c r="AH161" s="49" t="str">
        <f t="shared" ca="1" si="2"/>
        <v>LW</v>
      </c>
    </row>
    <row r="162" spans="1:34" ht="12.75" hidden="1">
      <c r="A162" s="45" t="str">
        <f ca="1">IFERROR(__xludf.DUMMYFUNCTION("""COMPUTED_VALUE"""),"Colombo")</f>
        <v>Colombo</v>
      </c>
      <c r="B162" s="45"/>
      <c r="C162" s="45">
        <f ca="1">IFERROR(__xludf.DUMMYFUNCTION("""COMPUTED_VALUE"""),3231490)</f>
        <v>3231490</v>
      </c>
      <c r="D162" s="45"/>
      <c r="E162" s="45" t="str">
        <f ca="1">IFERROR(__xludf.DUMMYFUNCTION("""COMPUTED_VALUE"""),"CFS")</f>
        <v>CFS</v>
      </c>
      <c r="F162" s="45" t="str">
        <f ca="1">IFERROR(__xludf.DUMMYFUNCTION("""COMPUTED_VALUE"""),"Inqube Global (PVT) Ltd")</f>
        <v>Inqube Global (PVT) Ltd</v>
      </c>
      <c r="G162" s="45" t="str">
        <f ca="1">IFERROR(__xludf.DUMMYFUNCTION("""COMPUTED_VALUE"""),"Brandix Apparel Solutions Limited - Minuwangoda")</f>
        <v>Brandix Apparel Solutions Limited - Minuwangoda</v>
      </c>
      <c r="H162" s="43">
        <f ca="1">IFERROR(__xludf.DUMMYFUNCTION("""COMPUTED_VALUE"""),450837233705)</f>
        <v>450837233705</v>
      </c>
      <c r="I162" s="45">
        <f ca="1">IFERROR(__xludf.DUMMYFUNCTION("""COMPUTED_VALUE"""),19854895)</f>
        <v>19854895</v>
      </c>
      <c r="J162" s="45" t="str">
        <f ca="1">IFERROR(__xludf.DUMMYFUNCTION("""COMPUTED_VALUE"""),"LW3KASS")</f>
        <v>LW3KASS</v>
      </c>
      <c r="K162" s="45" t="str">
        <f ca="1">IFERROR(__xludf.DUMMYFUNCTION("""COMPUTED_VALUE"""),"LW3KASS-070108")</f>
        <v>LW3KASS-070108</v>
      </c>
      <c r="L162" s="45">
        <f ca="1">IFERROR(__xludf.DUMMYFUNCTION("""COMPUTED_VALUE"""),5)</f>
        <v>5</v>
      </c>
      <c r="M162" s="45">
        <f ca="1">IFERROR(__xludf.DUMMYFUNCTION("""COMPUTED_VALUE"""),144)</f>
        <v>144</v>
      </c>
      <c r="N162" s="45">
        <f ca="1">IFERROR(__xludf.DUMMYFUNCTION("""COMPUTED_VALUE"""),43.935)</f>
        <v>43.935000000000002</v>
      </c>
      <c r="O162" s="45">
        <f ca="1">IFERROR(__xludf.DUMMYFUNCTION("""COMPUTED_VALUE"""),0.393)</f>
        <v>0.39300000000000002</v>
      </c>
      <c r="P162" s="45" t="str">
        <f ca="1">IFERROR(__xludf.DUMMYFUNCTION("""COMPUTED_VALUE"""),"Colombo, LK")</f>
        <v>Colombo, LK</v>
      </c>
      <c r="Q162" s="45" t="str">
        <f ca="1">IFERROR(__xludf.DUMMYFUNCTION("""COMPUTED_VALUE"""),"Rotterdam, NL")</f>
        <v>Rotterdam, NL</v>
      </c>
      <c r="R162" s="44">
        <f ca="1">IFERROR(__xludf.DUMMYFUNCTION("""COMPUTED_VALUE"""),45817)</f>
        <v>45817</v>
      </c>
      <c r="S162" s="44">
        <f ca="1">IFERROR(__xludf.DUMMYFUNCTION("""COMPUTED_VALUE"""),45871)</f>
        <v>45871</v>
      </c>
      <c r="T162" s="45" t="str">
        <f ca="1">IFERROR(__xludf.DUMMYFUNCTION("""COMPUTED_VALUE"""),"Rotterdam, NL")</f>
        <v>Rotterdam, NL</v>
      </c>
      <c r="U162" s="45"/>
      <c r="V162" s="45"/>
      <c r="W162" s="45"/>
      <c r="X162" s="45"/>
      <c r="Y162" s="46">
        <f ca="1">IFERROR(__xludf.DUMMYFUNCTION("""COMPUTED_VALUE"""),45825)</f>
        <v>45825</v>
      </c>
      <c r="Z162" s="46">
        <f ca="1">IFERROR(__xludf.DUMMYFUNCTION("""COMPUTED_VALUE"""),45854)</f>
        <v>45854</v>
      </c>
      <c r="AA162" s="46">
        <f ca="1">IFERROR(__xludf.DUMMYFUNCTION("""COMPUTED_VALUE"""),45861)</f>
        <v>45861</v>
      </c>
      <c r="AB162" s="45" t="str">
        <f ca="1">IFERROR(__xludf.DUMMYFUNCTION("""COMPUTED_VALUE"""),"Conradweg 26")</f>
        <v>Conradweg 26</v>
      </c>
      <c r="AC162" s="45"/>
      <c r="AD162" s="45" t="str">
        <f ca="1">IFERROR(__xludf.DUMMYFUNCTION("""COMPUTED_VALUE"""),"OCEAN")</f>
        <v>OCEAN</v>
      </c>
      <c r="AE162" s="45" t="str">
        <f ca="1">IFERROR(__xludf.DUMMYFUNCTION("""COMPUTED_VALUE"""),"N")</f>
        <v>N</v>
      </c>
      <c r="AF162" s="45"/>
      <c r="AG162" s="49" t="str">
        <f ca="1">IFERROR(__xludf.DUMMYFUNCTION("IFNA(vlookup(H162,IMPORTRANGE(""1vUGwO1n0QQGx9kKbO0_M5gmuhXZ6-LaxQxgrmJnzgP0"",""'TP# look up'!A:C""),3,0),"""")"),"")</f>
        <v/>
      </c>
      <c r="AH162" s="49" t="str">
        <f t="shared" ca="1" si="2"/>
        <v>LW</v>
      </c>
    </row>
    <row r="163" spans="1:34" ht="12.75" hidden="1">
      <c r="A163" s="45" t="str">
        <f ca="1">IFERROR(__xludf.DUMMYFUNCTION("""COMPUTED_VALUE"""),"Colombo")</f>
        <v>Colombo</v>
      </c>
      <c r="B163" s="45"/>
      <c r="C163" s="45">
        <f ca="1">IFERROR(__xludf.DUMMYFUNCTION("""COMPUTED_VALUE"""),3231490)</f>
        <v>3231490</v>
      </c>
      <c r="D163" s="45"/>
      <c r="E163" s="45" t="str">
        <f ca="1">IFERROR(__xludf.DUMMYFUNCTION("""COMPUTED_VALUE"""),"CFS")</f>
        <v>CFS</v>
      </c>
      <c r="F163" s="45" t="str">
        <f ca="1">IFERROR(__xludf.DUMMYFUNCTION("""COMPUTED_VALUE"""),"Inqube Global (PVT) Ltd")</f>
        <v>Inqube Global (PVT) Ltd</v>
      </c>
      <c r="G163" s="45" t="str">
        <f ca="1">IFERROR(__xludf.DUMMYFUNCTION("""COMPUTED_VALUE"""),"Brandix Apparel Solutions Limited - Minuwangoda")</f>
        <v>Brandix Apparel Solutions Limited - Minuwangoda</v>
      </c>
      <c r="H163" s="43">
        <f ca="1">IFERROR(__xludf.DUMMYFUNCTION("""COMPUTED_VALUE"""),450835976826)</f>
        <v>450835976826</v>
      </c>
      <c r="I163" s="45">
        <f ca="1">IFERROR(__xludf.DUMMYFUNCTION("""COMPUTED_VALUE"""),19854893)</f>
        <v>19854893</v>
      </c>
      <c r="J163" s="45" t="str">
        <f ca="1">IFERROR(__xludf.DUMMYFUNCTION("""COMPUTED_VALUE"""),"LW3KASS")</f>
        <v>LW3KASS</v>
      </c>
      <c r="K163" s="45" t="str">
        <f ca="1">IFERROR(__xludf.DUMMYFUNCTION("""COMPUTED_VALUE"""),"LW3KASS-070108")</f>
        <v>LW3KASS-070108</v>
      </c>
      <c r="L163" s="45">
        <f ca="1">IFERROR(__xludf.DUMMYFUNCTION("""COMPUTED_VALUE"""),9)</f>
        <v>9</v>
      </c>
      <c r="M163" s="45">
        <f ca="1">IFERROR(__xludf.DUMMYFUNCTION("""COMPUTED_VALUE"""),215)</f>
        <v>215</v>
      </c>
      <c r="N163" s="45">
        <f ca="1">IFERROR(__xludf.DUMMYFUNCTION("""COMPUTED_VALUE"""),67.185)</f>
        <v>67.185000000000002</v>
      </c>
      <c r="O163" s="45">
        <f ca="1">IFERROR(__xludf.DUMMYFUNCTION("""COMPUTED_VALUE"""),0.707)</f>
        <v>0.70699999999999996</v>
      </c>
      <c r="P163" s="45" t="str">
        <f ca="1">IFERROR(__xludf.DUMMYFUNCTION("""COMPUTED_VALUE"""),"Colombo, LK")</f>
        <v>Colombo, LK</v>
      </c>
      <c r="Q163" s="45" t="str">
        <f ca="1">IFERROR(__xludf.DUMMYFUNCTION("""COMPUTED_VALUE"""),"Rotterdam, NL")</f>
        <v>Rotterdam, NL</v>
      </c>
      <c r="R163" s="44">
        <f ca="1">IFERROR(__xludf.DUMMYFUNCTION("""COMPUTED_VALUE"""),45817)</f>
        <v>45817</v>
      </c>
      <c r="S163" s="44">
        <f ca="1">IFERROR(__xludf.DUMMYFUNCTION("""COMPUTED_VALUE"""),45871)</f>
        <v>45871</v>
      </c>
      <c r="T163" s="45" t="str">
        <f ca="1">IFERROR(__xludf.DUMMYFUNCTION("""COMPUTED_VALUE"""),"Rotterdam, NL")</f>
        <v>Rotterdam, NL</v>
      </c>
      <c r="U163" s="45"/>
      <c r="V163" s="45"/>
      <c r="W163" s="45"/>
      <c r="X163" s="45"/>
      <c r="Y163" s="46">
        <f ca="1">IFERROR(__xludf.DUMMYFUNCTION("""COMPUTED_VALUE"""),45825)</f>
        <v>45825</v>
      </c>
      <c r="Z163" s="46">
        <f ca="1">IFERROR(__xludf.DUMMYFUNCTION("""COMPUTED_VALUE"""),45854)</f>
        <v>45854</v>
      </c>
      <c r="AA163" s="46">
        <f ca="1">IFERROR(__xludf.DUMMYFUNCTION("""COMPUTED_VALUE"""),45861)</f>
        <v>45861</v>
      </c>
      <c r="AB163" s="45" t="str">
        <f ca="1">IFERROR(__xludf.DUMMYFUNCTION("""COMPUTED_VALUE"""),"Conradweg 26")</f>
        <v>Conradweg 26</v>
      </c>
      <c r="AC163" s="45"/>
      <c r="AD163" s="45" t="str">
        <f ca="1">IFERROR(__xludf.DUMMYFUNCTION("""COMPUTED_VALUE"""),"OCEAN")</f>
        <v>OCEAN</v>
      </c>
      <c r="AE163" s="45" t="str">
        <f ca="1">IFERROR(__xludf.DUMMYFUNCTION("""COMPUTED_VALUE"""),"N")</f>
        <v>N</v>
      </c>
      <c r="AF163" s="45"/>
      <c r="AG163" s="49" t="str">
        <f ca="1">IFERROR(__xludf.DUMMYFUNCTION("IFNA(vlookup(H163,IMPORTRANGE(""1vUGwO1n0QQGx9kKbO0_M5gmuhXZ6-LaxQxgrmJnzgP0"",""'TP# look up'!A:C""),3,0),"""")"),"")</f>
        <v/>
      </c>
      <c r="AH163" s="49" t="str">
        <f t="shared" ca="1" si="2"/>
        <v>LW</v>
      </c>
    </row>
    <row r="164" spans="1:34" ht="12.75" hidden="1">
      <c r="A164" s="45" t="str">
        <f ca="1">IFERROR(__xludf.DUMMYFUNCTION("""COMPUTED_VALUE"""),"Colombo")</f>
        <v>Colombo</v>
      </c>
      <c r="B164" s="45"/>
      <c r="C164" s="45">
        <f ca="1">IFERROR(__xludf.DUMMYFUNCTION("""COMPUTED_VALUE"""),3231352)</f>
        <v>3231352</v>
      </c>
      <c r="D164" s="45"/>
      <c r="E164" s="45" t="str">
        <f ca="1">IFERROR(__xludf.DUMMYFUNCTION("""COMPUTED_VALUE"""),"CFS")</f>
        <v>CFS</v>
      </c>
      <c r="F164" s="45" t="str">
        <f ca="1">IFERROR(__xludf.DUMMYFUNCTION("""COMPUTED_VALUE"""),"MAS AMITY PTE LTD")</f>
        <v>MAS AMITY PTE LTD</v>
      </c>
      <c r="G164" s="45" t="str">
        <f ca="1">IFERROR(__xludf.DUMMYFUNCTION("""COMPUTED_VALUE"""),"MAS Active(Pvt) Ltd – CONTOURLINE")</f>
        <v>MAS Active(Pvt) Ltd – CONTOURLINE</v>
      </c>
      <c r="H164" s="43">
        <f ca="1">IFERROR(__xludf.DUMMYFUNCTION("""COMPUTED_VALUE"""),450953461664)</f>
        <v>450953461664</v>
      </c>
      <c r="I164" s="45">
        <f ca="1">IFERROR(__xludf.DUMMYFUNCTION("""COMPUTED_VALUE"""),19925417)</f>
        <v>19925417</v>
      </c>
      <c r="J164" s="45" t="str">
        <f ca="1">IFERROR(__xludf.DUMMYFUNCTION("""COMPUTED_VALUE"""),"LW5FARS")</f>
        <v>LW5FARS</v>
      </c>
      <c r="K164" s="45" t="str">
        <f ca="1">IFERROR(__xludf.DUMMYFUNCTION("""COMPUTED_VALUE"""),"LW5FARS-0001")</f>
        <v>LW5FARS-0001</v>
      </c>
      <c r="L164" s="45">
        <f ca="1">IFERROR(__xludf.DUMMYFUNCTION("""COMPUTED_VALUE"""),1)</f>
        <v>1</v>
      </c>
      <c r="M164" s="45">
        <f ca="1">IFERROR(__xludf.DUMMYFUNCTION("""COMPUTED_VALUE"""),2)</f>
        <v>2</v>
      </c>
      <c r="N164" s="45">
        <f ca="1">IFERROR(__xludf.DUMMYFUNCTION("""COMPUTED_VALUE"""),1.359)</f>
        <v>1.359</v>
      </c>
      <c r="O164" s="45">
        <f ca="1">IFERROR(__xludf.DUMMYFUNCTION("""COMPUTED_VALUE"""),0.039)</f>
        <v>3.9E-2</v>
      </c>
      <c r="P164" s="45" t="str">
        <f ca="1">IFERROR(__xludf.DUMMYFUNCTION("""COMPUTED_VALUE"""),"Colombo, LK")</f>
        <v>Colombo, LK</v>
      </c>
      <c r="Q164" s="45" t="str">
        <f ca="1">IFERROR(__xludf.DUMMYFUNCTION("""COMPUTED_VALUE"""),"New York, NY, US")</f>
        <v>New York, NY, US</v>
      </c>
      <c r="R164" s="44">
        <f ca="1">IFERROR(__xludf.DUMMYFUNCTION("""COMPUTED_VALUE"""),45817)</f>
        <v>45817</v>
      </c>
      <c r="S164" s="44">
        <f ca="1">IFERROR(__xludf.DUMMYFUNCTION("""COMPUTED_VALUE"""),45876)</f>
        <v>45876</v>
      </c>
      <c r="T164" s="45" t="str">
        <f ca="1">IFERROR(__xludf.DUMMYFUNCTION("""COMPUTED_VALUE"""),"Mississauga, ON, CA")</f>
        <v>Mississauga, ON, CA</v>
      </c>
      <c r="U164" s="45"/>
      <c r="V164" s="45"/>
      <c r="W164" s="45"/>
      <c r="X164" s="45"/>
      <c r="Y164" s="46">
        <f ca="1">IFERROR(__xludf.DUMMYFUNCTION("""COMPUTED_VALUE"""),45825)</f>
        <v>45825</v>
      </c>
      <c r="Z164" s="46">
        <f ca="1">IFERROR(__xludf.DUMMYFUNCTION("""COMPUTED_VALUE"""),45854)</f>
        <v>45854</v>
      </c>
      <c r="AA164" s="46">
        <f ca="1">IFERROR(__xludf.DUMMYFUNCTION("""COMPUTED_VALUE"""),45867)</f>
        <v>45867</v>
      </c>
      <c r="AB164" s="45" t="str">
        <f ca="1">IFERROR(__xludf.DUMMYFUNCTION("""COMPUTED_VALUE"""),"3500 Argentia Road")</f>
        <v>3500 Argentia Road</v>
      </c>
      <c r="AC164" s="45"/>
      <c r="AD164" s="45" t="str">
        <f ca="1">IFERROR(__xludf.DUMMYFUNCTION("""COMPUTED_VALUE"""),"OCEAN")</f>
        <v>OCEAN</v>
      </c>
      <c r="AE164" s="45" t="str">
        <f ca="1">IFERROR(__xludf.DUMMYFUNCTION("""COMPUTED_VALUE"""),"N")</f>
        <v>N</v>
      </c>
      <c r="AF164" s="45"/>
      <c r="AG164" s="49" t="str">
        <f ca="1">IFERROR(__xludf.DUMMYFUNCTION("IFNA(vlookup(H164,IMPORTRANGE(""1vUGwO1n0QQGx9kKbO0_M5gmuhXZ6-LaxQxgrmJnzgP0"",""'TP# look up'!A:C""),3,0),"""")"),"")</f>
        <v/>
      </c>
      <c r="AH164" s="49" t="str">
        <f t="shared" ca="1" si="2"/>
        <v>LW</v>
      </c>
    </row>
    <row r="165" spans="1:34" ht="12.75" hidden="1">
      <c r="A165" s="45" t="str">
        <f ca="1">IFERROR(__xludf.DUMMYFUNCTION("""COMPUTED_VALUE"""),"Colombo")</f>
        <v>Colombo</v>
      </c>
      <c r="B165" s="45"/>
      <c r="C165" s="45">
        <f ca="1">IFERROR(__xludf.DUMMYFUNCTION("""COMPUTED_VALUE"""),3254118)</f>
        <v>3254118</v>
      </c>
      <c r="D165" s="45"/>
      <c r="E165" s="45" t="str">
        <f ca="1">IFERROR(__xludf.DUMMYFUNCTION("""COMPUTED_VALUE"""),"CFS")</f>
        <v>CFS</v>
      </c>
      <c r="F165" s="45" t="str">
        <f ca="1">IFERROR(__xludf.DUMMYFUNCTION("""COMPUTED_VALUE"""),"Inqube Global (PVT) Ltd")</f>
        <v>Inqube Global (PVT) Ltd</v>
      </c>
      <c r="G165" s="45" t="str">
        <f ca="1">IFERROR(__xludf.DUMMYFUNCTION("""COMPUTED_VALUE"""),"BRANDIX APPAREL SOLUTION LTD - GIRITALE")</f>
        <v>BRANDIX APPAREL SOLUTION LTD - GIRITALE</v>
      </c>
      <c r="H165" s="43">
        <f ca="1">IFERROR(__xludf.DUMMYFUNCTION("""COMPUTED_VALUE"""),452503025214)</f>
        <v>452503025214</v>
      </c>
      <c r="I165" s="45">
        <f ca="1">IFERROR(__xludf.DUMMYFUNCTION("""COMPUTED_VALUE"""),19807145)</f>
        <v>19807145</v>
      </c>
      <c r="J165" s="45" t="str">
        <f ca="1">IFERROR(__xludf.DUMMYFUNCTION("""COMPUTED_VALUE"""),"LM5BKOS")</f>
        <v>LM5BKOS</v>
      </c>
      <c r="K165" s="45" t="str">
        <f ca="1">IFERROR(__xludf.DUMMYFUNCTION("""COMPUTED_VALUE"""),"LM5BKOS-031382")</f>
        <v>LM5BKOS-031382</v>
      </c>
      <c r="L165" s="45">
        <f ca="1">IFERROR(__xludf.DUMMYFUNCTION("""COMPUTED_VALUE"""),6)</f>
        <v>6</v>
      </c>
      <c r="M165" s="45">
        <f ca="1">IFERROR(__xludf.DUMMYFUNCTION("""COMPUTED_VALUE"""),215)</f>
        <v>215</v>
      </c>
      <c r="N165" s="45">
        <f ca="1">IFERROR(__xludf.DUMMYFUNCTION("""COMPUTED_VALUE"""),85.4)</f>
        <v>85.4</v>
      </c>
      <c r="O165" s="45">
        <f ca="1">IFERROR(__xludf.DUMMYFUNCTION("""COMPUTED_VALUE"""),0.495)</f>
        <v>0.495</v>
      </c>
      <c r="P165" s="45" t="str">
        <f ca="1">IFERROR(__xludf.DUMMYFUNCTION("""COMPUTED_VALUE"""),"Colombo, LK")</f>
        <v>Colombo, LK</v>
      </c>
      <c r="Q165" s="45" t="str">
        <f ca="1">IFERROR(__xludf.DUMMYFUNCTION("""COMPUTED_VALUE"""),"Felixstowe, GB")</f>
        <v>Felixstowe, GB</v>
      </c>
      <c r="R165" s="44">
        <f ca="1">IFERROR(__xludf.DUMMYFUNCTION("""COMPUTED_VALUE"""),45824)</f>
        <v>45824</v>
      </c>
      <c r="S165" s="44">
        <f ca="1">IFERROR(__xludf.DUMMYFUNCTION("""COMPUTED_VALUE"""),45883)</f>
        <v>45883</v>
      </c>
      <c r="T165" s="45" t="str">
        <f ca="1">IFERROR(__xludf.DUMMYFUNCTION("""COMPUTED_VALUE"""),"Birmingham, GB")</f>
        <v>Birmingham, GB</v>
      </c>
      <c r="U165" s="45"/>
      <c r="V165" s="45"/>
      <c r="W165" s="45"/>
      <c r="X165" s="45"/>
      <c r="Y165" s="46">
        <f ca="1">IFERROR(__xludf.DUMMYFUNCTION("""COMPUTED_VALUE"""),45824)</f>
        <v>45824</v>
      </c>
      <c r="Z165" s="46">
        <f ca="1">IFERROR(__xludf.DUMMYFUNCTION("""COMPUTED_VALUE"""),45852)</f>
        <v>45852</v>
      </c>
      <c r="AA165" s="46">
        <f ca="1">IFERROR(__xludf.DUMMYFUNCTION("""COMPUTED_VALUE"""),45859)</f>
        <v>45859</v>
      </c>
      <c r="AB165" s="45" t="str">
        <f ca="1">IFERROR(__xludf.DUMMYFUNCTION("""COMPUTED_VALUE"""),"10A Faraday Ave")</f>
        <v>10A Faraday Ave</v>
      </c>
      <c r="AC165" s="45" t="str">
        <f ca="1">IFERROR(__xludf.DUMMYFUNCTION("""COMPUTED_VALUE"""),"Coleshill")</f>
        <v>Coleshill</v>
      </c>
      <c r="AD165" s="45" t="str">
        <f ca="1">IFERROR(__xludf.DUMMYFUNCTION("""COMPUTED_VALUE"""),"OCEAN")</f>
        <v>OCEAN</v>
      </c>
      <c r="AE165" s="45" t="str">
        <f ca="1">IFERROR(__xludf.DUMMYFUNCTION("""COMPUTED_VALUE"""),"N")</f>
        <v>N</v>
      </c>
      <c r="AF165" s="45"/>
      <c r="AG165" s="49" t="str">
        <f ca="1">IFERROR(__xludf.DUMMYFUNCTION("IFNA(vlookup(H165,IMPORTRANGE(""1vUGwO1n0QQGx9kKbO0_M5gmuhXZ6-LaxQxgrmJnzgP0"",""'TP# look up'!A:C""),3,0),"""")"),"")</f>
        <v/>
      </c>
      <c r="AH165" s="49" t="str">
        <f t="shared" ca="1" si="2"/>
        <v>LM</v>
      </c>
    </row>
    <row r="166" spans="1:34" ht="12.75" hidden="1">
      <c r="A166" s="45" t="str">
        <f ca="1">IFERROR(__xludf.DUMMYFUNCTION("""COMPUTED_VALUE"""),"Colombo")</f>
        <v>Colombo</v>
      </c>
      <c r="B166" s="45"/>
      <c r="C166" s="45">
        <f ca="1">IFERROR(__xludf.DUMMYFUNCTION("""COMPUTED_VALUE"""),3254118)</f>
        <v>3254118</v>
      </c>
      <c r="D166" s="45"/>
      <c r="E166" s="45" t="str">
        <f ca="1">IFERROR(__xludf.DUMMYFUNCTION("""COMPUTED_VALUE"""),"CFS")</f>
        <v>CFS</v>
      </c>
      <c r="F166" s="45" t="str">
        <f ca="1">IFERROR(__xludf.DUMMYFUNCTION("""COMPUTED_VALUE"""),"Inqube Global (PVT) Ltd")</f>
        <v>Inqube Global (PVT) Ltd</v>
      </c>
      <c r="G166" s="45" t="str">
        <f ca="1">IFERROR(__xludf.DUMMYFUNCTION("""COMPUTED_VALUE"""),"BRANDIX APPAREL SOLUTION LTD - GIRITALE")</f>
        <v>BRANDIX APPAREL SOLUTION LTD - GIRITALE</v>
      </c>
      <c r="H166" s="43">
        <f ca="1">IFERROR(__xludf.DUMMYFUNCTION("""COMPUTED_VALUE"""),452503031243)</f>
        <v>452503031243</v>
      </c>
      <c r="I166" s="45">
        <f ca="1">IFERROR(__xludf.DUMMYFUNCTION("""COMPUTED_VALUE"""),19807150)</f>
        <v>19807150</v>
      </c>
      <c r="J166" s="45" t="str">
        <f ca="1">IFERROR(__xludf.DUMMYFUNCTION("""COMPUTED_VALUE"""),"LM5BKOS")</f>
        <v>LM5BKOS</v>
      </c>
      <c r="K166" s="45" t="str">
        <f ca="1">IFERROR(__xludf.DUMMYFUNCTION("""COMPUTED_VALUE"""),"LM5BKOS-031382")</f>
        <v>LM5BKOS-031382</v>
      </c>
      <c r="L166" s="45">
        <f ca="1">IFERROR(__xludf.DUMMYFUNCTION("""COMPUTED_VALUE"""),5)</f>
        <v>5</v>
      </c>
      <c r="M166" s="45">
        <f ca="1">IFERROR(__xludf.DUMMYFUNCTION("""COMPUTED_VALUE"""),169)</f>
        <v>169</v>
      </c>
      <c r="N166" s="45">
        <f ca="1">IFERROR(__xludf.DUMMYFUNCTION("""COMPUTED_VALUE"""),67.46)</f>
        <v>67.459999999999994</v>
      </c>
      <c r="O166" s="45">
        <f ca="1">IFERROR(__xludf.DUMMYFUNCTION("""COMPUTED_VALUE"""),0.373)</f>
        <v>0.373</v>
      </c>
      <c r="P166" s="45" t="str">
        <f ca="1">IFERROR(__xludf.DUMMYFUNCTION("""COMPUTED_VALUE"""),"Colombo, LK")</f>
        <v>Colombo, LK</v>
      </c>
      <c r="Q166" s="45" t="str">
        <f ca="1">IFERROR(__xludf.DUMMYFUNCTION("""COMPUTED_VALUE"""),"Felixstowe, GB")</f>
        <v>Felixstowe, GB</v>
      </c>
      <c r="R166" s="44">
        <f ca="1">IFERROR(__xludf.DUMMYFUNCTION("""COMPUTED_VALUE"""),45824)</f>
        <v>45824</v>
      </c>
      <c r="S166" s="44">
        <f ca="1">IFERROR(__xludf.DUMMYFUNCTION("""COMPUTED_VALUE"""),45883)</f>
        <v>45883</v>
      </c>
      <c r="T166" s="45" t="str">
        <f ca="1">IFERROR(__xludf.DUMMYFUNCTION("""COMPUTED_VALUE"""),"Birmingham, GB")</f>
        <v>Birmingham, GB</v>
      </c>
      <c r="U166" s="45"/>
      <c r="V166" s="45"/>
      <c r="W166" s="45"/>
      <c r="X166" s="45"/>
      <c r="Y166" s="46">
        <f ca="1">IFERROR(__xludf.DUMMYFUNCTION("""COMPUTED_VALUE"""),45824)</f>
        <v>45824</v>
      </c>
      <c r="Z166" s="46">
        <f ca="1">IFERROR(__xludf.DUMMYFUNCTION("""COMPUTED_VALUE"""),45852)</f>
        <v>45852</v>
      </c>
      <c r="AA166" s="46">
        <f ca="1">IFERROR(__xludf.DUMMYFUNCTION("""COMPUTED_VALUE"""),45859)</f>
        <v>45859</v>
      </c>
      <c r="AB166" s="45" t="str">
        <f ca="1">IFERROR(__xludf.DUMMYFUNCTION("""COMPUTED_VALUE"""),"10A Faraday Ave")</f>
        <v>10A Faraday Ave</v>
      </c>
      <c r="AC166" s="45" t="str">
        <f ca="1">IFERROR(__xludf.DUMMYFUNCTION("""COMPUTED_VALUE"""),"Coleshill")</f>
        <v>Coleshill</v>
      </c>
      <c r="AD166" s="45" t="str">
        <f ca="1">IFERROR(__xludf.DUMMYFUNCTION("""COMPUTED_VALUE"""),"OCEAN")</f>
        <v>OCEAN</v>
      </c>
      <c r="AE166" s="45" t="str">
        <f ca="1">IFERROR(__xludf.DUMMYFUNCTION("""COMPUTED_VALUE"""),"N")</f>
        <v>N</v>
      </c>
      <c r="AF166" s="45"/>
      <c r="AG166" s="49" t="str">
        <f ca="1">IFERROR(__xludf.DUMMYFUNCTION("IFNA(vlookup(H166,IMPORTRANGE(""1vUGwO1n0QQGx9kKbO0_M5gmuhXZ6-LaxQxgrmJnzgP0"",""'TP# look up'!A:C""),3,0),"""")"),"")</f>
        <v/>
      </c>
      <c r="AH166" s="49" t="str">
        <f t="shared" ca="1" si="2"/>
        <v>LM</v>
      </c>
    </row>
    <row r="167" spans="1:34" ht="12.75" hidden="1">
      <c r="A167" s="45" t="str">
        <f ca="1">IFERROR(__xludf.DUMMYFUNCTION("""COMPUTED_VALUE"""),"Colombo")</f>
        <v>Colombo</v>
      </c>
      <c r="B167" s="45"/>
      <c r="C167" s="45">
        <f ca="1">IFERROR(__xludf.DUMMYFUNCTION("""COMPUTED_VALUE"""),3254118)</f>
        <v>3254118</v>
      </c>
      <c r="D167" s="45"/>
      <c r="E167" s="45" t="str">
        <f ca="1">IFERROR(__xludf.DUMMYFUNCTION("""COMPUTED_VALUE"""),"CFS")</f>
        <v>CFS</v>
      </c>
      <c r="F167" s="45" t="str">
        <f ca="1">IFERROR(__xludf.DUMMYFUNCTION("""COMPUTED_VALUE"""),"Inqube Global (PVT) Ltd")</f>
        <v>Inqube Global (PVT) Ltd</v>
      </c>
      <c r="G167" s="45" t="str">
        <f ca="1">IFERROR(__xludf.DUMMYFUNCTION("""COMPUTED_VALUE"""),"BRANDIX APPAREL SOLUTION LTD - GIRITALE")</f>
        <v>BRANDIX APPAREL SOLUTION LTD - GIRITALE</v>
      </c>
      <c r="H167" s="43">
        <f ca="1">IFERROR(__xludf.DUMMYFUNCTION("""COMPUTED_VALUE"""),452503041065)</f>
        <v>452503041065</v>
      </c>
      <c r="I167" s="45">
        <f ca="1">IFERROR(__xludf.DUMMYFUNCTION("""COMPUTED_VALUE"""),19807140)</f>
        <v>19807140</v>
      </c>
      <c r="J167" s="45" t="str">
        <f ca="1">IFERROR(__xludf.DUMMYFUNCTION("""COMPUTED_VALUE"""),"LM5BKOS")</f>
        <v>LM5BKOS</v>
      </c>
      <c r="K167" s="45" t="str">
        <f ca="1">IFERROR(__xludf.DUMMYFUNCTION("""COMPUTED_VALUE"""),"LM5BKOS-0001")</f>
        <v>LM5BKOS-0001</v>
      </c>
      <c r="L167" s="45">
        <f ca="1">IFERROR(__xludf.DUMMYFUNCTION("""COMPUTED_VALUE"""),8)</f>
        <v>8</v>
      </c>
      <c r="M167" s="45">
        <f ca="1">IFERROR(__xludf.DUMMYFUNCTION("""COMPUTED_VALUE"""),275)</f>
        <v>275</v>
      </c>
      <c r="N167" s="45">
        <f ca="1">IFERROR(__xludf.DUMMYFUNCTION("""COMPUTED_VALUE"""),109.2)</f>
        <v>109.2</v>
      </c>
      <c r="O167" s="45">
        <f ca="1">IFERROR(__xludf.DUMMYFUNCTION("""COMPUTED_VALUE"""),0.58)</f>
        <v>0.57999999999999996</v>
      </c>
      <c r="P167" s="45" t="str">
        <f ca="1">IFERROR(__xludf.DUMMYFUNCTION("""COMPUTED_VALUE"""),"Colombo, LK")</f>
        <v>Colombo, LK</v>
      </c>
      <c r="Q167" s="45" t="str">
        <f ca="1">IFERROR(__xludf.DUMMYFUNCTION("""COMPUTED_VALUE"""),"Felixstowe, GB")</f>
        <v>Felixstowe, GB</v>
      </c>
      <c r="R167" s="44">
        <f ca="1">IFERROR(__xludf.DUMMYFUNCTION("""COMPUTED_VALUE"""),45824)</f>
        <v>45824</v>
      </c>
      <c r="S167" s="44">
        <f ca="1">IFERROR(__xludf.DUMMYFUNCTION("""COMPUTED_VALUE"""),45883)</f>
        <v>45883</v>
      </c>
      <c r="T167" s="45" t="str">
        <f ca="1">IFERROR(__xludf.DUMMYFUNCTION("""COMPUTED_VALUE"""),"Birmingham, GB")</f>
        <v>Birmingham, GB</v>
      </c>
      <c r="U167" s="45"/>
      <c r="V167" s="45"/>
      <c r="W167" s="45"/>
      <c r="X167" s="45"/>
      <c r="Y167" s="46">
        <f ca="1">IFERROR(__xludf.DUMMYFUNCTION("""COMPUTED_VALUE"""),45824)</f>
        <v>45824</v>
      </c>
      <c r="Z167" s="46">
        <f ca="1">IFERROR(__xludf.DUMMYFUNCTION("""COMPUTED_VALUE"""),45852)</f>
        <v>45852</v>
      </c>
      <c r="AA167" s="46">
        <f ca="1">IFERROR(__xludf.DUMMYFUNCTION("""COMPUTED_VALUE"""),45859)</f>
        <v>45859</v>
      </c>
      <c r="AB167" s="45" t="str">
        <f ca="1">IFERROR(__xludf.DUMMYFUNCTION("""COMPUTED_VALUE"""),"10A Faraday Ave")</f>
        <v>10A Faraday Ave</v>
      </c>
      <c r="AC167" s="45" t="str">
        <f ca="1">IFERROR(__xludf.DUMMYFUNCTION("""COMPUTED_VALUE"""),"Coleshill")</f>
        <v>Coleshill</v>
      </c>
      <c r="AD167" s="45" t="str">
        <f ca="1">IFERROR(__xludf.DUMMYFUNCTION("""COMPUTED_VALUE"""),"OCEAN")</f>
        <v>OCEAN</v>
      </c>
      <c r="AE167" s="45" t="str">
        <f ca="1">IFERROR(__xludf.DUMMYFUNCTION("""COMPUTED_VALUE"""),"N")</f>
        <v>N</v>
      </c>
      <c r="AF167" s="45"/>
      <c r="AG167" s="49" t="str">
        <f ca="1">IFERROR(__xludf.DUMMYFUNCTION("IFNA(vlookup(H167,IMPORTRANGE(""1vUGwO1n0QQGx9kKbO0_M5gmuhXZ6-LaxQxgrmJnzgP0"",""'TP# look up'!A:C""),3,0),"""")"),"")</f>
        <v/>
      </c>
      <c r="AH167" s="49" t="str">
        <f t="shared" ca="1" si="2"/>
        <v>LM</v>
      </c>
    </row>
    <row r="168" spans="1:34" ht="12.75" hidden="1">
      <c r="A168" s="45" t="str">
        <f ca="1">IFERROR(__xludf.DUMMYFUNCTION("""COMPUTED_VALUE"""),"Colombo")</f>
        <v>Colombo</v>
      </c>
      <c r="B168" s="45"/>
      <c r="C168" s="45">
        <f ca="1">IFERROR(__xludf.DUMMYFUNCTION("""COMPUTED_VALUE"""),3254118)</f>
        <v>3254118</v>
      </c>
      <c r="D168" s="45"/>
      <c r="E168" s="45" t="str">
        <f ca="1">IFERROR(__xludf.DUMMYFUNCTION("""COMPUTED_VALUE"""),"CFS")</f>
        <v>CFS</v>
      </c>
      <c r="F168" s="45" t="str">
        <f ca="1">IFERROR(__xludf.DUMMYFUNCTION("""COMPUTED_VALUE"""),"Inqube Global (PVT) Ltd")</f>
        <v>Inqube Global (PVT) Ltd</v>
      </c>
      <c r="G168" s="45" t="str">
        <f ca="1">IFERROR(__xludf.DUMMYFUNCTION("""COMPUTED_VALUE"""),"BRANDIX APPAREL SOLUTION LTD - GIRITALE")</f>
        <v>BRANDIX APPAREL SOLUTION LTD - GIRITALE</v>
      </c>
      <c r="H168" s="43">
        <f ca="1">IFERROR(__xludf.DUMMYFUNCTION("""COMPUTED_VALUE"""),452503345762)</f>
        <v>452503345762</v>
      </c>
      <c r="I168" s="45">
        <f ca="1">IFERROR(__xludf.DUMMYFUNCTION("""COMPUTED_VALUE"""),19807152)</f>
        <v>19807152</v>
      </c>
      <c r="J168" s="45" t="str">
        <f ca="1">IFERROR(__xludf.DUMMYFUNCTION("""COMPUTED_VALUE"""),"LM5BL3S")</f>
        <v>LM5BL3S</v>
      </c>
      <c r="K168" s="45" t="str">
        <f ca="1">IFERROR(__xludf.DUMMYFUNCTION("""COMPUTED_VALUE"""),"LM5BL3S-045739")</f>
        <v>LM5BL3S-045739</v>
      </c>
      <c r="L168" s="45">
        <f ca="1">IFERROR(__xludf.DUMMYFUNCTION("""COMPUTED_VALUE"""),1)</f>
        <v>1</v>
      </c>
      <c r="M168" s="45">
        <f ca="1">IFERROR(__xludf.DUMMYFUNCTION("""COMPUTED_VALUE"""),23)</f>
        <v>23</v>
      </c>
      <c r="N168" s="45">
        <f ca="1">IFERROR(__xludf.DUMMYFUNCTION("""COMPUTED_VALUE"""),9.33)</f>
        <v>9.33</v>
      </c>
      <c r="O168" s="45">
        <f ca="1">IFERROR(__xludf.DUMMYFUNCTION("""COMPUTED_VALUE"""),0.083)</f>
        <v>8.3000000000000004E-2</v>
      </c>
      <c r="P168" s="45" t="str">
        <f ca="1">IFERROR(__xludf.DUMMYFUNCTION("""COMPUTED_VALUE"""),"Colombo, LK")</f>
        <v>Colombo, LK</v>
      </c>
      <c r="Q168" s="45" t="str">
        <f ca="1">IFERROR(__xludf.DUMMYFUNCTION("""COMPUTED_VALUE"""),"Felixstowe, GB")</f>
        <v>Felixstowe, GB</v>
      </c>
      <c r="R168" s="44">
        <f ca="1">IFERROR(__xludf.DUMMYFUNCTION("""COMPUTED_VALUE"""),45824)</f>
        <v>45824</v>
      </c>
      <c r="S168" s="44">
        <f ca="1">IFERROR(__xludf.DUMMYFUNCTION("""COMPUTED_VALUE"""),45883)</f>
        <v>45883</v>
      </c>
      <c r="T168" s="45" t="str">
        <f ca="1">IFERROR(__xludf.DUMMYFUNCTION("""COMPUTED_VALUE"""),"Birmingham, GB")</f>
        <v>Birmingham, GB</v>
      </c>
      <c r="U168" s="45"/>
      <c r="V168" s="45"/>
      <c r="W168" s="45"/>
      <c r="X168" s="45"/>
      <c r="Y168" s="46">
        <f ca="1">IFERROR(__xludf.DUMMYFUNCTION("""COMPUTED_VALUE"""),45824)</f>
        <v>45824</v>
      </c>
      <c r="Z168" s="46">
        <f ca="1">IFERROR(__xludf.DUMMYFUNCTION("""COMPUTED_VALUE"""),45852)</f>
        <v>45852</v>
      </c>
      <c r="AA168" s="46">
        <f ca="1">IFERROR(__xludf.DUMMYFUNCTION("""COMPUTED_VALUE"""),45859)</f>
        <v>45859</v>
      </c>
      <c r="AB168" s="45" t="str">
        <f ca="1">IFERROR(__xludf.DUMMYFUNCTION("""COMPUTED_VALUE"""),"10A Faraday Ave")</f>
        <v>10A Faraday Ave</v>
      </c>
      <c r="AC168" s="45" t="str">
        <f ca="1">IFERROR(__xludf.DUMMYFUNCTION("""COMPUTED_VALUE"""),"Coleshill")</f>
        <v>Coleshill</v>
      </c>
      <c r="AD168" s="45" t="str">
        <f ca="1">IFERROR(__xludf.DUMMYFUNCTION("""COMPUTED_VALUE"""),"OCEAN")</f>
        <v>OCEAN</v>
      </c>
      <c r="AE168" s="45" t="str">
        <f ca="1">IFERROR(__xludf.DUMMYFUNCTION("""COMPUTED_VALUE"""),"N")</f>
        <v>N</v>
      </c>
      <c r="AF168" s="45"/>
      <c r="AG168" s="49" t="str">
        <f ca="1">IFERROR(__xludf.DUMMYFUNCTION("IFNA(vlookup(H168,IMPORTRANGE(""1vUGwO1n0QQGx9kKbO0_M5gmuhXZ6-LaxQxgrmJnzgP0"",""'TP# look up'!A:C""),3,0),"""")"),"")</f>
        <v/>
      </c>
      <c r="AH168" s="49" t="str">
        <f t="shared" ca="1" si="2"/>
        <v>LM</v>
      </c>
    </row>
    <row r="169" spans="1:34" ht="12.75" hidden="1">
      <c r="A169" s="45" t="str">
        <f ca="1">IFERROR(__xludf.DUMMYFUNCTION("""COMPUTED_VALUE"""),"Colombo")</f>
        <v>Colombo</v>
      </c>
      <c r="B169" s="45"/>
      <c r="C169" s="45">
        <f ca="1">IFERROR(__xludf.DUMMYFUNCTION("""COMPUTED_VALUE"""),3254118)</f>
        <v>3254118</v>
      </c>
      <c r="D169" s="45"/>
      <c r="E169" s="45" t="str">
        <f ca="1">IFERROR(__xludf.DUMMYFUNCTION("""COMPUTED_VALUE"""),"CFS")</f>
        <v>CFS</v>
      </c>
      <c r="F169" s="45" t="str">
        <f ca="1">IFERROR(__xludf.DUMMYFUNCTION("""COMPUTED_VALUE"""),"Inqube Global (PVT) Ltd")</f>
        <v>Inqube Global (PVT) Ltd</v>
      </c>
      <c r="G169" s="45" t="str">
        <f ca="1">IFERROR(__xludf.DUMMYFUNCTION("""COMPUTED_VALUE"""),"BRANDIX APPAREL SOLUTION LTD - GIRITALE")</f>
        <v>BRANDIX APPAREL SOLUTION LTD - GIRITALE</v>
      </c>
      <c r="H169" s="43">
        <f ca="1">IFERROR(__xludf.DUMMYFUNCTION("""COMPUTED_VALUE"""),452504206989)</f>
        <v>452504206989</v>
      </c>
      <c r="I169" s="45">
        <f ca="1">IFERROR(__xludf.DUMMYFUNCTION("""COMPUTED_VALUE"""),19807156)</f>
        <v>19807156</v>
      </c>
      <c r="J169" s="45" t="str">
        <f ca="1">IFERROR(__xludf.DUMMYFUNCTION("""COMPUTED_VALUE"""),"LM5BL3S")</f>
        <v>LM5BL3S</v>
      </c>
      <c r="K169" s="45" t="str">
        <f ca="1">IFERROR(__xludf.DUMMYFUNCTION("""COMPUTED_VALUE"""),"LM5BL3S-070108")</f>
        <v>LM5BL3S-070108</v>
      </c>
      <c r="L169" s="45">
        <f ca="1">IFERROR(__xludf.DUMMYFUNCTION("""COMPUTED_VALUE"""),1)</f>
        <v>1</v>
      </c>
      <c r="M169" s="45">
        <f ca="1">IFERROR(__xludf.DUMMYFUNCTION("""COMPUTED_VALUE"""),29)</f>
        <v>29</v>
      </c>
      <c r="N169" s="45">
        <f ca="1">IFERROR(__xludf.DUMMYFUNCTION("""COMPUTED_VALUE"""),11.51)</f>
        <v>11.51</v>
      </c>
      <c r="O169" s="45">
        <f ca="1">IFERROR(__xludf.DUMMYFUNCTION("""COMPUTED_VALUE"""),0.083)</f>
        <v>8.3000000000000004E-2</v>
      </c>
      <c r="P169" s="45" t="str">
        <f ca="1">IFERROR(__xludf.DUMMYFUNCTION("""COMPUTED_VALUE"""),"Colombo, LK")</f>
        <v>Colombo, LK</v>
      </c>
      <c r="Q169" s="45" t="str">
        <f ca="1">IFERROR(__xludf.DUMMYFUNCTION("""COMPUTED_VALUE"""),"Felixstowe, GB")</f>
        <v>Felixstowe, GB</v>
      </c>
      <c r="R169" s="44">
        <f ca="1">IFERROR(__xludf.DUMMYFUNCTION("""COMPUTED_VALUE"""),45824)</f>
        <v>45824</v>
      </c>
      <c r="S169" s="44">
        <f ca="1">IFERROR(__xludf.DUMMYFUNCTION("""COMPUTED_VALUE"""),45883)</f>
        <v>45883</v>
      </c>
      <c r="T169" s="45" t="str">
        <f ca="1">IFERROR(__xludf.DUMMYFUNCTION("""COMPUTED_VALUE"""),"Birmingham, GB")</f>
        <v>Birmingham, GB</v>
      </c>
      <c r="U169" s="45"/>
      <c r="V169" s="45"/>
      <c r="W169" s="45"/>
      <c r="X169" s="45"/>
      <c r="Y169" s="46">
        <f ca="1">IFERROR(__xludf.DUMMYFUNCTION("""COMPUTED_VALUE"""),45824)</f>
        <v>45824</v>
      </c>
      <c r="Z169" s="46">
        <f ca="1">IFERROR(__xludf.DUMMYFUNCTION("""COMPUTED_VALUE"""),45852)</f>
        <v>45852</v>
      </c>
      <c r="AA169" s="46">
        <f ca="1">IFERROR(__xludf.DUMMYFUNCTION("""COMPUTED_VALUE"""),45859)</f>
        <v>45859</v>
      </c>
      <c r="AB169" s="45" t="str">
        <f ca="1">IFERROR(__xludf.DUMMYFUNCTION("""COMPUTED_VALUE"""),"10A Faraday Ave")</f>
        <v>10A Faraday Ave</v>
      </c>
      <c r="AC169" s="45" t="str">
        <f ca="1">IFERROR(__xludf.DUMMYFUNCTION("""COMPUTED_VALUE"""),"Coleshill")</f>
        <v>Coleshill</v>
      </c>
      <c r="AD169" s="45" t="str">
        <f ca="1">IFERROR(__xludf.DUMMYFUNCTION("""COMPUTED_VALUE"""),"OCEAN")</f>
        <v>OCEAN</v>
      </c>
      <c r="AE169" s="45" t="str">
        <f ca="1">IFERROR(__xludf.DUMMYFUNCTION("""COMPUTED_VALUE"""),"N")</f>
        <v>N</v>
      </c>
      <c r="AF169" s="45"/>
      <c r="AG169" s="49" t="str">
        <f ca="1">IFERROR(__xludf.DUMMYFUNCTION("IFNA(vlookup(H169,IMPORTRANGE(""1vUGwO1n0QQGx9kKbO0_M5gmuhXZ6-LaxQxgrmJnzgP0"",""'TP# look up'!A:C""),3,0),"""")"),"")</f>
        <v/>
      </c>
      <c r="AH169" s="49" t="str">
        <f t="shared" ca="1" si="2"/>
        <v>LM</v>
      </c>
    </row>
    <row r="170" spans="1:34" ht="12.75" hidden="1">
      <c r="A170" s="45" t="str">
        <f ca="1">IFERROR(__xludf.DUMMYFUNCTION("""COMPUTED_VALUE"""),"Colombo")</f>
        <v>Colombo</v>
      </c>
      <c r="B170" s="45"/>
      <c r="C170" s="45">
        <f ca="1">IFERROR(__xludf.DUMMYFUNCTION("""COMPUTED_VALUE"""),3254118)</f>
        <v>3254118</v>
      </c>
      <c r="D170" s="45"/>
      <c r="E170" s="45" t="str">
        <f ca="1">IFERROR(__xludf.DUMMYFUNCTION("""COMPUTED_VALUE"""),"CFS")</f>
        <v>CFS</v>
      </c>
      <c r="F170" s="45" t="str">
        <f ca="1">IFERROR(__xludf.DUMMYFUNCTION("""COMPUTED_VALUE"""),"Inqube Global (PVT) Ltd")</f>
        <v>Inqube Global (PVT) Ltd</v>
      </c>
      <c r="G170" s="45" t="str">
        <f ca="1">IFERROR(__xludf.DUMMYFUNCTION("""COMPUTED_VALUE"""),"BRANDIX APPAREL SOLUTION LTD - GIRITALE")</f>
        <v>BRANDIX APPAREL SOLUTION LTD - GIRITALE</v>
      </c>
      <c r="H170" s="43">
        <f ca="1">IFERROR(__xludf.DUMMYFUNCTION("""COMPUTED_VALUE"""),452517861652)</f>
        <v>452517861652</v>
      </c>
      <c r="I170" s="45">
        <f ca="1">IFERROR(__xludf.DUMMYFUNCTION("""COMPUTED_VALUE"""),19849783)</f>
        <v>19849783</v>
      </c>
      <c r="J170" s="45" t="str">
        <f ca="1">IFERROR(__xludf.DUMMYFUNCTION("""COMPUTED_VALUE"""),"LM5BL3S")</f>
        <v>LM5BL3S</v>
      </c>
      <c r="K170" s="45" t="str">
        <f ca="1">IFERROR(__xludf.DUMMYFUNCTION("""COMPUTED_VALUE"""),"LM5BL3S-045739")</f>
        <v>LM5BL3S-045739</v>
      </c>
      <c r="L170" s="45">
        <f ca="1">IFERROR(__xludf.DUMMYFUNCTION("""COMPUTED_VALUE"""),3)</f>
        <v>3</v>
      </c>
      <c r="M170" s="45">
        <f ca="1">IFERROR(__xludf.DUMMYFUNCTION("""COMPUTED_VALUE"""),34)</f>
        <v>34</v>
      </c>
      <c r="N170" s="45">
        <f ca="1">IFERROR(__xludf.DUMMYFUNCTION("""COMPUTED_VALUE"""),14.89)</f>
        <v>14.89</v>
      </c>
      <c r="O170" s="45">
        <f ca="1">IFERROR(__xludf.DUMMYFUNCTION("""COMPUTED_VALUE"""),0.168)</f>
        <v>0.16800000000000001</v>
      </c>
      <c r="P170" s="45" t="str">
        <f ca="1">IFERROR(__xludf.DUMMYFUNCTION("""COMPUTED_VALUE"""),"Colombo, LK")</f>
        <v>Colombo, LK</v>
      </c>
      <c r="Q170" s="45" t="str">
        <f ca="1">IFERROR(__xludf.DUMMYFUNCTION("""COMPUTED_VALUE"""),"Felixstowe, GB")</f>
        <v>Felixstowe, GB</v>
      </c>
      <c r="R170" s="44">
        <f ca="1">IFERROR(__xludf.DUMMYFUNCTION("""COMPUTED_VALUE"""),45824)</f>
        <v>45824</v>
      </c>
      <c r="S170" s="44">
        <f ca="1">IFERROR(__xludf.DUMMYFUNCTION("""COMPUTED_VALUE"""),45883)</f>
        <v>45883</v>
      </c>
      <c r="T170" s="45" t="str">
        <f ca="1">IFERROR(__xludf.DUMMYFUNCTION("""COMPUTED_VALUE"""),"Birmingham, GB")</f>
        <v>Birmingham, GB</v>
      </c>
      <c r="U170" s="45"/>
      <c r="V170" s="45"/>
      <c r="W170" s="45"/>
      <c r="X170" s="45"/>
      <c r="Y170" s="46">
        <f ca="1">IFERROR(__xludf.DUMMYFUNCTION("""COMPUTED_VALUE"""),45824)</f>
        <v>45824</v>
      </c>
      <c r="Z170" s="46">
        <f ca="1">IFERROR(__xludf.DUMMYFUNCTION("""COMPUTED_VALUE"""),45852)</f>
        <v>45852</v>
      </c>
      <c r="AA170" s="46">
        <f ca="1">IFERROR(__xludf.DUMMYFUNCTION("""COMPUTED_VALUE"""),45859)</f>
        <v>45859</v>
      </c>
      <c r="AB170" s="45" t="str">
        <f ca="1">IFERROR(__xludf.DUMMYFUNCTION("""COMPUTED_VALUE"""),"10A Faraday Ave")</f>
        <v>10A Faraday Ave</v>
      </c>
      <c r="AC170" s="45" t="str">
        <f ca="1">IFERROR(__xludf.DUMMYFUNCTION("""COMPUTED_VALUE"""),"Coleshill")</f>
        <v>Coleshill</v>
      </c>
      <c r="AD170" s="45" t="str">
        <f ca="1">IFERROR(__xludf.DUMMYFUNCTION("""COMPUTED_VALUE"""),"OCEAN")</f>
        <v>OCEAN</v>
      </c>
      <c r="AE170" s="45" t="str">
        <f ca="1">IFERROR(__xludf.DUMMYFUNCTION("""COMPUTED_VALUE"""),"N")</f>
        <v>N</v>
      </c>
      <c r="AF170" s="45"/>
      <c r="AG170" s="49" t="str">
        <f ca="1">IFERROR(__xludf.DUMMYFUNCTION("IFNA(vlookup(H170,IMPORTRANGE(""1vUGwO1n0QQGx9kKbO0_M5gmuhXZ6-LaxQxgrmJnzgP0"",""'TP# look up'!A:C""),3,0),"""")"),"")</f>
        <v/>
      </c>
      <c r="AH170" s="49" t="str">
        <f t="shared" ca="1" si="2"/>
        <v>LM</v>
      </c>
    </row>
    <row r="171" spans="1:34" ht="12.75" hidden="1">
      <c r="A171" s="45" t="str">
        <f ca="1">IFERROR(__xludf.DUMMYFUNCTION("""COMPUTED_VALUE"""),"Colombo")</f>
        <v>Colombo</v>
      </c>
      <c r="B171" s="45"/>
      <c r="C171" s="45">
        <f ca="1">IFERROR(__xludf.DUMMYFUNCTION("""COMPUTED_VALUE"""),3254118)</f>
        <v>3254118</v>
      </c>
      <c r="D171" s="45"/>
      <c r="E171" s="45" t="str">
        <f ca="1">IFERROR(__xludf.DUMMYFUNCTION("""COMPUTED_VALUE"""),"CFS")</f>
        <v>CFS</v>
      </c>
      <c r="F171" s="45" t="str">
        <f ca="1">IFERROR(__xludf.DUMMYFUNCTION("""COMPUTED_VALUE"""),"Inqube Global (PVT) Ltd")</f>
        <v>Inqube Global (PVT) Ltd</v>
      </c>
      <c r="G171" s="45" t="str">
        <f ca="1">IFERROR(__xludf.DUMMYFUNCTION("""COMPUTED_VALUE"""),"BRANDIX APPAREL SOLUTION LTD - GIRITALE")</f>
        <v>BRANDIX APPAREL SOLUTION LTD - GIRITALE</v>
      </c>
      <c r="H171" s="43">
        <f ca="1">IFERROR(__xludf.DUMMYFUNCTION("""COMPUTED_VALUE"""),452518317022)</f>
        <v>452518317022</v>
      </c>
      <c r="I171" s="45">
        <f ca="1">IFERROR(__xludf.DUMMYFUNCTION("""COMPUTED_VALUE"""),19849781)</f>
        <v>19849781</v>
      </c>
      <c r="J171" s="45" t="str">
        <f ca="1">IFERROR(__xludf.DUMMYFUNCTION("""COMPUTED_VALUE"""),"LM5BL3S")</f>
        <v>LM5BL3S</v>
      </c>
      <c r="K171" s="45" t="str">
        <f ca="1">IFERROR(__xludf.DUMMYFUNCTION("""COMPUTED_VALUE"""),"LM5BL3S-070108")</f>
        <v>LM5BL3S-070108</v>
      </c>
      <c r="L171" s="45">
        <f ca="1">IFERROR(__xludf.DUMMYFUNCTION("""COMPUTED_VALUE"""),2)</f>
        <v>2</v>
      </c>
      <c r="M171" s="45">
        <f ca="1">IFERROR(__xludf.DUMMYFUNCTION("""COMPUTED_VALUE"""),39)</f>
        <v>39</v>
      </c>
      <c r="N171" s="45">
        <f ca="1">IFERROR(__xludf.DUMMYFUNCTION("""COMPUTED_VALUE"""),15.96)</f>
        <v>15.96</v>
      </c>
      <c r="O171" s="45">
        <f ca="1">IFERROR(__xludf.DUMMYFUNCTION("""COMPUTED_VALUE"""),0.125)</f>
        <v>0.125</v>
      </c>
      <c r="P171" s="45" t="str">
        <f ca="1">IFERROR(__xludf.DUMMYFUNCTION("""COMPUTED_VALUE"""),"Colombo, LK")</f>
        <v>Colombo, LK</v>
      </c>
      <c r="Q171" s="45" t="str">
        <f ca="1">IFERROR(__xludf.DUMMYFUNCTION("""COMPUTED_VALUE"""),"Felixstowe, GB")</f>
        <v>Felixstowe, GB</v>
      </c>
      <c r="R171" s="44">
        <f ca="1">IFERROR(__xludf.DUMMYFUNCTION("""COMPUTED_VALUE"""),45824)</f>
        <v>45824</v>
      </c>
      <c r="S171" s="44">
        <f ca="1">IFERROR(__xludf.DUMMYFUNCTION("""COMPUTED_VALUE"""),45883)</f>
        <v>45883</v>
      </c>
      <c r="T171" s="45" t="str">
        <f ca="1">IFERROR(__xludf.DUMMYFUNCTION("""COMPUTED_VALUE"""),"Birmingham, GB")</f>
        <v>Birmingham, GB</v>
      </c>
      <c r="U171" s="45"/>
      <c r="V171" s="45"/>
      <c r="W171" s="45"/>
      <c r="X171" s="45"/>
      <c r="Y171" s="46">
        <f ca="1">IFERROR(__xludf.DUMMYFUNCTION("""COMPUTED_VALUE"""),45824)</f>
        <v>45824</v>
      </c>
      <c r="Z171" s="46">
        <f ca="1">IFERROR(__xludf.DUMMYFUNCTION("""COMPUTED_VALUE"""),45852)</f>
        <v>45852</v>
      </c>
      <c r="AA171" s="46">
        <f ca="1">IFERROR(__xludf.DUMMYFUNCTION("""COMPUTED_VALUE"""),45859)</f>
        <v>45859</v>
      </c>
      <c r="AB171" s="45" t="str">
        <f ca="1">IFERROR(__xludf.DUMMYFUNCTION("""COMPUTED_VALUE"""),"10A Faraday Ave")</f>
        <v>10A Faraday Ave</v>
      </c>
      <c r="AC171" s="45" t="str">
        <f ca="1">IFERROR(__xludf.DUMMYFUNCTION("""COMPUTED_VALUE"""),"Coleshill")</f>
        <v>Coleshill</v>
      </c>
      <c r="AD171" s="45" t="str">
        <f ca="1">IFERROR(__xludf.DUMMYFUNCTION("""COMPUTED_VALUE"""),"OCEAN")</f>
        <v>OCEAN</v>
      </c>
      <c r="AE171" s="45" t="str">
        <f ca="1">IFERROR(__xludf.DUMMYFUNCTION("""COMPUTED_VALUE"""),"N")</f>
        <v>N</v>
      </c>
      <c r="AF171" s="45"/>
      <c r="AG171" s="49" t="str">
        <f ca="1">IFERROR(__xludf.DUMMYFUNCTION("IFNA(vlookup(H171,IMPORTRANGE(""1vUGwO1n0QQGx9kKbO0_M5gmuhXZ6-LaxQxgrmJnzgP0"",""'TP# look up'!A:C""),3,0),"""")"),"")</f>
        <v/>
      </c>
      <c r="AH171" s="49" t="str">
        <f t="shared" ca="1" si="2"/>
        <v>LM</v>
      </c>
    </row>
    <row r="172" spans="1:34" ht="12.75" hidden="1">
      <c r="A172" s="45" t="str">
        <f ca="1">IFERROR(__xludf.DUMMYFUNCTION("""COMPUTED_VALUE"""),"Colombo")</f>
        <v>Colombo</v>
      </c>
      <c r="B172" s="45"/>
      <c r="C172" s="45">
        <f ca="1">IFERROR(__xludf.DUMMYFUNCTION("""COMPUTED_VALUE"""),3254118)</f>
        <v>3254118</v>
      </c>
      <c r="D172" s="45"/>
      <c r="E172" s="45" t="str">
        <f ca="1">IFERROR(__xludf.DUMMYFUNCTION("""COMPUTED_VALUE"""),"CFS")</f>
        <v>CFS</v>
      </c>
      <c r="F172" s="45" t="str">
        <f ca="1">IFERROR(__xludf.DUMMYFUNCTION("""COMPUTED_VALUE"""),"Inqube Global (PVT) Ltd")</f>
        <v>Inqube Global (PVT) Ltd</v>
      </c>
      <c r="G172" s="45" t="str">
        <f ca="1">IFERROR(__xludf.DUMMYFUNCTION("""COMPUTED_VALUE"""),"Brandix Apparel Solutions Limited - Minuwangoda")</f>
        <v>Brandix Apparel Solutions Limited - Minuwangoda</v>
      </c>
      <c r="H172" s="43">
        <f ca="1">IFERROR(__xludf.DUMMYFUNCTION("""COMPUTED_VALUE"""),452015221240)</f>
        <v>452015221240</v>
      </c>
      <c r="I172" s="45">
        <f ca="1">IFERROR(__xludf.DUMMYFUNCTION("""COMPUTED_VALUE"""),19854988)</f>
        <v>19854988</v>
      </c>
      <c r="J172" s="45" t="str">
        <f ca="1">IFERROR(__xludf.DUMMYFUNCTION("""COMPUTED_VALUE"""),"LW5GLNS")</f>
        <v>LW5GLNS</v>
      </c>
      <c r="K172" s="45" t="str">
        <f ca="1">IFERROR(__xludf.DUMMYFUNCTION("""COMPUTED_VALUE"""),"LW5GLNS-062214")</f>
        <v>LW5GLNS-062214</v>
      </c>
      <c r="L172" s="45">
        <f ca="1">IFERROR(__xludf.DUMMYFUNCTION("""COMPUTED_VALUE"""),1)</f>
        <v>1</v>
      </c>
      <c r="M172" s="45">
        <f ca="1">IFERROR(__xludf.DUMMYFUNCTION("""COMPUTED_VALUE"""),18)</f>
        <v>18</v>
      </c>
      <c r="N172" s="45">
        <f ca="1">IFERROR(__xludf.DUMMYFUNCTION("""COMPUTED_VALUE"""),9.47)</f>
        <v>9.4700000000000006</v>
      </c>
      <c r="O172" s="45">
        <f ca="1">IFERROR(__xludf.DUMMYFUNCTION("""COMPUTED_VALUE"""),0.079)</f>
        <v>7.9000000000000001E-2</v>
      </c>
      <c r="P172" s="45" t="str">
        <f ca="1">IFERROR(__xludf.DUMMYFUNCTION("""COMPUTED_VALUE"""),"Colombo, LK")</f>
        <v>Colombo, LK</v>
      </c>
      <c r="Q172" s="45" t="str">
        <f ca="1">IFERROR(__xludf.DUMMYFUNCTION("""COMPUTED_VALUE"""),"Felixstowe, GB")</f>
        <v>Felixstowe, GB</v>
      </c>
      <c r="R172" s="44">
        <f ca="1">IFERROR(__xludf.DUMMYFUNCTION("""COMPUTED_VALUE"""),45824)</f>
        <v>45824</v>
      </c>
      <c r="S172" s="44">
        <f ca="1">IFERROR(__xludf.DUMMYFUNCTION("""COMPUTED_VALUE"""),45883)</f>
        <v>45883</v>
      </c>
      <c r="T172" s="45" t="str">
        <f ca="1">IFERROR(__xludf.DUMMYFUNCTION("""COMPUTED_VALUE"""),"Birmingham, GB")</f>
        <v>Birmingham, GB</v>
      </c>
      <c r="U172" s="45"/>
      <c r="V172" s="45"/>
      <c r="W172" s="45"/>
      <c r="X172" s="45"/>
      <c r="Y172" s="46">
        <f ca="1">IFERROR(__xludf.DUMMYFUNCTION("""COMPUTED_VALUE"""),45842)</f>
        <v>45842</v>
      </c>
      <c r="Z172" s="46">
        <f ca="1">IFERROR(__xludf.DUMMYFUNCTION("""COMPUTED_VALUE"""),45858)</f>
        <v>45858</v>
      </c>
      <c r="AA172" s="46">
        <f ca="1">IFERROR(__xludf.DUMMYFUNCTION("""COMPUTED_VALUE"""),45865)</f>
        <v>45865</v>
      </c>
      <c r="AB172" s="45" t="str">
        <f ca="1">IFERROR(__xludf.DUMMYFUNCTION("""COMPUTED_VALUE"""),"10A Faraday Ave")</f>
        <v>10A Faraday Ave</v>
      </c>
      <c r="AC172" s="45" t="str">
        <f ca="1">IFERROR(__xludf.DUMMYFUNCTION("""COMPUTED_VALUE"""),"Coleshill")</f>
        <v>Coleshill</v>
      </c>
      <c r="AD172" s="45" t="str">
        <f ca="1">IFERROR(__xludf.DUMMYFUNCTION("""COMPUTED_VALUE"""),"OCEAN")</f>
        <v>OCEAN</v>
      </c>
      <c r="AE172" s="45" t="str">
        <f ca="1">IFERROR(__xludf.DUMMYFUNCTION("""COMPUTED_VALUE"""),"N")</f>
        <v>N</v>
      </c>
      <c r="AF172" s="45"/>
      <c r="AG172" s="49" t="str">
        <f ca="1">IFERROR(__xludf.DUMMYFUNCTION("IFNA(vlookup(H172,IMPORTRANGE(""1vUGwO1n0QQGx9kKbO0_M5gmuhXZ6-LaxQxgrmJnzgP0"",""'TP# look up'!A:C""),3,0),"""")"),"")</f>
        <v/>
      </c>
      <c r="AH172" s="49" t="str">
        <f t="shared" ca="1" si="2"/>
        <v>LW</v>
      </c>
    </row>
    <row r="173" spans="1:34" ht="12.75" hidden="1">
      <c r="A173" s="45" t="str">
        <f ca="1">IFERROR(__xludf.DUMMYFUNCTION("""COMPUTED_VALUE"""),"Colombo")</f>
        <v>Colombo</v>
      </c>
      <c r="B173" s="45"/>
      <c r="C173" s="45">
        <f ca="1">IFERROR(__xludf.DUMMYFUNCTION("""COMPUTED_VALUE"""),3254118)</f>
        <v>3254118</v>
      </c>
      <c r="D173" s="45"/>
      <c r="E173" s="45" t="str">
        <f ca="1">IFERROR(__xludf.DUMMYFUNCTION("""COMPUTED_VALUE"""),"CFS")</f>
        <v>CFS</v>
      </c>
      <c r="F173" s="45" t="str">
        <f ca="1">IFERROR(__xludf.DUMMYFUNCTION("""COMPUTED_VALUE"""),"MAS AMITY PTE LTD")</f>
        <v>MAS AMITY PTE LTD</v>
      </c>
      <c r="G173" s="45" t="str">
        <f ca="1">IFERROR(__xludf.DUMMYFUNCTION("""COMPUTED_VALUE"""),"MAS Active (Pvt) Ltd - Linea Intimo")</f>
        <v>MAS Active (Pvt) Ltd - Linea Intimo</v>
      </c>
      <c r="H173" s="43">
        <f ca="1">IFERROR(__xludf.DUMMYFUNCTION("""COMPUTED_VALUE"""),454722903594)</f>
        <v>454722903594</v>
      </c>
      <c r="I173" s="45">
        <f ca="1">IFERROR(__xludf.DUMMYFUNCTION("""COMPUTED_VALUE"""),91018423)</f>
        <v>91018423</v>
      </c>
      <c r="J173" s="45" t="str">
        <f ca="1">IFERROR(__xludf.DUMMYFUNCTION("""COMPUTED_VALUE"""),"LW1CHSS")</f>
        <v>LW1CHSS</v>
      </c>
      <c r="K173" s="45" t="str">
        <f ca="1">IFERROR(__xludf.DUMMYFUNCTION("""COMPUTED_VALUE"""),"LW1CHSS-012826")</f>
        <v>LW1CHSS-012826</v>
      </c>
      <c r="L173" s="45">
        <f ca="1">IFERROR(__xludf.DUMMYFUNCTION("""COMPUTED_VALUE"""),2)</f>
        <v>2</v>
      </c>
      <c r="M173" s="45">
        <f ca="1">IFERROR(__xludf.DUMMYFUNCTION("""COMPUTED_VALUE"""),97)</f>
        <v>97</v>
      </c>
      <c r="N173" s="45">
        <f ca="1">IFERROR(__xludf.DUMMYFUNCTION("""COMPUTED_VALUE"""),10.33)</f>
        <v>10.33</v>
      </c>
      <c r="O173" s="45">
        <f ca="1">IFERROR(__xludf.DUMMYFUNCTION("""COMPUTED_VALUE"""),0.119)</f>
        <v>0.11899999999999999</v>
      </c>
      <c r="P173" s="45" t="str">
        <f ca="1">IFERROR(__xludf.DUMMYFUNCTION("""COMPUTED_VALUE"""),"Colombo, LK")</f>
        <v>Colombo, LK</v>
      </c>
      <c r="Q173" s="45" t="str">
        <f ca="1">IFERROR(__xludf.DUMMYFUNCTION("""COMPUTED_VALUE"""),"Felixstowe, GB")</f>
        <v>Felixstowe, GB</v>
      </c>
      <c r="R173" s="44">
        <f ca="1">IFERROR(__xludf.DUMMYFUNCTION("""COMPUTED_VALUE"""),45824)</f>
        <v>45824</v>
      </c>
      <c r="S173" s="44">
        <f ca="1">IFERROR(__xludf.DUMMYFUNCTION("""COMPUTED_VALUE"""),45883)</f>
        <v>45883</v>
      </c>
      <c r="T173" s="45" t="str">
        <f ca="1">IFERROR(__xludf.DUMMYFUNCTION("""COMPUTED_VALUE"""),"Birmingham, GB")</f>
        <v>Birmingham, GB</v>
      </c>
      <c r="U173" s="45"/>
      <c r="V173" s="45"/>
      <c r="W173" s="45"/>
      <c r="X173" s="45"/>
      <c r="Y173" s="46">
        <f ca="1">IFERROR(__xludf.DUMMYFUNCTION("""COMPUTED_VALUE"""),45842)</f>
        <v>45842</v>
      </c>
      <c r="Z173" s="46">
        <f ca="1">IFERROR(__xludf.DUMMYFUNCTION("""COMPUTED_VALUE"""),45858)</f>
        <v>45858</v>
      </c>
      <c r="AA173" s="46">
        <f ca="1">IFERROR(__xludf.DUMMYFUNCTION("""COMPUTED_VALUE"""),45865)</f>
        <v>45865</v>
      </c>
      <c r="AB173" s="45" t="str">
        <f ca="1">IFERROR(__xludf.DUMMYFUNCTION("""COMPUTED_VALUE"""),"10A Faraday Ave")</f>
        <v>10A Faraday Ave</v>
      </c>
      <c r="AC173" s="45" t="str">
        <f ca="1">IFERROR(__xludf.DUMMYFUNCTION("""COMPUTED_VALUE"""),"Coleshill")</f>
        <v>Coleshill</v>
      </c>
      <c r="AD173" s="45" t="str">
        <f ca="1">IFERROR(__xludf.DUMMYFUNCTION("""COMPUTED_VALUE"""),"OCEAN")</f>
        <v>OCEAN</v>
      </c>
      <c r="AE173" s="45" t="str">
        <f ca="1">IFERROR(__xludf.DUMMYFUNCTION("""COMPUTED_VALUE"""),"N")</f>
        <v>N</v>
      </c>
      <c r="AF173" s="45"/>
      <c r="AG173" s="49" t="str">
        <f ca="1">IFERROR(__xludf.DUMMYFUNCTION("IFNA(vlookup(H173,IMPORTRANGE(""1vUGwO1n0QQGx9kKbO0_M5gmuhXZ6-LaxQxgrmJnzgP0"",""'TP# look up'!A:C""),3,0),"""")"),"")</f>
        <v/>
      </c>
      <c r="AH173" s="49" t="str">
        <f t="shared" ca="1" si="2"/>
        <v>LW</v>
      </c>
    </row>
    <row r="174" spans="1:34" ht="12.75" hidden="1">
      <c r="A174" s="45" t="str">
        <f ca="1">IFERROR(__xludf.DUMMYFUNCTION("""COMPUTED_VALUE"""),"Colombo")</f>
        <v>Colombo</v>
      </c>
      <c r="B174" s="45"/>
      <c r="C174" s="45">
        <f ca="1">IFERROR(__xludf.DUMMYFUNCTION("""COMPUTED_VALUE"""),3254118)</f>
        <v>3254118</v>
      </c>
      <c r="D174" s="45"/>
      <c r="E174" s="45" t="str">
        <f ca="1">IFERROR(__xludf.DUMMYFUNCTION("""COMPUTED_VALUE"""),"CFS")</f>
        <v>CFS</v>
      </c>
      <c r="F174" s="45" t="str">
        <f ca="1">IFERROR(__xludf.DUMMYFUNCTION("""COMPUTED_VALUE"""),"MAS AMITY PTE LTD")</f>
        <v>MAS AMITY PTE LTD</v>
      </c>
      <c r="G174" s="45" t="str">
        <f ca="1">IFERROR(__xludf.DUMMYFUNCTION("""COMPUTED_VALUE"""),"MAS Active(Pvt) Ltd – CONTOURLINE")</f>
        <v>MAS Active(Pvt) Ltd – CONTOURLINE</v>
      </c>
      <c r="H174" s="43">
        <f ca="1">IFERROR(__xludf.DUMMYFUNCTION("""COMPUTED_VALUE"""),454770290213)</f>
        <v>454770290213</v>
      </c>
      <c r="I174" s="45">
        <f ca="1">IFERROR(__xludf.DUMMYFUNCTION("""COMPUTED_VALUE"""),19920979)</f>
        <v>19920979</v>
      </c>
      <c r="J174" s="45" t="str">
        <f ca="1">IFERROR(__xludf.DUMMYFUNCTION("""COMPUTED_VALUE"""),"LW5FARS")</f>
        <v>LW5FARS</v>
      </c>
      <c r="K174" s="45" t="str">
        <f ca="1">IFERROR(__xludf.DUMMYFUNCTION("""COMPUTED_VALUE"""),"LW5FARS-049106")</f>
        <v>LW5FARS-049106</v>
      </c>
      <c r="L174" s="45">
        <f ca="1">IFERROR(__xludf.DUMMYFUNCTION("""COMPUTED_VALUE"""),6)</f>
        <v>6</v>
      </c>
      <c r="M174" s="45">
        <f ca="1">IFERROR(__xludf.DUMMYFUNCTION("""COMPUTED_VALUE"""),289)</f>
        <v>289</v>
      </c>
      <c r="N174" s="45">
        <f ca="1">IFERROR(__xludf.DUMMYFUNCTION("""COMPUTED_VALUE"""),60.822)</f>
        <v>60.822000000000003</v>
      </c>
      <c r="O174" s="45">
        <f ca="1">IFERROR(__xludf.DUMMYFUNCTION("""COMPUTED_VALUE"""),0.395)</f>
        <v>0.39500000000000002</v>
      </c>
      <c r="P174" s="45" t="str">
        <f ca="1">IFERROR(__xludf.DUMMYFUNCTION("""COMPUTED_VALUE"""),"Colombo, LK")</f>
        <v>Colombo, LK</v>
      </c>
      <c r="Q174" s="45" t="str">
        <f ca="1">IFERROR(__xludf.DUMMYFUNCTION("""COMPUTED_VALUE"""),"Felixstowe, GB")</f>
        <v>Felixstowe, GB</v>
      </c>
      <c r="R174" s="44">
        <f ca="1">IFERROR(__xludf.DUMMYFUNCTION("""COMPUTED_VALUE"""),45824)</f>
        <v>45824</v>
      </c>
      <c r="S174" s="44">
        <f ca="1">IFERROR(__xludf.DUMMYFUNCTION("""COMPUTED_VALUE"""),45883)</f>
        <v>45883</v>
      </c>
      <c r="T174" s="45" t="str">
        <f ca="1">IFERROR(__xludf.DUMMYFUNCTION("""COMPUTED_VALUE"""),"Birmingham, GB")</f>
        <v>Birmingham, GB</v>
      </c>
      <c r="U174" s="45"/>
      <c r="V174" s="45"/>
      <c r="W174" s="45"/>
      <c r="X174" s="45"/>
      <c r="Y174" s="46">
        <f ca="1">IFERROR(__xludf.DUMMYFUNCTION("""COMPUTED_VALUE"""),45842)</f>
        <v>45842</v>
      </c>
      <c r="Z174" s="46">
        <f ca="1">IFERROR(__xludf.DUMMYFUNCTION("""COMPUTED_VALUE"""),45858)</f>
        <v>45858</v>
      </c>
      <c r="AA174" s="46">
        <f ca="1">IFERROR(__xludf.DUMMYFUNCTION("""COMPUTED_VALUE"""),45865)</f>
        <v>45865</v>
      </c>
      <c r="AB174" s="45" t="str">
        <f ca="1">IFERROR(__xludf.DUMMYFUNCTION("""COMPUTED_VALUE"""),"10A Faraday Ave")</f>
        <v>10A Faraday Ave</v>
      </c>
      <c r="AC174" s="45" t="str">
        <f ca="1">IFERROR(__xludf.DUMMYFUNCTION("""COMPUTED_VALUE"""),"Coleshill")</f>
        <v>Coleshill</v>
      </c>
      <c r="AD174" s="45" t="str">
        <f ca="1">IFERROR(__xludf.DUMMYFUNCTION("""COMPUTED_VALUE"""),"OCEAN")</f>
        <v>OCEAN</v>
      </c>
      <c r="AE174" s="45" t="str">
        <f ca="1">IFERROR(__xludf.DUMMYFUNCTION("""COMPUTED_VALUE"""),"N")</f>
        <v>N</v>
      </c>
      <c r="AF174" s="45"/>
      <c r="AG174" s="49" t="str">
        <f ca="1">IFERROR(__xludf.DUMMYFUNCTION("IFNA(vlookup(H174,IMPORTRANGE(""1vUGwO1n0QQGx9kKbO0_M5gmuhXZ6-LaxQxgrmJnzgP0"",""'TP# look up'!A:C""),3,0),"""")"),"")</f>
        <v/>
      </c>
      <c r="AH174" s="49" t="str">
        <f t="shared" ca="1" si="2"/>
        <v>LW</v>
      </c>
    </row>
    <row r="175" spans="1:34" ht="12.75" hidden="1">
      <c r="A175" s="45" t="str">
        <f ca="1">IFERROR(__xludf.DUMMYFUNCTION("""COMPUTED_VALUE"""),"Colombo")</f>
        <v>Colombo</v>
      </c>
      <c r="B175" s="45"/>
      <c r="C175" s="45">
        <f ca="1">IFERROR(__xludf.DUMMYFUNCTION("""COMPUTED_VALUE"""),3254118)</f>
        <v>3254118</v>
      </c>
      <c r="D175" s="45"/>
      <c r="E175" s="45" t="str">
        <f ca="1">IFERROR(__xludf.DUMMYFUNCTION("""COMPUTED_VALUE"""),"CFS")</f>
        <v>CFS</v>
      </c>
      <c r="F175" s="45" t="str">
        <f ca="1">IFERROR(__xludf.DUMMYFUNCTION("""COMPUTED_VALUE"""),"MAS AMITY PTE LTD")</f>
        <v>MAS AMITY PTE LTD</v>
      </c>
      <c r="G175" s="45" t="str">
        <f ca="1">IFERROR(__xludf.DUMMYFUNCTION("""COMPUTED_VALUE"""),"MAS Active(Pvt) Ltd – CONTOURLINE")</f>
        <v>MAS Active(Pvt) Ltd – CONTOURLINE</v>
      </c>
      <c r="H175" s="43">
        <f ca="1">IFERROR(__xludf.DUMMYFUNCTION("""COMPUTED_VALUE"""),454772994403)</f>
        <v>454772994403</v>
      </c>
      <c r="I175" s="45">
        <f ca="1">IFERROR(__xludf.DUMMYFUNCTION("""COMPUTED_VALUE"""),19921003)</f>
        <v>19921003</v>
      </c>
      <c r="J175" s="45" t="str">
        <f ca="1">IFERROR(__xludf.DUMMYFUNCTION("""COMPUTED_VALUE"""),"LW6CLQS")</f>
        <v>LW6CLQS</v>
      </c>
      <c r="K175" s="45" t="str">
        <f ca="1">IFERROR(__xludf.DUMMYFUNCTION("""COMPUTED_VALUE"""),"LW6CLQS-049106")</f>
        <v>LW6CLQS-049106</v>
      </c>
      <c r="L175" s="45">
        <f ca="1">IFERROR(__xludf.DUMMYFUNCTION("""COMPUTED_VALUE"""),1)</f>
        <v>1</v>
      </c>
      <c r="M175" s="45">
        <f ca="1">IFERROR(__xludf.DUMMYFUNCTION("""COMPUTED_VALUE"""),26)</f>
        <v>26</v>
      </c>
      <c r="N175" s="45">
        <f ca="1">IFERROR(__xludf.DUMMYFUNCTION("""COMPUTED_VALUE"""),5.991)</f>
        <v>5.9909999999999997</v>
      </c>
      <c r="O175" s="45">
        <f ca="1">IFERROR(__xludf.DUMMYFUNCTION("""COMPUTED_VALUE"""),0.039)</f>
        <v>3.9E-2</v>
      </c>
      <c r="P175" s="45" t="str">
        <f ca="1">IFERROR(__xludf.DUMMYFUNCTION("""COMPUTED_VALUE"""),"Colombo, LK")</f>
        <v>Colombo, LK</v>
      </c>
      <c r="Q175" s="45" t="str">
        <f ca="1">IFERROR(__xludf.DUMMYFUNCTION("""COMPUTED_VALUE"""),"Felixstowe, GB")</f>
        <v>Felixstowe, GB</v>
      </c>
      <c r="R175" s="44">
        <f ca="1">IFERROR(__xludf.DUMMYFUNCTION("""COMPUTED_VALUE"""),45824)</f>
        <v>45824</v>
      </c>
      <c r="S175" s="44">
        <f ca="1">IFERROR(__xludf.DUMMYFUNCTION("""COMPUTED_VALUE"""),45883)</f>
        <v>45883</v>
      </c>
      <c r="T175" s="45" t="str">
        <f ca="1">IFERROR(__xludf.DUMMYFUNCTION("""COMPUTED_VALUE"""),"Birmingham, GB")</f>
        <v>Birmingham, GB</v>
      </c>
      <c r="U175" s="45"/>
      <c r="V175" s="45"/>
      <c r="W175" s="45"/>
      <c r="X175" s="45"/>
      <c r="Y175" s="46">
        <f ca="1">IFERROR(__xludf.DUMMYFUNCTION("""COMPUTED_VALUE"""),45842)</f>
        <v>45842</v>
      </c>
      <c r="Z175" s="46">
        <f ca="1">IFERROR(__xludf.DUMMYFUNCTION("""COMPUTED_VALUE"""),45858)</f>
        <v>45858</v>
      </c>
      <c r="AA175" s="46">
        <f ca="1">IFERROR(__xludf.DUMMYFUNCTION("""COMPUTED_VALUE"""),45865)</f>
        <v>45865</v>
      </c>
      <c r="AB175" s="45" t="str">
        <f ca="1">IFERROR(__xludf.DUMMYFUNCTION("""COMPUTED_VALUE"""),"10A Faraday Ave")</f>
        <v>10A Faraday Ave</v>
      </c>
      <c r="AC175" s="45" t="str">
        <f ca="1">IFERROR(__xludf.DUMMYFUNCTION("""COMPUTED_VALUE"""),"Coleshill")</f>
        <v>Coleshill</v>
      </c>
      <c r="AD175" s="45" t="str">
        <f ca="1">IFERROR(__xludf.DUMMYFUNCTION("""COMPUTED_VALUE"""),"OCEAN")</f>
        <v>OCEAN</v>
      </c>
      <c r="AE175" s="45" t="str">
        <f ca="1">IFERROR(__xludf.DUMMYFUNCTION("""COMPUTED_VALUE"""),"N")</f>
        <v>N</v>
      </c>
      <c r="AF175" s="45"/>
      <c r="AG175" s="49" t="str">
        <f ca="1">IFERROR(__xludf.DUMMYFUNCTION("IFNA(vlookup(H175,IMPORTRANGE(""1vUGwO1n0QQGx9kKbO0_M5gmuhXZ6-LaxQxgrmJnzgP0"",""'TP# look up'!A:C""),3,0),"""")"),"")</f>
        <v/>
      </c>
      <c r="AH175" s="49" t="str">
        <f t="shared" ca="1" si="2"/>
        <v>LW</v>
      </c>
    </row>
    <row r="176" spans="1:34" ht="12.75" hidden="1">
      <c r="A176" s="45" t="str">
        <f ca="1">IFERROR(__xludf.DUMMYFUNCTION("""COMPUTED_VALUE"""),"Colombo")</f>
        <v>Colombo</v>
      </c>
      <c r="B176" s="45"/>
      <c r="C176" s="45">
        <f ca="1">IFERROR(__xludf.DUMMYFUNCTION("""COMPUTED_VALUE"""),3254118)</f>
        <v>3254118</v>
      </c>
      <c r="D176" s="45"/>
      <c r="E176" s="45" t="str">
        <f ca="1">IFERROR(__xludf.DUMMYFUNCTION("""COMPUTED_VALUE"""),"CFS")</f>
        <v>CFS</v>
      </c>
      <c r="F176" s="45" t="str">
        <f ca="1">IFERROR(__xludf.DUMMYFUNCTION("""COMPUTED_VALUE"""),"MAS AMITY PTE LTD")</f>
        <v>MAS AMITY PTE LTD</v>
      </c>
      <c r="G176" s="45" t="str">
        <f ca="1">IFERROR(__xludf.DUMMYFUNCTION("""COMPUTED_VALUE"""),"MAS Active(Pvt) Ltd – CONTOURLINE")</f>
        <v>MAS Active(Pvt) Ltd – CONTOURLINE</v>
      </c>
      <c r="H176" s="43">
        <f ca="1">IFERROR(__xludf.DUMMYFUNCTION("""COMPUTED_VALUE"""),454772994540)</f>
        <v>454772994540</v>
      </c>
      <c r="I176" s="45">
        <f ca="1">IFERROR(__xludf.DUMMYFUNCTION("""COMPUTED_VALUE"""),19925973)</f>
        <v>19925973</v>
      </c>
      <c r="J176" s="45" t="str">
        <f ca="1">IFERROR(__xludf.DUMMYFUNCTION("""COMPUTED_VALUE"""),"LW5FARS")</f>
        <v>LW5FARS</v>
      </c>
      <c r="K176" s="45" t="str">
        <f ca="1">IFERROR(__xludf.DUMMYFUNCTION("""COMPUTED_VALUE"""),"LW5FARS-049106")</f>
        <v>LW5FARS-049106</v>
      </c>
      <c r="L176" s="45">
        <f ca="1">IFERROR(__xludf.DUMMYFUNCTION("""COMPUTED_VALUE"""),3)</f>
        <v>3</v>
      </c>
      <c r="M176" s="45">
        <f ca="1">IFERROR(__xludf.DUMMYFUNCTION("""COMPUTED_VALUE"""),130)</f>
        <v>130</v>
      </c>
      <c r="N176" s="45">
        <f ca="1">IFERROR(__xludf.DUMMYFUNCTION("""COMPUTED_VALUE"""),27.967)</f>
        <v>27.966999999999999</v>
      </c>
      <c r="O176" s="45">
        <f ca="1">IFERROR(__xludf.DUMMYFUNCTION("""COMPUTED_VALUE"""),0.197)</f>
        <v>0.19700000000000001</v>
      </c>
      <c r="P176" s="45" t="str">
        <f ca="1">IFERROR(__xludf.DUMMYFUNCTION("""COMPUTED_VALUE"""),"Colombo, LK")</f>
        <v>Colombo, LK</v>
      </c>
      <c r="Q176" s="45" t="str">
        <f ca="1">IFERROR(__xludf.DUMMYFUNCTION("""COMPUTED_VALUE"""),"Felixstowe, GB")</f>
        <v>Felixstowe, GB</v>
      </c>
      <c r="R176" s="44">
        <f ca="1">IFERROR(__xludf.DUMMYFUNCTION("""COMPUTED_VALUE"""),45824)</f>
        <v>45824</v>
      </c>
      <c r="S176" s="44">
        <f ca="1">IFERROR(__xludf.DUMMYFUNCTION("""COMPUTED_VALUE"""),45883)</f>
        <v>45883</v>
      </c>
      <c r="T176" s="45" t="str">
        <f ca="1">IFERROR(__xludf.DUMMYFUNCTION("""COMPUTED_VALUE"""),"Birmingham, GB")</f>
        <v>Birmingham, GB</v>
      </c>
      <c r="U176" s="45"/>
      <c r="V176" s="45"/>
      <c r="W176" s="45"/>
      <c r="X176" s="45"/>
      <c r="Y176" s="46">
        <f ca="1">IFERROR(__xludf.DUMMYFUNCTION("""COMPUTED_VALUE"""),45842)</f>
        <v>45842</v>
      </c>
      <c r="Z176" s="46">
        <f ca="1">IFERROR(__xludf.DUMMYFUNCTION("""COMPUTED_VALUE"""),45858)</f>
        <v>45858</v>
      </c>
      <c r="AA176" s="46">
        <f ca="1">IFERROR(__xludf.DUMMYFUNCTION("""COMPUTED_VALUE"""),45865)</f>
        <v>45865</v>
      </c>
      <c r="AB176" s="45" t="str">
        <f ca="1">IFERROR(__xludf.DUMMYFUNCTION("""COMPUTED_VALUE"""),"10A Faraday Ave")</f>
        <v>10A Faraday Ave</v>
      </c>
      <c r="AC176" s="45" t="str">
        <f ca="1">IFERROR(__xludf.DUMMYFUNCTION("""COMPUTED_VALUE"""),"Coleshill")</f>
        <v>Coleshill</v>
      </c>
      <c r="AD176" s="45" t="str">
        <f ca="1">IFERROR(__xludf.DUMMYFUNCTION("""COMPUTED_VALUE"""),"OCEAN")</f>
        <v>OCEAN</v>
      </c>
      <c r="AE176" s="45" t="str">
        <f ca="1">IFERROR(__xludf.DUMMYFUNCTION("""COMPUTED_VALUE"""),"N")</f>
        <v>N</v>
      </c>
      <c r="AF176" s="45"/>
      <c r="AG176" s="49" t="str">
        <f ca="1">IFERROR(__xludf.DUMMYFUNCTION("IFNA(vlookup(H176,IMPORTRANGE(""1vUGwO1n0QQGx9kKbO0_M5gmuhXZ6-LaxQxgrmJnzgP0"",""'TP# look up'!A:C""),3,0),"""")"),"")</f>
        <v/>
      </c>
      <c r="AH176" s="49" t="str">
        <f t="shared" ca="1" si="2"/>
        <v>LW</v>
      </c>
    </row>
    <row r="177" spans="1:34" ht="12.75" hidden="1">
      <c r="A177" s="45" t="str">
        <f ca="1">IFERROR(__xludf.DUMMYFUNCTION("""COMPUTED_VALUE"""),"Colombo")</f>
        <v>Colombo</v>
      </c>
      <c r="B177" s="45"/>
      <c r="C177" s="45">
        <f ca="1">IFERROR(__xludf.DUMMYFUNCTION("""COMPUTED_VALUE"""),3254118)</f>
        <v>3254118</v>
      </c>
      <c r="D177" s="45"/>
      <c r="E177" s="45" t="str">
        <f ca="1">IFERROR(__xludf.DUMMYFUNCTION("""COMPUTED_VALUE"""),"CFS")</f>
        <v>CFS</v>
      </c>
      <c r="F177" s="45" t="str">
        <f ca="1">IFERROR(__xludf.DUMMYFUNCTION("""COMPUTED_VALUE"""),"MAS AMITY PTE LTD")</f>
        <v>MAS AMITY PTE LTD</v>
      </c>
      <c r="G177" s="45" t="str">
        <f ca="1">IFERROR(__xludf.DUMMYFUNCTION("""COMPUTED_VALUE"""),"MAS Active(Pvt) Ltd – CONTOURLINE")</f>
        <v>MAS Active(Pvt) Ltd – CONTOURLINE</v>
      </c>
      <c r="H177" s="43">
        <f ca="1">IFERROR(__xludf.DUMMYFUNCTION("""COMPUTED_VALUE"""),454773467353)</f>
        <v>454773467353</v>
      </c>
      <c r="I177" s="45">
        <f ca="1">IFERROR(__xludf.DUMMYFUNCTION("""COMPUTED_VALUE"""),19921005)</f>
        <v>19921005</v>
      </c>
      <c r="J177" s="45" t="str">
        <f ca="1">IFERROR(__xludf.DUMMYFUNCTION("""COMPUTED_VALUE"""),"LW6CLQS")</f>
        <v>LW6CLQS</v>
      </c>
      <c r="K177" s="45" t="str">
        <f ca="1">IFERROR(__xludf.DUMMYFUNCTION("""COMPUTED_VALUE"""),"LW6CLQS-049106")</f>
        <v>LW6CLQS-049106</v>
      </c>
      <c r="L177" s="45">
        <f ca="1">IFERROR(__xludf.DUMMYFUNCTION("""COMPUTED_VALUE"""),1)</f>
        <v>1</v>
      </c>
      <c r="M177" s="45">
        <f ca="1">IFERROR(__xludf.DUMMYFUNCTION("""COMPUTED_VALUE"""),35)</f>
        <v>35</v>
      </c>
      <c r="N177" s="45">
        <f ca="1">IFERROR(__xludf.DUMMYFUNCTION("""COMPUTED_VALUE"""),7.846)</f>
        <v>7.8460000000000001</v>
      </c>
      <c r="O177" s="45">
        <f ca="1">IFERROR(__xludf.DUMMYFUNCTION("""COMPUTED_VALUE"""),0.039)</f>
        <v>3.9E-2</v>
      </c>
      <c r="P177" s="45" t="str">
        <f ca="1">IFERROR(__xludf.DUMMYFUNCTION("""COMPUTED_VALUE"""),"Colombo, LK")</f>
        <v>Colombo, LK</v>
      </c>
      <c r="Q177" s="45" t="str">
        <f ca="1">IFERROR(__xludf.DUMMYFUNCTION("""COMPUTED_VALUE"""),"Felixstowe, GB")</f>
        <v>Felixstowe, GB</v>
      </c>
      <c r="R177" s="44">
        <f ca="1">IFERROR(__xludf.DUMMYFUNCTION("""COMPUTED_VALUE"""),45824)</f>
        <v>45824</v>
      </c>
      <c r="S177" s="44">
        <f ca="1">IFERROR(__xludf.DUMMYFUNCTION("""COMPUTED_VALUE"""),45883)</f>
        <v>45883</v>
      </c>
      <c r="T177" s="45" t="str">
        <f ca="1">IFERROR(__xludf.DUMMYFUNCTION("""COMPUTED_VALUE"""),"Birmingham, GB")</f>
        <v>Birmingham, GB</v>
      </c>
      <c r="U177" s="45"/>
      <c r="V177" s="45"/>
      <c r="W177" s="45"/>
      <c r="X177" s="45"/>
      <c r="Y177" s="46">
        <f ca="1">IFERROR(__xludf.DUMMYFUNCTION("""COMPUTED_VALUE"""),45842)</f>
        <v>45842</v>
      </c>
      <c r="Z177" s="46">
        <f ca="1">IFERROR(__xludf.DUMMYFUNCTION("""COMPUTED_VALUE"""),45858)</f>
        <v>45858</v>
      </c>
      <c r="AA177" s="46">
        <f ca="1">IFERROR(__xludf.DUMMYFUNCTION("""COMPUTED_VALUE"""),45865)</f>
        <v>45865</v>
      </c>
      <c r="AB177" s="45" t="str">
        <f ca="1">IFERROR(__xludf.DUMMYFUNCTION("""COMPUTED_VALUE"""),"10A Faraday Ave")</f>
        <v>10A Faraday Ave</v>
      </c>
      <c r="AC177" s="45" t="str">
        <f ca="1">IFERROR(__xludf.DUMMYFUNCTION("""COMPUTED_VALUE"""),"Coleshill")</f>
        <v>Coleshill</v>
      </c>
      <c r="AD177" s="45" t="str">
        <f ca="1">IFERROR(__xludf.DUMMYFUNCTION("""COMPUTED_VALUE"""),"OCEAN")</f>
        <v>OCEAN</v>
      </c>
      <c r="AE177" s="45" t="str">
        <f ca="1">IFERROR(__xludf.DUMMYFUNCTION("""COMPUTED_VALUE"""),"N")</f>
        <v>N</v>
      </c>
      <c r="AF177" s="45"/>
      <c r="AG177" s="49" t="str">
        <f ca="1">IFERROR(__xludf.DUMMYFUNCTION("IFNA(vlookup(H177,IMPORTRANGE(""1vUGwO1n0QQGx9kKbO0_M5gmuhXZ6-LaxQxgrmJnzgP0"",""'TP# look up'!A:C""),3,0),"""")"),"")</f>
        <v/>
      </c>
      <c r="AH177" s="49" t="str">
        <f t="shared" ca="1" si="2"/>
        <v>LW</v>
      </c>
    </row>
    <row r="178" spans="1:34" ht="12.75" hidden="1">
      <c r="A178" s="45" t="str">
        <f ca="1">IFERROR(__xludf.DUMMYFUNCTION("""COMPUTED_VALUE"""),"Colombo")</f>
        <v>Colombo</v>
      </c>
      <c r="B178" s="45"/>
      <c r="C178" s="45">
        <f ca="1">IFERROR(__xludf.DUMMYFUNCTION("""COMPUTED_VALUE"""),3254118)</f>
        <v>3254118</v>
      </c>
      <c r="D178" s="45"/>
      <c r="E178" s="45" t="str">
        <f ca="1">IFERROR(__xludf.DUMMYFUNCTION("""COMPUTED_VALUE"""),"CFS")</f>
        <v>CFS</v>
      </c>
      <c r="F178" s="45" t="str">
        <f ca="1">IFERROR(__xludf.DUMMYFUNCTION("""COMPUTED_VALUE"""),"MAS AMITY PTE LTD")</f>
        <v>MAS AMITY PTE LTD</v>
      </c>
      <c r="G178" s="45" t="str">
        <f ca="1">IFERROR(__xludf.DUMMYFUNCTION("""COMPUTED_VALUE"""),"MAS Active(Pvt) Ltd – CONTOURLINE")</f>
        <v>MAS Active(Pvt) Ltd – CONTOURLINE</v>
      </c>
      <c r="H178" s="43">
        <f ca="1">IFERROR(__xludf.DUMMYFUNCTION("""COMPUTED_VALUE"""),454773467586)</f>
        <v>454773467586</v>
      </c>
      <c r="I178" s="45">
        <f ca="1">IFERROR(__xludf.DUMMYFUNCTION("""COMPUTED_VALUE"""),19926203)</f>
        <v>19926203</v>
      </c>
      <c r="J178" s="45" t="str">
        <f ca="1">IFERROR(__xludf.DUMMYFUNCTION("""COMPUTED_VALUE"""),"LW7CPPS")</f>
        <v>LW7CPPS</v>
      </c>
      <c r="K178" s="45" t="str">
        <f ca="1">IFERROR(__xludf.DUMMYFUNCTION("""COMPUTED_VALUE"""),"LW7CPPS-070108")</f>
        <v>LW7CPPS-070108</v>
      </c>
      <c r="L178" s="45">
        <f ca="1">IFERROR(__xludf.DUMMYFUNCTION("""COMPUTED_VALUE"""),1)</f>
        <v>1</v>
      </c>
      <c r="M178" s="45">
        <f ca="1">IFERROR(__xludf.DUMMYFUNCTION("""COMPUTED_VALUE"""),55)</f>
        <v>55</v>
      </c>
      <c r="N178" s="45">
        <f ca="1">IFERROR(__xludf.DUMMYFUNCTION("""COMPUTED_VALUE"""),8.701)</f>
        <v>8.7010000000000005</v>
      </c>
      <c r="O178" s="45">
        <f ca="1">IFERROR(__xludf.DUMMYFUNCTION("""COMPUTED_VALUE"""),0.079)</f>
        <v>7.9000000000000001E-2</v>
      </c>
      <c r="P178" s="45" t="str">
        <f ca="1">IFERROR(__xludf.DUMMYFUNCTION("""COMPUTED_VALUE"""),"Colombo, LK")</f>
        <v>Colombo, LK</v>
      </c>
      <c r="Q178" s="45" t="str">
        <f ca="1">IFERROR(__xludf.DUMMYFUNCTION("""COMPUTED_VALUE"""),"Felixstowe, GB")</f>
        <v>Felixstowe, GB</v>
      </c>
      <c r="R178" s="44">
        <f ca="1">IFERROR(__xludf.DUMMYFUNCTION("""COMPUTED_VALUE"""),45824)</f>
        <v>45824</v>
      </c>
      <c r="S178" s="44">
        <f ca="1">IFERROR(__xludf.DUMMYFUNCTION("""COMPUTED_VALUE"""),45849)</f>
        <v>45849</v>
      </c>
      <c r="T178" s="45" t="str">
        <f ca="1">IFERROR(__xludf.DUMMYFUNCTION("""COMPUTED_VALUE"""),"Birmingham, GB")</f>
        <v>Birmingham, GB</v>
      </c>
      <c r="U178" s="45"/>
      <c r="V178" s="45"/>
      <c r="W178" s="45"/>
      <c r="X178" s="45"/>
      <c r="Y178" s="46">
        <f ca="1">IFERROR(__xludf.DUMMYFUNCTION("""COMPUTED_VALUE"""),45842)</f>
        <v>45842</v>
      </c>
      <c r="Z178" s="46">
        <f ca="1">IFERROR(__xludf.DUMMYFUNCTION("""COMPUTED_VALUE"""),45858)</f>
        <v>45858</v>
      </c>
      <c r="AA178" s="46">
        <f ca="1">IFERROR(__xludf.DUMMYFUNCTION("""COMPUTED_VALUE"""),45865)</f>
        <v>45865</v>
      </c>
      <c r="AB178" s="45" t="str">
        <f ca="1">IFERROR(__xludf.DUMMYFUNCTION("""COMPUTED_VALUE"""),"10A Faraday Ave")</f>
        <v>10A Faraday Ave</v>
      </c>
      <c r="AC178" s="45" t="str">
        <f ca="1">IFERROR(__xludf.DUMMYFUNCTION("""COMPUTED_VALUE"""),"Coleshill")</f>
        <v>Coleshill</v>
      </c>
      <c r="AD178" s="45" t="str">
        <f ca="1">IFERROR(__xludf.DUMMYFUNCTION("""COMPUTED_VALUE"""),"FAF")</f>
        <v>FAF</v>
      </c>
      <c r="AE178" s="45" t="str">
        <f ca="1">IFERROR(__xludf.DUMMYFUNCTION("""COMPUTED_VALUE"""),"N")</f>
        <v>N</v>
      </c>
      <c r="AF178" s="45" t="str">
        <f ca="1">IFERROR(__xludf.DUMMYFUNCTION("""COMPUTED_VALUE"""),"Checking the Mode")</f>
        <v>Checking the Mode</v>
      </c>
      <c r="AG178" s="49" t="str">
        <f ca="1">IFERROR(__xludf.DUMMYFUNCTION("IFNA(vlookup(H178,IMPORTRANGE(""1vUGwO1n0QQGx9kKbO0_M5gmuhXZ6-LaxQxgrmJnzgP0"",""'TP# look up'!A:C""),3,0),"""")"),"")</f>
        <v/>
      </c>
      <c r="AH178" s="49" t="str">
        <f t="shared" ca="1" si="2"/>
        <v>LW</v>
      </c>
    </row>
    <row r="179" spans="1:34" ht="12.75" hidden="1">
      <c r="A179" s="45" t="str">
        <f ca="1">IFERROR(__xludf.DUMMYFUNCTION("""COMPUTED_VALUE"""),"Colombo")</f>
        <v>Colombo</v>
      </c>
      <c r="B179" s="45"/>
      <c r="C179" s="45">
        <f ca="1">IFERROR(__xludf.DUMMYFUNCTION("""COMPUTED_VALUE"""),3254118)</f>
        <v>3254118</v>
      </c>
      <c r="D179" s="45"/>
      <c r="E179" s="45" t="str">
        <f ca="1">IFERROR(__xludf.DUMMYFUNCTION("""COMPUTED_VALUE"""),"CFS")</f>
        <v>CFS</v>
      </c>
      <c r="F179" s="45" t="str">
        <f ca="1">IFERROR(__xludf.DUMMYFUNCTION("""COMPUTED_VALUE"""),"MAS AMITY PTE LTD")</f>
        <v>MAS AMITY PTE LTD</v>
      </c>
      <c r="G179" s="45" t="str">
        <f ca="1">IFERROR(__xludf.DUMMYFUNCTION("""COMPUTED_VALUE"""),"MAS Active(Pvt) Ltd – CONTOURLINE")</f>
        <v>MAS Active(Pvt) Ltd – CONTOURLINE</v>
      </c>
      <c r="H179" s="43">
        <f ca="1">IFERROR(__xludf.DUMMYFUNCTION("""COMPUTED_VALUE"""),454774312210)</f>
        <v>454774312210</v>
      </c>
      <c r="I179" s="45">
        <f ca="1">IFERROR(__xludf.DUMMYFUNCTION("""COMPUTED_VALUE"""),19920957)</f>
        <v>19920957</v>
      </c>
      <c r="J179" s="45" t="str">
        <f ca="1">IFERROR(__xludf.DUMMYFUNCTION("""COMPUTED_VALUE"""),"LW5EYKS")</f>
        <v>LW5EYKS</v>
      </c>
      <c r="K179" s="45" t="str">
        <f ca="1">IFERROR(__xludf.DUMMYFUNCTION("""COMPUTED_VALUE"""),"LW5EYKS-043635")</f>
        <v>LW5EYKS-043635</v>
      </c>
      <c r="L179" s="45">
        <f ca="1">IFERROR(__xludf.DUMMYFUNCTION("""COMPUTED_VALUE"""),6)</f>
        <v>6</v>
      </c>
      <c r="M179" s="45">
        <f ca="1">IFERROR(__xludf.DUMMYFUNCTION("""COMPUTED_VALUE"""),253)</f>
        <v>253</v>
      </c>
      <c r="N179" s="45">
        <f ca="1">IFERROR(__xludf.DUMMYFUNCTION("""COMPUTED_VALUE"""),59.486)</f>
        <v>59.485999999999997</v>
      </c>
      <c r="O179" s="45">
        <f ca="1">IFERROR(__xludf.DUMMYFUNCTION("""COMPUTED_VALUE"""),0.395)</f>
        <v>0.39500000000000002</v>
      </c>
      <c r="P179" s="45" t="str">
        <f ca="1">IFERROR(__xludf.DUMMYFUNCTION("""COMPUTED_VALUE"""),"Colombo, LK")</f>
        <v>Colombo, LK</v>
      </c>
      <c r="Q179" s="45" t="str">
        <f ca="1">IFERROR(__xludf.DUMMYFUNCTION("""COMPUTED_VALUE"""),"Felixstowe, GB")</f>
        <v>Felixstowe, GB</v>
      </c>
      <c r="R179" s="44">
        <f ca="1">IFERROR(__xludf.DUMMYFUNCTION("""COMPUTED_VALUE"""),45824)</f>
        <v>45824</v>
      </c>
      <c r="S179" s="44">
        <f ca="1">IFERROR(__xludf.DUMMYFUNCTION("""COMPUTED_VALUE"""),45883)</f>
        <v>45883</v>
      </c>
      <c r="T179" s="45" t="str">
        <f ca="1">IFERROR(__xludf.DUMMYFUNCTION("""COMPUTED_VALUE"""),"Birmingham, GB")</f>
        <v>Birmingham, GB</v>
      </c>
      <c r="U179" s="45"/>
      <c r="V179" s="45"/>
      <c r="W179" s="45"/>
      <c r="X179" s="45"/>
      <c r="Y179" s="46">
        <f ca="1">IFERROR(__xludf.DUMMYFUNCTION("""COMPUTED_VALUE"""),45842)</f>
        <v>45842</v>
      </c>
      <c r="Z179" s="46">
        <f ca="1">IFERROR(__xludf.DUMMYFUNCTION("""COMPUTED_VALUE"""),45858)</f>
        <v>45858</v>
      </c>
      <c r="AA179" s="46">
        <f ca="1">IFERROR(__xludf.DUMMYFUNCTION("""COMPUTED_VALUE"""),45865)</f>
        <v>45865</v>
      </c>
      <c r="AB179" s="45" t="str">
        <f ca="1">IFERROR(__xludf.DUMMYFUNCTION("""COMPUTED_VALUE"""),"10A Faraday Ave")</f>
        <v>10A Faraday Ave</v>
      </c>
      <c r="AC179" s="45" t="str">
        <f ca="1">IFERROR(__xludf.DUMMYFUNCTION("""COMPUTED_VALUE"""),"Coleshill")</f>
        <v>Coleshill</v>
      </c>
      <c r="AD179" s="45" t="str">
        <f ca="1">IFERROR(__xludf.DUMMYFUNCTION("""COMPUTED_VALUE"""),"OCEAN")</f>
        <v>OCEAN</v>
      </c>
      <c r="AE179" s="45" t="str">
        <f ca="1">IFERROR(__xludf.DUMMYFUNCTION("""COMPUTED_VALUE"""),"N")</f>
        <v>N</v>
      </c>
      <c r="AF179" s="45"/>
      <c r="AG179" s="49" t="str">
        <f ca="1">IFERROR(__xludf.DUMMYFUNCTION("IFNA(vlookup(H179,IMPORTRANGE(""1vUGwO1n0QQGx9kKbO0_M5gmuhXZ6-LaxQxgrmJnzgP0"",""'TP# look up'!A:C""),3,0),"""")"),"")</f>
        <v/>
      </c>
      <c r="AH179" s="49" t="str">
        <f t="shared" ca="1" si="2"/>
        <v>LW</v>
      </c>
    </row>
    <row r="180" spans="1:34" ht="12.75" hidden="1">
      <c r="A180" s="45" t="str">
        <f ca="1">IFERROR(__xludf.DUMMYFUNCTION("""COMPUTED_VALUE"""),"Colombo")</f>
        <v>Colombo</v>
      </c>
      <c r="B180" s="45"/>
      <c r="C180" s="45">
        <f ca="1">IFERROR(__xludf.DUMMYFUNCTION("""COMPUTED_VALUE"""),3254118)</f>
        <v>3254118</v>
      </c>
      <c r="D180" s="45"/>
      <c r="E180" s="45" t="str">
        <f ca="1">IFERROR(__xludf.DUMMYFUNCTION("""COMPUTED_VALUE"""),"CFS")</f>
        <v>CFS</v>
      </c>
      <c r="F180" s="45" t="str">
        <f ca="1">IFERROR(__xludf.DUMMYFUNCTION("""COMPUTED_VALUE"""),"MAS AMITY PTE LTD")</f>
        <v>MAS AMITY PTE LTD</v>
      </c>
      <c r="G180" s="45" t="str">
        <f ca="1">IFERROR(__xludf.DUMMYFUNCTION("""COMPUTED_VALUE"""),"MAS Active(Pvt) Ltd – CONTOURLINE")</f>
        <v>MAS Active(Pvt) Ltd – CONTOURLINE</v>
      </c>
      <c r="H180" s="43">
        <f ca="1">IFERROR(__xludf.DUMMYFUNCTION("""COMPUTED_VALUE"""),454774400970)</f>
        <v>454774400970</v>
      </c>
      <c r="I180" s="45">
        <f ca="1">IFERROR(__xludf.DUMMYFUNCTION("""COMPUTED_VALUE"""),19920968)</f>
        <v>19920968</v>
      </c>
      <c r="J180" s="45" t="str">
        <f ca="1">IFERROR(__xludf.DUMMYFUNCTION("""COMPUTED_VALUE"""),"LW5FARS")</f>
        <v>LW5FARS</v>
      </c>
      <c r="K180" s="45" t="str">
        <f ca="1">IFERROR(__xludf.DUMMYFUNCTION("""COMPUTED_VALUE"""),"LW5FARS-019746")</f>
        <v>LW5FARS-019746</v>
      </c>
      <c r="L180" s="45">
        <f ca="1">IFERROR(__xludf.DUMMYFUNCTION("""COMPUTED_VALUE"""),3)</f>
        <v>3</v>
      </c>
      <c r="M180" s="45">
        <f ca="1">IFERROR(__xludf.DUMMYFUNCTION("""COMPUTED_VALUE"""),152)</f>
        <v>152</v>
      </c>
      <c r="N180" s="45">
        <f ca="1">IFERROR(__xludf.DUMMYFUNCTION("""COMPUTED_VALUE"""),32.147)</f>
        <v>32.146999999999998</v>
      </c>
      <c r="O180" s="45">
        <f ca="1">IFERROR(__xludf.DUMMYFUNCTION("""COMPUTED_VALUE"""),0.197)</f>
        <v>0.19700000000000001</v>
      </c>
      <c r="P180" s="45" t="str">
        <f ca="1">IFERROR(__xludf.DUMMYFUNCTION("""COMPUTED_VALUE"""),"Colombo, LK")</f>
        <v>Colombo, LK</v>
      </c>
      <c r="Q180" s="45" t="str">
        <f ca="1">IFERROR(__xludf.DUMMYFUNCTION("""COMPUTED_VALUE"""),"Felixstowe, GB")</f>
        <v>Felixstowe, GB</v>
      </c>
      <c r="R180" s="44">
        <f ca="1">IFERROR(__xludf.DUMMYFUNCTION("""COMPUTED_VALUE"""),45824)</f>
        <v>45824</v>
      </c>
      <c r="S180" s="44">
        <f ca="1">IFERROR(__xludf.DUMMYFUNCTION("""COMPUTED_VALUE"""),45883)</f>
        <v>45883</v>
      </c>
      <c r="T180" s="45" t="str">
        <f ca="1">IFERROR(__xludf.DUMMYFUNCTION("""COMPUTED_VALUE"""),"Birmingham, GB")</f>
        <v>Birmingham, GB</v>
      </c>
      <c r="U180" s="45"/>
      <c r="V180" s="45"/>
      <c r="W180" s="45"/>
      <c r="X180" s="45"/>
      <c r="Y180" s="46">
        <f ca="1">IFERROR(__xludf.DUMMYFUNCTION("""COMPUTED_VALUE"""),45842)</f>
        <v>45842</v>
      </c>
      <c r="Z180" s="46">
        <f ca="1">IFERROR(__xludf.DUMMYFUNCTION("""COMPUTED_VALUE"""),45858)</f>
        <v>45858</v>
      </c>
      <c r="AA180" s="46">
        <f ca="1">IFERROR(__xludf.DUMMYFUNCTION("""COMPUTED_VALUE"""),45865)</f>
        <v>45865</v>
      </c>
      <c r="AB180" s="45" t="str">
        <f ca="1">IFERROR(__xludf.DUMMYFUNCTION("""COMPUTED_VALUE"""),"10A Faraday Ave")</f>
        <v>10A Faraday Ave</v>
      </c>
      <c r="AC180" s="45" t="str">
        <f ca="1">IFERROR(__xludf.DUMMYFUNCTION("""COMPUTED_VALUE"""),"Coleshill")</f>
        <v>Coleshill</v>
      </c>
      <c r="AD180" s="45" t="str">
        <f ca="1">IFERROR(__xludf.DUMMYFUNCTION("""COMPUTED_VALUE"""),"OCEAN")</f>
        <v>OCEAN</v>
      </c>
      <c r="AE180" s="45" t="str">
        <f ca="1">IFERROR(__xludf.DUMMYFUNCTION("""COMPUTED_VALUE"""),"N")</f>
        <v>N</v>
      </c>
      <c r="AF180" s="45"/>
      <c r="AG180" s="49" t="str">
        <f ca="1">IFERROR(__xludf.DUMMYFUNCTION("IFNA(vlookup(H180,IMPORTRANGE(""1vUGwO1n0QQGx9kKbO0_M5gmuhXZ6-LaxQxgrmJnzgP0"",""'TP# look up'!A:C""),3,0),"""")"),"")</f>
        <v/>
      </c>
      <c r="AH180" s="49" t="str">
        <f t="shared" ca="1" si="2"/>
        <v>LW</v>
      </c>
    </row>
    <row r="181" spans="1:34" ht="12.75" hidden="1">
      <c r="A181" s="45" t="str">
        <f ca="1">IFERROR(__xludf.DUMMYFUNCTION("""COMPUTED_VALUE"""),"Colombo")</f>
        <v>Colombo</v>
      </c>
      <c r="B181" s="45"/>
      <c r="C181" s="45">
        <f ca="1">IFERROR(__xludf.DUMMYFUNCTION("""COMPUTED_VALUE"""),3254118)</f>
        <v>3254118</v>
      </c>
      <c r="D181" s="45"/>
      <c r="E181" s="45" t="str">
        <f ca="1">IFERROR(__xludf.DUMMYFUNCTION("""COMPUTED_VALUE"""),"CFS")</f>
        <v>CFS</v>
      </c>
      <c r="F181" s="45" t="str">
        <f ca="1">IFERROR(__xludf.DUMMYFUNCTION("""COMPUTED_VALUE"""),"MAS AMITY PTE LTD")</f>
        <v>MAS AMITY PTE LTD</v>
      </c>
      <c r="G181" s="45" t="str">
        <f ca="1">IFERROR(__xludf.DUMMYFUNCTION("""COMPUTED_VALUE"""),"MAS Active(Pvt) Ltd – CONTOURLINE")</f>
        <v>MAS Active(Pvt) Ltd – CONTOURLINE</v>
      </c>
      <c r="H181" s="43">
        <f ca="1">IFERROR(__xludf.DUMMYFUNCTION("""COMPUTED_VALUE"""),454774401369)</f>
        <v>454774401369</v>
      </c>
      <c r="I181" s="45">
        <f ca="1">IFERROR(__xludf.DUMMYFUNCTION("""COMPUTED_VALUE"""),19926263)</f>
        <v>19926263</v>
      </c>
      <c r="J181" s="45" t="str">
        <f ca="1">IFERROR(__xludf.DUMMYFUNCTION("""COMPUTED_VALUE"""),"LW2EB3S")</f>
        <v>LW2EB3S</v>
      </c>
      <c r="K181" s="45" t="str">
        <f ca="1">IFERROR(__xludf.DUMMYFUNCTION("""COMPUTED_VALUE"""),"LW2EB3S-071200")</f>
        <v>LW2EB3S-071200</v>
      </c>
      <c r="L181" s="45">
        <f ca="1">IFERROR(__xludf.DUMMYFUNCTION("""COMPUTED_VALUE"""),1)</f>
        <v>1</v>
      </c>
      <c r="M181" s="45">
        <f ca="1">IFERROR(__xludf.DUMMYFUNCTION("""COMPUTED_VALUE"""),37)</f>
        <v>37</v>
      </c>
      <c r="N181" s="45">
        <f ca="1">IFERROR(__xludf.DUMMYFUNCTION("""COMPUTED_VALUE"""),4.926)</f>
        <v>4.9260000000000002</v>
      </c>
      <c r="O181" s="45">
        <f ca="1">IFERROR(__xludf.DUMMYFUNCTION("""COMPUTED_VALUE"""),0.039)</f>
        <v>3.9E-2</v>
      </c>
      <c r="P181" s="45" t="str">
        <f ca="1">IFERROR(__xludf.DUMMYFUNCTION("""COMPUTED_VALUE"""),"Colombo, LK")</f>
        <v>Colombo, LK</v>
      </c>
      <c r="Q181" s="45" t="str">
        <f ca="1">IFERROR(__xludf.DUMMYFUNCTION("""COMPUTED_VALUE"""),"Felixstowe, GB")</f>
        <v>Felixstowe, GB</v>
      </c>
      <c r="R181" s="44">
        <f ca="1">IFERROR(__xludf.DUMMYFUNCTION("""COMPUTED_VALUE"""),45824)</f>
        <v>45824</v>
      </c>
      <c r="S181" s="44">
        <f ca="1">IFERROR(__xludf.DUMMYFUNCTION("""COMPUTED_VALUE"""),45883)</f>
        <v>45883</v>
      </c>
      <c r="T181" s="45" t="str">
        <f ca="1">IFERROR(__xludf.DUMMYFUNCTION("""COMPUTED_VALUE"""),"Birmingham, GB")</f>
        <v>Birmingham, GB</v>
      </c>
      <c r="U181" s="45"/>
      <c r="V181" s="45"/>
      <c r="W181" s="45"/>
      <c r="X181" s="45"/>
      <c r="Y181" s="46">
        <f ca="1">IFERROR(__xludf.DUMMYFUNCTION("""COMPUTED_VALUE"""),45842)</f>
        <v>45842</v>
      </c>
      <c r="Z181" s="46">
        <f ca="1">IFERROR(__xludf.DUMMYFUNCTION("""COMPUTED_VALUE"""),45858)</f>
        <v>45858</v>
      </c>
      <c r="AA181" s="46">
        <f ca="1">IFERROR(__xludf.DUMMYFUNCTION("""COMPUTED_VALUE"""),45865)</f>
        <v>45865</v>
      </c>
      <c r="AB181" s="45" t="str">
        <f ca="1">IFERROR(__xludf.DUMMYFUNCTION("""COMPUTED_VALUE"""),"10A Faraday Ave")</f>
        <v>10A Faraday Ave</v>
      </c>
      <c r="AC181" s="45" t="str">
        <f ca="1">IFERROR(__xludf.DUMMYFUNCTION("""COMPUTED_VALUE"""),"Coleshill")</f>
        <v>Coleshill</v>
      </c>
      <c r="AD181" s="45" t="str">
        <f ca="1">IFERROR(__xludf.DUMMYFUNCTION("""COMPUTED_VALUE"""),"OCEAN")</f>
        <v>OCEAN</v>
      </c>
      <c r="AE181" s="45" t="str">
        <f ca="1">IFERROR(__xludf.DUMMYFUNCTION("""COMPUTED_VALUE"""),"N")</f>
        <v>N</v>
      </c>
      <c r="AF181" s="45"/>
      <c r="AG181" s="49" t="str">
        <f ca="1">IFERROR(__xludf.DUMMYFUNCTION("IFNA(vlookup(H181,IMPORTRANGE(""1vUGwO1n0QQGx9kKbO0_M5gmuhXZ6-LaxQxgrmJnzgP0"",""'TP# look up'!A:C""),3,0),"""")"),"")</f>
        <v/>
      </c>
      <c r="AH181" s="49" t="str">
        <f t="shared" ca="1" si="2"/>
        <v>LW</v>
      </c>
    </row>
    <row r="182" spans="1:34" ht="12.75" hidden="1">
      <c r="A182" s="45" t="str">
        <f ca="1">IFERROR(__xludf.DUMMYFUNCTION("""COMPUTED_VALUE"""),"Colombo")</f>
        <v>Colombo</v>
      </c>
      <c r="B182" s="45"/>
      <c r="C182" s="45">
        <f ca="1">IFERROR(__xludf.DUMMYFUNCTION("""COMPUTED_VALUE"""),3254118)</f>
        <v>3254118</v>
      </c>
      <c r="D182" s="45"/>
      <c r="E182" s="45" t="str">
        <f ca="1">IFERROR(__xludf.DUMMYFUNCTION("""COMPUTED_VALUE"""),"CFS")</f>
        <v>CFS</v>
      </c>
      <c r="F182" s="45" t="str">
        <f ca="1">IFERROR(__xludf.DUMMYFUNCTION("""COMPUTED_VALUE"""),"MAS AMITY PTE LTD")</f>
        <v>MAS AMITY PTE LTD</v>
      </c>
      <c r="G182" s="45" t="str">
        <f ca="1">IFERROR(__xludf.DUMMYFUNCTION("""COMPUTED_VALUE"""),"MAS Active(Pvt) Ltd – CONTOURLINE")</f>
        <v>MAS Active(Pvt) Ltd – CONTOURLINE</v>
      </c>
      <c r="H182" s="43">
        <f ca="1">IFERROR(__xludf.DUMMYFUNCTION("""COMPUTED_VALUE"""),454774676885)</f>
        <v>454774676885</v>
      </c>
      <c r="I182" s="45">
        <f ca="1">IFERROR(__xludf.DUMMYFUNCTION("""COMPUTED_VALUE"""),19920975)</f>
        <v>19920975</v>
      </c>
      <c r="J182" s="45" t="str">
        <f ca="1">IFERROR(__xludf.DUMMYFUNCTION("""COMPUTED_VALUE"""),"LW5FARS")</f>
        <v>LW5FARS</v>
      </c>
      <c r="K182" s="45" t="str">
        <f ca="1">IFERROR(__xludf.DUMMYFUNCTION("""COMPUTED_VALUE"""),"LW5FARS-031382")</f>
        <v>LW5FARS-031382</v>
      </c>
      <c r="L182" s="45">
        <f ca="1">IFERROR(__xludf.DUMMYFUNCTION("""COMPUTED_VALUE"""),2)</f>
        <v>2</v>
      </c>
      <c r="M182" s="45">
        <f ca="1">IFERROR(__xludf.DUMMYFUNCTION("""COMPUTED_VALUE"""),84)</f>
        <v>84</v>
      </c>
      <c r="N182" s="45">
        <f ca="1">IFERROR(__xludf.DUMMYFUNCTION("""COMPUTED_VALUE"""),18.042)</f>
        <v>18.042000000000002</v>
      </c>
      <c r="O182" s="45">
        <f ca="1">IFERROR(__xludf.DUMMYFUNCTION("""COMPUTED_VALUE"""),0.118)</f>
        <v>0.11799999999999999</v>
      </c>
      <c r="P182" s="45" t="str">
        <f ca="1">IFERROR(__xludf.DUMMYFUNCTION("""COMPUTED_VALUE"""),"Colombo, LK")</f>
        <v>Colombo, LK</v>
      </c>
      <c r="Q182" s="45" t="str">
        <f ca="1">IFERROR(__xludf.DUMMYFUNCTION("""COMPUTED_VALUE"""),"Felixstowe, GB")</f>
        <v>Felixstowe, GB</v>
      </c>
      <c r="R182" s="44">
        <f ca="1">IFERROR(__xludf.DUMMYFUNCTION("""COMPUTED_VALUE"""),45824)</f>
        <v>45824</v>
      </c>
      <c r="S182" s="44">
        <f ca="1">IFERROR(__xludf.DUMMYFUNCTION("""COMPUTED_VALUE"""),45883)</f>
        <v>45883</v>
      </c>
      <c r="T182" s="45" t="str">
        <f ca="1">IFERROR(__xludf.DUMMYFUNCTION("""COMPUTED_VALUE"""),"Birmingham, GB")</f>
        <v>Birmingham, GB</v>
      </c>
      <c r="U182" s="45"/>
      <c r="V182" s="45"/>
      <c r="W182" s="45"/>
      <c r="X182" s="45"/>
      <c r="Y182" s="46">
        <f ca="1">IFERROR(__xludf.DUMMYFUNCTION("""COMPUTED_VALUE"""),45842)</f>
        <v>45842</v>
      </c>
      <c r="Z182" s="46">
        <f ca="1">IFERROR(__xludf.DUMMYFUNCTION("""COMPUTED_VALUE"""),45858)</f>
        <v>45858</v>
      </c>
      <c r="AA182" s="46">
        <f ca="1">IFERROR(__xludf.DUMMYFUNCTION("""COMPUTED_VALUE"""),45865)</f>
        <v>45865</v>
      </c>
      <c r="AB182" s="45" t="str">
        <f ca="1">IFERROR(__xludf.DUMMYFUNCTION("""COMPUTED_VALUE"""),"10A Faraday Ave")</f>
        <v>10A Faraday Ave</v>
      </c>
      <c r="AC182" s="45" t="str">
        <f ca="1">IFERROR(__xludf.DUMMYFUNCTION("""COMPUTED_VALUE"""),"Coleshill")</f>
        <v>Coleshill</v>
      </c>
      <c r="AD182" s="45" t="str">
        <f ca="1">IFERROR(__xludf.DUMMYFUNCTION("""COMPUTED_VALUE"""),"OCEAN")</f>
        <v>OCEAN</v>
      </c>
      <c r="AE182" s="45" t="str">
        <f ca="1">IFERROR(__xludf.DUMMYFUNCTION("""COMPUTED_VALUE"""),"N")</f>
        <v>N</v>
      </c>
      <c r="AF182" s="45"/>
      <c r="AG182" s="49" t="str">
        <f ca="1">IFERROR(__xludf.DUMMYFUNCTION("IFNA(vlookup(H182,IMPORTRANGE(""1vUGwO1n0QQGx9kKbO0_M5gmuhXZ6-LaxQxgrmJnzgP0"",""'TP# look up'!A:C""),3,0),"""")"),"")</f>
        <v/>
      </c>
      <c r="AH182" s="49" t="str">
        <f t="shared" ca="1" si="2"/>
        <v>LW</v>
      </c>
    </row>
    <row r="183" spans="1:34" ht="12.75" hidden="1">
      <c r="A183" s="45" t="str">
        <f ca="1">IFERROR(__xludf.DUMMYFUNCTION("""COMPUTED_VALUE"""),"Colombo")</f>
        <v>Colombo</v>
      </c>
      <c r="B183" s="45"/>
      <c r="C183" s="45">
        <f ca="1">IFERROR(__xludf.DUMMYFUNCTION("""COMPUTED_VALUE"""),3254118)</f>
        <v>3254118</v>
      </c>
      <c r="D183" s="45"/>
      <c r="E183" s="45" t="str">
        <f ca="1">IFERROR(__xludf.DUMMYFUNCTION("""COMPUTED_VALUE"""),"CFS")</f>
        <v>CFS</v>
      </c>
      <c r="F183" s="45" t="str">
        <f ca="1">IFERROR(__xludf.DUMMYFUNCTION("""COMPUTED_VALUE"""),"MAS AMITY PTE LTD")</f>
        <v>MAS AMITY PTE LTD</v>
      </c>
      <c r="G183" s="45" t="str">
        <f ca="1">IFERROR(__xludf.DUMMYFUNCTION("""COMPUTED_VALUE"""),"MAS Active(Pvt) Ltd – CONTOURLINE")</f>
        <v>MAS Active(Pvt) Ltd – CONTOURLINE</v>
      </c>
      <c r="H183" s="43">
        <f ca="1">IFERROR(__xludf.DUMMYFUNCTION("""COMPUTED_VALUE"""),454774766099)</f>
        <v>454774766099</v>
      </c>
      <c r="I183" s="45">
        <f ca="1">IFERROR(__xludf.DUMMYFUNCTION("""COMPUTED_VALUE"""),19920959)</f>
        <v>19920959</v>
      </c>
      <c r="J183" s="45" t="str">
        <f ca="1">IFERROR(__xludf.DUMMYFUNCTION("""COMPUTED_VALUE"""),"LW5EYKS")</f>
        <v>LW5EYKS</v>
      </c>
      <c r="K183" s="45" t="str">
        <f ca="1">IFERROR(__xludf.DUMMYFUNCTION("""COMPUTED_VALUE"""),"LW5EYKS-043635")</f>
        <v>LW5EYKS-043635</v>
      </c>
      <c r="L183" s="45">
        <f ca="1">IFERROR(__xludf.DUMMYFUNCTION("""COMPUTED_VALUE"""),1)</f>
        <v>1</v>
      </c>
      <c r="M183" s="45">
        <f ca="1">IFERROR(__xludf.DUMMYFUNCTION("""COMPUTED_VALUE"""),27)</f>
        <v>27</v>
      </c>
      <c r="N183" s="45">
        <f ca="1">IFERROR(__xludf.DUMMYFUNCTION("""COMPUTED_VALUE"""),6.583)</f>
        <v>6.5830000000000002</v>
      </c>
      <c r="O183" s="45">
        <f ca="1">IFERROR(__xludf.DUMMYFUNCTION("""COMPUTED_VALUE"""),0.039)</f>
        <v>3.9E-2</v>
      </c>
      <c r="P183" s="45" t="str">
        <f ca="1">IFERROR(__xludf.DUMMYFUNCTION("""COMPUTED_VALUE"""),"Colombo, LK")</f>
        <v>Colombo, LK</v>
      </c>
      <c r="Q183" s="45" t="str">
        <f ca="1">IFERROR(__xludf.DUMMYFUNCTION("""COMPUTED_VALUE"""),"Felixstowe, GB")</f>
        <v>Felixstowe, GB</v>
      </c>
      <c r="R183" s="44">
        <f ca="1">IFERROR(__xludf.DUMMYFUNCTION("""COMPUTED_VALUE"""),45824)</f>
        <v>45824</v>
      </c>
      <c r="S183" s="44">
        <f ca="1">IFERROR(__xludf.DUMMYFUNCTION("""COMPUTED_VALUE"""),45883)</f>
        <v>45883</v>
      </c>
      <c r="T183" s="45" t="str">
        <f ca="1">IFERROR(__xludf.DUMMYFUNCTION("""COMPUTED_VALUE"""),"Birmingham, GB")</f>
        <v>Birmingham, GB</v>
      </c>
      <c r="U183" s="45"/>
      <c r="V183" s="45"/>
      <c r="W183" s="45"/>
      <c r="X183" s="45"/>
      <c r="Y183" s="46">
        <f ca="1">IFERROR(__xludf.DUMMYFUNCTION("""COMPUTED_VALUE"""),45842)</f>
        <v>45842</v>
      </c>
      <c r="Z183" s="46">
        <f ca="1">IFERROR(__xludf.DUMMYFUNCTION("""COMPUTED_VALUE"""),45858)</f>
        <v>45858</v>
      </c>
      <c r="AA183" s="46">
        <f ca="1">IFERROR(__xludf.DUMMYFUNCTION("""COMPUTED_VALUE"""),45865)</f>
        <v>45865</v>
      </c>
      <c r="AB183" s="45" t="str">
        <f ca="1">IFERROR(__xludf.DUMMYFUNCTION("""COMPUTED_VALUE"""),"10A Faraday Ave")</f>
        <v>10A Faraday Ave</v>
      </c>
      <c r="AC183" s="45" t="str">
        <f ca="1">IFERROR(__xludf.DUMMYFUNCTION("""COMPUTED_VALUE"""),"Coleshill")</f>
        <v>Coleshill</v>
      </c>
      <c r="AD183" s="45" t="str">
        <f ca="1">IFERROR(__xludf.DUMMYFUNCTION("""COMPUTED_VALUE"""),"OCEAN")</f>
        <v>OCEAN</v>
      </c>
      <c r="AE183" s="45" t="str">
        <f ca="1">IFERROR(__xludf.DUMMYFUNCTION("""COMPUTED_VALUE"""),"N")</f>
        <v>N</v>
      </c>
      <c r="AF183" s="45"/>
      <c r="AG183" s="49" t="str">
        <f ca="1">IFERROR(__xludf.DUMMYFUNCTION("IFNA(vlookup(H183,IMPORTRANGE(""1vUGwO1n0QQGx9kKbO0_M5gmuhXZ6-LaxQxgrmJnzgP0"",""'TP# look up'!A:C""),3,0),"""")"),"")</f>
        <v/>
      </c>
      <c r="AH183" s="49" t="str">
        <f t="shared" ca="1" si="2"/>
        <v>LW</v>
      </c>
    </row>
    <row r="184" spans="1:34" ht="12.75" hidden="1">
      <c r="A184" s="45" t="str">
        <f ca="1">IFERROR(__xludf.DUMMYFUNCTION("""COMPUTED_VALUE"""),"Colombo")</f>
        <v>Colombo</v>
      </c>
      <c r="B184" s="45"/>
      <c r="C184" s="45">
        <f ca="1">IFERROR(__xludf.DUMMYFUNCTION("""COMPUTED_VALUE"""),3254118)</f>
        <v>3254118</v>
      </c>
      <c r="D184" s="45"/>
      <c r="E184" s="45" t="str">
        <f ca="1">IFERROR(__xludf.DUMMYFUNCTION("""COMPUTED_VALUE"""),"CFS")</f>
        <v>CFS</v>
      </c>
      <c r="F184" s="45" t="str">
        <f ca="1">IFERROR(__xludf.DUMMYFUNCTION("""COMPUTED_VALUE"""),"MAS AMITY PTE LTD")</f>
        <v>MAS AMITY PTE LTD</v>
      </c>
      <c r="G184" s="45" t="str">
        <f ca="1">IFERROR(__xludf.DUMMYFUNCTION("""COMPUTED_VALUE"""),"MAS Active(Pvt) Ltd – CONTOURLINE")</f>
        <v>MAS Active(Pvt) Ltd – CONTOURLINE</v>
      </c>
      <c r="H184" s="43">
        <f ca="1">IFERROR(__xludf.DUMMYFUNCTION("""COMPUTED_VALUE"""),454775187235)</f>
        <v>454775187235</v>
      </c>
      <c r="I184" s="45">
        <f ca="1">IFERROR(__xludf.DUMMYFUNCTION("""COMPUTED_VALUE"""),19921009)</f>
        <v>19921009</v>
      </c>
      <c r="J184" s="45" t="str">
        <f ca="1">IFERROR(__xludf.DUMMYFUNCTION("""COMPUTED_VALUE"""),"LW7CPPS")</f>
        <v>LW7CPPS</v>
      </c>
      <c r="K184" s="45" t="str">
        <f ca="1">IFERROR(__xludf.DUMMYFUNCTION("""COMPUTED_VALUE"""),"LW7CPPS-031382")</f>
        <v>LW7CPPS-031382</v>
      </c>
      <c r="L184" s="45">
        <f ca="1">IFERROR(__xludf.DUMMYFUNCTION("""COMPUTED_VALUE"""),4)</f>
        <v>4</v>
      </c>
      <c r="M184" s="45">
        <f ca="1">IFERROR(__xludf.DUMMYFUNCTION("""COMPUTED_VALUE"""),194)</f>
        <v>194</v>
      </c>
      <c r="N184" s="45">
        <f ca="1">IFERROR(__xludf.DUMMYFUNCTION("""COMPUTED_VALUE"""),31.343)</f>
        <v>31.343</v>
      </c>
      <c r="O184" s="45">
        <f ca="1">IFERROR(__xludf.DUMMYFUNCTION("""COMPUTED_VALUE"""),0.237)</f>
        <v>0.23699999999999999</v>
      </c>
      <c r="P184" s="45" t="str">
        <f ca="1">IFERROR(__xludf.DUMMYFUNCTION("""COMPUTED_VALUE"""),"Colombo, LK")</f>
        <v>Colombo, LK</v>
      </c>
      <c r="Q184" s="45" t="str">
        <f ca="1">IFERROR(__xludf.DUMMYFUNCTION("""COMPUTED_VALUE"""),"Felixstowe, GB")</f>
        <v>Felixstowe, GB</v>
      </c>
      <c r="R184" s="44">
        <f ca="1">IFERROR(__xludf.DUMMYFUNCTION("""COMPUTED_VALUE"""),45824)</f>
        <v>45824</v>
      </c>
      <c r="S184" s="44">
        <f ca="1">IFERROR(__xludf.DUMMYFUNCTION("""COMPUTED_VALUE"""),45883)</f>
        <v>45883</v>
      </c>
      <c r="T184" s="45" t="str">
        <f ca="1">IFERROR(__xludf.DUMMYFUNCTION("""COMPUTED_VALUE"""),"Birmingham, GB")</f>
        <v>Birmingham, GB</v>
      </c>
      <c r="U184" s="45"/>
      <c r="V184" s="45"/>
      <c r="W184" s="45"/>
      <c r="X184" s="45"/>
      <c r="Y184" s="46">
        <f ca="1">IFERROR(__xludf.DUMMYFUNCTION("""COMPUTED_VALUE"""),45842)</f>
        <v>45842</v>
      </c>
      <c r="Z184" s="46">
        <f ca="1">IFERROR(__xludf.DUMMYFUNCTION("""COMPUTED_VALUE"""),45858)</f>
        <v>45858</v>
      </c>
      <c r="AA184" s="46">
        <f ca="1">IFERROR(__xludf.DUMMYFUNCTION("""COMPUTED_VALUE"""),45865)</f>
        <v>45865</v>
      </c>
      <c r="AB184" s="45" t="str">
        <f ca="1">IFERROR(__xludf.DUMMYFUNCTION("""COMPUTED_VALUE"""),"10A Faraday Ave")</f>
        <v>10A Faraday Ave</v>
      </c>
      <c r="AC184" s="45" t="str">
        <f ca="1">IFERROR(__xludf.DUMMYFUNCTION("""COMPUTED_VALUE"""),"Coleshill")</f>
        <v>Coleshill</v>
      </c>
      <c r="AD184" s="45" t="str">
        <f ca="1">IFERROR(__xludf.DUMMYFUNCTION("""COMPUTED_VALUE"""),"OCEAN")</f>
        <v>OCEAN</v>
      </c>
      <c r="AE184" s="45" t="str">
        <f ca="1">IFERROR(__xludf.DUMMYFUNCTION("""COMPUTED_VALUE"""),"N")</f>
        <v>N</v>
      </c>
      <c r="AF184" s="45"/>
      <c r="AG184" s="49" t="str">
        <f ca="1">IFERROR(__xludf.DUMMYFUNCTION("IFNA(vlookup(H184,IMPORTRANGE(""1vUGwO1n0QQGx9kKbO0_M5gmuhXZ6-LaxQxgrmJnzgP0"",""'TP# look up'!A:C""),3,0),"""")"),"")</f>
        <v/>
      </c>
      <c r="AH184" s="49" t="str">
        <f t="shared" ca="1" si="2"/>
        <v>LW</v>
      </c>
    </row>
    <row r="185" spans="1:34" ht="12.75" hidden="1">
      <c r="A185" s="45" t="str">
        <f ca="1">IFERROR(__xludf.DUMMYFUNCTION("""COMPUTED_VALUE"""),"Colombo")</f>
        <v>Colombo</v>
      </c>
      <c r="B185" s="45"/>
      <c r="C185" s="45">
        <f ca="1">IFERROR(__xludf.DUMMYFUNCTION("""COMPUTED_VALUE"""),3254118)</f>
        <v>3254118</v>
      </c>
      <c r="D185" s="45"/>
      <c r="E185" s="45" t="str">
        <f ca="1">IFERROR(__xludf.DUMMYFUNCTION("""COMPUTED_VALUE"""),"CFS")</f>
        <v>CFS</v>
      </c>
      <c r="F185" s="45" t="str">
        <f ca="1">IFERROR(__xludf.DUMMYFUNCTION("""COMPUTED_VALUE"""),"MAS AMITY PTE LTD")</f>
        <v>MAS AMITY PTE LTD</v>
      </c>
      <c r="G185" s="45" t="str">
        <f ca="1">IFERROR(__xludf.DUMMYFUNCTION("""COMPUTED_VALUE"""),"MAS Active(Pvt) Ltd – CONTOURLINE")</f>
        <v>MAS Active(Pvt) Ltd – CONTOURLINE</v>
      </c>
      <c r="H185" s="43">
        <f ca="1">IFERROR(__xludf.DUMMYFUNCTION("""COMPUTED_VALUE"""),454775192886)</f>
        <v>454775192886</v>
      </c>
      <c r="I185" s="45">
        <f ca="1">IFERROR(__xludf.DUMMYFUNCTION("""COMPUTED_VALUE"""),19926260)</f>
        <v>19926260</v>
      </c>
      <c r="J185" s="45" t="str">
        <f ca="1">IFERROR(__xludf.DUMMYFUNCTION("""COMPUTED_VALUE"""),"LW2EB3S")</f>
        <v>LW2EB3S</v>
      </c>
      <c r="K185" s="45" t="str">
        <f ca="1">IFERROR(__xludf.DUMMYFUNCTION("""COMPUTED_VALUE"""),"LW2EB3S-071200")</f>
        <v>LW2EB3S-071200</v>
      </c>
      <c r="L185" s="45">
        <f ca="1">IFERROR(__xludf.DUMMYFUNCTION("""COMPUTED_VALUE"""),4)</f>
        <v>4</v>
      </c>
      <c r="M185" s="45">
        <f ca="1">IFERROR(__xludf.DUMMYFUNCTION("""COMPUTED_VALUE"""),291)</f>
        <v>291</v>
      </c>
      <c r="N185" s="45">
        <f ca="1">IFERROR(__xludf.DUMMYFUNCTION("""COMPUTED_VALUE"""),36.461)</f>
        <v>36.460999999999999</v>
      </c>
      <c r="O185" s="45">
        <f ca="1">IFERROR(__xludf.DUMMYFUNCTION("""COMPUTED_VALUE"""),0.316)</f>
        <v>0.316</v>
      </c>
      <c r="P185" s="45" t="str">
        <f ca="1">IFERROR(__xludf.DUMMYFUNCTION("""COMPUTED_VALUE"""),"Colombo, LK")</f>
        <v>Colombo, LK</v>
      </c>
      <c r="Q185" s="45" t="str">
        <f ca="1">IFERROR(__xludf.DUMMYFUNCTION("""COMPUTED_VALUE"""),"Felixstowe, GB")</f>
        <v>Felixstowe, GB</v>
      </c>
      <c r="R185" s="44">
        <f ca="1">IFERROR(__xludf.DUMMYFUNCTION("""COMPUTED_VALUE"""),45824)</f>
        <v>45824</v>
      </c>
      <c r="S185" s="44">
        <f ca="1">IFERROR(__xludf.DUMMYFUNCTION("""COMPUTED_VALUE"""),45883)</f>
        <v>45883</v>
      </c>
      <c r="T185" s="45" t="str">
        <f ca="1">IFERROR(__xludf.DUMMYFUNCTION("""COMPUTED_VALUE"""),"Birmingham, GB")</f>
        <v>Birmingham, GB</v>
      </c>
      <c r="U185" s="45"/>
      <c r="V185" s="45"/>
      <c r="W185" s="45"/>
      <c r="X185" s="45"/>
      <c r="Y185" s="46">
        <f ca="1">IFERROR(__xludf.DUMMYFUNCTION("""COMPUTED_VALUE"""),45842)</f>
        <v>45842</v>
      </c>
      <c r="Z185" s="46">
        <f ca="1">IFERROR(__xludf.DUMMYFUNCTION("""COMPUTED_VALUE"""),45858)</f>
        <v>45858</v>
      </c>
      <c r="AA185" s="46">
        <f ca="1">IFERROR(__xludf.DUMMYFUNCTION("""COMPUTED_VALUE"""),45865)</f>
        <v>45865</v>
      </c>
      <c r="AB185" s="45" t="str">
        <f ca="1">IFERROR(__xludf.DUMMYFUNCTION("""COMPUTED_VALUE"""),"10A Faraday Ave")</f>
        <v>10A Faraday Ave</v>
      </c>
      <c r="AC185" s="45" t="str">
        <f ca="1">IFERROR(__xludf.DUMMYFUNCTION("""COMPUTED_VALUE"""),"Coleshill")</f>
        <v>Coleshill</v>
      </c>
      <c r="AD185" s="45" t="str">
        <f ca="1">IFERROR(__xludf.DUMMYFUNCTION("""COMPUTED_VALUE"""),"OCEAN")</f>
        <v>OCEAN</v>
      </c>
      <c r="AE185" s="45" t="str">
        <f ca="1">IFERROR(__xludf.DUMMYFUNCTION("""COMPUTED_VALUE"""),"N")</f>
        <v>N</v>
      </c>
      <c r="AF185" s="45"/>
      <c r="AG185" s="49" t="str">
        <f ca="1">IFERROR(__xludf.DUMMYFUNCTION("IFNA(vlookup(H185,IMPORTRANGE(""1vUGwO1n0QQGx9kKbO0_M5gmuhXZ6-LaxQxgrmJnzgP0"",""'TP# look up'!A:C""),3,0),"""")"),"")</f>
        <v/>
      </c>
      <c r="AH185" s="49" t="str">
        <f t="shared" ca="1" si="2"/>
        <v>LW</v>
      </c>
    </row>
    <row r="186" spans="1:34" ht="12.75" hidden="1">
      <c r="A186" s="45" t="str">
        <f ca="1">IFERROR(__xludf.DUMMYFUNCTION("""COMPUTED_VALUE"""),"Colombo")</f>
        <v>Colombo</v>
      </c>
      <c r="B186" s="45"/>
      <c r="C186" s="45">
        <f ca="1">IFERROR(__xludf.DUMMYFUNCTION("""COMPUTED_VALUE"""),3254118)</f>
        <v>3254118</v>
      </c>
      <c r="D186" s="45"/>
      <c r="E186" s="45" t="str">
        <f ca="1">IFERROR(__xludf.DUMMYFUNCTION("""COMPUTED_VALUE"""),"CFS")</f>
        <v>CFS</v>
      </c>
      <c r="F186" s="45" t="str">
        <f ca="1">IFERROR(__xludf.DUMMYFUNCTION("""COMPUTED_VALUE"""),"MAS AMITY PTE LTD")</f>
        <v>MAS AMITY PTE LTD</v>
      </c>
      <c r="G186" s="45" t="str">
        <f ca="1">IFERROR(__xludf.DUMMYFUNCTION("""COMPUTED_VALUE"""),"MAS Active(Pvt) Ltd – CONTOURLINE")</f>
        <v>MAS Active(Pvt) Ltd – CONTOURLINE</v>
      </c>
      <c r="H186" s="43">
        <f ca="1">IFERROR(__xludf.DUMMYFUNCTION("""COMPUTED_VALUE"""),454775252856)</f>
        <v>454775252856</v>
      </c>
      <c r="I186" s="45">
        <f ca="1">IFERROR(__xludf.DUMMYFUNCTION("""COMPUTED_VALUE"""),19925895)</f>
        <v>19925895</v>
      </c>
      <c r="J186" s="45" t="str">
        <f ca="1">IFERROR(__xludf.DUMMYFUNCTION("""COMPUTED_VALUE"""),"LW5EPSS")</f>
        <v>LW5EPSS</v>
      </c>
      <c r="K186" s="45" t="str">
        <f ca="1">IFERROR(__xludf.DUMMYFUNCTION("""COMPUTED_VALUE"""),"LW5EPSS-049106")</f>
        <v>LW5EPSS-049106</v>
      </c>
      <c r="L186" s="45">
        <f ca="1">IFERROR(__xludf.DUMMYFUNCTION("""COMPUTED_VALUE"""),2)</f>
        <v>2</v>
      </c>
      <c r="M186" s="45">
        <f ca="1">IFERROR(__xludf.DUMMYFUNCTION("""COMPUTED_VALUE"""),89)</f>
        <v>89</v>
      </c>
      <c r="N186" s="45">
        <f ca="1">IFERROR(__xludf.DUMMYFUNCTION("""COMPUTED_VALUE"""),20.416)</f>
        <v>20.416</v>
      </c>
      <c r="O186" s="45">
        <f ca="1">IFERROR(__xludf.DUMMYFUNCTION("""COMPUTED_VALUE"""),0.118)</f>
        <v>0.11799999999999999</v>
      </c>
      <c r="P186" s="45" t="str">
        <f ca="1">IFERROR(__xludf.DUMMYFUNCTION("""COMPUTED_VALUE"""),"Colombo, LK")</f>
        <v>Colombo, LK</v>
      </c>
      <c r="Q186" s="45" t="str">
        <f ca="1">IFERROR(__xludf.DUMMYFUNCTION("""COMPUTED_VALUE"""),"Felixstowe, GB")</f>
        <v>Felixstowe, GB</v>
      </c>
      <c r="R186" s="44">
        <f ca="1">IFERROR(__xludf.DUMMYFUNCTION("""COMPUTED_VALUE"""),45824)</f>
        <v>45824</v>
      </c>
      <c r="S186" s="44">
        <f ca="1">IFERROR(__xludf.DUMMYFUNCTION("""COMPUTED_VALUE"""),45883)</f>
        <v>45883</v>
      </c>
      <c r="T186" s="45" t="str">
        <f ca="1">IFERROR(__xludf.DUMMYFUNCTION("""COMPUTED_VALUE"""),"Birmingham, GB")</f>
        <v>Birmingham, GB</v>
      </c>
      <c r="U186" s="45"/>
      <c r="V186" s="45"/>
      <c r="W186" s="45"/>
      <c r="X186" s="45"/>
      <c r="Y186" s="46">
        <f ca="1">IFERROR(__xludf.DUMMYFUNCTION("""COMPUTED_VALUE"""),45842)</f>
        <v>45842</v>
      </c>
      <c r="Z186" s="46">
        <f ca="1">IFERROR(__xludf.DUMMYFUNCTION("""COMPUTED_VALUE"""),45858)</f>
        <v>45858</v>
      </c>
      <c r="AA186" s="46">
        <f ca="1">IFERROR(__xludf.DUMMYFUNCTION("""COMPUTED_VALUE"""),45865)</f>
        <v>45865</v>
      </c>
      <c r="AB186" s="45" t="str">
        <f ca="1">IFERROR(__xludf.DUMMYFUNCTION("""COMPUTED_VALUE"""),"10A Faraday Ave")</f>
        <v>10A Faraday Ave</v>
      </c>
      <c r="AC186" s="45" t="str">
        <f ca="1">IFERROR(__xludf.DUMMYFUNCTION("""COMPUTED_VALUE"""),"Coleshill")</f>
        <v>Coleshill</v>
      </c>
      <c r="AD186" s="45" t="str">
        <f ca="1">IFERROR(__xludf.DUMMYFUNCTION("""COMPUTED_VALUE"""),"OCEAN")</f>
        <v>OCEAN</v>
      </c>
      <c r="AE186" s="45" t="str">
        <f ca="1">IFERROR(__xludf.DUMMYFUNCTION("""COMPUTED_VALUE"""),"N")</f>
        <v>N</v>
      </c>
      <c r="AF186" s="45"/>
      <c r="AG186" s="49" t="str">
        <f ca="1">IFERROR(__xludf.DUMMYFUNCTION("IFNA(vlookup(H186,IMPORTRANGE(""1vUGwO1n0QQGx9kKbO0_M5gmuhXZ6-LaxQxgrmJnzgP0"",""'TP# look up'!A:C""),3,0),"""")"),"")</f>
        <v/>
      </c>
      <c r="AH186" s="49" t="str">
        <f t="shared" ca="1" si="2"/>
        <v>LW</v>
      </c>
    </row>
    <row r="187" spans="1:34" ht="12.75" hidden="1">
      <c r="A187" s="45" t="str">
        <f ca="1">IFERROR(__xludf.DUMMYFUNCTION("""COMPUTED_VALUE"""),"Colombo")</f>
        <v>Colombo</v>
      </c>
      <c r="B187" s="45"/>
      <c r="C187" s="45">
        <f ca="1">IFERROR(__xludf.DUMMYFUNCTION("""COMPUTED_VALUE"""),3254118)</f>
        <v>3254118</v>
      </c>
      <c r="D187" s="45"/>
      <c r="E187" s="45" t="str">
        <f ca="1">IFERROR(__xludf.DUMMYFUNCTION("""COMPUTED_VALUE"""),"CFS")</f>
        <v>CFS</v>
      </c>
      <c r="F187" s="45" t="str">
        <f ca="1">IFERROR(__xludf.DUMMYFUNCTION("""COMPUTED_VALUE"""),"MAS AMITY PTE LTD")</f>
        <v>MAS AMITY PTE LTD</v>
      </c>
      <c r="G187" s="45" t="str">
        <f ca="1">IFERROR(__xludf.DUMMYFUNCTION("""COMPUTED_VALUE"""),"MAS Active(Pvt) Ltd – CONTOURLINE")</f>
        <v>MAS Active(Pvt) Ltd – CONTOURLINE</v>
      </c>
      <c r="H187" s="43">
        <f ca="1">IFERROR(__xludf.DUMMYFUNCTION("""COMPUTED_VALUE"""),454775599438)</f>
        <v>454775599438</v>
      </c>
      <c r="I187" s="45">
        <f ca="1">IFERROR(__xludf.DUMMYFUNCTION("""COMPUTED_VALUE"""),19925872)</f>
        <v>19925872</v>
      </c>
      <c r="J187" s="45" t="str">
        <f ca="1">IFERROR(__xludf.DUMMYFUNCTION("""COMPUTED_VALUE"""),"LW5EPSS")</f>
        <v>LW5EPSS</v>
      </c>
      <c r="K187" s="45" t="str">
        <f ca="1">IFERROR(__xludf.DUMMYFUNCTION("""COMPUTED_VALUE"""),"LW5EPSS-049106")</f>
        <v>LW5EPSS-049106</v>
      </c>
      <c r="L187" s="45">
        <f ca="1">IFERROR(__xludf.DUMMYFUNCTION("""COMPUTED_VALUE"""),7)</f>
        <v>7</v>
      </c>
      <c r="M187" s="45">
        <f ca="1">IFERROR(__xludf.DUMMYFUNCTION("""COMPUTED_VALUE"""),277)</f>
        <v>277</v>
      </c>
      <c r="N187" s="45">
        <f ca="1">IFERROR(__xludf.DUMMYFUNCTION("""COMPUTED_VALUE"""),61.082)</f>
        <v>61.082000000000001</v>
      </c>
      <c r="O187" s="45">
        <f ca="1">IFERROR(__xludf.DUMMYFUNCTION("""COMPUTED_VALUE"""),0.434)</f>
        <v>0.434</v>
      </c>
      <c r="P187" s="45" t="str">
        <f ca="1">IFERROR(__xludf.DUMMYFUNCTION("""COMPUTED_VALUE"""),"Colombo, LK")</f>
        <v>Colombo, LK</v>
      </c>
      <c r="Q187" s="45" t="str">
        <f ca="1">IFERROR(__xludf.DUMMYFUNCTION("""COMPUTED_VALUE"""),"Felixstowe, GB")</f>
        <v>Felixstowe, GB</v>
      </c>
      <c r="R187" s="44">
        <f ca="1">IFERROR(__xludf.DUMMYFUNCTION("""COMPUTED_VALUE"""),45824)</f>
        <v>45824</v>
      </c>
      <c r="S187" s="44">
        <f ca="1">IFERROR(__xludf.DUMMYFUNCTION("""COMPUTED_VALUE"""),45883)</f>
        <v>45883</v>
      </c>
      <c r="T187" s="45" t="str">
        <f ca="1">IFERROR(__xludf.DUMMYFUNCTION("""COMPUTED_VALUE"""),"Birmingham, GB")</f>
        <v>Birmingham, GB</v>
      </c>
      <c r="U187" s="45"/>
      <c r="V187" s="45"/>
      <c r="W187" s="45"/>
      <c r="X187" s="45"/>
      <c r="Y187" s="46">
        <f ca="1">IFERROR(__xludf.DUMMYFUNCTION("""COMPUTED_VALUE"""),45842)</f>
        <v>45842</v>
      </c>
      <c r="Z187" s="46">
        <f ca="1">IFERROR(__xludf.DUMMYFUNCTION("""COMPUTED_VALUE"""),45858)</f>
        <v>45858</v>
      </c>
      <c r="AA187" s="46">
        <f ca="1">IFERROR(__xludf.DUMMYFUNCTION("""COMPUTED_VALUE"""),45865)</f>
        <v>45865</v>
      </c>
      <c r="AB187" s="45" t="str">
        <f ca="1">IFERROR(__xludf.DUMMYFUNCTION("""COMPUTED_VALUE"""),"10A Faraday Ave")</f>
        <v>10A Faraday Ave</v>
      </c>
      <c r="AC187" s="45" t="str">
        <f ca="1">IFERROR(__xludf.DUMMYFUNCTION("""COMPUTED_VALUE"""),"Coleshill")</f>
        <v>Coleshill</v>
      </c>
      <c r="AD187" s="45" t="str">
        <f ca="1">IFERROR(__xludf.DUMMYFUNCTION("""COMPUTED_VALUE"""),"OCEAN")</f>
        <v>OCEAN</v>
      </c>
      <c r="AE187" s="45" t="str">
        <f ca="1">IFERROR(__xludf.DUMMYFUNCTION("""COMPUTED_VALUE"""),"N")</f>
        <v>N</v>
      </c>
      <c r="AF187" s="45"/>
      <c r="AG187" s="49" t="str">
        <f ca="1">IFERROR(__xludf.DUMMYFUNCTION("IFNA(vlookup(H187,IMPORTRANGE(""1vUGwO1n0QQGx9kKbO0_M5gmuhXZ6-LaxQxgrmJnzgP0"",""'TP# look up'!A:C""),3,0),"""")"),"")</f>
        <v/>
      </c>
      <c r="AH187" s="49" t="str">
        <f t="shared" ca="1" si="2"/>
        <v>LW</v>
      </c>
    </row>
    <row r="188" spans="1:34" ht="12.75" hidden="1">
      <c r="A188" s="45" t="str">
        <f ca="1">IFERROR(__xludf.DUMMYFUNCTION("""COMPUTED_VALUE"""),"Colombo")</f>
        <v>Colombo</v>
      </c>
      <c r="B188" s="45"/>
      <c r="C188" s="45">
        <f ca="1">IFERROR(__xludf.DUMMYFUNCTION("""COMPUTED_VALUE"""),3254118)</f>
        <v>3254118</v>
      </c>
      <c r="D188" s="45"/>
      <c r="E188" s="45" t="str">
        <f ca="1">IFERROR(__xludf.DUMMYFUNCTION("""COMPUTED_VALUE"""),"CFS")</f>
        <v>CFS</v>
      </c>
      <c r="F188" s="45" t="str">
        <f ca="1">IFERROR(__xludf.DUMMYFUNCTION("""COMPUTED_VALUE"""),"MAS AMITY PTE LTD")</f>
        <v>MAS AMITY PTE LTD</v>
      </c>
      <c r="G188" s="45" t="str">
        <f ca="1">IFERROR(__xludf.DUMMYFUNCTION("""COMPUTED_VALUE"""),"MAS Active (Pvt) Ltd – Shadowline")</f>
        <v>MAS Active (Pvt) Ltd – Shadowline</v>
      </c>
      <c r="H188" s="43">
        <f ca="1">IFERROR(__xludf.DUMMYFUNCTION("""COMPUTED_VALUE"""),454864010774)</f>
        <v>454864010774</v>
      </c>
      <c r="I188" s="45">
        <f ca="1">IFERROR(__xludf.DUMMYFUNCTION("""COMPUTED_VALUE"""),19808326)</f>
        <v>19808326</v>
      </c>
      <c r="J188" s="45" t="str">
        <f ca="1">IFERROR(__xludf.DUMMYFUNCTION("""COMPUTED_VALUE"""),"LM1366S")</f>
        <v>LM1366S</v>
      </c>
      <c r="K188" s="45" t="str">
        <f ca="1">IFERROR(__xludf.DUMMYFUNCTION("""COMPUTED_VALUE"""),"LM1366S-062214")</f>
        <v>LM1366S-062214</v>
      </c>
      <c r="L188" s="45">
        <f ca="1">IFERROR(__xludf.DUMMYFUNCTION("""COMPUTED_VALUE"""),1)</f>
        <v>1</v>
      </c>
      <c r="M188" s="45">
        <f ca="1">IFERROR(__xludf.DUMMYFUNCTION("""COMPUTED_VALUE"""),82)</f>
        <v>82</v>
      </c>
      <c r="N188" s="45">
        <f ca="1">IFERROR(__xludf.DUMMYFUNCTION("""COMPUTED_VALUE"""),7.996)</f>
        <v>7.9960000000000004</v>
      </c>
      <c r="O188" s="45">
        <f ca="1">IFERROR(__xludf.DUMMYFUNCTION("""COMPUTED_VALUE"""),0.079)</f>
        <v>7.9000000000000001E-2</v>
      </c>
      <c r="P188" s="45" t="str">
        <f ca="1">IFERROR(__xludf.DUMMYFUNCTION("""COMPUTED_VALUE"""),"Colombo, LK")</f>
        <v>Colombo, LK</v>
      </c>
      <c r="Q188" s="45" t="str">
        <f ca="1">IFERROR(__xludf.DUMMYFUNCTION("""COMPUTED_VALUE"""),"Felixstowe, GB")</f>
        <v>Felixstowe, GB</v>
      </c>
      <c r="R188" s="44">
        <f ca="1">IFERROR(__xludf.DUMMYFUNCTION("""COMPUTED_VALUE"""),45824)</f>
        <v>45824</v>
      </c>
      <c r="S188" s="44">
        <f ca="1">IFERROR(__xludf.DUMMYFUNCTION("""COMPUTED_VALUE"""),45883)</f>
        <v>45883</v>
      </c>
      <c r="T188" s="45" t="str">
        <f ca="1">IFERROR(__xludf.DUMMYFUNCTION("""COMPUTED_VALUE"""),"Birmingham, GB")</f>
        <v>Birmingham, GB</v>
      </c>
      <c r="U188" s="45"/>
      <c r="V188" s="45"/>
      <c r="W188" s="45"/>
      <c r="X188" s="45"/>
      <c r="Y188" s="46">
        <f ca="1">IFERROR(__xludf.DUMMYFUNCTION("""COMPUTED_VALUE"""),45842)</f>
        <v>45842</v>
      </c>
      <c r="Z188" s="46">
        <f ca="1">IFERROR(__xludf.DUMMYFUNCTION("""COMPUTED_VALUE"""),45858)</f>
        <v>45858</v>
      </c>
      <c r="AA188" s="46">
        <f ca="1">IFERROR(__xludf.DUMMYFUNCTION("""COMPUTED_VALUE"""),45865)</f>
        <v>45865</v>
      </c>
      <c r="AB188" s="45" t="str">
        <f ca="1">IFERROR(__xludf.DUMMYFUNCTION("""COMPUTED_VALUE"""),"10A Faraday Ave")</f>
        <v>10A Faraday Ave</v>
      </c>
      <c r="AC188" s="45" t="str">
        <f ca="1">IFERROR(__xludf.DUMMYFUNCTION("""COMPUTED_VALUE"""),"Coleshill")</f>
        <v>Coleshill</v>
      </c>
      <c r="AD188" s="45" t="str">
        <f ca="1">IFERROR(__xludf.DUMMYFUNCTION("""COMPUTED_VALUE"""),"OCEAN")</f>
        <v>OCEAN</v>
      </c>
      <c r="AE188" s="45" t="str">
        <f ca="1">IFERROR(__xludf.DUMMYFUNCTION("""COMPUTED_VALUE"""),"N")</f>
        <v>N</v>
      </c>
      <c r="AF188" s="45"/>
      <c r="AG188" s="49" t="str">
        <f ca="1">IFERROR(__xludf.DUMMYFUNCTION("IFNA(vlookup(H188,IMPORTRANGE(""1vUGwO1n0QQGx9kKbO0_M5gmuhXZ6-LaxQxgrmJnzgP0"",""'TP# look up'!A:C""),3,0),"""")"),"")</f>
        <v/>
      </c>
      <c r="AH188" s="49" t="str">
        <f t="shared" ca="1" si="2"/>
        <v>LM</v>
      </c>
    </row>
    <row r="189" spans="1:34" ht="12.75" hidden="1">
      <c r="A189" s="45" t="str">
        <f ca="1">IFERROR(__xludf.DUMMYFUNCTION("""COMPUTED_VALUE"""),"Colombo")</f>
        <v>Colombo</v>
      </c>
      <c r="B189" s="45"/>
      <c r="C189" s="45">
        <f ca="1">IFERROR(__xludf.DUMMYFUNCTION("""COMPUTED_VALUE"""),3254118)</f>
        <v>3254118</v>
      </c>
      <c r="D189" s="45"/>
      <c r="E189" s="45" t="str">
        <f ca="1">IFERROR(__xludf.DUMMYFUNCTION("""COMPUTED_VALUE"""),"CFS")</f>
        <v>CFS</v>
      </c>
      <c r="F189" s="45" t="str">
        <f ca="1">IFERROR(__xludf.DUMMYFUNCTION("""COMPUTED_VALUE"""),"MAS AMITY PTE LTD")</f>
        <v>MAS AMITY PTE LTD</v>
      </c>
      <c r="G189" s="45" t="str">
        <f ca="1">IFERROR(__xludf.DUMMYFUNCTION("""COMPUTED_VALUE"""),"MAS Active(Pvt) Ltd – CONTOURLINE")</f>
        <v>MAS Active(Pvt) Ltd – CONTOURLINE</v>
      </c>
      <c r="H189" s="43">
        <f ca="1">IFERROR(__xludf.DUMMYFUNCTION("""COMPUTED_VALUE"""),454858069214)</f>
        <v>454858069214</v>
      </c>
      <c r="I189" s="45">
        <f ca="1">IFERROR(__xludf.DUMMYFUNCTION("""COMPUTED_VALUE"""),19920976)</f>
        <v>19920976</v>
      </c>
      <c r="J189" s="45" t="str">
        <f ca="1">IFERROR(__xludf.DUMMYFUNCTION("""COMPUTED_VALUE"""),"LW5FARS")</f>
        <v>LW5FARS</v>
      </c>
      <c r="K189" s="45" t="str">
        <f ca="1">IFERROR(__xludf.DUMMYFUNCTION("""COMPUTED_VALUE"""),"LW5FARS-031382")</f>
        <v>LW5FARS-031382</v>
      </c>
      <c r="L189" s="45">
        <f ca="1">IFERROR(__xludf.DUMMYFUNCTION("""COMPUTED_VALUE"""),4)</f>
        <v>4</v>
      </c>
      <c r="M189" s="45">
        <f ca="1">IFERROR(__xludf.DUMMYFUNCTION("""COMPUTED_VALUE"""),206)</f>
        <v>206</v>
      </c>
      <c r="N189" s="45">
        <f ca="1">IFERROR(__xludf.DUMMYFUNCTION("""COMPUTED_VALUE"""),44.051)</f>
        <v>44.051000000000002</v>
      </c>
      <c r="O189" s="45">
        <f ca="1">IFERROR(__xludf.DUMMYFUNCTION("""COMPUTED_VALUE"""),0.316)</f>
        <v>0.316</v>
      </c>
      <c r="P189" s="45" t="str">
        <f ca="1">IFERROR(__xludf.DUMMYFUNCTION("""COMPUTED_VALUE"""),"Colombo, LK")</f>
        <v>Colombo, LK</v>
      </c>
      <c r="Q189" s="45" t="str">
        <f ca="1">IFERROR(__xludf.DUMMYFUNCTION("""COMPUTED_VALUE"""),"Felixstowe, GB")</f>
        <v>Felixstowe, GB</v>
      </c>
      <c r="R189" s="44">
        <f ca="1">IFERROR(__xludf.DUMMYFUNCTION("""COMPUTED_VALUE"""),45824)</f>
        <v>45824</v>
      </c>
      <c r="S189" s="44">
        <f ca="1">IFERROR(__xludf.DUMMYFUNCTION("""COMPUTED_VALUE"""),45883)</f>
        <v>45883</v>
      </c>
      <c r="T189" s="45" t="str">
        <f ca="1">IFERROR(__xludf.DUMMYFUNCTION("""COMPUTED_VALUE"""),"Birmingham, GB")</f>
        <v>Birmingham, GB</v>
      </c>
      <c r="U189" s="45"/>
      <c r="V189" s="45"/>
      <c r="W189" s="45"/>
      <c r="X189" s="45"/>
      <c r="Y189" s="46">
        <f ca="1">IFERROR(__xludf.DUMMYFUNCTION("""COMPUTED_VALUE"""),45842)</f>
        <v>45842</v>
      </c>
      <c r="Z189" s="46">
        <f ca="1">IFERROR(__xludf.DUMMYFUNCTION("""COMPUTED_VALUE"""),45858)</f>
        <v>45858</v>
      </c>
      <c r="AA189" s="46">
        <f ca="1">IFERROR(__xludf.DUMMYFUNCTION("""COMPUTED_VALUE"""),45865)</f>
        <v>45865</v>
      </c>
      <c r="AB189" s="45" t="str">
        <f ca="1">IFERROR(__xludf.DUMMYFUNCTION("""COMPUTED_VALUE"""),"10A Faraday Ave")</f>
        <v>10A Faraday Ave</v>
      </c>
      <c r="AC189" s="45" t="str">
        <f ca="1">IFERROR(__xludf.DUMMYFUNCTION("""COMPUTED_VALUE"""),"Coleshill")</f>
        <v>Coleshill</v>
      </c>
      <c r="AD189" s="45" t="str">
        <f ca="1">IFERROR(__xludf.DUMMYFUNCTION("""COMPUTED_VALUE"""),"OCEAN")</f>
        <v>OCEAN</v>
      </c>
      <c r="AE189" s="45" t="str">
        <f ca="1">IFERROR(__xludf.DUMMYFUNCTION("""COMPUTED_VALUE"""),"N")</f>
        <v>N</v>
      </c>
      <c r="AF189" s="45"/>
      <c r="AG189" s="49" t="str">
        <f ca="1">IFERROR(__xludf.DUMMYFUNCTION("IFNA(vlookup(H189,IMPORTRANGE(""1vUGwO1n0QQGx9kKbO0_M5gmuhXZ6-LaxQxgrmJnzgP0"",""'TP# look up'!A:C""),3,0),"""")"),"")</f>
        <v/>
      </c>
      <c r="AH189" s="49" t="str">
        <f t="shared" ca="1" si="2"/>
        <v>LW</v>
      </c>
    </row>
    <row r="190" spans="1:34" ht="12.75" hidden="1">
      <c r="A190" s="45" t="str">
        <f ca="1">IFERROR(__xludf.DUMMYFUNCTION("""COMPUTED_VALUE"""),"Colombo")</f>
        <v>Colombo</v>
      </c>
      <c r="B190" s="45"/>
      <c r="C190" s="45">
        <f ca="1">IFERROR(__xludf.DUMMYFUNCTION("""COMPUTED_VALUE"""),3254118)</f>
        <v>3254118</v>
      </c>
      <c r="D190" s="45"/>
      <c r="E190" s="45" t="str">
        <f ca="1">IFERROR(__xludf.DUMMYFUNCTION("""COMPUTED_VALUE"""),"CFS")</f>
        <v>CFS</v>
      </c>
      <c r="F190" s="45" t="str">
        <f ca="1">IFERROR(__xludf.DUMMYFUNCTION("""COMPUTED_VALUE"""),"MAS AMITY PTE LTD")</f>
        <v>MAS AMITY PTE LTD</v>
      </c>
      <c r="G190" s="45" t="str">
        <f ca="1">IFERROR(__xludf.DUMMYFUNCTION("""COMPUTED_VALUE"""),"MAS Active (Pvt) Ltd – Shadowline")</f>
        <v>MAS Active (Pvt) Ltd – Shadowline</v>
      </c>
      <c r="H190" s="43">
        <f ca="1">IFERROR(__xludf.DUMMYFUNCTION("""COMPUTED_VALUE"""),454893040591)</f>
        <v>454893040591</v>
      </c>
      <c r="I190" s="45">
        <f ca="1">IFERROR(__xludf.DUMMYFUNCTION("""COMPUTED_VALUE"""),19814191)</f>
        <v>19814191</v>
      </c>
      <c r="J190" s="45" t="str">
        <f ca="1">IFERROR(__xludf.DUMMYFUNCTION("""COMPUTED_VALUE"""),"LW1DUDS")</f>
        <v>LW1DUDS</v>
      </c>
      <c r="K190" s="45" t="str">
        <f ca="1">IFERROR(__xludf.DUMMYFUNCTION("""COMPUTED_VALUE"""),"LW1DUDS-0002")</f>
        <v>LW1DUDS-0002</v>
      </c>
      <c r="L190" s="45">
        <f ca="1">IFERROR(__xludf.DUMMYFUNCTION("""COMPUTED_VALUE"""),19)</f>
        <v>19</v>
      </c>
      <c r="M190" s="45">
        <f ca="1">IFERROR(__xludf.DUMMYFUNCTION("""COMPUTED_VALUE"""),1144)</f>
        <v>1144</v>
      </c>
      <c r="N190" s="45">
        <f ca="1">IFERROR(__xludf.DUMMYFUNCTION("""COMPUTED_VALUE"""),174.115)</f>
        <v>174.11500000000001</v>
      </c>
      <c r="O190" s="45">
        <f ca="1">IFERROR(__xludf.DUMMYFUNCTION("""COMPUTED_VALUE"""),1.382)</f>
        <v>1.3819999999999999</v>
      </c>
      <c r="P190" s="45" t="str">
        <f ca="1">IFERROR(__xludf.DUMMYFUNCTION("""COMPUTED_VALUE"""),"Colombo, LK")</f>
        <v>Colombo, LK</v>
      </c>
      <c r="Q190" s="45" t="str">
        <f ca="1">IFERROR(__xludf.DUMMYFUNCTION("""COMPUTED_VALUE"""),"Rotterdam, NL")</f>
        <v>Rotterdam, NL</v>
      </c>
      <c r="R190" s="44">
        <f ca="1">IFERROR(__xludf.DUMMYFUNCTION("""COMPUTED_VALUE"""),45824)</f>
        <v>45824</v>
      </c>
      <c r="S190" s="44">
        <f ca="1">IFERROR(__xludf.DUMMYFUNCTION("""COMPUTED_VALUE"""),45883)</f>
        <v>45883</v>
      </c>
      <c r="T190" s="45" t="str">
        <f ca="1">IFERROR(__xludf.DUMMYFUNCTION("""COMPUTED_VALUE"""),"Birmingham, GB")</f>
        <v>Birmingham, GB</v>
      </c>
      <c r="U190" s="45"/>
      <c r="V190" s="45"/>
      <c r="W190" s="45"/>
      <c r="X190" s="45"/>
      <c r="Y190" s="46">
        <f ca="1">IFERROR(__xludf.DUMMYFUNCTION("""COMPUTED_VALUE"""),45831)</f>
        <v>45831</v>
      </c>
      <c r="Z190" s="46">
        <f ca="1">IFERROR(__xludf.DUMMYFUNCTION("""COMPUTED_VALUE"""),45852)</f>
        <v>45852</v>
      </c>
      <c r="AA190" s="46">
        <f ca="1">IFERROR(__xludf.DUMMYFUNCTION("""COMPUTED_VALUE"""),45859)</f>
        <v>45859</v>
      </c>
      <c r="AB190" s="45" t="str">
        <f ca="1">IFERROR(__xludf.DUMMYFUNCTION("""COMPUTED_VALUE"""),"10A Faraday Ave")</f>
        <v>10A Faraday Ave</v>
      </c>
      <c r="AC190" s="45" t="str">
        <f ca="1">IFERROR(__xludf.DUMMYFUNCTION("""COMPUTED_VALUE"""),"Coleshill")</f>
        <v>Coleshill</v>
      </c>
      <c r="AD190" s="45" t="str">
        <f ca="1">IFERROR(__xludf.DUMMYFUNCTION("""COMPUTED_VALUE"""),"OCEAN")</f>
        <v>OCEAN</v>
      </c>
      <c r="AE190" s="45" t="str">
        <f ca="1">IFERROR(__xludf.DUMMYFUNCTION("""COMPUTED_VALUE"""),"N")</f>
        <v>N</v>
      </c>
      <c r="AF190" s="45"/>
      <c r="AG190" s="49" t="str">
        <f ca="1">IFERROR(__xludf.DUMMYFUNCTION("IFNA(vlookup(H190,IMPORTRANGE(""1vUGwO1n0QQGx9kKbO0_M5gmuhXZ6-LaxQxgrmJnzgP0"",""'TP# look up'!A:C""),3,0),"""")"),"")</f>
        <v/>
      </c>
      <c r="AH190" s="49" t="str">
        <f t="shared" ca="1" si="2"/>
        <v>LW</v>
      </c>
    </row>
    <row r="191" spans="1:34" ht="12.75" hidden="1">
      <c r="A191" s="45" t="str">
        <f ca="1">IFERROR(__xludf.DUMMYFUNCTION("""COMPUTED_VALUE"""),"Colombo")</f>
        <v>Colombo</v>
      </c>
      <c r="B191" s="45"/>
      <c r="C191" s="45">
        <f ca="1">IFERROR(__xludf.DUMMYFUNCTION("""COMPUTED_VALUE"""),3254118)</f>
        <v>3254118</v>
      </c>
      <c r="D191" s="45"/>
      <c r="E191" s="45" t="str">
        <f ca="1">IFERROR(__xludf.DUMMYFUNCTION("""COMPUTED_VALUE"""),"CFS")</f>
        <v>CFS</v>
      </c>
      <c r="F191" s="45" t="str">
        <f ca="1">IFERROR(__xludf.DUMMYFUNCTION("""COMPUTED_VALUE"""),"MAS AMITY PTE LTD")</f>
        <v>MAS AMITY PTE LTD</v>
      </c>
      <c r="G191" s="45" t="str">
        <f ca="1">IFERROR(__xludf.DUMMYFUNCTION("""COMPUTED_VALUE"""),"MAS Active (Pvt) Ltd – Shadowline")</f>
        <v>MAS Active (Pvt) Ltd – Shadowline</v>
      </c>
      <c r="H191" s="43">
        <f ca="1">IFERROR(__xludf.DUMMYFUNCTION("""COMPUTED_VALUE"""),454893442911)</f>
        <v>454893442911</v>
      </c>
      <c r="I191" s="45">
        <f ca="1">IFERROR(__xludf.DUMMYFUNCTION("""COMPUTED_VALUE"""),19814204)</f>
        <v>19814204</v>
      </c>
      <c r="J191" s="45" t="str">
        <f ca="1">IFERROR(__xludf.DUMMYFUNCTION("""COMPUTED_VALUE"""),"LW1DUDS")</f>
        <v>LW1DUDS</v>
      </c>
      <c r="K191" s="45" t="str">
        <f ca="1">IFERROR(__xludf.DUMMYFUNCTION("""COMPUTED_VALUE"""),"LW1DUDS-020392")</f>
        <v>LW1DUDS-020392</v>
      </c>
      <c r="L191" s="45">
        <f ca="1">IFERROR(__xludf.DUMMYFUNCTION("""COMPUTED_VALUE"""),2)</f>
        <v>2</v>
      </c>
      <c r="M191" s="45">
        <f ca="1">IFERROR(__xludf.DUMMYFUNCTION("""COMPUTED_VALUE"""),59)</f>
        <v>59</v>
      </c>
      <c r="N191" s="45">
        <f ca="1">IFERROR(__xludf.DUMMYFUNCTION("""COMPUTED_VALUE"""),9.895)</f>
        <v>9.8949999999999996</v>
      </c>
      <c r="O191" s="45">
        <f ca="1">IFERROR(__xludf.DUMMYFUNCTION("""COMPUTED_VALUE"""),0.118)</f>
        <v>0.11799999999999999</v>
      </c>
      <c r="P191" s="45" t="str">
        <f ca="1">IFERROR(__xludf.DUMMYFUNCTION("""COMPUTED_VALUE"""),"Colombo, LK")</f>
        <v>Colombo, LK</v>
      </c>
      <c r="Q191" s="45" t="str">
        <f ca="1">IFERROR(__xludf.DUMMYFUNCTION("""COMPUTED_VALUE"""),"Rotterdam, NL")</f>
        <v>Rotterdam, NL</v>
      </c>
      <c r="R191" s="44">
        <f ca="1">IFERROR(__xludf.DUMMYFUNCTION("""COMPUTED_VALUE"""),45824)</f>
        <v>45824</v>
      </c>
      <c r="S191" s="44">
        <f ca="1">IFERROR(__xludf.DUMMYFUNCTION("""COMPUTED_VALUE"""),45883)</f>
        <v>45883</v>
      </c>
      <c r="T191" s="45" t="str">
        <f ca="1">IFERROR(__xludf.DUMMYFUNCTION("""COMPUTED_VALUE"""),"Birmingham, GB")</f>
        <v>Birmingham, GB</v>
      </c>
      <c r="U191" s="45"/>
      <c r="V191" s="45"/>
      <c r="W191" s="45"/>
      <c r="X191" s="45"/>
      <c r="Y191" s="46">
        <f ca="1">IFERROR(__xludf.DUMMYFUNCTION("""COMPUTED_VALUE"""),45831)</f>
        <v>45831</v>
      </c>
      <c r="Z191" s="46">
        <f ca="1">IFERROR(__xludf.DUMMYFUNCTION("""COMPUTED_VALUE"""),45852)</f>
        <v>45852</v>
      </c>
      <c r="AA191" s="46">
        <f ca="1">IFERROR(__xludf.DUMMYFUNCTION("""COMPUTED_VALUE"""),45859)</f>
        <v>45859</v>
      </c>
      <c r="AB191" s="45" t="str">
        <f ca="1">IFERROR(__xludf.DUMMYFUNCTION("""COMPUTED_VALUE"""),"10A Faraday Ave")</f>
        <v>10A Faraday Ave</v>
      </c>
      <c r="AC191" s="45" t="str">
        <f ca="1">IFERROR(__xludf.DUMMYFUNCTION("""COMPUTED_VALUE"""),"Coleshill")</f>
        <v>Coleshill</v>
      </c>
      <c r="AD191" s="45" t="str">
        <f ca="1">IFERROR(__xludf.DUMMYFUNCTION("""COMPUTED_VALUE"""),"OCEAN")</f>
        <v>OCEAN</v>
      </c>
      <c r="AE191" s="45" t="str">
        <f ca="1">IFERROR(__xludf.DUMMYFUNCTION("""COMPUTED_VALUE"""),"N")</f>
        <v>N</v>
      </c>
      <c r="AF191" s="45"/>
      <c r="AG191" s="49" t="str">
        <f ca="1">IFERROR(__xludf.DUMMYFUNCTION("IFNA(vlookup(H191,IMPORTRANGE(""1vUGwO1n0QQGx9kKbO0_M5gmuhXZ6-LaxQxgrmJnzgP0"",""'TP# look up'!A:C""),3,0),"""")"),"")</f>
        <v/>
      </c>
      <c r="AH191" s="49" t="str">
        <f t="shared" ca="1" si="2"/>
        <v>LW</v>
      </c>
    </row>
    <row r="192" spans="1:34" ht="12.75" hidden="1">
      <c r="A192" s="45" t="str">
        <f ca="1">IFERROR(__xludf.DUMMYFUNCTION("""COMPUTED_VALUE"""),"Colombo")</f>
        <v>Colombo</v>
      </c>
      <c r="B192" s="45"/>
      <c r="C192" s="45">
        <f ca="1">IFERROR(__xludf.DUMMYFUNCTION("""COMPUTED_VALUE"""),3254118)</f>
        <v>3254118</v>
      </c>
      <c r="D192" s="45"/>
      <c r="E192" s="45" t="str">
        <f ca="1">IFERROR(__xludf.DUMMYFUNCTION("""COMPUTED_VALUE"""),"CFS")</f>
        <v>CFS</v>
      </c>
      <c r="F192" s="45" t="str">
        <f ca="1">IFERROR(__xludf.DUMMYFUNCTION("""COMPUTED_VALUE"""),"Inqube Global (PVT) Ltd")</f>
        <v>Inqube Global (PVT) Ltd</v>
      </c>
      <c r="G192" s="45" t="str">
        <f ca="1">IFERROR(__xludf.DUMMYFUNCTION("""COMPUTED_VALUE"""),"Quantum Clothing Lanka (Pvt) Ltd")</f>
        <v>Quantum Clothing Lanka (Pvt) Ltd</v>
      </c>
      <c r="H192" s="43">
        <f ca="1">IFERROR(__xludf.DUMMYFUNCTION("""COMPUTED_VALUE"""),452031503449)</f>
        <v>452031503449</v>
      </c>
      <c r="I192" s="45">
        <f ca="1">IFERROR(__xludf.DUMMYFUNCTION("""COMPUTED_VALUE"""),19727217)</f>
        <v>19727217</v>
      </c>
      <c r="J192" s="45" t="str">
        <f ca="1">IFERROR(__xludf.DUMMYFUNCTION("""COMPUTED_VALUE"""),"LW2E01S")</f>
        <v>LW2E01S</v>
      </c>
      <c r="K192" s="45" t="str">
        <f ca="1">IFERROR(__xludf.DUMMYFUNCTION("""COMPUTED_VALUE"""),"LW2E01S-031382")</f>
        <v>LW2E01S-031382</v>
      </c>
      <c r="L192" s="45">
        <f ca="1">IFERROR(__xludf.DUMMYFUNCTION("""COMPUTED_VALUE"""),49)</f>
        <v>49</v>
      </c>
      <c r="M192" s="45">
        <f ca="1">IFERROR(__xludf.DUMMYFUNCTION("""COMPUTED_VALUE"""),478)</f>
        <v>478</v>
      </c>
      <c r="N192" s="45">
        <f ca="1">IFERROR(__xludf.DUMMYFUNCTION("""COMPUTED_VALUE"""),171.102)</f>
        <v>171.102</v>
      </c>
      <c r="O192" s="45">
        <f ca="1">IFERROR(__xludf.DUMMYFUNCTION("""COMPUTED_VALUE"""),4.116)</f>
        <v>4.1159999999999997</v>
      </c>
      <c r="P192" s="45" t="str">
        <f ca="1">IFERROR(__xludf.DUMMYFUNCTION("""COMPUTED_VALUE"""),"Colombo, LK")</f>
        <v>Colombo, LK</v>
      </c>
      <c r="Q192" s="45" t="str">
        <f ca="1">IFERROR(__xludf.DUMMYFUNCTION("""COMPUTED_VALUE"""),"Felixstowe, GB")</f>
        <v>Felixstowe, GB</v>
      </c>
      <c r="R192" s="44">
        <f ca="1">IFERROR(__xludf.DUMMYFUNCTION("""COMPUTED_VALUE"""),45824)</f>
        <v>45824</v>
      </c>
      <c r="S192" s="44">
        <f ca="1">IFERROR(__xludf.DUMMYFUNCTION("""COMPUTED_VALUE"""),45883)</f>
        <v>45883</v>
      </c>
      <c r="T192" s="45" t="str">
        <f ca="1">IFERROR(__xludf.DUMMYFUNCTION("""COMPUTED_VALUE"""),"Birmingham, GB")</f>
        <v>Birmingham, GB</v>
      </c>
      <c r="U192" s="45"/>
      <c r="V192" s="45"/>
      <c r="W192" s="45"/>
      <c r="X192" s="45"/>
      <c r="Y192" s="46">
        <f ca="1">IFERROR(__xludf.DUMMYFUNCTION("""COMPUTED_VALUE"""),45842)</f>
        <v>45842</v>
      </c>
      <c r="Z192" s="46">
        <f ca="1">IFERROR(__xludf.DUMMYFUNCTION("""COMPUTED_VALUE"""),45858)</f>
        <v>45858</v>
      </c>
      <c r="AA192" s="46">
        <f ca="1">IFERROR(__xludf.DUMMYFUNCTION("""COMPUTED_VALUE"""),45865)</f>
        <v>45865</v>
      </c>
      <c r="AB192" s="45" t="str">
        <f ca="1">IFERROR(__xludf.DUMMYFUNCTION("""COMPUTED_VALUE"""),"10A Faraday Ave")</f>
        <v>10A Faraday Ave</v>
      </c>
      <c r="AC192" s="45" t="str">
        <f ca="1">IFERROR(__xludf.DUMMYFUNCTION("""COMPUTED_VALUE"""),"Coleshill")</f>
        <v>Coleshill</v>
      </c>
      <c r="AD192" s="45" t="str">
        <f ca="1">IFERROR(__xludf.DUMMYFUNCTION("""COMPUTED_VALUE"""),"OCEAN")</f>
        <v>OCEAN</v>
      </c>
      <c r="AE192" s="45" t="str">
        <f ca="1">IFERROR(__xludf.DUMMYFUNCTION("""COMPUTED_VALUE"""),"N")</f>
        <v>N</v>
      </c>
      <c r="AF192" s="45"/>
      <c r="AG192" s="49" t="str">
        <f ca="1">IFERROR(__xludf.DUMMYFUNCTION("IFNA(vlookup(H192,IMPORTRANGE(""1vUGwO1n0QQGx9kKbO0_M5gmuhXZ6-LaxQxgrmJnzgP0"",""'TP# look up'!A:C""),3,0),"""")"),"")</f>
        <v/>
      </c>
      <c r="AH192" s="49" t="str">
        <f t="shared" ca="1" si="2"/>
        <v>LW</v>
      </c>
    </row>
    <row r="193" spans="1:34" ht="12.75" hidden="1">
      <c r="A193" s="45" t="str">
        <f ca="1">IFERROR(__xludf.DUMMYFUNCTION("""COMPUTED_VALUE"""),"Colombo")</f>
        <v>Colombo</v>
      </c>
      <c r="B193" s="45"/>
      <c r="C193" s="45">
        <f ca="1">IFERROR(__xludf.DUMMYFUNCTION("""COMPUTED_VALUE"""),3254118)</f>
        <v>3254118</v>
      </c>
      <c r="D193" s="45"/>
      <c r="E193" s="45" t="str">
        <f ca="1">IFERROR(__xludf.DUMMYFUNCTION("""COMPUTED_VALUE"""),"CFS")</f>
        <v>CFS</v>
      </c>
      <c r="F193" s="45" t="str">
        <f ca="1">IFERROR(__xludf.DUMMYFUNCTION("""COMPUTED_VALUE"""),"Inqube Global (PVT) Ltd")</f>
        <v>Inqube Global (PVT) Ltd</v>
      </c>
      <c r="G193" s="45" t="str">
        <f ca="1">IFERROR(__xludf.DUMMYFUNCTION("""COMPUTED_VALUE"""),"Quantum Clothing Lanka (Pvt) Ltd")</f>
        <v>Quantum Clothing Lanka (Pvt) Ltd</v>
      </c>
      <c r="H193" s="43">
        <f ca="1">IFERROR(__xludf.DUMMYFUNCTION("""COMPUTED_VALUE"""),452092648789)</f>
        <v>452092648789</v>
      </c>
      <c r="I193" s="45">
        <f ca="1">IFERROR(__xludf.DUMMYFUNCTION("""COMPUTED_VALUE"""),19855238)</f>
        <v>19855238</v>
      </c>
      <c r="J193" s="45" t="str">
        <f ca="1">IFERROR(__xludf.DUMMYFUNCTION("""COMPUTED_VALUE"""),"LW9FMPS")</f>
        <v>LW9FMPS</v>
      </c>
      <c r="K193" s="45" t="str">
        <f ca="1">IFERROR(__xludf.DUMMYFUNCTION("""COMPUTED_VALUE"""),"LW9FMPS-0001")</f>
        <v>LW9FMPS-0001</v>
      </c>
      <c r="L193" s="45">
        <f ca="1">IFERROR(__xludf.DUMMYFUNCTION("""COMPUTED_VALUE"""),1)</f>
        <v>1</v>
      </c>
      <c r="M193" s="45">
        <f ca="1">IFERROR(__xludf.DUMMYFUNCTION("""COMPUTED_VALUE"""),145)</f>
        <v>145</v>
      </c>
      <c r="N193" s="45">
        <f ca="1">IFERROR(__xludf.DUMMYFUNCTION("""COMPUTED_VALUE"""),6.084)</f>
        <v>6.0839999999999996</v>
      </c>
      <c r="O193" s="45">
        <f ca="1">IFERROR(__xludf.DUMMYFUNCTION("""COMPUTED_VALUE"""),0.04)</f>
        <v>0.04</v>
      </c>
      <c r="P193" s="45" t="str">
        <f ca="1">IFERROR(__xludf.DUMMYFUNCTION("""COMPUTED_VALUE"""),"Colombo, LK")</f>
        <v>Colombo, LK</v>
      </c>
      <c r="Q193" s="45" t="str">
        <f ca="1">IFERROR(__xludf.DUMMYFUNCTION("""COMPUTED_VALUE"""),"Felixstowe, GB")</f>
        <v>Felixstowe, GB</v>
      </c>
      <c r="R193" s="44">
        <f ca="1">IFERROR(__xludf.DUMMYFUNCTION("""COMPUTED_VALUE"""),45824)</f>
        <v>45824</v>
      </c>
      <c r="S193" s="44">
        <f ca="1">IFERROR(__xludf.DUMMYFUNCTION("""COMPUTED_VALUE"""),45883)</f>
        <v>45883</v>
      </c>
      <c r="T193" s="45" t="str">
        <f ca="1">IFERROR(__xludf.DUMMYFUNCTION("""COMPUTED_VALUE"""),"Birmingham, GB")</f>
        <v>Birmingham, GB</v>
      </c>
      <c r="U193" s="45"/>
      <c r="V193" s="45"/>
      <c r="W193" s="45"/>
      <c r="X193" s="45"/>
      <c r="Y193" s="46">
        <f ca="1">IFERROR(__xludf.DUMMYFUNCTION("""COMPUTED_VALUE"""),45842)</f>
        <v>45842</v>
      </c>
      <c r="Z193" s="46">
        <f ca="1">IFERROR(__xludf.DUMMYFUNCTION("""COMPUTED_VALUE"""),45858)</f>
        <v>45858</v>
      </c>
      <c r="AA193" s="46">
        <f ca="1">IFERROR(__xludf.DUMMYFUNCTION("""COMPUTED_VALUE"""),45865)</f>
        <v>45865</v>
      </c>
      <c r="AB193" s="45" t="str">
        <f ca="1">IFERROR(__xludf.DUMMYFUNCTION("""COMPUTED_VALUE"""),"10A Faraday Ave")</f>
        <v>10A Faraday Ave</v>
      </c>
      <c r="AC193" s="45" t="str">
        <f ca="1">IFERROR(__xludf.DUMMYFUNCTION("""COMPUTED_VALUE"""),"Coleshill")</f>
        <v>Coleshill</v>
      </c>
      <c r="AD193" s="45" t="str">
        <f ca="1">IFERROR(__xludf.DUMMYFUNCTION("""COMPUTED_VALUE"""),"OCEAN")</f>
        <v>OCEAN</v>
      </c>
      <c r="AE193" s="45" t="str">
        <f ca="1">IFERROR(__xludf.DUMMYFUNCTION("""COMPUTED_VALUE"""),"N")</f>
        <v>N</v>
      </c>
      <c r="AF193" s="45"/>
      <c r="AG193" s="49" t="str">
        <f ca="1">IFERROR(__xludf.DUMMYFUNCTION("IFNA(vlookup(H193,IMPORTRANGE(""1vUGwO1n0QQGx9kKbO0_M5gmuhXZ6-LaxQxgrmJnzgP0"",""'TP# look up'!A:C""),3,0),"""")"),"")</f>
        <v/>
      </c>
      <c r="AH193" s="49" t="str">
        <f t="shared" ca="1" si="2"/>
        <v>LW</v>
      </c>
    </row>
    <row r="194" spans="1:34" ht="12.75" hidden="1">
      <c r="A194" s="45" t="str">
        <f ca="1">IFERROR(__xludf.DUMMYFUNCTION("""COMPUTED_VALUE"""),"Colombo")</f>
        <v>Colombo</v>
      </c>
      <c r="B194" s="45"/>
      <c r="C194" s="45">
        <f ca="1">IFERROR(__xludf.DUMMYFUNCTION("""COMPUTED_VALUE"""),3254120)</f>
        <v>3254120</v>
      </c>
      <c r="D194" s="45"/>
      <c r="E194" s="45" t="str">
        <f ca="1">IFERROR(__xludf.DUMMYFUNCTION("""COMPUTED_VALUE"""),"CFS")</f>
        <v>CFS</v>
      </c>
      <c r="F194" s="45" t="str">
        <f ca="1">IFERROR(__xludf.DUMMYFUNCTION("""COMPUTED_VALUE"""),"Inqube Global (PVT) Ltd")</f>
        <v>Inqube Global (PVT) Ltd</v>
      </c>
      <c r="G194" s="45" t="str">
        <f ca="1">IFERROR(__xludf.DUMMYFUNCTION("""COMPUTED_VALUE"""),"BRANDIX APPAREL SOLUTION LTD - GIRITALE")</f>
        <v>BRANDIX APPAREL SOLUTION LTD - GIRITALE</v>
      </c>
      <c r="H194" s="43">
        <f ca="1">IFERROR(__xludf.DUMMYFUNCTION("""COMPUTED_VALUE"""),452517869906)</f>
        <v>452517869906</v>
      </c>
      <c r="I194" s="45">
        <f ca="1">IFERROR(__xludf.DUMMYFUNCTION("""COMPUTED_VALUE"""),19849782)</f>
        <v>19849782</v>
      </c>
      <c r="J194" s="45" t="str">
        <f ca="1">IFERROR(__xludf.DUMMYFUNCTION("""COMPUTED_VALUE"""),"LM5BL3S")</f>
        <v>LM5BL3S</v>
      </c>
      <c r="K194" s="45" t="str">
        <f ca="1">IFERROR(__xludf.DUMMYFUNCTION("""COMPUTED_VALUE"""),"LM5BL3S-045739")</f>
        <v>LM5BL3S-045739</v>
      </c>
      <c r="L194" s="45">
        <f ca="1">IFERROR(__xludf.DUMMYFUNCTION("""COMPUTED_VALUE"""),1)</f>
        <v>1</v>
      </c>
      <c r="M194" s="45">
        <f ca="1">IFERROR(__xludf.DUMMYFUNCTION("""COMPUTED_VALUE"""),27)</f>
        <v>27</v>
      </c>
      <c r="N194" s="45">
        <f ca="1">IFERROR(__xludf.DUMMYFUNCTION("""COMPUTED_VALUE"""),10.52)</f>
        <v>10.52</v>
      </c>
      <c r="O194" s="45">
        <f ca="1">IFERROR(__xludf.DUMMYFUNCTION("""COMPUTED_VALUE"""),0.043)</f>
        <v>4.2999999999999997E-2</v>
      </c>
      <c r="P194" s="45" t="str">
        <f ca="1">IFERROR(__xludf.DUMMYFUNCTION("""COMPUTED_VALUE"""),"Colombo, LK")</f>
        <v>Colombo, LK</v>
      </c>
      <c r="Q194" s="45" t="str">
        <f ca="1">IFERROR(__xludf.DUMMYFUNCTION("""COMPUTED_VALUE"""),"Felixstowe, GB")</f>
        <v>Felixstowe, GB</v>
      </c>
      <c r="R194" s="44">
        <f ca="1">IFERROR(__xludf.DUMMYFUNCTION("""COMPUTED_VALUE"""),45824)</f>
        <v>45824</v>
      </c>
      <c r="S194" s="44">
        <f ca="1">IFERROR(__xludf.DUMMYFUNCTION("""COMPUTED_VALUE"""),45878)</f>
        <v>45878</v>
      </c>
      <c r="T194" s="45" t="str">
        <f ca="1">IFERROR(__xludf.DUMMYFUNCTION("""COMPUTED_VALUE"""),"Rotterdam, NL")</f>
        <v>Rotterdam, NL</v>
      </c>
      <c r="U194" s="45"/>
      <c r="V194" s="45"/>
      <c r="W194" s="45"/>
      <c r="X194" s="45"/>
      <c r="Y194" s="46">
        <f ca="1">IFERROR(__xludf.DUMMYFUNCTION("""COMPUTED_VALUE"""),45824)</f>
        <v>45824</v>
      </c>
      <c r="Z194" s="46">
        <f ca="1">IFERROR(__xludf.DUMMYFUNCTION("""COMPUTED_VALUE"""),45852)</f>
        <v>45852</v>
      </c>
      <c r="AA194" s="46">
        <f ca="1">IFERROR(__xludf.DUMMYFUNCTION("""COMPUTED_VALUE"""),45859)</f>
        <v>45859</v>
      </c>
      <c r="AB194" s="45" t="str">
        <f ca="1">IFERROR(__xludf.DUMMYFUNCTION("""COMPUTED_VALUE"""),"Conradweg 26")</f>
        <v>Conradweg 26</v>
      </c>
      <c r="AC194" s="45"/>
      <c r="AD194" s="45" t="str">
        <f ca="1">IFERROR(__xludf.DUMMYFUNCTION("""COMPUTED_VALUE"""),"OCEAN")</f>
        <v>OCEAN</v>
      </c>
      <c r="AE194" s="45" t="str">
        <f ca="1">IFERROR(__xludf.DUMMYFUNCTION("""COMPUTED_VALUE"""),"N")</f>
        <v>N</v>
      </c>
      <c r="AF194" s="45"/>
      <c r="AG194" s="49" t="str">
        <f ca="1">IFERROR(__xludf.DUMMYFUNCTION("IFNA(vlookup(H194,IMPORTRANGE(""1vUGwO1n0QQGx9kKbO0_M5gmuhXZ6-LaxQxgrmJnzgP0"",""'TP# look up'!A:C""),3,0),"""")"),"")</f>
        <v/>
      </c>
      <c r="AH194" s="49" t="str">
        <f t="shared" ref="AH194:AH257" ca="1" si="3">LEFT(J194,2)</f>
        <v>LM</v>
      </c>
    </row>
    <row r="195" spans="1:34" ht="12.75" hidden="1">
      <c r="A195" s="45" t="str">
        <f ca="1">IFERROR(__xludf.DUMMYFUNCTION("""COMPUTED_VALUE"""),"Colombo")</f>
        <v>Colombo</v>
      </c>
      <c r="B195" s="45"/>
      <c r="C195" s="45">
        <f ca="1">IFERROR(__xludf.DUMMYFUNCTION("""COMPUTED_VALUE"""),3254120)</f>
        <v>3254120</v>
      </c>
      <c r="D195" s="45"/>
      <c r="E195" s="45" t="str">
        <f ca="1">IFERROR(__xludf.DUMMYFUNCTION("""COMPUTED_VALUE"""),"CFS")</f>
        <v>CFS</v>
      </c>
      <c r="F195" s="45" t="str">
        <f ca="1">IFERROR(__xludf.DUMMYFUNCTION("""COMPUTED_VALUE"""),"Inqube Global (PVT) Ltd")</f>
        <v>Inqube Global (PVT) Ltd</v>
      </c>
      <c r="G195" s="45" t="str">
        <f ca="1">IFERROR(__xludf.DUMMYFUNCTION("""COMPUTED_VALUE"""),"BRANDIX APPAREL SOLUTION LTD - GIRITALE")</f>
        <v>BRANDIX APPAREL SOLUTION LTD - GIRITALE</v>
      </c>
      <c r="H195" s="43">
        <f ca="1">IFERROR(__xludf.DUMMYFUNCTION("""COMPUTED_VALUE"""),452502648506)</f>
        <v>452502648506</v>
      </c>
      <c r="I195" s="45">
        <f ca="1">IFERROR(__xludf.DUMMYFUNCTION("""COMPUTED_VALUE"""),19807139)</f>
        <v>19807139</v>
      </c>
      <c r="J195" s="45" t="str">
        <f ca="1">IFERROR(__xludf.DUMMYFUNCTION("""COMPUTED_VALUE"""),"LM5BKOS")</f>
        <v>LM5BKOS</v>
      </c>
      <c r="K195" s="45" t="str">
        <f ca="1">IFERROR(__xludf.DUMMYFUNCTION("""COMPUTED_VALUE"""),"LM5BKOS-0001")</f>
        <v>LM5BKOS-0001</v>
      </c>
      <c r="L195" s="45">
        <f ca="1">IFERROR(__xludf.DUMMYFUNCTION("""COMPUTED_VALUE"""),8)</f>
        <v>8</v>
      </c>
      <c r="M195" s="45">
        <f ca="1">IFERROR(__xludf.DUMMYFUNCTION("""COMPUTED_VALUE"""),346)</f>
        <v>346</v>
      </c>
      <c r="N195" s="45">
        <f ca="1">IFERROR(__xludf.DUMMYFUNCTION("""COMPUTED_VALUE"""),135.78)</f>
        <v>135.78</v>
      </c>
      <c r="O195" s="45">
        <f ca="1">IFERROR(__xludf.DUMMYFUNCTION("""COMPUTED_VALUE"""),0.66)</f>
        <v>0.66</v>
      </c>
      <c r="P195" s="45" t="str">
        <f ca="1">IFERROR(__xludf.DUMMYFUNCTION("""COMPUTED_VALUE"""),"Colombo, LK")</f>
        <v>Colombo, LK</v>
      </c>
      <c r="Q195" s="45" t="str">
        <f ca="1">IFERROR(__xludf.DUMMYFUNCTION("""COMPUTED_VALUE"""),"Rotterdam, NL")</f>
        <v>Rotterdam, NL</v>
      </c>
      <c r="R195" s="44">
        <f ca="1">IFERROR(__xludf.DUMMYFUNCTION("""COMPUTED_VALUE"""),45824)</f>
        <v>45824</v>
      </c>
      <c r="S195" s="44">
        <f ca="1">IFERROR(__xludf.DUMMYFUNCTION("""COMPUTED_VALUE"""),45878)</f>
        <v>45878</v>
      </c>
      <c r="T195" s="45" t="str">
        <f ca="1">IFERROR(__xludf.DUMMYFUNCTION("""COMPUTED_VALUE"""),"Rotterdam, NL")</f>
        <v>Rotterdam, NL</v>
      </c>
      <c r="U195" s="45"/>
      <c r="V195" s="45"/>
      <c r="W195" s="45"/>
      <c r="X195" s="45"/>
      <c r="Y195" s="46">
        <f ca="1">IFERROR(__xludf.DUMMYFUNCTION("""COMPUTED_VALUE"""),45831)</f>
        <v>45831</v>
      </c>
      <c r="Z195" s="46">
        <f ca="1">IFERROR(__xludf.DUMMYFUNCTION("""COMPUTED_VALUE"""),45852)</f>
        <v>45852</v>
      </c>
      <c r="AA195" s="46">
        <f ca="1">IFERROR(__xludf.DUMMYFUNCTION("""COMPUTED_VALUE"""),45859)</f>
        <v>45859</v>
      </c>
      <c r="AB195" s="45" t="str">
        <f ca="1">IFERROR(__xludf.DUMMYFUNCTION("""COMPUTED_VALUE"""),"Conradweg 26")</f>
        <v>Conradweg 26</v>
      </c>
      <c r="AC195" s="45"/>
      <c r="AD195" s="45" t="str">
        <f ca="1">IFERROR(__xludf.DUMMYFUNCTION("""COMPUTED_VALUE"""),"OCEAN")</f>
        <v>OCEAN</v>
      </c>
      <c r="AE195" s="45" t="str">
        <f ca="1">IFERROR(__xludf.DUMMYFUNCTION("""COMPUTED_VALUE"""),"N")</f>
        <v>N</v>
      </c>
      <c r="AF195" s="45"/>
      <c r="AG195" s="49" t="str">
        <f ca="1">IFERROR(__xludf.DUMMYFUNCTION("IFNA(vlookup(H195,IMPORTRANGE(""1vUGwO1n0QQGx9kKbO0_M5gmuhXZ6-LaxQxgrmJnzgP0"",""'TP# look up'!A:C""),3,0),"""")"),"")</f>
        <v/>
      </c>
      <c r="AH195" s="49" t="str">
        <f t="shared" ca="1" si="3"/>
        <v>LM</v>
      </c>
    </row>
    <row r="196" spans="1:34" ht="12.75" hidden="1">
      <c r="A196" s="45" t="str">
        <f ca="1">IFERROR(__xludf.DUMMYFUNCTION("""COMPUTED_VALUE"""),"Colombo")</f>
        <v>Colombo</v>
      </c>
      <c r="B196" s="45"/>
      <c r="C196" s="45">
        <f ca="1">IFERROR(__xludf.DUMMYFUNCTION("""COMPUTED_VALUE"""),3254120)</f>
        <v>3254120</v>
      </c>
      <c r="D196" s="45"/>
      <c r="E196" s="45" t="str">
        <f ca="1">IFERROR(__xludf.DUMMYFUNCTION("""COMPUTED_VALUE"""),"CFS")</f>
        <v>CFS</v>
      </c>
      <c r="F196" s="45" t="str">
        <f ca="1">IFERROR(__xludf.DUMMYFUNCTION("""COMPUTED_VALUE"""),"MAS AMITY PTE LTD")</f>
        <v>MAS AMITY PTE LTD</v>
      </c>
      <c r="G196" s="45" t="str">
        <f ca="1">IFERROR(__xludf.DUMMYFUNCTION("""COMPUTED_VALUE"""),"MAS Active (Pvt) Ltd – Shadowline")</f>
        <v>MAS Active (Pvt) Ltd – Shadowline</v>
      </c>
      <c r="H196" s="43">
        <f ca="1">IFERROR(__xludf.DUMMYFUNCTION("""COMPUTED_VALUE"""),454863244190)</f>
        <v>454863244190</v>
      </c>
      <c r="I196" s="45">
        <f ca="1">IFERROR(__xludf.DUMMYFUNCTION("""COMPUTED_VALUE"""),19808325)</f>
        <v>19808325</v>
      </c>
      <c r="J196" s="45" t="str">
        <f ca="1">IFERROR(__xludf.DUMMYFUNCTION("""COMPUTED_VALUE"""),"LM1366S")</f>
        <v>LM1366S</v>
      </c>
      <c r="K196" s="45" t="str">
        <f ca="1">IFERROR(__xludf.DUMMYFUNCTION("""COMPUTED_VALUE"""),"LM1366S-062214")</f>
        <v>LM1366S-062214</v>
      </c>
      <c r="L196" s="45">
        <f ca="1">IFERROR(__xludf.DUMMYFUNCTION("""COMPUTED_VALUE"""),1)</f>
        <v>1</v>
      </c>
      <c r="M196" s="45">
        <f ca="1">IFERROR(__xludf.DUMMYFUNCTION("""COMPUTED_VALUE"""),67)</f>
        <v>67</v>
      </c>
      <c r="N196" s="45">
        <f ca="1">IFERROR(__xludf.DUMMYFUNCTION("""COMPUTED_VALUE"""),6.728)</f>
        <v>6.7279999999999998</v>
      </c>
      <c r="O196" s="45">
        <f ca="1">IFERROR(__xludf.DUMMYFUNCTION("""COMPUTED_VALUE"""),0.079)</f>
        <v>7.9000000000000001E-2</v>
      </c>
      <c r="P196" s="45" t="str">
        <f ca="1">IFERROR(__xludf.DUMMYFUNCTION("""COMPUTED_VALUE"""),"Colombo, LK")</f>
        <v>Colombo, LK</v>
      </c>
      <c r="Q196" s="45" t="str">
        <f ca="1">IFERROR(__xludf.DUMMYFUNCTION("""COMPUTED_VALUE"""),"Rotterdam, NL")</f>
        <v>Rotterdam, NL</v>
      </c>
      <c r="R196" s="44">
        <f ca="1">IFERROR(__xludf.DUMMYFUNCTION("""COMPUTED_VALUE"""),45824)</f>
        <v>45824</v>
      </c>
      <c r="S196" s="44">
        <f ca="1">IFERROR(__xludf.DUMMYFUNCTION("""COMPUTED_VALUE"""),45878)</f>
        <v>45878</v>
      </c>
      <c r="T196" s="45" t="str">
        <f ca="1">IFERROR(__xludf.DUMMYFUNCTION("""COMPUTED_VALUE"""),"Rotterdam, NL")</f>
        <v>Rotterdam, NL</v>
      </c>
      <c r="U196" s="45"/>
      <c r="V196" s="45"/>
      <c r="W196" s="45"/>
      <c r="X196" s="45"/>
      <c r="Y196" s="46">
        <f ca="1">IFERROR(__xludf.DUMMYFUNCTION("""COMPUTED_VALUE"""),45831)</f>
        <v>45831</v>
      </c>
      <c r="Z196" s="46">
        <f ca="1">IFERROR(__xludf.DUMMYFUNCTION("""COMPUTED_VALUE"""),45852)</f>
        <v>45852</v>
      </c>
      <c r="AA196" s="46">
        <f ca="1">IFERROR(__xludf.DUMMYFUNCTION("""COMPUTED_VALUE"""),45859)</f>
        <v>45859</v>
      </c>
      <c r="AB196" s="45" t="str">
        <f ca="1">IFERROR(__xludf.DUMMYFUNCTION("""COMPUTED_VALUE"""),"Conradweg 26")</f>
        <v>Conradweg 26</v>
      </c>
      <c r="AC196" s="45"/>
      <c r="AD196" s="45" t="str">
        <f ca="1">IFERROR(__xludf.DUMMYFUNCTION("""COMPUTED_VALUE"""),"OCEAN")</f>
        <v>OCEAN</v>
      </c>
      <c r="AE196" s="45" t="str">
        <f ca="1">IFERROR(__xludf.DUMMYFUNCTION("""COMPUTED_VALUE"""),"N")</f>
        <v>N</v>
      </c>
      <c r="AF196" s="45"/>
      <c r="AG196" s="49" t="str">
        <f ca="1">IFERROR(__xludf.DUMMYFUNCTION("IFNA(vlookup(H196,IMPORTRANGE(""1vUGwO1n0QQGx9kKbO0_M5gmuhXZ6-LaxQxgrmJnzgP0"",""'TP# look up'!A:C""),3,0),"""")"),"")</f>
        <v/>
      </c>
      <c r="AH196" s="49" t="str">
        <f t="shared" ca="1" si="3"/>
        <v>LM</v>
      </c>
    </row>
    <row r="197" spans="1:34" ht="12.75" hidden="1">
      <c r="A197" s="45" t="str">
        <f ca="1">IFERROR(__xludf.DUMMYFUNCTION("""COMPUTED_VALUE"""),"Colombo")</f>
        <v>Colombo</v>
      </c>
      <c r="B197" s="45"/>
      <c r="C197" s="45">
        <f ca="1">IFERROR(__xludf.DUMMYFUNCTION("""COMPUTED_VALUE"""),3254120)</f>
        <v>3254120</v>
      </c>
      <c r="D197" s="45"/>
      <c r="E197" s="45" t="str">
        <f ca="1">IFERROR(__xludf.DUMMYFUNCTION("""COMPUTED_VALUE"""),"CFS")</f>
        <v>CFS</v>
      </c>
      <c r="F197" s="45" t="str">
        <f ca="1">IFERROR(__xludf.DUMMYFUNCTION("""COMPUTED_VALUE"""),"MAS AMITY PTE LTD")</f>
        <v>MAS AMITY PTE LTD</v>
      </c>
      <c r="G197" s="45" t="str">
        <f ca="1">IFERROR(__xludf.DUMMYFUNCTION("""COMPUTED_VALUE"""),"MAS Active (Pvt) Ltd – Shadowline")</f>
        <v>MAS Active (Pvt) Ltd – Shadowline</v>
      </c>
      <c r="H197" s="43">
        <f ca="1">IFERROR(__xludf.DUMMYFUNCTION("""COMPUTED_VALUE"""),454865164288)</f>
        <v>454865164288</v>
      </c>
      <c r="I197" s="45">
        <f ca="1">IFERROR(__xludf.DUMMYFUNCTION("""COMPUTED_VALUE"""),19814189)</f>
        <v>19814189</v>
      </c>
      <c r="J197" s="45" t="str">
        <f ca="1">IFERROR(__xludf.DUMMYFUNCTION("""COMPUTED_VALUE"""),"LW1DUDS")</f>
        <v>LW1DUDS</v>
      </c>
      <c r="K197" s="45" t="str">
        <f ca="1">IFERROR(__xludf.DUMMYFUNCTION("""COMPUTED_VALUE"""),"LW1DUDS-0002")</f>
        <v>LW1DUDS-0002</v>
      </c>
      <c r="L197" s="45">
        <f ca="1">IFERROR(__xludf.DUMMYFUNCTION("""COMPUTED_VALUE"""),21)</f>
        <v>21</v>
      </c>
      <c r="M197" s="45">
        <f ca="1">IFERROR(__xludf.DUMMYFUNCTION("""COMPUTED_VALUE"""),1399)</f>
        <v>1399</v>
      </c>
      <c r="N197" s="45">
        <f ca="1">IFERROR(__xludf.DUMMYFUNCTION("""COMPUTED_VALUE"""),211.674)</f>
        <v>211.67400000000001</v>
      </c>
      <c r="O197" s="45">
        <f ca="1">IFERROR(__xludf.DUMMYFUNCTION("""COMPUTED_VALUE"""),1.659)</f>
        <v>1.659</v>
      </c>
      <c r="P197" s="45" t="str">
        <f ca="1">IFERROR(__xludf.DUMMYFUNCTION("""COMPUTED_VALUE"""),"Colombo, LK")</f>
        <v>Colombo, LK</v>
      </c>
      <c r="Q197" s="45" t="str">
        <f ca="1">IFERROR(__xludf.DUMMYFUNCTION("""COMPUTED_VALUE"""),"Rotterdam, NL")</f>
        <v>Rotterdam, NL</v>
      </c>
      <c r="R197" s="44">
        <f ca="1">IFERROR(__xludf.DUMMYFUNCTION("""COMPUTED_VALUE"""),45824)</f>
        <v>45824</v>
      </c>
      <c r="S197" s="44">
        <f ca="1">IFERROR(__xludf.DUMMYFUNCTION("""COMPUTED_VALUE"""),45878)</f>
        <v>45878</v>
      </c>
      <c r="T197" s="45" t="str">
        <f ca="1">IFERROR(__xludf.DUMMYFUNCTION("""COMPUTED_VALUE"""),"Rotterdam, NL")</f>
        <v>Rotterdam, NL</v>
      </c>
      <c r="U197" s="45"/>
      <c r="V197" s="45"/>
      <c r="W197" s="45"/>
      <c r="X197" s="45"/>
      <c r="Y197" s="46">
        <f ca="1">IFERROR(__xludf.DUMMYFUNCTION("""COMPUTED_VALUE"""),45831)</f>
        <v>45831</v>
      </c>
      <c r="Z197" s="46">
        <f ca="1">IFERROR(__xludf.DUMMYFUNCTION("""COMPUTED_VALUE"""),45852)</f>
        <v>45852</v>
      </c>
      <c r="AA197" s="46">
        <f ca="1">IFERROR(__xludf.DUMMYFUNCTION("""COMPUTED_VALUE"""),45859)</f>
        <v>45859</v>
      </c>
      <c r="AB197" s="45" t="str">
        <f ca="1">IFERROR(__xludf.DUMMYFUNCTION("""COMPUTED_VALUE"""),"Conradweg 26")</f>
        <v>Conradweg 26</v>
      </c>
      <c r="AC197" s="45"/>
      <c r="AD197" s="45" t="str">
        <f ca="1">IFERROR(__xludf.DUMMYFUNCTION("""COMPUTED_VALUE"""),"OCEAN")</f>
        <v>OCEAN</v>
      </c>
      <c r="AE197" s="45" t="str">
        <f ca="1">IFERROR(__xludf.DUMMYFUNCTION("""COMPUTED_VALUE"""),"N")</f>
        <v>N</v>
      </c>
      <c r="AF197" s="45"/>
      <c r="AG197" s="49" t="str">
        <f ca="1">IFERROR(__xludf.DUMMYFUNCTION("IFNA(vlookup(H197,IMPORTRANGE(""1vUGwO1n0QQGx9kKbO0_M5gmuhXZ6-LaxQxgrmJnzgP0"",""'TP# look up'!A:C""),3,0),"""")"),"")</f>
        <v/>
      </c>
      <c r="AH197" s="49" t="str">
        <f t="shared" ca="1" si="3"/>
        <v>LW</v>
      </c>
    </row>
    <row r="198" spans="1:34" ht="12.75" hidden="1">
      <c r="A198" s="45" t="str">
        <f ca="1">IFERROR(__xludf.DUMMYFUNCTION("""COMPUTED_VALUE"""),"Colombo")</f>
        <v>Colombo</v>
      </c>
      <c r="B198" s="45"/>
      <c r="C198" s="45">
        <f ca="1">IFERROR(__xludf.DUMMYFUNCTION("""COMPUTED_VALUE"""),3254120)</f>
        <v>3254120</v>
      </c>
      <c r="D198" s="45"/>
      <c r="E198" s="45" t="str">
        <f ca="1">IFERROR(__xludf.DUMMYFUNCTION("""COMPUTED_VALUE"""),"CFS")</f>
        <v>CFS</v>
      </c>
      <c r="F198" s="45" t="str">
        <f ca="1">IFERROR(__xludf.DUMMYFUNCTION("""COMPUTED_VALUE"""),"MAS AMITY PTE LTD")</f>
        <v>MAS AMITY PTE LTD</v>
      </c>
      <c r="G198" s="45" t="str">
        <f ca="1">IFERROR(__xludf.DUMMYFUNCTION("""COMPUTED_VALUE"""),"MAS Active (Pvt) Ltd – Shadowline")</f>
        <v>MAS Active (Pvt) Ltd – Shadowline</v>
      </c>
      <c r="H198" s="43">
        <f ca="1">IFERROR(__xludf.DUMMYFUNCTION("""COMPUTED_VALUE"""),454893038716)</f>
        <v>454893038716</v>
      </c>
      <c r="I198" s="45">
        <f ca="1">IFERROR(__xludf.DUMMYFUNCTION("""COMPUTED_VALUE"""),19814203)</f>
        <v>19814203</v>
      </c>
      <c r="J198" s="45" t="str">
        <f ca="1">IFERROR(__xludf.DUMMYFUNCTION("""COMPUTED_VALUE"""),"LW1DUDS")</f>
        <v>LW1DUDS</v>
      </c>
      <c r="K198" s="45" t="str">
        <f ca="1">IFERROR(__xludf.DUMMYFUNCTION("""COMPUTED_VALUE"""),"LW1DUDS-020392")</f>
        <v>LW1DUDS-020392</v>
      </c>
      <c r="L198" s="45">
        <f ca="1">IFERROR(__xludf.DUMMYFUNCTION("""COMPUTED_VALUE"""),4)</f>
        <v>4</v>
      </c>
      <c r="M198" s="45">
        <f ca="1">IFERROR(__xludf.DUMMYFUNCTION("""COMPUTED_VALUE"""),83)</f>
        <v>83</v>
      </c>
      <c r="N198" s="45">
        <f ca="1">IFERROR(__xludf.DUMMYFUNCTION("""COMPUTED_VALUE"""),14.648)</f>
        <v>14.648</v>
      </c>
      <c r="O198" s="45">
        <f ca="1">IFERROR(__xludf.DUMMYFUNCTION("""COMPUTED_VALUE"""),0.158)</f>
        <v>0.158</v>
      </c>
      <c r="P198" s="45" t="str">
        <f ca="1">IFERROR(__xludf.DUMMYFUNCTION("""COMPUTED_VALUE"""),"Colombo, LK")</f>
        <v>Colombo, LK</v>
      </c>
      <c r="Q198" s="45" t="str">
        <f ca="1">IFERROR(__xludf.DUMMYFUNCTION("""COMPUTED_VALUE"""),"Rotterdam, NL")</f>
        <v>Rotterdam, NL</v>
      </c>
      <c r="R198" s="44">
        <f ca="1">IFERROR(__xludf.DUMMYFUNCTION("""COMPUTED_VALUE"""),45824)</f>
        <v>45824</v>
      </c>
      <c r="S198" s="44">
        <f ca="1">IFERROR(__xludf.DUMMYFUNCTION("""COMPUTED_VALUE"""),45878)</f>
        <v>45878</v>
      </c>
      <c r="T198" s="45" t="str">
        <f ca="1">IFERROR(__xludf.DUMMYFUNCTION("""COMPUTED_VALUE"""),"Rotterdam, NL")</f>
        <v>Rotterdam, NL</v>
      </c>
      <c r="U198" s="45"/>
      <c r="V198" s="45"/>
      <c r="W198" s="45"/>
      <c r="X198" s="45"/>
      <c r="Y198" s="46">
        <f ca="1">IFERROR(__xludf.DUMMYFUNCTION("""COMPUTED_VALUE"""),45831)</f>
        <v>45831</v>
      </c>
      <c r="Z198" s="46">
        <f ca="1">IFERROR(__xludf.DUMMYFUNCTION("""COMPUTED_VALUE"""),45852)</f>
        <v>45852</v>
      </c>
      <c r="AA198" s="46">
        <f ca="1">IFERROR(__xludf.DUMMYFUNCTION("""COMPUTED_VALUE"""),45859)</f>
        <v>45859</v>
      </c>
      <c r="AB198" s="45" t="str">
        <f ca="1">IFERROR(__xludf.DUMMYFUNCTION("""COMPUTED_VALUE"""),"Conradweg 26")</f>
        <v>Conradweg 26</v>
      </c>
      <c r="AC198" s="45"/>
      <c r="AD198" s="45" t="str">
        <f ca="1">IFERROR(__xludf.DUMMYFUNCTION("""COMPUTED_VALUE"""),"OCEAN")</f>
        <v>OCEAN</v>
      </c>
      <c r="AE198" s="45" t="str">
        <f ca="1">IFERROR(__xludf.DUMMYFUNCTION("""COMPUTED_VALUE"""),"N")</f>
        <v>N</v>
      </c>
      <c r="AF198" s="45"/>
      <c r="AG198" s="49" t="str">
        <f ca="1">IFERROR(__xludf.DUMMYFUNCTION("IFNA(vlookup(H198,IMPORTRANGE(""1vUGwO1n0QQGx9kKbO0_M5gmuhXZ6-LaxQxgrmJnzgP0"",""'TP# look up'!A:C""),3,0),"""")"),"")</f>
        <v/>
      </c>
      <c r="AH198" s="49" t="str">
        <f t="shared" ca="1" si="3"/>
        <v>LW</v>
      </c>
    </row>
    <row r="199" spans="1:34" ht="12.75" hidden="1">
      <c r="A199" s="45" t="str">
        <f ca="1">IFERROR(__xludf.DUMMYFUNCTION("""COMPUTED_VALUE"""),"Colombo")</f>
        <v>Colombo</v>
      </c>
      <c r="B199" s="45"/>
      <c r="C199" s="45">
        <f ca="1">IFERROR(__xludf.DUMMYFUNCTION("""COMPUTED_VALUE"""),3254120)</f>
        <v>3254120</v>
      </c>
      <c r="D199" s="45"/>
      <c r="E199" s="45" t="str">
        <f ca="1">IFERROR(__xludf.DUMMYFUNCTION("""COMPUTED_VALUE"""),"CFS")</f>
        <v>CFS</v>
      </c>
      <c r="F199" s="45" t="str">
        <f ca="1">IFERROR(__xludf.DUMMYFUNCTION("""COMPUTED_VALUE"""),"Inqube Global (PVT) Ltd")</f>
        <v>Inqube Global (PVT) Ltd</v>
      </c>
      <c r="G199" s="45" t="str">
        <f ca="1">IFERROR(__xludf.DUMMYFUNCTION("""COMPUTED_VALUE"""),"BRANDIX APPAREL SOLUTION LTD - GIRITALE")</f>
        <v>BRANDIX APPAREL SOLUTION LTD - GIRITALE</v>
      </c>
      <c r="H199" s="43">
        <f ca="1">IFERROR(__xludf.DUMMYFUNCTION("""COMPUTED_VALUE"""),452503031553)</f>
        <v>452503031553</v>
      </c>
      <c r="I199" s="45">
        <f ca="1">IFERROR(__xludf.DUMMYFUNCTION("""COMPUTED_VALUE"""),19807149)</f>
        <v>19807149</v>
      </c>
      <c r="J199" s="45" t="str">
        <f ca="1">IFERROR(__xludf.DUMMYFUNCTION("""COMPUTED_VALUE"""),"LM5BKOS")</f>
        <v>LM5BKOS</v>
      </c>
      <c r="K199" s="45" t="str">
        <f ca="1">IFERROR(__xludf.DUMMYFUNCTION("""COMPUTED_VALUE"""),"LM5BKOS-031382")</f>
        <v>LM5BKOS-031382</v>
      </c>
      <c r="L199" s="45">
        <f ca="1">IFERROR(__xludf.DUMMYFUNCTION("""COMPUTED_VALUE"""),4)</f>
        <v>4</v>
      </c>
      <c r="M199" s="45">
        <f ca="1">IFERROR(__xludf.DUMMYFUNCTION("""COMPUTED_VALUE"""),154)</f>
        <v>154</v>
      </c>
      <c r="N199" s="45">
        <f ca="1">IFERROR(__xludf.DUMMYFUNCTION("""COMPUTED_VALUE"""),60.89)</f>
        <v>60.89</v>
      </c>
      <c r="O199" s="45">
        <f ca="1">IFERROR(__xludf.DUMMYFUNCTION("""COMPUTED_VALUE"""),0.29)</f>
        <v>0.28999999999999998</v>
      </c>
      <c r="P199" s="45" t="str">
        <f ca="1">IFERROR(__xludf.DUMMYFUNCTION("""COMPUTED_VALUE"""),"Colombo, LK")</f>
        <v>Colombo, LK</v>
      </c>
      <c r="Q199" s="45" t="str">
        <f ca="1">IFERROR(__xludf.DUMMYFUNCTION("""COMPUTED_VALUE"""),"Rotterdam, NL")</f>
        <v>Rotterdam, NL</v>
      </c>
      <c r="R199" s="44">
        <f ca="1">IFERROR(__xludf.DUMMYFUNCTION("""COMPUTED_VALUE"""),45824)</f>
        <v>45824</v>
      </c>
      <c r="S199" s="44">
        <f ca="1">IFERROR(__xludf.DUMMYFUNCTION("""COMPUTED_VALUE"""),45878)</f>
        <v>45878</v>
      </c>
      <c r="T199" s="45" t="str">
        <f ca="1">IFERROR(__xludf.DUMMYFUNCTION("""COMPUTED_VALUE"""),"Rotterdam, NL")</f>
        <v>Rotterdam, NL</v>
      </c>
      <c r="U199" s="45"/>
      <c r="V199" s="45"/>
      <c r="W199" s="45"/>
      <c r="X199" s="45"/>
      <c r="Y199" s="46">
        <f ca="1">IFERROR(__xludf.DUMMYFUNCTION("""COMPUTED_VALUE"""),45831)</f>
        <v>45831</v>
      </c>
      <c r="Z199" s="46">
        <f ca="1">IFERROR(__xludf.DUMMYFUNCTION("""COMPUTED_VALUE"""),45852)</f>
        <v>45852</v>
      </c>
      <c r="AA199" s="46">
        <f ca="1">IFERROR(__xludf.DUMMYFUNCTION("""COMPUTED_VALUE"""),45859)</f>
        <v>45859</v>
      </c>
      <c r="AB199" s="45" t="str">
        <f ca="1">IFERROR(__xludf.DUMMYFUNCTION("""COMPUTED_VALUE"""),"Conradweg 26")</f>
        <v>Conradweg 26</v>
      </c>
      <c r="AC199" s="45"/>
      <c r="AD199" s="45" t="str">
        <f ca="1">IFERROR(__xludf.DUMMYFUNCTION("""COMPUTED_VALUE"""),"OCEAN")</f>
        <v>OCEAN</v>
      </c>
      <c r="AE199" s="45" t="str">
        <f ca="1">IFERROR(__xludf.DUMMYFUNCTION("""COMPUTED_VALUE"""),"N")</f>
        <v>N</v>
      </c>
      <c r="AF199" s="45"/>
      <c r="AG199" s="49" t="str">
        <f ca="1">IFERROR(__xludf.DUMMYFUNCTION("IFNA(vlookup(H199,IMPORTRANGE(""1vUGwO1n0QQGx9kKbO0_M5gmuhXZ6-LaxQxgrmJnzgP0"",""'TP# look up'!A:C""),3,0),"""")"),"")</f>
        <v/>
      </c>
      <c r="AH199" s="49" t="str">
        <f t="shared" ca="1" si="3"/>
        <v>LM</v>
      </c>
    </row>
    <row r="200" spans="1:34" ht="12.75" hidden="1">
      <c r="A200" s="45" t="str">
        <f ca="1">IFERROR(__xludf.DUMMYFUNCTION("""COMPUTED_VALUE"""),"Colombo")</f>
        <v>Colombo</v>
      </c>
      <c r="B200" s="45"/>
      <c r="C200" s="45">
        <f ca="1">IFERROR(__xludf.DUMMYFUNCTION("""COMPUTED_VALUE"""),3254120)</f>
        <v>3254120</v>
      </c>
      <c r="D200" s="45"/>
      <c r="E200" s="45" t="str">
        <f ca="1">IFERROR(__xludf.DUMMYFUNCTION("""COMPUTED_VALUE"""),"CFS")</f>
        <v>CFS</v>
      </c>
      <c r="F200" s="45" t="str">
        <f ca="1">IFERROR(__xludf.DUMMYFUNCTION("""COMPUTED_VALUE"""),"Inqube Global (PVT) Ltd")</f>
        <v>Inqube Global (PVT) Ltd</v>
      </c>
      <c r="G200" s="45" t="str">
        <f ca="1">IFERROR(__xludf.DUMMYFUNCTION("""COMPUTED_VALUE"""),"BRANDIX APPAREL SOLUTION LTD - GIRITALE")</f>
        <v>BRANDIX APPAREL SOLUTION LTD - GIRITALE</v>
      </c>
      <c r="H200" s="43">
        <f ca="1">IFERROR(__xludf.DUMMYFUNCTION("""COMPUTED_VALUE"""),452503337572)</f>
        <v>452503337572</v>
      </c>
      <c r="I200" s="45">
        <f ca="1">IFERROR(__xludf.DUMMYFUNCTION("""COMPUTED_VALUE"""),19807143)</f>
        <v>19807143</v>
      </c>
      <c r="J200" s="45" t="str">
        <f ca="1">IFERROR(__xludf.DUMMYFUNCTION("""COMPUTED_VALUE"""),"LM5BKOS")</f>
        <v>LM5BKOS</v>
      </c>
      <c r="K200" s="45" t="str">
        <f ca="1">IFERROR(__xludf.DUMMYFUNCTION("""COMPUTED_VALUE"""),"LM5BKOS-031382")</f>
        <v>LM5BKOS-031382</v>
      </c>
      <c r="L200" s="45">
        <f ca="1">IFERROR(__xludf.DUMMYFUNCTION("""COMPUTED_VALUE"""),8)</f>
        <v>8</v>
      </c>
      <c r="M200" s="45">
        <f ca="1">IFERROR(__xludf.DUMMYFUNCTION("""COMPUTED_VALUE"""),277)</f>
        <v>277</v>
      </c>
      <c r="N200" s="45">
        <f ca="1">IFERROR(__xludf.DUMMYFUNCTION("""COMPUTED_VALUE"""),109.8)</f>
        <v>109.8</v>
      </c>
      <c r="O200" s="45">
        <f ca="1">IFERROR(__xludf.DUMMYFUNCTION("""COMPUTED_VALUE"""),0.58)</f>
        <v>0.57999999999999996</v>
      </c>
      <c r="P200" s="45" t="str">
        <f ca="1">IFERROR(__xludf.DUMMYFUNCTION("""COMPUTED_VALUE"""),"Colombo, LK")</f>
        <v>Colombo, LK</v>
      </c>
      <c r="Q200" s="45" t="str">
        <f ca="1">IFERROR(__xludf.DUMMYFUNCTION("""COMPUTED_VALUE"""),"Rotterdam, NL")</f>
        <v>Rotterdam, NL</v>
      </c>
      <c r="R200" s="44">
        <f ca="1">IFERROR(__xludf.DUMMYFUNCTION("""COMPUTED_VALUE"""),45824)</f>
        <v>45824</v>
      </c>
      <c r="S200" s="44">
        <f ca="1">IFERROR(__xludf.DUMMYFUNCTION("""COMPUTED_VALUE"""),45878)</f>
        <v>45878</v>
      </c>
      <c r="T200" s="45" t="str">
        <f ca="1">IFERROR(__xludf.DUMMYFUNCTION("""COMPUTED_VALUE"""),"Rotterdam, NL")</f>
        <v>Rotterdam, NL</v>
      </c>
      <c r="U200" s="45"/>
      <c r="V200" s="45"/>
      <c r="W200" s="45"/>
      <c r="X200" s="45"/>
      <c r="Y200" s="46">
        <f ca="1">IFERROR(__xludf.DUMMYFUNCTION("""COMPUTED_VALUE"""),45831)</f>
        <v>45831</v>
      </c>
      <c r="Z200" s="46">
        <f ca="1">IFERROR(__xludf.DUMMYFUNCTION("""COMPUTED_VALUE"""),45852)</f>
        <v>45852</v>
      </c>
      <c r="AA200" s="46">
        <f ca="1">IFERROR(__xludf.DUMMYFUNCTION("""COMPUTED_VALUE"""),45859)</f>
        <v>45859</v>
      </c>
      <c r="AB200" s="45" t="str">
        <f ca="1">IFERROR(__xludf.DUMMYFUNCTION("""COMPUTED_VALUE"""),"Conradweg 26")</f>
        <v>Conradweg 26</v>
      </c>
      <c r="AC200" s="45"/>
      <c r="AD200" s="45" t="str">
        <f ca="1">IFERROR(__xludf.DUMMYFUNCTION("""COMPUTED_VALUE"""),"OCEAN")</f>
        <v>OCEAN</v>
      </c>
      <c r="AE200" s="45" t="str">
        <f ca="1">IFERROR(__xludf.DUMMYFUNCTION("""COMPUTED_VALUE"""),"N")</f>
        <v>N</v>
      </c>
      <c r="AF200" s="45"/>
      <c r="AG200" s="49" t="str">
        <f ca="1">IFERROR(__xludf.DUMMYFUNCTION("IFNA(vlookup(H200,IMPORTRANGE(""1vUGwO1n0QQGx9kKbO0_M5gmuhXZ6-LaxQxgrmJnzgP0"",""'TP# look up'!A:C""),3,0),"""")"),"")</f>
        <v/>
      </c>
      <c r="AH200" s="49" t="str">
        <f t="shared" ca="1" si="3"/>
        <v>LM</v>
      </c>
    </row>
    <row r="201" spans="1:34" ht="12.75" hidden="1">
      <c r="A201" s="45" t="str">
        <f ca="1">IFERROR(__xludf.DUMMYFUNCTION("""COMPUTED_VALUE"""),"Colombo")</f>
        <v>Colombo</v>
      </c>
      <c r="B201" s="45"/>
      <c r="C201" s="45">
        <f ca="1">IFERROR(__xludf.DUMMYFUNCTION("""COMPUTED_VALUE"""),3254120)</f>
        <v>3254120</v>
      </c>
      <c r="D201" s="45"/>
      <c r="E201" s="45" t="str">
        <f ca="1">IFERROR(__xludf.DUMMYFUNCTION("""COMPUTED_VALUE"""),"CFS")</f>
        <v>CFS</v>
      </c>
      <c r="F201" s="45" t="str">
        <f ca="1">IFERROR(__xludf.DUMMYFUNCTION("""COMPUTED_VALUE"""),"Inqube Global (PVT) Ltd")</f>
        <v>Inqube Global (PVT) Ltd</v>
      </c>
      <c r="G201" s="45" t="str">
        <f ca="1">IFERROR(__xludf.DUMMYFUNCTION("""COMPUTED_VALUE"""),"BRANDIX APPAREL SOLUTION LTD - GIRITALE")</f>
        <v>BRANDIX APPAREL SOLUTION LTD - GIRITALE</v>
      </c>
      <c r="H201" s="43">
        <f ca="1">IFERROR(__xludf.DUMMYFUNCTION("""COMPUTED_VALUE"""),452503346259)</f>
        <v>452503346259</v>
      </c>
      <c r="I201" s="45">
        <f ca="1">IFERROR(__xludf.DUMMYFUNCTION("""COMPUTED_VALUE"""),19807151)</f>
        <v>19807151</v>
      </c>
      <c r="J201" s="45" t="str">
        <f ca="1">IFERROR(__xludf.DUMMYFUNCTION("""COMPUTED_VALUE"""),"LM5BL3S")</f>
        <v>LM5BL3S</v>
      </c>
      <c r="K201" s="45" t="str">
        <f ca="1">IFERROR(__xludf.DUMMYFUNCTION("""COMPUTED_VALUE"""),"LM5BL3S-045739")</f>
        <v>LM5BL3S-045739</v>
      </c>
      <c r="L201" s="45">
        <f ca="1">IFERROR(__xludf.DUMMYFUNCTION("""COMPUTED_VALUE"""),1)</f>
        <v>1</v>
      </c>
      <c r="M201" s="45">
        <f ca="1">IFERROR(__xludf.DUMMYFUNCTION("""COMPUTED_VALUE"""),17)</f>
        <v>17</v>
      </c>
      <c r="N201" s="45">
        <f ca="1">IFERROR(__xludf.DUMMYFUNCTION("""COMPUTED_VALUE"""),6.96)</f>
        <v>6.96</v>
      </c>
      <c r="O201" s="45">
        <f ca="1">IFERROR(__xludf.DUMMYFUNCTION("""COMPUTED_VALUE"""),0.043)</f>
        <v>4.2999999999999997E-2</v>
      </c>
      <c r="P201" s="45" t="str">
        <f ca="1">IFERROR(__xludf.DUMMYFUNCTION("""COMPUTED_VALUE"""),"Colombo, LK")</f>
        <v>Colombo, LK</v>
      </c>
      <c r="Q201" s="45" t="str">
        <f ca="1">IFERROR(__xludf.DUMMYFUNCTION("""COMPUTED_VALUE"""),"Rotterdam, NL")</f>
        <v>Rotterdam, NL</v>
      </c>
      <c r="R201" s="44">
        <f ca="1">IFERROR(__xludf.DUMMYFUNCTION("""COMPUTED_VALUE"""),45824)</f>
        <v>45824</v>
      </c>
      <c r="S201" s="44">
        <f ca="1">IFERROR(__xludf.DUMMYFUNCTION("""COMPUTED_VALUE"""),45878)</f>
        <v>45878</v>
      </c>
      <c r="T201" s="45" t="str">
        <f ca="1">IFERROR(__xludf.DUMMYFUNCTION("""COMPUTED_VALUE"""),"Rotterdam, NL")</f>
        <v>Rotterdam, NL</v>
      </c>
      <c r="U201" s="45"/>
      <c r="V201" s="45"/>
      <c r="W201" s="45"/>
      <c r="X201" s="45"/>
      <c r="Y201" s="46">
        <f ca="1">IFERROR(__xludf.DUMMYFUNCTION("""COMPUTED_VALUE"""),45831)</f>
        <v>45831</v>
      </c>
      <c r="Z201" s="46">
        <f ca="1">IFERROR(__xludf.DUMMYFUNCTION("""COMPUTED_VALUE"""),45852)</f>
        <v>45852</v>
      </c>
      <c r="AA201" s="46">
        <f ca="1">IFERROR(__xludf.DUMMYFUNCTION("""COMPUTED_VALUE"""),45859)</f>
        <v>45859</v>
      </c>
      <c r="AB201" s="45" t="str">
        <f ca="1">IFERROR(__xludf.DUMMYFUNCTION("""COMPUTED_VALUE"""),"Conradweg 26")</f>
        <v>Conradweg 26</v>
      </c>
      <c r="AC201" s="45"/>
      <c r="AD201" s="45" t="str">
        <f ca="1">IFERROR(__xludf.DUMMYFUNCTION("""COMPUTED_VALUE"""),"OCEAN")</f>
        <v>OCEAN</v>
      </c>
      <c r="AE201" s="45" t="str">
        <f ca="1">IFERROR(__xludf.DUMMYFUNCTION("""COMPUTED_VALUE"""),"N")</f>
        <v>N</v>
      </c>
      <c r="AF201" s="45"/>
      <c r="AG201" s="49" t="str">
        <f ca="1">IFERROR(__xludf.DUMMYFUNCTION("IFNA(vlookup(H201,IMPORTRANGE(""1vUGwO1n0QQGx9kKbO0_M5gmuhXZ6-LaxQxgrmJnzgP0"",""'TP# look up'!A:C""),3,0),"""")"),"")</f>
        <v/>
      </c>
      <c r="AH201" s="49" t="str">
        <f t="shared" ca="1" si="3"/>
        <v>LM</v>
      </c>
    </row>
    <row r="202" spans="1:34" ht="12.75" hidden="1">
      <c r="A202" s="45" t="str">
        <f ca="1">IFERROR(__xludf.DUMMYFUNCTION("""COMPUTED_VALUE"""),"Colombo")</f>
        <v>Colombo</v>
      </c>
      <c r="B202" s="45"/>
      <c r="C202" s="45">
        <f ca="1">IFERROR(__xludf.DUMMYFUNCTION("""COMPUTED_VALUE"""),3254120)</f>
        <v>3254120</v>
      </c>
      <c r="D202" s="45"/>
      <c r="E202" s="45" t="str">
        <f ca="1">IFERROR(__xludf.DUMMYFUNCTION("""COMPUTED_VALUE"""),"CFS")</f>
        <v>CFS</v>
      </c>
      <c r="F202" s="45" t="str">
        <f ca="1">IFERROR(__xludf.DUMMYFUNCTION("""COMPUTED_VALUE"""),"Inqube Global (PVT) Ltd")</f>
        <v>Inqube Global (PVT) Ltd</v>
      </c>
      <c r="G202" s="45" t="str">
        <f ca="1">IFERROR(__xludf.DUMMYFUNCTION("""COMPUTED_VALUE"""),"BRANDIX APPAREL SOLUTION LTD - GIRITALE")</f>
        <v>BRANDIX APPAREL SOLUTION LTD - GIRITALE</v>
      </c>
      <c r="H202" s="43">
        <f ca="1">IFERROR(__xludf.DUMMYFUNCTION("""COMPUTED_VALUE"""),452517307998)</f>
        <v>452517307998</v>
      </c>
      <c r="I202" s="45">
        <f ca="1">IFERROR(__xludf.DUMMYFUNCTION("""COMPUTED_VALUE"""),19856636)</f>
        <v>19856636</v>
      </c>
      <c r="J202" s="45" t="str">
        <f ca="1">IFERROR(__xludf.DUMMYFUNCTION("""COMPUTED_VALUE"""),"LM5BKOS")</f>
        <v>LM5BKOS</v>
      </c>
      <c r="K202" s="45" t="str">
        <f ca="1">IFERROR(__xludf.DUMMYFUNCTION("""COMPUTED_VALUE"""),"LM5BKOS-0001")</f>
        <v>LM5BKOS-0001</v>
      </c>
      <c r="L202" s="45">
        <f ca="1">IFERROR(__xludf.DUMMYFUNCTION("""COMPUTED_VALUE"""),7)</f>
        <v>7</v>
      </c>
      <c r="M202" s="45">
        <f ca="1">IFERROR(__xludf.DUMMYFUNCTION("""COMPUTED_VALUE"""),255)</f>
        <v>255</v>
      </c>
      <c r="N202" s="45">
        <f ca="1">IFERROR(__xludf.DUMMYFUNCTION("""COMPUTED_VALUE"""),101.39)</f>
        <v>101.39</v>
      </c>
      <c r="O202" s="45">
        <f ca="1">IFERROR(__xludf.DUMMYFUNCTION("""COMPUTED_VALUE"""),0.498)</f>
        <v>0.498</v>
      </c>
      <c r="P202" s="45" t="str">
        <f ca="1">IFERROR(__xludf.DUMMYFUNCTION("""COMPUTED_VALUE"""),"Colombo, LK")</f>
        <v>Colombo, LK</v>
      </c>
      <c r="Q202" s="45" t="str">
        <f ca="1">IFERROR(__xludf.DUMMYFUNCTION("""COMPUTED_VALUE"""),"Rotterdam, NL")</f>
        <v>Rotterdam, NL</v>
      </c>
      <c r="R202" s="44">
        <f ca="1">IFERROR(__xludf.DUMMYFUNCTION("""COMPUTED_VALUE"""),45824)</f>
        <v>45824</v>
      </c>
      <c r="S202" s="44">
        <f ca="1">IFERROR(__xludf.DUMMYFUNCTION("""COMPUTED_VALUE"""),45878)</f>
        <v>45878</v>
      </c>
      <c r="T202" s="45" t="str">
        <f ca="1">IFERROR(__xludf.DUMMYFUNCTION("""COMPUTED_VALUE"""),"Rotterdam, NL")</f>
        <v>Rotterdam, NL</v>
      </c>
      <c r="U202" s="45"/>
      <c r="V202" s="45"/>
      <c r="W202" s="45"/>
      <c r="X202" s="45"/>
      <c r="Y202" s="46">
        <f ca="1">IFERROR(__xludf.DUMMYFUNCTION("""COMPUTED_VALUE"""),45831)</f>
        <v>45831</v>
      </c>
      <c r="Z202" s="46">
        <f ca="1">IFERROR(__xludf.DUMMYFUNCTION("""COMPUTED_VALUE"""),45852)</f>
        <v>45852</v>
      </c>
      <c r="AA202" s="46">
        <f ca="1">IFERROR(__xludf.DUMMYFUNCTION("""COMPUTED_VALUE"""),45859)</f>
        <v>45859</v>
      </c>
      <c r="AB202" s="45" t="str">
        <f ca="1">IFERROR(__xludf.DUMMYFUNCTION("""COMPUTED_VALUE"""),"Conradweg 26")</f>
        <v>Conradweg 26</v>
      </c>
      <c r="AC202" s="45"/>
      <c r="AD202" s="45" t="str">
        <f ca="1">IFERROR(__xludf.DUMMYFUNCTION("""COMPUTED_VALUE"""),"OCEAN")</f>
        <v>OCEAN</v>
      </c>
      <c r="AE202" s="45" t="str">
        <f ca="1">IFERROR(__xludf.DUMMYFUNCTION("""COMPUTED_VALUE"""),"N")</f>
        <v>N</v>
      </c>
      <c r="AF202" s="45"/>
      <c r="AG202" s="49" t="str">
        <f ca="1">IFERROR(__xludf.DUMMYFUNCTION("IFNA(vlookup(H202,IMPORTRANGE(""1vUGwO1n0QQGx9kKbO0_M5gmuhXZ6-LaxQxgrmJnzgP0"",""'TP# look up'!A:C""),3,0),"""")"),"")</f>
        <v/>
      </c>
      <c r="AH202" s="49" t="str">
        <f t="shared" ca="1" si="3"/>
        <v>LM</v>
      </c>
    </row>
    <row r="203" spans="1:34" ht="12.75" hidden="1">
      <c r="A203" s="45" t="str">
        <f ca="1">IFERROR(__xludf.DUMMYFUNCTION("""COMPUTED_VALUE"""),"Colombo")</f>
        <v>Colombo</v>
      </c>
      <c r="B203" s="45"/>
      <c r="C203" s="45">
        <f ca="1">IFERROR(__xludf.DUMMYFUNCTION("""COMPUTED_VALUE"""),3254120)</f>
        <v>3254120</v>
      </c>
      <c r="D203" s="45"/>
      <c r="E203" s="45" t="str">
        <f ca="1">IFERROR(__xludf.DUMMYFUNCTION("""COMPUTED_VALUE"""),"CFS")</f>
        <v>CFS</v>
      </c>
      <c r="F203" s="45" t="str">
        <f ca="1">IFERROR(__xludf.DUMMYFUNCTION("""COMPUTED_VALUE"""),"Inqube Global (PVT) Ltd")</f>
        <v>Inqube Global (PVT) Ltd</v>
      </c>
      <c r="G203" s="45" t="str">
        <f ca="1">IFERROR(__xludf.DUMMYFUNCTION("""COMPUTED_VALUE"""),"BRANDIX APPAREL SOLUTION LTD - GIRITALE")</f>
        <v>BRANDIX APPAREL SOLUTION LTD - GIRITALE</v>
      </c>
      <c r="H203" s="43">
        <f ca="1">IFERROR(__xludf.DUMMYFUNCTION("""COMPUTED_VALUE"""),452517688487)</f>
        <v>452517688487</v>
      </c>
      <c r="I203" s="45">
        <f ca="1">IFERROR(__xludf.DUMMYFUNCTION("""COMPUTED_VALUE"""),19856637)</f>
        <v>19856637</v>
      </c>
      <c r="J203" s="45" t="str">
        <f ca="1">IFERROR(__xludf.DUMMYFUNCTION("""COMPUTED_VALUE"""),"LM5BKOS")</f>
        <v>LM5BKOS</v>
      </c>
      <c r="K203" s="45" t="str">
        <f ca="1">IFERROR(__xludf.DUMMYFUNCTION("""COMPUTED_VALUE"""),"LM5BKOS-031382")</f>
        <v>LM5BKOS-031382</v>
      </c>
      <c r="L203" s="45">
        <f ca="1">IFERROR(__xludf.DUMMYFUNCTION("""COMPUTED_VALUE"""),3)</f>
        <v>3</v>
      </c>
      <c r="M203" s="45">
        <f ca="1">IFERROR(__xludf.DUMMYFUNCTION("""COMPUTED_VALUE"""),115)</f>
        <v>115</v>
      </c>
      <c r="N203" s="45">
        <f ca="1">IFERROR(__xludf.DUMMYFUNCTION("""COMPUTED_VALUE"""),45.67)</f>
        <v>45.67</v>
      </c>
      <c r="O203" s="45">
        <f ca="1">IFERROR(__xludf.DUMMYFUNCTION("""COMPUTED_VALUE"""),0.248)</f>
        <v>0.248</v>
      </c>
      <c r="P203" s="45" t="str">
        <f ca="1">IFERROR(__xludf.DUMMYFUNCTION("""COMPUTED_VALUE"""),"Colombo, LK")</f>
        <v>Colombo, LK</v>
      </c>
      <c r="Q203" s="45" t="str">
        <f ca="1">IFERROR(__xludf.DUMMYFUNCTION("""COMPUTED_VALUE"""),"Rotterdam, NL")</f>
        <v>Rotterdam, NL</v>
      </c>
      <c r="R203" s="44">
        <f ca="1">IFERROR(__xludf.DUMMYFUNCTION("""COMPUTED_VALUE"""),45824)</f>
        <v>45824</v>
      </c>
      <c r="S203" s="44">
        <f ca="1">IFERROR(__xludf.DUMMYFUNCTION("""COMPUTED_VALUE"""),45878)</f>
        <v>45878</v>
      </c>
      <c r="T203" s="45" t="str">
        <f ca="1">IFERROR(__xludf.DUMMYFUNCTION("""COMPUTED_VALUE"""),"Rotterdam, NL")</f>
        <v>Rotterdam, NL</v>
      </c>
      <c r="U203" s="45"/>
      <c r="V203" s="45"/>
      <c r="W203" s="45"/>
      <c r="X203" s="45"/>
      <c r="Y203" s="46">
        <f ca="1">IFERROR(__xludf.DUMMYFUNCTION("""COMPUTED_VALUE"""),45831)</f>
        <v>45831</v>
      </c>
      <c r="Z203" s="46">
        <f ca="1">IFERROR(__xludf.DUMMYFUNCTION("""COMPUTED_VALUE"""),45852)</f>
        <v>45852</v>
      </c>
      <c r="AA203" s="46">
        <f ca="1">IFERROR(__xludf.DUMMYFUNCTION("""COMPUTED_VALUE"""),45859)</f>
        <v>45859</v>
      </c>
      <c r="AB203" s="45" t="str">
        <f ca="1">IFERROR(__xludf.DUMMYFUNCTION("""COMPUTED_VALUE"""),"Conradweg 26")</f>
        <v>Conradweg 26</v>
      </c>
      <c r="AC203" s="45"/>
      <c r="AD203" s="45" t="str">
        <f ca="1">IFERROR(__xludf.DUMMYFUNCTION("""COMPUTED_VALUE"""),"OCEAN")</f>
        <v>OCEAN</v>
      </c>
      <c r="AE203" s="45" t="str">
        <f ca="1">IFERROR(__xludf.DUMMYFUNCTION("""COMPUTED_VALUE"""),"N")</f>
        <v>N</v>
      </c>
      <c r="AF203" s="45"/>
      <c r="AG203" s="49" t="str">
        <f ca="1">IFERROR(__xludf.DUMMYFUNCTION("IFNA(vlookup(H203,IMPORTRANGE(""1vUGwO1n0QQGx9kKbO0_M5gmuhXZ6-LaxQxgrmJnzgP0"",""'TP# look up'!A:C""),3,0),"""")"),"")</f>
        <v/>
      </c>
      <c r="AH203" s="49" t="str">
        <f t="shared" ca="1" si="3"/>
        <v>LM</v>
      </c>
    </row>
    <row r="204" spans="1:34" ht="12.75" hidden="1">
      <c r="A204" s="45" t="str">
        <f ca="1">IFERROR(__xludf.DUMMYFUNCTION("""COMPUTED_VALUE"""),"Colombo")</f>
        <v>Colombo</v>
      </c>
      <c r="B204" s="45"/>
      <c r="C204" s="45">
        <f ca="1">IFERROR(__xludf.DUMMYFUNCTION("""COMPUTED_VALUE"""),3254120)</f>
        <v>3254120</v>
      </c>
      <c r="D204" s="45"/>
      <c r="E204" s="45" t="str">
        <f ca="1">IFERROR(__xludf.DUMMYFUNCTION("""COMPUTED_VALUE"""),"CFS")</f>
        <v>CFS</v>
      </c>
      <c r="F204" s="45" t="str">
        <f ca="1">IFERROR(__xludf.DUMMYFUNCTION("""COMPUTED_VALUE"""),"Inqube Global (PVT) Ltd")</f>
        <v>Inqube Global (PVT) Ltd</v>
      </c>
      <c r="G204" s="45" t="str">
        <f ca="1">IFERROR(__xludf.DUMMYFUNCTION("""COMPUTED_VALUE"""),"BRANDIX APPAREL SOLUTION LTD - GIRITALE")</f>
        <v>BRANDIX APPAREL SOLUTION LTD - GIRITALE</v>
      </c>
      <c r="H204" s="43">
        <f ca="1">IFERROR(__xludf.DUMMYFUNCTION("""COMPUTED_VALUE"""),452518357641)</f>
        <v>452518357641</v>
      </c>
      <c r="I204" s="45">
        <f ca="1">IFERROR(__xludf.DUMMYFUNCTION("""COMPUTED_VALUE"""),19849780)</f>
        <v>19849780</v>
      </c>
      <c r="J204" s="45" t="str">
        <f ca="1">IFERROR(__xludf.DUMMYFUNCTION("""COMPUTED_VALUE"""),"LM5BL3S")</f>
        <v>LM5BL3S</v>
      </c>
      <c r="K204" s="45" t="str">
        <f ca="1">IFERROR(__xludf.DUMMYFUNCTION("""COMPUTED_VALUE"""),"LM5BL3S-070108")</f>
        <v>LM5BL3S-070108</v>
      </c>
      <c r="L204" s="45">
        <f ca="1">IFERROR(__xludf.DUMMYFUNCTION("""COMPUTED_VALUE"""),1)</f>
        <v>1</v>
      </c>
      <c r="M204" s="45">
        <f ca="1">IFERROR(__xludf.DUMMYFUNCTION("""COMPUTED_VALUE"""),32)</f>
        <v>32</v>
      </c>
      <c r="N204" s="45">
        <f ca="1">IFERROR(__xludf.DUMMYFUNCTION("""COMPUTED_VALUE"""),12.59)</f>
        <v>12.59</v>
      </c>
      <c r="O204" s="45">
        <f ca="1">IFERROR(__xludf.DUMMYFUNCTION("""COMPUTED_VALUE"""),0.083)</f>
        <v>8.3000000000000004E-2</v>
      </c>
      <c r="P204" s="45" t="str">
        <f ca="1">IFERROR(__xludf.DUMMYFUNCTION("""COMPUTED_VALUE"""),"Colombo, LK")</f>
        <v>Colombo, LK</v>
      </c>
      <c r="Q204" s="45" t="str">
        <f ca="1">IFERROR(__xludf.DUMMYFUNCTION("""COMPUTED_VALUE"""),"Rotterdam, NL")</f>
        <v>Rotterdam, NL</v>
      </c>
      <c r="R204" s="44">
        <f ca="1">IFERROR(__xludf.DUMMYFUNCTION("""COMPUTED_VALUE"""),45824)</f>
        <v>45824</v>
      </c>
      <c r="S204" s="44">
        <f ca="1">IFERROR(__xludf.DUMMYFUNCTION("""COMPUTED_VALUE"""),45878)</f>
        <v>45878</v>
      </c>
      <c r="T204" s="45" t="str">
        <f ca="1">IFERROR(__xludf.DUMMYFUNCTION("""COMPUTED_VALUE"""),"Rotterdam, NL")</f>
        <v>Rotterdam, NL</v>
      </c>
      <c r="U204" s="45"/>
      <c r="V204" s="45"/>
      <c r="W204" s="45"/>
      <c r="X204" s="45"/>
      <c r="Y204" s="46">
        <f ca="1">IFERROR(__xludf.DUMMYFUNCTION("""COMPUTED_VALUE"""),45831)</f>
        <v>45831</v>
      </c>
      <c r="Z204" s="46">
        <f ca="1">IFERROR(__xludf.DUMMYFUNCTION("""COMPUTED_VALUE"""),45852)</f>
        <v>45852</v>
      </c>
      <c r="AA204" s="46">
        <f ca="1">IFERROR(__xludf.DUMMYFUNCTION("""COMPUTED_VALUE"""),45859)</f>
        <v>45859</v>
      </c>
      <c r="AB204" s="45" t="str">
        <f ca="1">IFERROR(__xludf.DUMMYFUNCTION("""COMPUTED_VALUE"""),"Conradweg 26")</f>
        <v>Conradweg 26</v>
      </c>
      <c r="AC204" s="45"/>
      <c r="AD204" s="45" t="str">
        <f ca="1">IFERROR(__xludf.DUMMYFUNCTION("""COMPUTED_VALUE"""),"OCEAN")</f>
        <v>OCEAN</v>
      </c>
      <c r="AE204" s="45" t="str">
        <f ca="1">IFERROR(__xludf.DUMMYFUNCTION("""COMPUTED_VALUE"""),"N")</f>
        <v>N</v>
      </c>
      <c r="AF204" s="45"/>
      <c r="AG204" s="49" t="str">
        <f ca="1">IFERROR(__xludf.DUMMYFUNCTION("IFNA(vlookup(H204,IMPORTRANGE(""1vUGwO1n0QQGx9kKbO0_M5gmuhXZ6-LaxQxgrmJnzgP0"",""'TP# look up'!A:C""),3,0),"""")"),"")</f>
        <v/>
      </c>
      <c r="AH204" s="49" t="str">
        <f t="shared" ca="1" si="3"/>
        <v>LM</v>
      </c>
    </row>
    <row r="205" spans="1:34" ht="12.75" hidden="1">
      <c r="A205" s="45" t="str">
        <f ca="1">IFERROR(__xludf.DUMMYFUNCTION("""COMPUTED_VALUE"""),"Colombo")</f>
        <v>Colombo</v>
      </c>
      <c r="B205" s="45"/>
      <c r="C205" s="45">
        <f ca="1">IFERROR(__xludf.DUMMYFUNCTION("""COMPUTED_VALUE"""),3254120)</f>
        <v>3254120</v>
      </c>
      <c r="D205" s="45"/>
      <c r="E205" s="45" t="str">
        <f ca="1">IFERROR(__xludf.DUMMYFUNCTION("""COMPUTED_VALUE"""),"CFS")</f>
        <v>CFS</v>
      </c>
      <c r="F205" s="45" t="str">
        <f ca="1">IFERROR(__xludf.DUMMYFUNCTION("""COMPUTED_VALUE"""),"Inqube Global (PVT) Ltd")</f>
        <v>Inqube Global (PVT) Ltd</v>
      </c>
      <c r="G205" s="45" t="str">
        <f ca="1">IFERROR(__xludf.DUMMYFUNCTION("""COMPUTED_VALUE"""),"Brandix Apparel Solutions Limited - Minuwangoda")</f>
        <v>Brandix Apparel Solutions Limited - Minuwangoda</v>
      </c>
      <c r="H205" s="43">
        <f ca="1">IFERROR(__xludf.DUMMYFUNCTION("""COMPUTED_VALUE"""),452015706494)</f>
        <v>452015706494</v>
      </c>
      <c r="I205" s="45">
        <f ca="1">IFERROR(__xludf.DUMMYFUNCTION("""COMPUTED_VALUE"""),19854987)</f>
        <v>19854987</v>
      </c>
      <c r="J205" s="45" t="str">
        <f ca="1">IFERROR(__xludf.DUMMYFUNCTION("""COMPUTED_VALUE"""),"LW5GLNS")</f>
        <v>LW5GLNS</v>
      </c>
      <c r="K205" s="45" t="str">
        <f ca="1">IFERROR(__xludf.DUMMYFUNCTION("""COMPUTED_VALUE"""),"LW5GLNS-062214")</f>
        <v>LW5GLNS-062214</v>
      </c>
      <c r="L205" s="45">
        <f ca="1">IFERROR(__xludf.DUMMYFUNCTION("""COMPUTED_VALUE"""),3)</f>
        <v>3</v>
      </c>
      <c r="M205" s="45">
        <f ca="1">IFERROR(__xludf.DUMMYFUNCTION("""COMPUTED_VALUE"""),32)</f>
        <v>32</v>
      </c>
      <c r="N205" s="45">
        <f ca="1">IFERROR(__xludf.DUMMYFUNCTION("""COMPUTED_VALUE"""),17.9)</f>
        <v>17.899999999999999</v>
      </c>
      <c r="O205" s="45">
        <f ca="1">IFERROR(__xludf.DUMMYFUNCTION("""COMPUTED_VALUE"""),0.236)</f>
        <v>0.23599999999999999</v>
      </c>
      <c r="P205" s="45" t="str">
        <f ca="1">IFERROR(__xludf.DUMMYFUNCTION("""COMPUTED_VALUE"""),"Colombo, LK")</f>
        <v>Colombo, LK</v>
      </c>
      <c r="Q205" s="45" t="str">
        <f ca="1">IFERROR(__xludf.DUMMYFUNCTION("""COMPUTED_VALUE"""),"Rotterdam, NL")</f>
        <v>Rotterdam, NL</v>
      </c>
      <c r="R205" s="44">
        <f ca="1">IFERROR(__xludf.DUMMYFUNCTION("""COMPUTED_VALUE"""),45824)</f>
        <v>45824</v>
      </c>
      <c r="S205" s="44">
        <f ca="1">IFERROR(__xludf.DUMMYFUNCTION("""COMPUTED_VALUE"""),45878)</f>
        <v>45878</v>
      </c>
      <c r="T205" s="45" t="str">
        <f ca="1">IFERROR(__xludf.DUMMYFUNCTION("""COMPUTED_VALUE"""),"Rotterdam, NL")</f>
        <v>Rotterdam, NL</v>
      </c>
      <c r="U205" s="45"/>
      <c r="V205" s="45"/>
      <c r="W205" s="45"/>
      <c r="X205" s="45"/>
      <c r="Y205" s="46">
        <f ca="1">IFERROR(__xludf.DUMMYFUNCTION("""COMPUTED_VALUE"""),45831)</f>
        <v>45831</v>
      </c>
      <c r="Z205" s="46">
        <f ca="1">IFERROR(__xludf.DUMMYFUNCTION("""COMPUTED_VALUE"""),45852)</f>
        <v>45852</v>
      </c>
      <c r="AA205" s="46">
        <f ca="1">IFERROR(__xludf.DUMMYFUNCTION("""COMPUTED_VALUE"""),45859)</f>
        <v>45859</v>
      </c>
      <c r="AB205" s="45" t="str">
        <f ca="1">IFERROR(__xludf.DUMMYFUNCTION("""COMPUTED_VALUE"""),"Conradweg 26")</f>
        <v>Conradweg 26</v>
      </c>
      <c r="AC205" s="45"/>
      <c r="AD205" s="45" t="str">
        <f ca="1">IFERROR(__xludf.DUMMYFUNCTION("""COMPUTED_VALUE"""),"OCEAN")</f>
        <v>OCEAN</v>
      </c>
      <c r="AE205" s="45" t="str">
        <f ca="1">IFERROR(__xludf.DUMMYFUNCTION("""COMPUTED_VALUE"""),"N")</f>
        <v>N</v>
      </c>
      <c r="AF205" s="45"/>
      <c r="AG205" s="49" t="str">
        <f ca="1">IFERROR(__xludf.DUMMYFUNCTION("IFNA(vlookup(H205,IMPORTRANGE(""1vUGwO1n0QQGx9kKbO0_M5gmuhXZ6-LaxQxgrmJnzgP0"",""'TP# look up'!A:C""),3,0),"""")"),"")</f>
        <v/>
      </c>
      <c r="AH205" s="49" t="str">
        <f t="shared" ca="1" si="3"/>
        <v>LW</v>
      </c>
    </row>
    <row r="206" spans="1:34" ht="12.75">
      <c r="A206" s="45" t="str">
        <f ca="1">IFERROR(__xludf.DUMMYFUNCTION("""COMPUTED_VALUE"""),"Colombo")</f>
        <v>Colombo</v>
      </c>
      <c r="B206" s="45"/>
      <c r="C206" s="45">
        <f ca="1">IFERROR(__xludf.DUMMYFUNCTION("""COMPUTED_VALUE"""),3254120)</f>
        <v>3254120</v>
      </c>
      <c r="D206" s="45"/>
      <c r="E206" s="45" t="str">
        <f ca="1">IFERROR(__xludf.DUMMYFUNCTION("""COMPUTED_VALUE"""),"CFS")</f>
        <v>CFS</v>
      </c>
      <c r="F206" s="45" t="str">
        <f ca="1">IFERROR(__xludf.DUMMYFUNCTION("""COMPUTED_VALUE"""),"Inqube Global (PVT) Ltd")</f>
        <v>Inqube Global (PVT) Ltd</v>
      </c>
      <c r="G206" s="45" t="str">
        <f ca="1">IFERROR(__xludf.DUMMYFUNCTION("""COMPUTED_VALUE"""),"Quantum Clothing Lanka (Pvt) Ltd")</f>
        <v>Quantum Clothing Lanka (Pvt) Ltd</v>
      </c>
      <c r="H206" s="43">
        <f ca="1">IFERROR(__xludf.DUMMYFUNCTION("""COMPUTED_VALUE"""),452032527956)</f>
        <v>452032527956</v>
      </c>
      <c r="I206" s="45">
        <f ca="1">IFERROR(__xludf.DUMMYFUNCTION("""COMPUTED_VALUE"""),19727214)</f>
        <v>19727214</v>
      </c>
      <c r="J206" s="45" t="str">
        <f ca="1">IFERROR(__xludf.DUMMYFUNCTION("""COMPUTED_VALUE"""),"LW2E01S")</f>
        <v>LW2E01S</v>
      </c>
      <c r="K206" s="45" t="str">
        <f ca="1">IFERROR(__xludf.DUMMYFUNCTION("""COMPUTED_VALUE"""),"LW2E01S-031382")</f>
        <v>LW2E01S-031382</v>
      </c>
      <c r="L206" s="45">
        <f ca="1">IFERROR(__xludf.DUMMYFUNCTION("""COMPUTED_VALUE"""),65)</f>
        <v>65</v>
      </c>
      <c r="M206" s="45">
        <f ca="1">IFERROR(__xludf.DUMMYFUNCTION("""COMPUTED_VALUE"""),636)</f>
        <v>636</v>
      </c>
      <c r="N206" s="45">
        <f ca="1">IFERROR(__xludf.DUMMYFUNCTION("""COMPUTED_VALUE"""),226.036)</f>
        <v>226.036</v>
      </c>
      <c r="O206" s="45">
        <f ca="1">IFERROR(__xludf.DUMMYFUNCTION("""COMPUTED_VALUE"""),5.418)</f>
        <v>5.4180000000000001</v>
      </c>
      <c r="P206" s="45" t="str">
        <f ca="1">IFERROR(__xludf.DUMMYFUNCTION("""COMPUTED_VALUE"""),"Colombo, LK")</f>
        <v>Colombo, LK</v>
      </c>
      <c r="Q206" s="45" t="str">
        <f ca="1">IFERROR(__xludf.DUMMYFUNCTION("""COMPUTED_VALUE"""),"Rotterdam, NL")</f>
        <v>Rotterdam, NL</v>
      </c>
      <c r="R206" s="44">
        <f ca="1">IFERROR(__xludf.DUMMYFUNCTION("""COMPUTED_VALUE"""),45824)</f>
        <v>45824</v>
      </c>
      <c r="S206" s="44">
        <f ca="1">IFERROR(__xludf.DUMMYFUNCTION("""COMPUTED_VALUE"""),45878)</f>
        <v>45878</v>
      </c>
      <c r="T206" s="45" t="str">
        <f ca="1">IFERROR(__xludf.DUMMYFUNCTION("""COMPUTED_VALUE"""),"Rotterdam, NL")</f>
        <v>Rotterdam, NL</v>
      </c>
      <c r="U206" s="45"/>
      <c r="V206" s="45"/>
      <c r="W206" s="45"/>
      <c r="X206" s="45"/>
      <c r="Y206" s="46">
        <f ca="1">IFERROR(__xludf.DUMMYFUNCTION("""COMPUTED_VALUE"""),45831)</f>
        <v>45831</v>
      </c>
      <c r="Z206" s="46">
        <f ca="1">IFERROR(__xludf.DUMMYFUNCTION("""COMPUTED_VALUE"""),45852)</f>
        <v>45852</v>
      </c>
      <c r="AA206" s="46">
        <f ca="1">IFERROR(__xludf.DUMMYFUNCTION("""COMPUTED_VALUE"""),45859)</f>
        <v>45859</v>
      </c>
      <c r="AB206" s="45" t="str">
        <f ca="1">IFERROR(__xludf.DUMMYFUNCTION("""COMPUTED_VALUE"""),"Conradweg 26")</f>
        <v>Conradweg 26</v>
      </c>
      <c r="AC206" s="45"/>
      <c r="AD206" s="45" t="str">
        <f ca="1">IFERROR(__xludf.DUMMYFUNCTION("""COMPUTED_VALUE"""),"OCEAN")</f>
        <v>OCEAN</v>
      </c>
      <c r="AE206" s="45" t="str">
        <f ca="1">IFERROR(__xludf.DUMMYFUNCTION("""COMPUTED_VALUE"""),"N")</f>
        <v>N</v>
      </c>
      <c r="AF206" s="45"/>
      <c r="AG206" s="49" t="str">
        <f ca="1">IFERROR(__xludf.DUMMYFUNCTION("IFNA(vlookup(H206,IMPORTRANGE(""1vUGwO1n0QQGx9kKbO0_M5gmuhXZ6-LaxQxgrmJnzgP0"",""'TP# look up'!A:C""),3,0),"""")"),"")</f>
        <v/>
      </c>
      <c r="AH206" s="49" t="str">
        <f t="shared" ca="1" si="3"/>
        <v>LW</v>
      </c>
    </row>
    <row r="207" spans="1:34" ht="12.75">
      <c r="A207" s="45" t="str">
        <f ca="1">IFERROR(__xludf.DUMMYFUNCTION("""COMPUTED_VALUE"""),"Colombo")</f>
        <v>Colombo</v>
      </c>
      <c r="B207" s="45"/>
      <c r="C207" s="45">
        <f ca="1">IFERROR(__xludf.DUMMYFUNCTION("""COMPUTED_VALUE"""),3254120)</f>
        <v>3254120</v>
      </c>
      <c r="D207" s="45"/>
      <c r="E207" s="45" t="str">
        <f ca="1">IFERROR(__xludf.DUMMYFUNCTION("""COMPUTED_VALUE"""),"CFS")</f>
        <v>CFS</v>
      </c>
      <c r="F207" s="45" t="str">
        <f ca="1">IFERROR(__xludf.DUMMYFUNCTION("""COMPUTED_VALUE"""),"MAS AMITY PTE LTD")</f>
        <v>MAS AMITY PTE LTD</v>
      </c>
      <c r="G207" s="45" t="str">
        <f ca="1">IFERROR(__xludf.DUMMYFUNCTION("""COMPUTED_VALUE"""),"MAS Active(Pvt) Ltd – CONTOURLINE")</f>
        <v>MAS Active(Pvt) Ltd – CONTOURLINE</v>
      </c>
      <c r="H207" s="43">
        <f ca="1">IFERROR(__xludf.DUMMYFUNCTION("""COMPUTED_VALUE"""),454770290651)</f>
        <v>454770290651</v>
      </c>
      <c r="I207" s="45">
        <f ca="1">IFERROR(__xludf.DUMMYFUNCTION("""COMPUTED_VALUE"""),19925894)</f>
        <v>19925894</v>
      </c>
      <c r="J207" s="45" t="str">
        <f ca="1">IFERROR(__xludf.DUMMYFUNCTION("""COMPUTED_VALUE"""),"LW5EPSS")</f>
        <v>LW5EPSS</v>
      </c>
      <c r="K207" s="45" t="str">
        <f ca="1">IFERROR(__xludf.DUMMYFUNCTION("""COMPUTED_VALUE"""),"LW5EPSS-049106")</f>
        <v>LW5EPSS-049106</v>
      </c>
      <c r="L207" s="45">
        <f ca="1">IFERROR(__xludf.DUMMYFUNCTION("""COMPUTED_VALUE"""),4)</f>
        <v>4</v>
      </c>
      <c r="M207" s="45">
        <f ca="1">IFERROR(__xludf.DUMMYFUNCTION("""COMPUTED_VALUE"""),143)</f>
        <v>143</v>
      </c>
      <c r="N207" s="45">
        <f ca="1">IFERROR(__xludf.DUMMYFUNCTION("""COMPUTED_VALUE"""),33.539)</f>
        <v>33.539000000000001</v>
      </c>
      <c r="O207" s="45">
        <f ca="1">IFERROR(__xludf.DUMMYFUNCTION("""COMPUTED_VALUE"""),0.237)</f>
        <v>0.23699999999999999</v>
      </c>
      <c r="P207" s="45" t="str">
        <f ca="1">IFERROR(__xludf.DUMMYFUNCTION("""COMPUTED_VALUE"""),"Colombo, LK")</f>
        <v>Colombo, LK</v>
      </c>
      <c r="Q207" s="45" t="str">
        <f ca="1">IFERROR(__xludf.DUMMYFUNCTION("""COMPUTED_VALUE"""),"Rotterdam, NL")</f>
        <v>Rotterdam, NL</v>
      </c>
      <c r="R207" s="44">
        <f ca="1">IFERROR(__xludf.DUMMYFUNCTION("""COMPUTED_VALUE"""),45824)</f>
        <v>45824</v>
      </c>
      <c r="S207" s="44">
        <f ca="1">IFERROR(__xludf.DUMMYFUNCTION("""COMPUTED_VALUE"""),45878)</f>
        <v>45878</v>
      </c>
      <c r="T207" s="45" t="str">
        <f ca="1">IFERROR(__xludf.DUMMYFUNCTION("""COMPUTED_VALUE"""),"Rotterdam, NL")</f>
        <v>Rotterdam, NL</v>
      </c>
      <c r="U207" s="45"/>
      <c r="V207" s="45"/>
      <c r="W207" s="45"/>
      <c r="X207" s="45"/>
      <c r="Y207" s="46">
        <f ca="1">IFERROR(__xludf.DUMMYFUNCTION("""COMPUTED_VALUE"""),45831)</f>
        <v>45831</v>
      </c>
      <c r="Z207" s="46">
        <f ca="1">IFERROR(__xludf.DUMMYFUNCTION("""COMPUTED_VALUE"""),45852)</f>
        <v>45852</v>
      </c>
      <c r="AA207" s="46">
        <f ca="1">IFERROR(__xludf.DUMMYFUNCTION("""COMPUTED_VALUE"""),45859)</f>
        <v>45859</v>
      </c>
      <c r="AB207" s="45" t="str">
        <f ca="1">IFERROR(__xludf.DUMMYFUNCTION("""COMPUTED_VALUE"""),"Conradweg 26")</f>
        <v>Conradweg 26</v>
      </c>
      <c r="AC207" s="45"/>
      <c r="AD207" s="45" t="str">
        <f ca="1">IFERROR(__xludf.DUMMYFUNCTION("""COMPUTED_VALUE"""),"OCEAN")</f>
        <v>OCEAN</v>
      </c>
      <c r="AE207" s="45" t="str">
        <f ca="1">IFERROR(__xludf.DUMMYFUNCTION("""COMPUTED_VALUE"""),"N")</f>
        <v>N</v>
      </c>
      <c r="AF207" s="45"/>
      <c r="AG207" s="49" t="str">
        <f ca="1">IFERROR(__xludf.DUMMYFUNCTION("IFNA(vlookup(H207,IMPORTRANGE(""1vUGwO1n0QQGx9kKbO0_M5gmuhXZ6-LaxQxgrmJnzgP0"",""'TP# look up'!A:C""),3,0),"""")"),"")</f>
        <v/>
      </c>
      <c r="AH207" s="49" t="str">
        <f t="shared" ca="1" si="3"/>
        <v>LW</v>
      </c>
    </row>
    <row r="208" spans="1:34" ht="12.75">
      <c r="A208" s="45" t="str">
        <f ca="1">IFERROR(__xludf.DUMMYFUNCTION("""COMPUTED_VALUE"""),"Colombo")</f>
        <v>Colombo</v>
      </c>
      <c r="B208" s="45"/>
      <c r="C208" s="45">
        <f ca="1">IFERROR(__xludf.DUMMYFUNCTION("""COMPUTED_VALUE"""),3254120)</f>
        <v>3254120</v>
      </c>
      <c r="D208" s="45"/>
      <c r="E208" s="45" t="str">
        <f ca="1">IFERROR(__xludf.DUMMYFUNCTION("""COMPUTED_VALUE"""),"CFS")</f>
        <v>CFS</v>
      </c>
      <c r="F208" s="45" t="str">
        <f ca="1">IFERROR(__xludf.DUMMYFUNCTION("""COMPUTED_VALUE"""),"MAS AMITY PTE LTD")</f>
        <v>MAS AMITY PTE LTD</v>
      </c>
      <c r="G208" s="45" t="str">
        <f ca="1">IFERROR(__xludf.DUMMYFUNCTION("""COMPUTED_VALUE"""),"MAS Active(Pvt) Ltd – CONTOURLINE")</f>
        <v>MAS Active(Pvt) Ltd – CONTOURLINE</v>
      </c>
      <c r="H208" s="43">
        <f ca="1">IFERROR(__xludf.DUMMYFUNCTION("""COMPUTED_VALUE"""),454770290857)</f>
        <v>454770290857</v>
      </c>
      <c r="I208" s="45">
        <f ca="1">IFERROR(__xludf.DUMMYFUNCTION("""COMPUTED_VALUE"""),19939870)</f>
        <v>19939870</v>
      </c>
      <c r="J208" s="45" t="str">
        <f ca="1">IFERROR(__xludf.DUMMYFUNCTION("""COMPUTED_VALUE"""),"LW7DPES")</f>
        <v>LW7DPES</v>
      </c>
      <c r="K208" s="45" t="str">
        <f ca="1">IFERROR(__xludf.DUMMYFUNCTION("""COMPUTED_VALUE"""),"LW7DPES-049106")</f>
        <v>LW7DPES-049106</v>
      </c>
      <c r="L208" s="45">
        <f ca="1">IFERROR(__xludf.DUMMYFUNCTION("""COMPUTED_VALUE"""),1)</f>
        <v>1</v>
      </c>
      <c r="M208" s="45">
        <f ca="1">IFERROR(__xludf.DUMMYFUNCTION("""COMPUTED_VALUE"""),32)</f>
        <v>32</v>
      </c>
      <c r="N208" s="45">
        <f ca="1">IFERROR(__xludf.DUMMYFUNCTION("""COMPUTED_VALUE"""),5.461)</f>
        <v>5.4610000000000003</v>
      </c>
      <c r="O208" s="45">
        <f ca="1">IFERROR(__xludf.DUMMYFUNCTION("""COMPUTED_VALUE"""),0.039)</f>
        <v>3.9E-2</v>
      </c>
      <c r="P208" s="45" t="str">
        <f ca="1">IFERROR(__xludf.DUMMYFUNCTION("""COMPUTED_VALUE"""),"Colombo, LK")</f>
        <v>Colombo, LK</v>
      </c>
      <c r="Q208" s="45" t="str">
        <f ca="1">IFERROR(__xludf.DUMMYFUNCTION("""COMPUTED_VALUE"""),"Rotterdam, NL")</f>
        <v>Rotterdam, NL</v>
      </c>
      <c r="R208" s="44">
        <f ca="1">IFERROR(__xludf.DUMMYFUNCTION("""COMPUTED_VALUE"""),45824)</f>
        <v>45824</v>
      </c>
      <c r="S208" s="44">
        <f ca="1">IFERROR(__xludf.DUMMYFUNCTION("""COMPUTED_VALUE"""),45878)</f>
        <v>45878</v>
      </c>
      <c r="T208" s="45" t="str">
        <f ca="1">IFERROR(__xludf.DUMMYFUNCTION("""COMPUTED_VALUE"""),"Rotterdam, NL")</f>
        <v>Rotterdam, NL</v>
      </c>
      <c r="U208" s="45"/>
      <c r="V208" s="45"/>
      <c r="W208" s="45"/>
      <c r="X208" s="45"/>
      <c r="Y208" s="46">
        <f ca="1">IFERROR(__xludf.DUMMYFUNCTION("""COMPUTED_VALUE"""),45831)</f>
        <v>45831</v>
      </c>
      <c r="Z208" s="46">
        <f ca="1">IFERROR(__xludf.DUMMYFUNCTION("""COMPUTED_VALUE"""),45852)</f>
        <v>45852</v>
      </c>
      <c r="AA208" s="46">
        <f ca="1">IFERROR(__xludf.DUMMYFUNCTION("""COMPUTED_VALUE"""),45859)</f>
        <v>45859</v>
      </c>
      <c r="AB208" s="45" t="str">
        <f ca="1">IFERROR(__xludf.DUMMYFUNCTION("""COMPUTED_VALUE"""),"Conradweg 26")</f>
        <v>Conradweg 26</v>
      </c>
      <c r="AC208" s="45"/>
      <c r="AD208" s="45" t="str">
        <f ca="1">IFERROR(__xludf.DUMMYFUNCTION("""COMPUTED_VALUE"""),"OCEAN")</f>
        <v>OCEAN</v>
      </c>
      <c r="AE208" s="45" t="str">
        <f ca="1">IFERROR(__xludf.DUMMYFUNCTION("""COMPUTED_VALUE"""),"N")</f>
        <v>N</v>
      </c>
      <c r="AF208" s="45"/>
      <c r="AG208" s="49" t="str">
        <f ca="1">IFERROR(__xludf.DUMMYFUNCTION("IFNA(vlookup(H208,IMPORTRANGE(""1vUGwO1n0QQGx9kKbO0_M5gmuhXZ6-LaxQxgrmJnzgP0"",""'TP# look up'!A:C""),3,0),"""")"),"")</f>
        <v/>
      </c>
      <c r="AH208" s="49" t="str">
        <f t="shared" ca="1" si="3"/>
        <v>LW</v>
      </c>
    </row>
    <row r="209" spans="1:34" ht="12.75">
      <c r="A209" s="45" t="str">
        <f ca="1">IFERROR(__xludf.DUMMYFUNCTION("""COMPUTED_VALUE"""),"Colombo")</f>
        <v>Colombo</v>
      </c>
      <c r="B209" s="45"/>
      <c r="C209" s="45">
        <f ca="1">IFERROR(__xludf.DUMMYFUNCTION("""COMPUTED_VALUE"""),3254120)</f>
        <v>3254120</v>
      </c>
      <c r="D209" s="45"/>
      <c r="E209" s="45" t="str">
        <f ca="1">IFERROR(__xludf.DUMMYFUNCTION("""COMPUTED_VALUE"""),"CFS")</f>
        <v>CFS</v>
      </c>
      <c r="F209" s="45" t="str">
        <f ca="1">IFERROR(__xludf.DUMMYFUNCTION("""COMPUTED_VALUE"""),"MAS AMITY PTE LTD")</f>
        <v>MAS AMITY PTE LTD</v>
      </c>
      <c r="G209" s="45" t="str">
        <f ca="1">IFERROR(__xludf.DUMMYFUNCTION("""COMPUTED_VALUE"""),"MAS Active(Pvt) Ltd – CONTOURLINE")</f>
        <v>MAS Active(Pvt) Ltd – CONTOURLINE</v>
      </c>
      <c r="H209" s="43">
        <f ca="1">IFERROR(__xludf.DUMMYFUNCTION("""COMPUTED_VALUE"""),454770290915)</f>
        <v>454770290915</v>
      </c>
      <c r="I209" s="45">
        <f ca="1">IFERROR(__xludf.DUMMYFUNCTION("""COMPUTED_VALUE"""),19939871)</f>
        <v>19939871</v>
      </c>
      <c r="J209" s="45" t="str">
        <f ca="1">IFERROR(__xludf.DUMMYFUNCTION("""COMPUTED_VALUE"""),"LW2EB3S")</f>
        <v>LW2EB3S</v>
      </c>
      <c r="K209" s="45" t="str">
        <f ca="1">IFERROR(__xludf.DUMMYFUNCTION("""COMPUTED_VALUE"""),"LW2EB3S-038337")</f>
        <v>LW2EB3S-038337</v>
      </c>
      <c r="L209" s="45">
        <f ca="1">IFERROR(__xludf.DUMMYFUNCTION("""COMPUTED_VALUE"""),1)</f>
        <v>1</v>
      </c>
      <c r="M209" s="45">
        <f ca="1">IFERROR(__xludf.DUMMYFUNCTION("""COMPUTED_VALUE"""),53)</f>
        <v>53</v>
      </c>
      <c r="N209" s="45">
        <f ca="1">IFERROR(__xludf.DUMMYFUNCTION("""COMPUTED_VALUE"""),6.953)</f>
        <v>6.9530000000000003</v>
      </c>
      <c r="O209" s="45">
        <f ca="1">IFERROR(__xludf.DUMMYFUNCTION("""COMPUTED_VALUE"""),0.079)</f>
        <v>7.9000000000000001E-2</v>
      </c>
      <c r="P209" s="45" t="str">
        <f ca="1">IFERROR(__xludf.DUMMYFUNCTION("""COMPUTED_VALUE"""),"Colombo, LK")</f>
        <v>Colombo, LK</v>
      </c>
      <c r="Q209" s="45" t="str">
        <f ca="1">IFERROR(__xludf.DUMMYFUNCTION("""COMPUTED_VALUE"""),"Rotterdam, NL")</f>
        <v>Rotterdam, NL</v>
      </c>
      <c r="R209" s="44">
        <f ca="1">IFERROR(__xludf.DUMMYFUNCTION("""COMPUTED_VALUE"""),45824)</f>
        <v>45824</v>
      </c>
      <c r="S209" s="44">
        <f ca="1">IFERROR(__xludf.DUMMYFUNCTION("""COMPUTED_VALUE"""),45878)</f>
        <v>45878</v>
      </c>
      <c r="T209" s="45" t="str">
        <f ca="1">IFERROR(__xludf.DUMMYFUNCTION("""COMPUTED_VALUE"""),"Rotterdam, NL")</f>
        <v>Rotterdam, NL</v>
      </c>
      <c r="U209" s="45"/>
      <c r="V209" s="45"/>
      <c r="W209" s="45"/>
      <c r="X209" s="45"/>
      <c r="Y209" s="46">
        <f ca="1">IFERROR(__xludf.DUMMYFUNCTION("""COMPUTED_VALUE"""),45831)</f>
        <v>45831</v>
      </c>
      <c r="Z209" s="46">
        <f ca="1">IFERROR(__xludf.DUMMYFUNCTION("""COMPUTED_VALUE"""),45852)</f>
        <v>45852</v>
      </c>
      <c r="AA209" s="46">
        <f ca="1">IFERROR(__xludf.DUMMYFUNCTION("""COMPUTED_VALUE"""),45859)</f>
        <v>45859</v>
      </c>
      <c r="AB209" s="45" t="str">
        <f ca="1">IFERROR(__xludf.DUMMYFUNCTION("""COMPUTED_VALUE"""),"Conradweg 26")</f>
        <v>Conradweg 26</v>
      </c>
      <c r="AC209" s="45"/>
      <c r="AD209" s="45" t="str">
        <f ca="1">IFERROR(__xludf.DUMMYFUNCTION("""COMPUTED_VALUE"""),"OCEAN")</f>
        <v>OCEAN</v>
      </c>
      <c r="AE209" s="45" t="str">
        <f ca="1">IFERROR(__xludf.DUMMYFUNCTION("""COMPUTED_VALUE"""),"N")</f>
        <v>N</v>
      </c>
      <c r="AF209" s="45"/>
      <c r="AG209" s="49" t="str">
        <f ca="1">IFERROR(__xludf.DUMMYFUNCTION("IFNA(vlookup(H209,IMPORTRANGE(""1vUGwO1n0QQGx9kKbO0_M5gmuhXZ6-LaxQxgrmJnzgP0"",""'TP# look up'!A:C""),3,0),"""")"),"")</f>
        <v/>
      </c>
      <c r="AH209" s="49" t="str">
        <f t="shared" ca="1" si="3"/>
        <v>LW</v>
      </c>
    </row>
    <row r="210" spans="1:34" ht="12.75">
      <c r="A210" s="45" t="str">
        <f ca="1">IFERROR(__xludf.DUMMYFUNCTION("""COMPUTED_VALUE"""),"Colombo")</f>
        <v>Colombo</v>
      </c>
      <c r="B210" s="45"/>
      <c r="C210" s="45">
        <f ca="1">IFERROR(__xludf.DUMMYFUNCTION("""COMPUTED_VALUE"""),3254120)</f>
        <v>3254120</v>
      </c>
      <c r="D210" s="45"/>
      <c r="E210" s="45" t="str">
        <f ca="1">IFERROR(__xludf.DUMMYFUNCTION("""COMPUTED_VALUE"""),"CFS")</f>
        <v>CFS</v>
      </c>
      <c r="F210" s="45" t="str">
        <f ca="1">IFERROR(__xludf.DUMMYFUNCTION("""COMPUTED_VALUE"""),"MAS AMITY PTE LTD")</f>
        <v>MAS AMITY PTE LTD</v>
      </c>
      <c r="G210" s="45" t="str">
        <f ca="1">IFERROR(__xludf.DUMMYFUNCTION("""COMPUTED_VALUE"""),"MAS Active(Pvt) Ltd – CONTOURLINE")</f>
        <v>MAS Active(Pvt) Ltd – CONTOURLINE</v>
      </c>
      <c r="H210" s="43">
        <f ca="1">IFERROR(__xludf.DUMMYFUNCTION("""COMPUTED_VALUE"""),454772994775)</f>
        <v>454772994775</v>
      </c>
      <c r="I210" s="45">
        <f ca="1">IFERROR(__xludf.DUMMYFUNCTION("""COMPUTED_VALUE"""),19926259)</f>
        <v>19926259</v>
      </c>
      <c r="J210" s="45" t="str">
        <f ca="1">IFERROR(__xludf.DUMMYFUNCTION("""COMPUTED_VALUE"""),"LW2EB3S")</f>
        <v>LW2EB3S</v>
      </c>
      <c r="K210" s="45" t="str">
        <f ca="1">IFERROR(__xludf.DUMMYFUNCTION("""COMPUTED_VALUE"""),"LW2EB3S-071200")</f>
        <v>LW2EB3S-071200</v>
      </c>
      <c r="L210" s="45">
        <f ca="1">IFERROR(__xludf.DUMMYFUNCTION("""COMPUTED_VALUE"""),5)</f>
        <v>5</v>
      </c>
      <c r="M210" s="45">
        <f ca="1">IFERROR(__xludf.DUMMYFUNCTION("""COMPUTED_VALUE"""),399)</f>
        <v>399</v>
      </c>
      <c r="N210" s="45">
        <f ca="1">IFERROR(__xludf.DUMMYFUNCTION("""COMPUTED_VALUE"""),49.519)</f>
        <v>49.518999999999998</v>
      </c>
      <c r="O210" s="45">
        <f ca="1">IFERROR(__xludf.DUMMYFUNCTION("""COMPUTED_VALUE"""),0.395)</f>
        <v>0.39500000000000002</v>
      </c>
      <c r="P210" s="45" t="str">
        <f ca="1">IFERROR(__xludf.DUMMYFUNCTION("""COMPUTED_VALUE"""),"Colombo, LK")</f>
        <v>Colombo, LK</v>
      </c>
      <c r="Q210" s="45" t="str">
        <f ca="1">IFERROR(__xludf.DUMMYFUNCTION("""COMPUTED_VALUE"""),"Rotterdam, NL")</f>
        <v>Rotterdam, NL</v>
      </c>
      <c r="R210" s="44">
        <f ca="1">IFERROR(__xludf.DUMMYFUNCTION("""COMPUTED_VALUE"""),45824)</f>
        <v>45824</v>
      </c>
      <c r="S210" s="44">
        <f ca="1">IFERROR(__xludf.DUMMYFUNCTION("""COMPUTED_VALUE"""),45878)</f>
        <v>45878</v>
      </c>
      <c r="T210" s="45" t="str">
        <f ca="1">IFERROR(__xludf.DUMMYFUNCTION("""COMPUTED_VALUE"""),"Rotterdam, NL")</f>
        <v>Rotterdam, NL</v>
      </c>
      <c r="U210" s="45"/>
      <c r="V210" s="45"/>
      <c r="W210" s="45"/>
      <c r="X210" s="45"/>
      <c r="Y210" s="46">
        <f ca="1">IFERROR(__xludf.DUMMYFUNCTION("""COMPUTED_VALUE"""),45831)</f>
        <v>45831</v>
      </c>
      <c r="Z210" s="46">
        <f ca="1">IFERROR(__xludf.DUMMYFUNCTION("""COMPUTED_VALUE"""),45852)</f>
        <v>45852</v>
      </c>
      <c r="AA210" s="46">
        <f ca="1">IFERROR(__xludf.DUMMYFUNCTION("""COMPUTED_VALUE"""),45859)</f>
        <v>45859</v>
      </c>
      <c r="AB210" s="45" t="str">
        <f ca="1">IFERROR(__xludf.DUMMYFUNCTION("""COMPUTED_VALUE"""),"Conradweg 26")</f>
        <v>Conradweg 26</v>
      </c>
      <c r="AC210" s="45"/>
      <c r="AD210" s="45" t="str">
        <f ca="1">IFERROR(__xludf.DUMMYFUNCTION("""COMPUTED_VALUE"""),"OCEAN")</f>
        <v>OCEAN</v>
      </c>
      <c r="AE210" s="45" t="str">
        <f ca="1">IFERROR(__xludf.DUMMYFUNCTION("""COMPUTED_VALUE"""),"N")</f>
        <v>N</v>
      </c>
      <c r="AF210" s="45"/>
      <c r="AG210" s="49" t="str">
        <f ca="1">IFERROR(__xludf.DUMMYFUNCTION("IFNA(vlookup(H210,IMPORTRANGE(""1vUGwO1n0QQGx9kKbO0_M5gmuhXZ6-LaxQxgrmJnzgP0"",""'TP# look up'!A:C""),3,0),"""")"),"")</f>
        <v/>
      </c>
      <c r="AH210" s="49" t="str">
        <f t="shared" ca="1" si="3"/>
        <v>LW</v>
      </c>
    </row>
    <row r="211" spans="1:34" ht="12.75">
      <c r="A211" s="45" t="str">
        <f ca="1">IFERROR(__xludf.DUMMYFUNCTION("""COMPUTED_VALUE"""),"Colombo")</f>
        <v>Colombo</v>
      </c>
      <c r="B211" s="45"/>
      <c r="C211" s="45">
        <f ca="1">IFERROR(__xludf.DUMMYFUNCTION("""COMPUTED_VALUE"""),3254120)</f>
        <v>3254120</v>
      </c>
      <c r="D211" s="45"/>
      <c r="E211" s="45" t="str">
        <f ca="1">IFERROR(__xludf.DUMMYFUNCTION("""COMPUTED_VALUE"""),"CFS")</f>
        <v>CFS</v>
      </c>
      <c r="F211" s="45" t="str">
        <f ca="1">IFERROR(__xludf.DUMMYFUNCTION("""COMPUTED_VALUE"""),"MAS AMITY PTE LTD")</f>
        <v>MAS AMITY PTE LTD</v>
      </c>
      <c r="G211" s="45" t="str">
        <f ca="1">IFERROR(__xludf.DUMMYFUNCTION("""COMPUTED_VALUE"""),"MAS Active(Pvt) Ltd – CONTOURLINE")</f>
        <v>MAS Active(Pvt) Ltd – CONTOURLINE</v>
      </c>
      <c r="H211" s="43">
        <f ca="1">IFERROR(__xludf.DUMMYFUNCTION("""COMPUTED_VALUE"""),454773466988)</f>
        <v>454773466988</v>
      </c>
      <c r="I211" s="45">
        <f ca="1">IFERROR(__xludf.DUMMYFUNCTION("""COMPUTED_VALUE"""),19920958)</f>
        <v>19920958</v>
      </c>
      <c r="J211" s="45" t="str">
        <f ca="1">IFERROR(__xludf.DUMMYFUNCTION("""COMPUTED_VALUE"""),"LW5EYKS")</f>
        <v>LW5EYKS</v>
      </c>
      <c r="K211" s="45" t="str">
        <f ca="1">IFERROR(__xludf.DUMMYFUNCTION("""COMPUTED_VALUE"""),"LW5EYKS-043635")</f>
        <v>LW5EYKS-043635</v>
      </c>
      <c r="L211" s="45">
        <f ca="1">IFERROR(__xludf.DUMMYFUNCTION("""COMPUTED_VALUE"""),1)</f>
        <v>1</v>
      </c>
      <c r="M211" s="45">
        <f ca="1">IFERROR(__xludf.DUMMYFUNCTION("""COMPUTED_VALUE"""),44)</f>
        <v>44</v>
      </c>
      <c r="N211" s="45">
        <f ca="1">IFERROR(__xludf.DUMMYFUNCTION("""COMPUTED_VALUE"""),10.491)</f>
        <v>10.491</v>
      </c>
      <c r="O211" s="45">
        <f ca="1">IFERROR(__xludf.DUMMYFUNCTION("""COMPUTED_VALUE"""),0.079)</f>
        <v>7.9000000000000001E-2</v>
      </c>
      <c r="P211" s="45" t="str">
        <f ca="1">IFERROR(__xludf.DUMMYFUNCTION("""COMPUTED_VALUE"""),"Colombo, LK")</f>
        <v>Colombo, LK</v>
      </c>
      <c r="Q211" s="45" t="str">
        <f ca="1">IFERROR(__xludf.DUMMYFUNCTION("""COMPUTED_VALUE"""),"Rotterdam, NL")</f>
        <v>Rotterdam, NL</v>
      </c>
      <c r="R211" s="44">
        <f ca="1">IFERROR(__xludf.DUMMYFUNCTION("""COMPUTED_VALUE"""),45824)</f>
        <v>45824</v>
      </c>
      <c r="S211" s="44">
        <f ca="1">IFERROR(__xludf.DUMMYFUNCTION("""COMPUTED_VALUE"""),45878)</f>
        <v>45878</v>
      </c>
      <c r="T211" s="45" t="str">
        <f ca="1">IFERROR(__xludf.DUMMYFUNCTION("""COMPUTED_VALUE"""),"Rotterdam, NL")</f>
        <v>Rotterdam, NL</v>
      </c>
      <c r="U211" s="45"/>
      <c r="V211" s="45"/>
      <c r="W211" s="45"/>
      <c r="X211" s="45"/>
      <c r="Y211" s="46">
        <f ca="1">IFERROR(__xludf.DUMMYFUNCTION("""COMPUTED_VALUE"""),45831)</f>
        <v>45831</v>
      </c>
      <c r="Z211" s="46">
        <f ca="1">IFERROR(__xludf.DUMMYFUNCTION("""COMPUTED_VALUE"""),45852)</f>
        <v>45852</v>
      </c>
      <c r="AA211" s="46">
        <f ca="1">IFERROR(__xludf.DUMMYFUNCTION("""COMPUTED_VALUE"""),45859)</f>
        <v>45859</v>
      </c>
      <c r="AB211" s="45" t="str">
        <f ca="1">IFERROR(__xludf.DUMMYFUNCTION("""COMPUTED_VALUE"""),"Conradweg 26")</f>
        <v>Conradweg 26</v>
      </c>
      <c r="AC211" s="45"/>
      <c r="AD211" s="45" t="str">
        <f ca="1">IFERROR(__xludf.DUMMYFUNCTION("""COMPUTED_VALUE"""),"OCEAN")</f>
        <v>OCEAN</v>
      </c>
      <c r="AE211" s="45" t="str">
        <f ca="1">IFERROR(__xludf.DUMMYFUNCTION("""COMPUTED_VALUE"""),"N")</f>
        <v>N</v>
      </c>
      <c r="AF211" s="45"/>
      <c r="AG211" s="49" t="str">
        <f ca="1">IFERROR(__xludf.DUMMYFUNCTION("IFNA(vlookup(H211,IMPORTRANGE(""1vUGwO1n0QQGx9kKbO0_M5gmuhXZ6-LaxQxgrmJnzgP0"",""'TP# look up'!A:C""),3,0),"""")"),"")</f>
        <v/>
      </c>
      <c r="AH211" s="49" t="str">
        <f t="shared" ca="1" si="3"/>
        <v>LW</v>
      </c>
    </row>
    <row r="212" spans="1:34" ht="12.75">
      <c r="A212" s="45" t="str">
        <f ca="1">IFERROR(__xludf.DUMMYFUNCTION("""COMPUTED_VALUE"""),"Colombo")</f>
        <v>Colombo</v>
      </c>
      <c r="B212" s="45"/>
      <c r="C212" s="45">
        <f ca="1">IFERROR(__xludf.DUMMYFUNCTION("""COMPUTED_VALUE"""),3254120)</f>
        <v>3254120</v>
      </c>
      <c r="D212" s="45"/>
      <c r="E212" s="45" t="str">
        <f ca="1">IFERROR(__xludf.DUMMYFUNCTION("""COMPUTED_VALUE"""),"CFS")</f>
        <v>CFS</v>
      </c>
      <c r="F212" s="45" t="str">
        <f ca="1">IFERROR(__xludf.DUMMYFUNCTION("""COMPUTED_VALUE"""),"MAS AMITY PTE LTD")</f>
        <v>MAS AMITY PTE LTD</v>
      </c>
      <c r="G212" s="45" t="str">
        <f ca="1">IFERROR(__xludf.DUMMYFUNCTION("""COMPUTED_VALUE"""),"MAS Active(Pvt) Ltd – CONTOURLINE")</f>
        <v>MAS Active(Pvt) Ltd – CONTOURLINE</v>
      </c>
      <c r="H212" s="43">
        <f ca="1">IFERROR(__xludf.DUMMYFUNCTION("""COMPUTED_VALUE"""),454773467131)</f>
        <v>454773467131</v>
      </c>
      <c r="I212" s="45">
        <f ca="1">IFERROR(__xludf.DUMMYFUNCTION("""COMPUTED_VALUE"""),19920972)</f>
        <v>19920972</v>
      </c>
      <c r="J212" s="45" t="str">
        <f ca="1">IFERROR(__xludf.DUMMYFUNCTION("""COMPUTED_VALUE"""),"LW5FARS")</f>
        <v>LW5FARS</v>
      </c>
      <c r="K212" s="45" t="str">
        <f ca="1">IFERROR(__xludf.DUMMYFUNCTION("""COMPUTED_VALUE"""),"LW5FARS-031382")</f>
        <v>LW5FARS-031382</v>
      </c>
      <c r="L212" s="45">
        <f ca="1">IFERROR(__xludf.DUMMYFUNCTION("""COMPUTED_VALUE"""),3)</f>
        <v>3</v>
      </c>
      <c r="M212" s="45">
        <f ca="1">IFERROR(__xludf.DUMMYFUNCTION("""COMPUTED_VALUE"""),134)</f>
        <v>134</v>
      </c>
      <c r="N212" s="45">
        <f ca="1">IFERROR(__xludf.DUMMYFUNCTION("""COMPUTED_VALUE"""),28.79)</f>
        <v>28.79</v>
      </c>
      <c r="O212" s="45">
        <f ca="1">IFERROR(__xludf.DUMMYFUNCTION("""COMPUTED_VALUE"""),0.197)</f>
        <v>0.19700000000000001</v>
      </c>
      <c r="P212" s="45" t="str">
        <f ca="1">IFERROR(__xludf.DUMMYFUNCTION("""COMPUTED_VALUE"""),"Colombo, LK")</f>
        <v>Colombo, LK</v>
      </c>
      <c r="Q212" s="45" t="str">
        <f ca="1">IFERROR(__xludf.DUMMYFUNCTION("""COMPUTED_VALUE"""),"Rotterdam, NL")</f>
        <v>Rotterdam, NL</v>
      </c>
      <c r="R212" s="44">
        <f ca="1">IFERROR(__xludf.DUMMYFUNCTION("""COMPUTED_VALUE"""),45824)</f>
        <v>45824</v>
      </c>
      <c r="S212" s="44">
        <f ca="1">IFERROR(__xludf.DUMMYFUNCTION("""COMPUTED_VALUE"""),45878)</f>
        <v>45878</v>
      </c>
      <c r="T212" s="45" t="str">
        <f ca="1">IFERROR(__xludf.DUMMYFUNCTION("""COMPUTED_VALUE"""),"Rotterdam, NL")</f>
        <v>Rotterdam, NL</v>
      </c>
      <c r="U212" s="45"/>
      <c r="V212" s="45"/>
      <c r="W212" s="45"/>
      <c r="X212" s="45"/>
      <c r="Y212" s="46">
        <f ca="1">IFERROR(__xludf.DUMMYFUNCTION("""COMPUTED_VALUE"""),45831)</f>
        <v>45831</v>
      </c>
      <c r="Z212" s="46">
        <f ca="1">IFERROR(__xludf.DUMMYFUNCTION("""COMPUTED_VALUE"""),45852)</f>
        <v>45852</v>
      </c>
      <c r="AA212" s="46">
        <f ca="1">IFERROR(__xludf.DUMMYFUNCTION("""COMPUTED_VALUE"""),45859)</f>
        <v>45859</v>
      </c>
      <c r="AB212" s="45" t="str">
        <f ca="1">IFERROR(__xludf.DUMMYFUNCTION("""COMPUTED_VALUE"""),"Conradweg 26")</f>
        <v>Conradweg 26</v>
      </c>
      <c r="AC212" s="45"/>
      <c r="AD212" s="45" t="str">
        <f ca="1">IFERROR(__xludf.DUMMYFUNCTION("""COMPUTED_VALUE"""),"OCEAN")</f>
        <v>OCEAN</v>
      </c>
      <c r="AE212" s="45" t="str">
        <f ca="1">IFERROR(__xludf.DUMMYFUNCTION("""COMPUTED_VALUE"""),"N")</f>
        <v>N</v>
      </c>
      <c r="AF212" s="45"/>
      <c r="AG212" s="49" t="str">
        <f ca="1">IFERROR(__xludf.DUMMYFUNCTION("IFNA(vlookup(H212,IMPORTRANGE(""1vUGwO1n0QQGx9kKbO0_M5gmuhXZ6-LaxQxgrmJnzgP0"",""'TP# look up'!A:C""),3,0),"""")"),"")</f>
        <v/>
      </c>
      <c r="AH212" s="49" t="str">
        <f t="shared" ca="1" si="3"/>
        <v>LW</v>
      </c>
    </row>
    <row r="213" spans="1:34" ht="12.75">
      <c r="A213" s="45" t="str">
        <f ca="1">IFERROR(__xludf.DUMMYFUNCTION("""COMPUTED_VALUE"""),"Colombo")</f>
        <v>Colombo</v>
      </c>
      <c r="B213" s="45"/>
      <c r="C213" s="45">
        <f ca="1">IFERROR(__xludf.DUMMYFUNCTION("""COMPUTED_VALUE"""),3254120)</f>
        <v>3254120</v>
      </c>
      <c r="D213" s="45"/>
      <c r="E213" s="45" t="str">
        <f ca="1">IFERROR(__xludf.DUMMYFUNCTION("""COMPUTED_VALUE"""),"CFS")</f>
        <v>CFS</v>
      </c>
      <c r="F213" s="45" t="str">
        <f ca="1">IFERROR(__xludf.DUMMYFUNCTION("""COMPUTED_VALUE"""),"MAS AMITY PTE LTD")</f>
        <v>MAS AMITY PTE LTD</v>
      </c>
      <c r="G213" s="45" t="str">
        <f ca="1">IFERROR(__xludf.DUMMYFUNCTION("""COMPUTED_VALUE"""),"MAS Active(Pvt) Ltd – CONTOURLINE")</f>
        <v>MAS Active(Pvt) Ltd – CONTOURLINE</v>
      </c>
      <c r="H213" s="43">
        <f ca="1">IFERROR(__xludf.DUMMYFUNCTION("""COMPUTED_VALUE"""),454773467698)</f>
        <v>454773467698</v>
      </c>
      <c r="I213" s="45">
        <f ca="1">IFERROR(__xludf.DUMMYFUNCTION("""COMPUTED_VALUE"""),19939856)</f>
        <v>19939856</v>
      </c>
      <c r="J213" s="45" t="str">
        <f ca="1">IFERROR(__xludf.DUMMYFUNCTION("""COMPUTED_VALUE"""),"LW1DRNS")</f>
        <v>LW1DRNS</v>
      </c>
      <c r="K213" s="45" t="str">
        <f ca="1">IFERROR(__xludf.DUMMYFUNCTION("""COMPUTED_VALUE"""),"LW1DRNS-038337")</f>
        <v>LW1DRNS-038337</v>
      </c>
      <c r="L213" s="45">
        <f ca="1">IFERROR(__xludf.DUMMYFUNCTION("""COMPUTED_VALUE"""),1)</f>
        <v>1</v>
      </c>
      <c r="M213" s="45">
        <f ca="1">IFERROR(__xludf.DUMMYFUNCTION("""COMPUTED_VALUE"""),34)</f>
        <v>34</v>
      </c>
      <c r="N213" s="45">
        <f ca="1">IFERROR(__xludf.DUMMYFUNCTION("""COMPUTED_VALUE"""),4.555)</f>
        <v>4.5549999999999997</v>
      </c>
      <c r="O213" s="45">
        <f ca="1">IFERROR(__xludf.DUMMYFUNCTION("""COMPUTED_VALUE"""),0.039)</f>
        <v>3.9E-2</v>
      </c>
      <c r="P213" s="45" t="str">
        <f ca="1">IFERROR(__xludf.DUMMYFUNCTION("""COMPUTED_VALUE"""),"Colombo, LK")</f>
        <v>Colombo, LK</v>
      </c>
      <c r="Q213" s="45" t="str">
        <f ca="1">IFERROR(__xludf.DUMMYFUNCTION("""COMPUTED_VALUE"""),"Rotterdam, NL")</f>
        <v>Rotterdam, NL</v>
      </c>
      <c r="R213" s="44">
        <f ca="1">IFERROR(__xludf.DUMMYFUNCTION("""COMPUTED_VALUE"""),45824)</f>
        <v>45824</v>
      </c>
      <c r="S213" s="44">
        <f ca="1">IFERROR(__xludf.DUMMYFUNCTION("""COMPUTED_VALUE"""),45878)</f>
        <v>45878</v>
      </c>
      <c r="T213" s="45" t="str">
        <f ca="1">IFERROR(__xludf.DUMMYFUNCTION("""COMPUTED_VALUE"""),"Rotterdam, NL")</f>
        <v>Rotterdam, NL</v>
      </c>
      <c r="U213" s="45"/>
      <c r="V213" s="45"/>
      <c r="W213" s="45"/>
      <c r="X213" s="45"/>
      <c r="Y213" s="46">
        <f ca="1">IFERROR(__xludf.DUMMYFUNCTION("""COMPUTED_VALUE"""),45831)</f>
        <v>45831</v>
      </c>
      <c r="Z213" s="46">
        <f ca="1">IFERROR(__xludf.DUMMYFUNCTION("""COMPUTED_VALUE"""),45852)</f>
        <v>45852</v>
      </c>
      <c r="AA213" s="46">
        <f ca="1">IFERROR(__xludf.DUMMYFUNCTION("""COMPUTED_VALUE"""),45859)</f>
        <v>45859</v>
      </c>
      <c r="AB213" s="45" t="str">
        <f ca="1">IFERROR(__xludf.DUMMYFUNCTION("""COMPUTED_VALUE"""),"Conradweg 26")</f>
        <v>Conradweg 26</v>
      </c>
      <c r="AC213" s="45"/>
      <c r="AD213" s="45" t="str">
        <f ca="1">IFERROR(__xludf.DUMMYFUNCTION("""COMPUTED_VALUE"""),"OCEAN")</f>
        <v>OCEAN</v>
      </c>
      <c r="AE213" s="45" t="str">
        <f ca="1">IFERROR(__xludf.DUMMYFUNCTION("""COMPUTED_VALUE"""),"N")</f>
        <v>N</v>
      </c>
      <c r="AF213" s="45"/>
      <c r="AG213" s="49" t="str">
        <f ca="1">IFERROR(__xludf.DUMMYFUNCTION("IFNA(vlookup(H213,IMPORTRANGE(""1vUGwO1n0QQGx9kKbO0_M5gmuhXZ6-LaxQxgrmJnzgP0"",""'TP# look up'!A:C""),3,0),"""")"),"")</f>
        <v/>
      </c>
      <c r="AH213" s="49" t="str">
        <f t="shared" ca="1" si="3"/>
        <v>LW</v>
      </c>
    </row>
    <row r="214" spans="1:34" ht="12.75">
      <c r="A214" s="45" t="str">
        <f ca="1">IFERROR(__xludf.DUMMYFUNCTION("""COMPUTED_VALUE"""),"Colombo")</f>
        <v>Colombo</v>
      </c>
      <c r="B214" s="45"/>
      <c r="C214" s="45">
        <f ca="1">IFERROR(__xludf.DUMMYFUNCTION("""COMPUTED_VALUE"""),3254120)</f>
        <v>3254120</v>
      </c>
      <c r="D214" s="45"/>
      <c r="E214" s="45" t="str">
        <f ca="1">IFERROR(__xludf.DUMMYFUNCTION("""COMPUTED_VALUE"""),"CFS")</f>
        <v>CFS</v>
      </c>
      <c r="F214" s="45" t="str">
        <f ca="1">IFERROR(__xludf.DUMMYFUNCTION("""COMPUTED_VALUE"""),"MAS AMITY PTE LTD")</f>
        <v>MAS AMITY PTE LTD</v>
      </c>
      <c r="G214" s="45" t="str">
        <f ca="1">IFERROR(__xludf.DUMMYFUNCTION("""COMPUTED_VALUE"""),"MAS Active(Pvt) Ltd – CONTOURLINE")</f>
        <v>MAS Active(Pvt) Ltd – CONTOURLINE</v>
      </c>
      <c r="H214" s="43">
        <f ca="1">IFERROR(__xludf.DUMMYFUNCTION("""COMPUTED_VALUE"""),454774400782)</f>
        <v>454774400782</v>
      </c>
      <c r="I214" s="45">
        <f ca="1">IFERROR(__xludf.DUMMYFUNCTION("""COMPUTED_VALUE"""),19920956)</f>
        <v>19920956</v>
      </c>
      <c r="J214" s="45" t="str">
        <f ca="1">IFERROR(__xludf.DUMMYFUNCTION("""COMPUTED_VALUE"""),"LW5EYKS")</f>
        <v>LW5EYKS</v>
      </c>
      <c r="K214" s="45" t="str">
        <f ca="1">IFERROR(__xludf.DUMMYFUNCTION("""COMPUTED_VALUE"""),"LW5EYKS-043635")</f>
        <v>LW5EYKS-043635</v>
      </c>
      <c r="L214" s="45">
        <f ca="1">IFERROR(__xludf.DUMMYFUNCTION("""COMPUTED_VALUE"""),7)</f>
        <v>7</v>
      </c>
      <c r="M214" s="45">
        <f ca="1">IFERROR(__xludf.DUMMYFUNCTION("""COMPUTED_VALUE"""),315)</f>
        <v>315</v>
      </c>
      <c r="N214" s="45">
        <f ca="1">IFERROR(__xludf.DUMMYFUNCTION("""COMPUTED_VALUE"""),73.433)</f>
        <v>73.433000000000007</v>
      </c>
      <c r="O214" s="45">
        <f ca="1">IFERROR(__xludf.DUMMYFUNCTION("""COMPUTED_VALUE"""),0.434)</f>
        <v>0.434</v>
      </c>
      <c r="P214" s="45" t="str">
        <f ca="1">IFERROR(__xludf.DUMMYFUNCTION("""COMPUTED_VALUE"""),"Colombo, LK")</f>
        <v>Colombo, LK</v>
      </c>
      <c r="Q214" s="45" t="str">
        <f ca="1">IFERROR(__xludf.DUMMYFUNCTION("""COMPUTED_VALUE"""),"Rotterdam, NL")</f>
        <v>Rotterdam, NL</v>
      </c>
      <c r="R214" s="44">
        <f ca="1">IFERROR(__xludf.DUMMYFUNCTION("""COMPUTED_VALUE"""),45824)</f>
        <v>45824</v>
      </c>
      <c r="S214" s="44">
        <f ca="1">IFERROR(__xludf.DUMMYFUNCTION("""COMPUTED_VALUE"""),45878)</f>
        <v>45878</v>
      </c>
      <c r="T214" s="45" t="str">
        <f ca="1">IFERROR(__xludf.DUMMYFUNCTION("""COMPUTED_VALUE"""),"Rotterdam, NL")</f>
        <v>Rotterdam, NL</v>
      </c>
      <c r="U214" s="45"/>
      <c r="V214" s="45"/>
      <c r="W214" s="45"/>
      <c r="X214" s="45"/>
      <c r="Y214" s="46">
        <f ca="1">IFERROR(__xludf.DUMMYFUNCTION("""COMPUTED_VALUE"""),45831)</f>
        <v>45831</v>
      </c>
      <c r="Z214" s="46">
        <f ca="1">IFERROR(__xludf.DUMMYFUNCTION("""COMPUTED_VALUE"""),45852)</f>
        <v>45852</v>
      </c>
      <c r="AA214" s="46">
        <f ca="1">IFERROR(__xludf.DUMMYFUNCTION("""COMPUTED_VALUE"""),45859)</f>
        <v>45859</v>
      </c>
      <c r="AB214" s="45" t="str">
        <f ca="1">IFERROR(__xludf.DUMMYFUNCTION("""COMPUTED_VALUE"""),"Conradweg 26")</f>
        <v>Conradweg 26</v>
      </c>
      <c r="AC214" s="45"/>
      <c r="AD214" s="45" t="str">
        <f ca="1">IFERROR(__xludf.DUMMYFUNCTION("""COMPUTED_VALUE"""),"OCEAN")</f>
        <v>OCEAN</v>
      </c>
      <c r="AE214" s="45" t="str">
        <f ca="1">IFERROR(__xludf.DUMMYFUNCTION("""COMPUTED_VALUE"""),"N")</f>
        <v>N</v>
      </c>
      <c r="AF214" s="45"/>
      <c r="AG214" s="49" t="str">
        <f ca="1">IFERROR(__xludf.DUMMYFUNCTION("IFNA(vlookup(H214,IMPORTRANGE(""1vUGwO1n0QQGx9kKbO0_M5gmuhXZ6-LaxQxgrmJnzgP0"",""'TP# look up'!A:C""),3,0),"""")"),"")</f>
        <v/>
      </c>
      <c r="AH214" s="49" t="str">
        <f t="shared" ca="1" si="3"/>
        <v>LW</v>
      </c>
    </row>
    <row r="215" spans="1:34" ht="12.75">
      <c r="A215" s="45" t="str">
        <f ca="1">IFERROR(__xludf.DUMMYFUNCTION("""COMPUTED_VALUE"""),"Colombo")</f>
        <v>Colombo</v>
      </c>
      <c r="B215" s="45"/>
      <c r="C215" s="45">
        <f ca="1">IFERROR(__xludf.DUMMYFUNCTION("""COMPUTED_VALUE"""),3254120)</f>
        <v>3254120</v>
      </c>
      <c r="D215" s="45"/>
      <c r="E215" s="45" t="str">
        <f ca="1">IFERROR(__xludf.DUMMYFUNCTION("""COMPUTED_VALUE"""),"CFS")</f>
        <v>CFS</v>
      </c>
      <c r="F215" s="45" t="str">
        <f ca="1">IFERROR(__xludf.DUMMYFUNCTION("""COMPUTED_VALUE"""),"MAS AMITY PTE LTD")</f>
        <v>MAS AMITY PTE LTD</v>
      </c>
      <c r="G215" s="45" t="str">
        <f ca="1">IFERROR(__xludf.DUMMYFUNCTION("""COMPUTED_VALUE"""),"MAS Active(Pvt) Ltd – CONTOURLINE")</f>
        <v>MAS Active(Pvt) Ltd – CONTOURLINE</v>
      </c>
      <c r="H215" s="43">
        <f ca="1">IFERROR(__xludf.DUMMYFUNCTION("""COMPUTED_VALUE"""),454774401107)</f>
        <v>454774401107</v>
      </c>
      <c r="I215" s="45">
        <f ca="1">IFERROR(__xludf.DUMMYFUNCTION("""COMPUTED_VALUE"""),19921004)</f>
        <v>19921004</v>
      </c>
      <c r="J215" s="45" t="str">
        <f ca="1">IFERROR(__xludf.DUMMYFUNCTION("""COMPUTED_VALUE"""),"LW6CLQS")</f>
        <v>LW6CLQS</v>
      </c>
      <c r="K215" s="45" t="str">
        <f ca="1">IFERROR(__xludf.DUMMYFUNCTION("""COMPUTED_VALUE"""),"LW6CLQS-049106")</f>
        <v>LW6CLQS-049106</v>
      </c>
      <c r="L215" s="45">
        <f ca="1">IFERROR(__xludf.DUMMYFUNCTION("""COMPUTED_VALUE"""),1)</f>
        <v>1</v>
      </c>
      <c r="M215" s="45">
        <f ca="1">IFERROR(__xludf.DUMMYFUNCTION("""COMPUTED_VALUE"""),58)</f>
        <v>58</v>
      </c>
      <c r="N215" s="45">
        <f ca="1">IFERROR(__xludf.DUMMYFUNCTION("""COMPUTED_VALUE"""),12.78)</f>
        <v>12.78</v>
      </c>
      <c r="O215" s="45">
        <f ca="1">IFERROR(__xludf.DUMMYFUNCTION("""COMPUTED_VALUE"""),0.079)</f>
        <v>7.9000000000000001E-2</v>
      </c>
      <c r="P215" s="45" t="str">
        <f ca="1">IFERROR(__xludf.DUMMYFUNCTION("""COMPUTED_VALUE"""),"Colombo, LK")</f>
        <v>Colombo, LK</v>
      </c>
      <c r="Q215" s="45" t="str">
        <f ca="1">IFERROR(__xludf.DUMMYFUNCTION("""COMPUTED_VALUE"""),"Rotterdam, NL")</f>
        <v>Rotterdam, NL</v>
      </c>
      <c r="R215" s="44">
        <f ca="1">IFERROR(__xludf.DUMMYFUNCTION("""COMPUTED_VALUE"""),45824)</f>
        <v>45824</v>
      </c>
      <c r="S215" s="44">
        <f ca="1">IFERROR(__xludf.DUMMYFUNCTION("""COMPUTED_VALUE"""),45878)</f>
        <v>45878</v>
      </c>
      <c r="T215" s="45" t="str">
        <f ca="1">IFERROR(__xludf.DUMMYFUNCTION("""COMPUTED_VALUE"""),"Rotterdam, NL")</f>
        <v>Rotterdam, NL</v>
      </c>
      <c r="U215" s="45"/>
      <c r="V215" s="45"/>
      <c r="W215" s="45"/>
      <c r="X215" s="45"/>
      <c r="Y215" s="46">
        <f ca="1">IFERROR(__xludf.DUMMYFUNCTION("""COMPUTED_VALUE"""),45831)</f>
        <v>45831</v>
      </c>
      <c r="Z215" s="46">
        <f ca="1">IFERROR(__xludf.DUMMYFUNCTION("""COMPUTED_VALUE"""),45852)</f>
        <v>45852</v>
      </c>
      <c r="AA215" s="46">
        <f ca="1">IFERROR(__xludf.DUMMYFUNCTION("""COMPUTED_VALUE"""),45859)</f>
        <v>45859</v>
      </c>
      <c r="AB215" s="45" t="str">
        <f ca="1">IFERROR(__xludf.DUMMYFUNCTION("""COMPUTED_VALUE"""),"Conradweg 26")</f>
        <v>Conradweg 26</v>
      </c>
      <c r="AC215" s="45"/>
      <c r="AD215" s="45" t="str">
        <f ca="1">IFERROR(__xludf.DUMMYFUNCTION("""COMPUTED_VALUE"""),"OCEAN")</f>
        <v>OCEAN</v>
      </c>
      <c r="AE215" s="45" t="str">
        <f ca="1">IFERROR(__xludf.DUMMYFUNCTION("""COMPUTED_VALUE"""),"N")</f>
        <v>N</v>
      </c>
      <c r="AF215" s="45"/>
      <c r="AG215" s="49" t="str">
        <f ca="1">IFERROR(__xludf.DUMMYFUNCTION("IFNA(vlookup(H215,IMPORTRANGE(""1vUGwO1n0QQGx9kKbO0_M5gmuhXZ6-LaxQxgrmJnzgP0"",""'TP# look up'!A:C""),3,0),"""")"),"")</f>
        <v/>
      </c>
      <c r="AH215" s="49" t="str">
        <f t="shared" ca="1" si="3"/>
        <v>LW</v>
      </c>
    </row>
    <row r="216" spans="1:34" ht="12.75">
      <c r="A216" s="45" t="str">
        <f ca="1">IFERROR(__xludf.DUMMYFUNCTION("""COMPUTED_VALUE"""),"Colombo")</f>
        <v>Colombo</v>
      </c>
      <c r="B216" s="45"/>
      <c r="C216" s="45">
        <f ca="1">IFERROR(__xludf.DUMMYFUNCTION("""COMPUTED_VALUE"""),3254120)</f>
        <v>3254120</v>
      </c>
      <c r="D216" s="45"/>
      <c r="E216" s="45" t="str">
        <f ca="1">IFERROR(__xludf.DUMMYFUNCTION("""COMPUTED_VALUE"""),"CFS")</f>
        <v>CFS</v>
      </c>
      <c r="F216" s="45" t="str">
        <f ca="1">IFERROR(__xludf.DUMMYFUNCTION("""COMPUTED_VALUE"""),"MAS AMITY PTE LTD")</f>
        <v>MAS AMITY PTE LTD</v>
      </c>
      <c r="G216" s="45" t="str">
        <f ca="1">IFERROR(__xludf.DUMMYFUNCTION("""COMPUTED_VALUE"""),"MAS Active(Pvt) Ltd – CONTOURLINE")</f>
        <v>MAS Active(Pvt) Ltd – CONTOURLINE</v>
      </c>
      <c r="H216" s="43">
        <f ca="1">IFERROR(__xludf.DUMMYFUNCTION("""COMPUTED_VALUE"""),454774669478)</f>
        <v>454774669478</v>
      </c>
      <c r="I216" s="45">
        <f ca="1">IFERROR(__xludf.DUMMYFUNCTION("""COMPUTED_VALUE"""),19920973)</f>
        <v>19920973</v>
      </c>
      <c r="J216" s="45" t="str">
        <f ca="1">IFERROR(__xludf.DUMMYFUNCTION("""COMPUTED_VALUE"""),"LW5FARS")</f>
        <v>LW5FARS</v>
      </c>
      <c r="K216" s="45" t="str">
        <f ca="1">IFERROR(__xludf.DUMMYFUNCTION("""COMPUTED_VALUE"""),"LW5FARS-031382")</f>
        <v>LW5FARS-031382</v>
      </c>
      <c r="L216" s="45">
        <f ca="1">IFERROR(__xludf.DUMMYFUNCTION("""COMPUTED_VALUE"""),6)</f>
        <v>6</v>
      </c>
      <c r="M216" s="45">
        <f ca="1">IFERROR(__xludf.DUMMYFUNCTION("""COMPUTED_VALUE"""),337)</f>
        <v>337</v>
      </c>
      <c r="N216" s="45">
        <f ca="1">IFERROR(__xludf.DUMMYFUNCTION("""COMPUTED_VALUE"""),71.145)</f>
        <v>71.144999999999996</v>
      </c>
      <c r="O216" s="45">
        <f ca="1">IFERROR(__xludf.DUMMYFUNCTION("""COMPUTED_VALUE"""),0.434)</f>
        <v>0.434</v>
      </c>
      <c r="P216" s="45" t="str">
        <f ca="1">IFERROR(__xludf.DUMMYFUNCTION("""COMPUTED_VALUE"""),"Colombo, LK")</f>
        <v>Colombo, LK</v>
      </c>
      <c r="Q216" s="45" t="str">
        <f ca="1">IFERROR(__xludf.DUMMYFUNCTION("""COMPUTED_VALUE"""),"Rotterdam, NL")</f>
        <v>Rotterdam, NL</v>
      </c>
      <c r="R216" s="44">
        <f ca="1">IFERROR(__xludf.DUMMYFUNCTION("""COMPUTED_VALUE"""),45824)</f>
        <v>45824</v>
      </c>
      <c r="S216" s="44">
        <f ca="1">IFERROR(__xludf.DUMMYFUNCTION("""COMPUTED_VALUE"""),45878)</f>
        <v>45878</v>
      </c>
      <c r="T216" s="45" t="str">
        <f ca="1">IFERROR(__xludf.DUMMYFUNCTION("""COMPUTED_VALUE"""),"Rotterdam, NL")</f>
        <v>Rotterdam, NL</v>
      </c>
      <c r="U216" s="45"/>
      <c r="V216" s="45"/>
      <c r="W216" s="45"/>
      <c r="X216" s="45"/>
      <c r="Y216" s="46">
        <f ca="1">IFERROR(__xludf.DUMMYFUNCTION("""COMPUTED_VALUE"""),45831)</f>
        <v>45831</v>
      </c>
      <c r="Z216" s="46">
        <f ca="1">IFERROR(__xludf.DUMMYFUNCTION("""COMPUTED_VALUE"""),45852)</f>
        <v>45852</v>
      </c>
      <c r="AA216" s="46">
        <f ca="1">IFERROR(__xludf.DUMMYFUNCTION("""COMPUTED_VALUE"""),45859)</f>
        <v>45859</v>
      </c>
      <c r="AB216" s="45" t="str">
        <f ca="1">IFERROR(__xludf.DUMMYFUNCTION("""COMPUTED_VALUE"""),"Conradweg 26")</f>
        <v>Conradweg 26</v>
      </c>
      <c r="AC216" s="45"/>
      <c r="AD216" s="45" t="str">
        <f ca="1">IFERROR(__xludf.DUMMYFUNCTION("""COMPUTED_VALUE"""),"OCEAN")</f>
        <v>OCEAN</v>
      </c>
      <c r="AE216" s="45" t="str">
        <f ca="1">IFERROR(__xludf.DUMMYFUNCTION("""COMPUTED_VALUE"""),"N")</f>
        <v>N</v>
      </c>
      <c r="AF216" s="45"/>
      <c r="AG216" s="49" t="str">
        <f ca="1">IFERROR(__xludf.DUMMYFUNCTION("IFNA(vlookup(H216,IMPORTRANGE(""1vUGwO1n0QQGx9kKbO0_M5gmuhXZ6-LaxQxgrmJnzgP0"",""'TP# look up'!A:C""),3,0),"""")"),"")</f>
        <v/>
      </c>
      <c r="AH216" s="49" t="str">
        <f t="shared" ca="1" si="3"/>
        <v>LW</v>
      </c>
    </row>
    <row r="217" spans="1:34" ht="12.75">
      <c r="A217" s="45" t="str">
        <f ca="1">IFERROR(__xludf.DUMMYFUNCTION("""COMPUTED_VALUE"""),"Colombo")</f>
        <v>Colombo</v>
      </c>
      <c r="B217" s="45"/>
      <c r="C217" s="45">
        <f ca="1">IFERROR(__xludf.DUMMYFUNCTION("""COMPUTED_VALUE"""),3254120)</f>
        <v>3254120</v>
      </c>
      <c r="D217" s="45"/>
      <c r="E217" s="45" t="str">
        <f ca="1">IFERROR(__xludf.DUMMYFUNCTION("""COMPUTED_VALUE"""),"CFS")</f>
        <v>CFS</v>
      </c>
      <c r="F217" s="45" t="str">
        <f ca="1">IFERROR(__xludf.DUMMYFUNCTION("""COMPUTED_VALUE"""),"MAS AMITY PTE LTD")</f>
        <v>MAS AMITY PTE LTD</v>
      </c>
      <c r="G217" s="45" t="str">
        <f ca="1">IFERROR(__xludf.DUMMYFUNCTION("""COMPUTED_VALUE"""),"MAS Active(Pvt) Ltd – CONTOURLINE")</f>
        <v>MAS Active(Pvt) Ltd – CONTOURLINE</v>
      </c>
      <c r="H217" s="43">
        <f ca="1">IFERROR(__xludf.DUMMYFUNCTION("""COMPUTED_VALUE"""),454774676791)</f>
        <v>454774676791</v>
      </c>
      <c r="I217" s="45">
        <f ca="1">IFERROR(__xludf.DUMMYFUNCTION("""COMPUTED_VALUE"""),19920966)</f>
        <v>19920966</v>
      </c>
      <c r="J217" s="45" t="str">
        <f ca="1">IFERROR(__xludf.DUMMYFUNCTION("""COMPUTED_VALUE"""),"LW5FARS")</f>
        <v>LW5FARS</v>
      </c>
      <c r="K217" s="45" t="str">
        <f ca="1">IFERROR(__xludf.DUMMYFUNCTION("""COMPUTED_VALUE"""),"LW5FARS-019746")</f>
        <v>LW5FARS-019746</v>
      </c>
      <c r="L217" s="45">
        <f ca="1">IFERROR(__xludf.DUMMYFUNCTION("""COMPUTED_VALUE"""),4)</f>
        <v>4</v>
      </c>
      <c r="M217" s="45">
        <f ca="1">IFERROR(__xludf.DUMMYFUNCTION("""COMPUTED_VALUE"""),245)</f>
        <v>245</v>
      </c>
      <c r="N217" s="45">
        <f ca="1">IFERROR(__xludf.DUMMYFUNCTION("""COMPUTED_VALUE"""),51.547)</f>
        <v>51.546999999999997</v>
      </c>
      <c r="O217" s="45">
        <f ca="1">IFERROR(__xludf.DUMMYFUNCTION("""COMPUTED_VALUE"""),0.316)</f>
        <v>0.316</v>
      </c>
      <c r="P217" s="45" t="str">
        <f ca="1">IFERROR(__xludf.DUMMYFUNCTION("""COMPUTED_VALUE"""),"Colombo, LK")</f>
        <v>Colombo, LK</v>
      </c>
      <c r="Q217" s="45" t="str">
        <f ca="1">IFERROR(__xludf.DUMMYFUNCTION("""COMPUTED_VALUE"""),"Rotterdam, NL")</f>
        <v>Rotterdam, NL</v>
      </c>
      <c r="R217" s="44">
        <f ca="1">IFERROR(__xludf.DUMMYFUNCTION("""COMPUTED_VALUE"""),45824)</f>
        <v>45824</v>
      </c>
      <c r="S217" s="44">
        <f ca="1">IFERROR(__xludf.DUMMYFUNCTION("""COMPUTED_VALUE"""),45878)</f>
        <v>45878</v>
      </c>
      <c r="T217" s="45" t="str">
        <f ca="1">IFERROR(__xludf.DUMMYFUNCTION("""COMPUTED_VALUE"""),"Rotterdam, NL")</f>
        <v>Rotterdam, NL</v>
      </c>
      <c r="U217" s="45"/>
      <c r="V217" s="45"/>
      <c r="W217" s="45"/>
      <c r="X217" s="45"/>
      <c r="Y217" s="46">
        <f ca="1">IFERROR(__xludf.DUMMYFUNCTION("""COMPUTED_VALUE"""),45831)</f>
        <v>45831</v>
      </c>
      <c r="Z217" s="46">
        <f ca="1">IFERROR(__xludf.DUMMYFUNCTION("""COMPUTED_VALUE"""),45852)</f>
        <v>45852</v>
      </c>
      <c r="AA217" s="46">
        <f ca="1">IFERROR(__xludf.DUMMYFUNCTION("""COMPUTED_VALUE"""),45859)</f>
        <v>45859</v>
      </c>
      <c r="AB217" s="45" t="str">
        <f ca="1">IFERROR(__xludf.DUMMYFUNCTION("""COMPUTED_VALUE"""),"Conradweg 26")</f>
        <v>Conradweg 26</v>
      </c>
      <c r="AC217" s="45"/>
      <c r="AD217" s="45" t="str">
        <f ca="1">IFERROR(__xludf.DUMMYFUNCTION("""COMPUTED_VALUE"""),"OCEAN")</f>
        <v>OCEAN</v>
      </c>
      <c r="AE217" s="45" t="str">
        <f ca="1">IFERROR(__xludf.DUMMYFUNCTION("""COMPUTED_VALUE"""),"N")</f>
        <v>N</v>
      </c>
      <c r="AF217" s="45"/>
      <c r="AG217" s="49" t="str">
        <f ca="1">IFERROR(__xludf.DUMMYFUNCTION("IFNA(vlookup(H217,IMPORTRANGE(""1vUGwO1n0QQGx9kKbO0_M5gmuhXZ6-LaxQxgrmJnzgP0"",""'TP# look up'!A:C""),3,0),"""")"),"")</f>
        <v/>
      </c>
      <c r="AH217" s="49" t="str">
        <f t="shared" ca="1" si="3"/>
        <v>LW</v>
      </c>
    </row>
    <row r="218" spans="1:34" ht="12.75">
      <c r="A218" s="45" t="str">
        <f ca="1">IFERROR(__xludf.DUMMYFUNCTION("""COMPUTED_VALUE"""),"Colombo")</f>
        <v>Colombo</v>
      </c>
      <c r="B218" s="45"/>
      <c r="C218" s="45">
        <f ca="1">IFERROR(__xludf.DUMMYFUNCTION("""COMPUTED_VALUE"""),3254120)</f>
        <v>3254120</v>
      </c>
      <c r="D218" s="45"/>
      <c r="E218" s="45" t="str">
        <f ca="1">IFERROR(__xludf.DUMMYFUNCTION("""COMPUTED_VALUE"""),"CFS")</f>
        <v>CFS</v>
      </c>
      <c r="F218" s="45" t="str">
        <f ca="1">IFERROR(__xludf.DUMMYFUNCTION("""COMPUTED_VALUE"""),"MAS AMITY PTE LTD")</f>
        <v>MAS AMITY PTE LTD</v>
      </c>
      <c r="G218" s="45" t="str">
        <f ca="1">IFERROR(__xludf.DUMMYFUNCTION("""COMPUTED_VALUE"""),"MAS Active(Pvt) Ltd – CONTOURLINE")</f>
        <v>MAS Active(Pvt) Ltd – CONTOURLINE</v>
      </c>
      <c r="H218" s="43">
        <f ca="1">IFERROR(__xludf.DUMMYFUNCTION("""COMPUTED_VALUE"""),454775006730)</f>
        <v>454775006730</v>
      </c>
      <c r="I218" s="45">
        <f ca="1">IFERROR(__xludf.DUMMYFUNCTION("""COMPUTED_VALUE"""),19920978)</f>
        <v>19920978</v>
      </c>
      <c r="J218" s="45" t="str">
        <f ca="1">IFERROR(__xludf.DUMMYFUNCTION("""COMPUTED_VALUE"""),"LW5FARS")</f>
        <v>LW5FARS</v>
      </c>
      <c r="K218" s="45" t="str">
        <f ca="1">IFERROR(__xludf.DUMMYFUNCTION("""COMPUTED_VALUE"""),"LW5FARS-049106")</f>
        <v>LW5FARS-049106</v>
      </c>
      <c r="L218" s="45">
        <f ca="1">IFERROR(__xludf.DUMMYFUNCTION("""COMPUTED_VALUE"""),8)</f>
        <v>8</v>
      </c>
      <c r="M218" s="45">
        <f ca="1">IFERROR(__xludf.DUMMYFUNCTION("""COMPUTED_VALUE"""),390)</f>
        <v>390</v>
      </c>
      <c r="N218" s="45">
        <f ca="1">IFERROR(__xludf.DUMMYFUNCTION("""COMPUTED_VALUE"""),78.705)</f>
        <v>78.704999999999998</v>
      </c>
      <c r="O218" s="45">
        <f ca="1">IFERROR(__xludf.DUMMYFUNCTION("""COMPUTED_VALUE"""),0.474)</f>
        <v>0.47399999999999998</v>
      </c>
      <c r="P218" s="45" t="str">
        <f ca="1">IFERROR(__xludf.DUMMYFUNCTION("""COMPUTED_VALUE"""),"Colombo, LK")</f>
        <v>Colombo, LK</v>
      </c>
      <c r="Q218" s="45" t="str">
        <f ca="1">IFERROR(__xludf.DUMMYFUNCTION("""COMPUTED_VALUE"""),"Rotterdam, NL")</f>
        <v>Rotterdam, NL</v>
      </c>
      <c r="R218" s="44">
        <f ca="1">IFERROR(__xludf.DUMMYFUNCTION("""COMPUTED_VALUE"""),45824)</f>
        <v>45824</v>
      </c>
      <c r="S218" s="44">
        <f ca="1">IFERROR(__xludf.DUMMYFUNCTION("""COMPUTED_VALUE"""),45878)</f>
        <v>45878</v>
      </c>
      <c r="T218" s="45" t="str">
        <f ca="1">IFERROR(__xludf.DUMMYFUNCTION("""COMPUTED_VALUE"""),"Rotterdam, NL")</f>
        <v>Rotterdam, NL</v>
      </c>
      <c r="U218" s="45"/>
      <c r="V218" s="45"/>
      <c r="W218" s="45"/>
      <c r="X218" s="45"/>
      <c r="Y218" s="46">
        <f ca="1">IFERROR(__xludf.DUMMYFUNCTION("""COMPUTED_VALUE"""),45831)</f>
        <v>45831</v>
      </c>
      <c r="Z218" s="46">
        <f ca="1">IFERROR(__xludf.DUMMYFUNCTION("""COMPUTED_VALUE"""),45852)</f>
        <v>45852</v>
      </c>
      <c r="AA218" s="46">
        <f ca="1">IFERROR(__xludf.DUMMYFUNCTION("""COMPUTED_VALUE"""),45859)</f>
        <v>45859</v>
      </c>
      <c r="AB218" s="45" t="str">
        <f ca="1">IFERROR(__xludf.DUMMYFUNCTION("""COMPUTED_VALUE"""),"Conradweg 26")</f>
        <v>Conradweg 26</v>
      </c>
      <c r="AC218" s="45"/>
      <c r="AD218" s="45" t="str">
        <f ca="1">IFERROR(__xludf.DUMMYFUNCTION("""COMPUTED_VALUE"""),"OCEAN")</f>
        <v>OCEAN</v>
      </c>
      <c r="AE218" s="45" t="str">
        <f ca="1">IFERROR(__xludf.DUMMYFUNCTION("""COMPUTED_VALUE"""),"N")</f>
        <v>N</v>
      </c>
      <c r="AF218" s="45"/>
      <c r="AG218" s="49" t="str">
        <f ca="1">IFERROR(__xludf.DUMMYFUNCTION("IFNA(vlookup(H218,IMPORTRANGE(""1vUGwO1n0QQGx9kKbO0_M5gmuhXZ6-LaxQxgrmJnzgP0"",""'TP# look up'!A:C""),3,0),"""")"),"")</f>
        <v/>
      </c>
      <c r="AH218" s="49" t="str">
        <f t="shared" ca="1" si="3"/>
        <v>LW</v>
      </c>
    </row>
    <row r="219" spans="1:34" ht="12.75">
      <c r="A219" s="45" t="str">
        <f ca="1">IFERROR(__xludf.DUMMYFUNCTION("""COMPUTED_VALUE"""),"Colombo")</f>
        <v>Colombo</v>
      </c>
      <c r="B219" s="45"/>
      <c r="C219" s="45">
        <f ca="1">IFERROR(__xludf.DUMMYFUNCTION("""COMPUTED_VALUE"""),3254120)</f>
        <v>3254120</v>
      </c>
      <c r="D219" s="45"/>
      <c r="E219" s="45" t="str">
        <f ca="1">IFERROR(__xludf.DUMMYFUNCTION("""COMPUTED_VALUE"""),"CFS")</f>
        <v>CFS</v>
      </c>
      <c r="F219" s="45" t="str">
        <f ca="1">IFERROR(__xludf.DUMMYFUNCTION("""COMPUTED_VALUE"""),"MAS AMITY PTE LTD")</f>
        <v>MAS AMITY PTE LTD</v>
      </c>
      <c r="G219" s="45" t="str">
        <f ca="1">IFERROR(__xludf.DUMMYFUNCTION("""COMPUTED_VALUE"""),"MAS Active(Pvt) Ltd – CONTOURLINE")</f>
        <v>MAS Active(Pvt) Ltd – CONTOURLINE</v>
      </c>
      <c r="H219" s="43">
        <f ca="1">IFERROR(__xludf.DUMMYFUNCTION("""COMPUTED_VALUE"""),454775035759)</f>
        <v>454775035759</v>
      </c>
      <c r="I219" s="45">
        <f ca="1">IFERROR(__xludf.DUMMYFUNCTION("""COMPUTED_VALUE"""),19925871)</f>
        <v>19925871</v>
      </c>
      <c r="J219" s="45" t="str">
        <f ca="1">IFERROR(__xludf.DUMMYFUNCTION("""COMPUTED_VALUE"""),"LW5EPSS")</f>
        <v>LW5EPSS</v>
      </c>
      <c r="K219" s="45" t="str">
        <f ca="1">IFERROR(__xludf.DUMMYFUNCTION("""COMPUTED_VALUE"""),"LW5EPSS-049106")</f>
        <v>LW5EPSS-049106</v>
      </c>
      <c r="L219" s="45">
        <f ca="1">IFERROR(__xludf.DUMMYFUNCTION("""COMPUTED_VALUE"""),8)</f>
        <v>8</v>
      </c>
      <c r="M219" s="45">
        <f ca="1">IFERROR(__xludf.DUMMYFUNCTION("""COMPUTED_VALUE"""),352)</f>
        <v>352</v>
      </c>
      <c r="N219" s="45">
        <f ca="1">IFERROR(__xludf.DUMMYFUNCTION("""COMPUTED_VALUE"""),81.101)</f>
        <v>81.100999999999999</v>
      </c>
      <c r="O219" s="45">
        <f ca="1">IFERROR(__xludf.DUMMYFUNCTION("""COMPUTED_VALUE"""),0.632)</f>
        <v>0.63200000000000001</v>
      </c>
      <c r="P219" s="45" t="str">
        <f ca="1">IFERROR(__xludf.DUMMYFUNCTION("""COMPUTED_VALUE"""),"Colombo, LK")</f>
        <v>Colombo, LK</v>
      </c>
      <c r="Q219" s="45" t="str">
        <f ca="1">IFERROR(__xludf.DUMMYFUNCTION("""COMPUTED_VALUE"""),"Rotterdam, NL")</f>
        <v>Rotterdam, NL</v>
      </c>
      <c r="R219" s="44">
        <f ca="1">IFERROR(__xludf.DUMMYFUNCTION("""COMPUTED_VALUE"""),45824)</f>
        <v>45824</v>
      </c>
      <c r="S219" s="44">
        <f ca="1">IFERROR(__xludf.DUMMYFUNCTION("""COMPUTED_VALUE"""),45878)</f>
        <v>45878</v>
      </c>
      <c r="T219" s="45" t="str">
        <f ca="1">IFERROR(__xludf.DUMMYFUNCTION("""COMPUTED_VALUE"""),"Rotterdam, NL")</f>
        <v>Rotterdam, NL</v>
      </c>
      <c r="U219" s="45"/>
      <c r="V219" s="45"/>
      <c r="W219" s="45"/>
      <c r="X219" s="45"/>
      <c r="Y219" s="46">
        <f ca="1">IFERROR(__xludf.DUMMYFUNCTION("""COMPUTED_VALUE"""),45831)</f>
        <v>45831</v>
      </c>
      <c r="Z219" s="46">
        <f ca="1">IFERROR(__xludf.DUMMYFUNCTION("""COMPUTED_VALUE"""),45852)</f>
        <v>45852</v>
      </c>
      <c r="AA219" s="46">
        <f ca="1">IFERROR(__xludf.DUMMYFUNCTION("""COMPUTED_VALUE"""),45859)</f>
        <v>45859</v>
      </c>
      <c r="AB219" s="45" t="str">
        <f ca="1">IFERROR(__xludf.DUMMYFUNCTION("""COMPUTED_VALUE"""),"Conradweg 26")</f>
        <v>Conradweg 26</v>
      </c>
      <c r="AC219" s="45"/>
      <c r="AD219" s="45" t="str">
        <f ca="1">IFERROR(__xludf.DUMMYFUNCTION("""COMPUTED_VALUE"""),"OCEAN")</f>
        <v>OCEAN</v>
      </c>
      <c r="AE219" s="45" t="str">
        <f ca="1">IFERROR(__xludf.DUMMYFUNCTION("""COMPUTED_VALUE"""),"N")</f>
        <v>N</v>
      </c>
      <c r="AF219" s="45"/>
      <c r="AG219" s="49" t="str">
        <f ca="1">IFERROR(__xludf.DUMMYFUNCTION("IFNA(vlookup(H219,IMPORTRANGE(""1vUGwO1n0QQGx9kKbO0_M5gmuhXZ6-LaxQxgrmJnzgP0"",""'TP# look up'!A:C""),3,0),"""")"),"")</f>
        <v/>
      </c>
      <c r="AH219" s="49" t="str">
        <f t="shared" ca="1" si="3"/>
        <v>LW</v>
      </c>
    </row>
    <row r="220" spans="1:34" ht="12.75">
      <c r="A220" s="45" t="str">
        <f ca="1">IFERROR(__xludf.DUMMYFUNCTION("""COMPUTED_VALUE"""),"Colombo")</f>
        <v>Colombo</v>
      </c>
      <c r="B220" s="45"/>
      <c r="C220" s="45">
        <f ca="1">IFERROR(__xludf.DUMMYFUNCTION("""COMPUTED_VALUE"""),3254120)</f>
        <v>3254120</v>
      </c>
      <c r="D220" s="45"/>
      <c r="E220" s="45" t="str">
        <f ca="1">IFERROR(__xludf.DUMMYFUNCTION("""COMPUTED_VALUE"""),"CFS")</f>
        <v>CFS</v>
      </c>
      <c r="F220" s="45" t="str">
        <f ca="1">IFERROR(__xludf.DUMMYFUNCTION("""COMPUTED_VALUE"""),"MAS AMITY PTE LTD")</f>
        <v>MAS AMITY PTE LTD</v>
      </c>
      <c r="G220" s="45" t="str">
        <f ca="1">IFERROR(__xludf.DUMMYFUNCTION("""COMPUTED_VALUE"""),"MAS Active(Pvt) Ltd – CONTOURLINE")</f>
        <v>MAS Active(Pvt) Ltd – CONTOURLINE</v>
      </c>
      <c r="H220" s="43">
        <f ca="1">IFERROR(__xludf.DUMMYFUNCTION("""COMPUTED_VALUE"""),454775192654)</f>
        <v>454775192654</v>
      </c>
      <c r="I220" s="45">
        <f ca="1">IFERROR(__xludf.DUMMYFUNCTION("""COMPUTED_VALUE"""),19921008)</f>
        <v>19921008</v>
      </c>
      <c r="J220" s="45" t="str">
        <f ca="1">IFERROR(__xludf.DUMMYFUNCTION("""COMPUTED_VALUE"""),"LW7CPPS")</f>
        <v>LW7CPPS</v>
      </c>
      <c r="K220" s="45" t="str">
        <f ca="1">IFERROR(__xludf.DUMMYFUNCTION("""COMPUTED_VALUE"""),"LW7CPPS-031382")</f>
        <v>LW7CPPS-031382</v>
      </c>
      <c r="L220" s="45">
        <f ca="1">IFERROR(__xludf.DUMMYFUNCTION("""COMPUTED_VALUE"""),4)</f>
        <v>4</v>
      </c>
      <c r="M220" s="45">
        <f ca="1">IFERROR(__xludf.DUMMYFUNCTION("""COMPUTED_VALUE"""),222)</f>
        <v>222</v>
      </c>
      <c r="N220" s="45">
        <f ca="1">IFERROR(__xludf.DUMMYFUNCTION("""COMPUTED_VALUE"""),35.133)</f>
        <v>35.133000000000003</v>
      </c>
      <c r="O220" s="45">
        <f ca="1">IFERROR(__xludf.DUMMYFUNCTION("""COMPUTED_VALUE"""),0.237)</f>
        <v>0.23699999999999999</v>
      </c>
      <c r="P220" s="45" t="str">
        <f ca="1">IFERROR(__xludf.DUMMYFUNCTION("""COMPUTED_VALUE"""),"Colombo, LK")</f>
        <v>Colombo, LK</v>
      </c>
      <c r="Q220" s="45" t="str">
        <f ca="1">IFERROR(__xludf.DUMMYFUNCTION("""COMPUTED_VALUE"""),"Rotterdam, NL")</f>
        <v>Rotterdam, NL</v>
      </c>
      <c r="R220" s="44">
        <f ca="1">IFERROR(__xludf.DUMMYFUNCTION("""COMPUTED_VALUE"""),45824)</f>
        <v>45824</v>
      </c>
      <c r="S220" s="44">
        <f ca="1">IFERROR(__xludf.DUMMYFUNCTION("""COMPUTED_VALUE"""),45878)</f>
        <v>45878</v>
      </c>
      <c r="T220" s="45" t="str">
        <f ca="1">IFERROR(__xludf.DUMMYFUNCTION("""COMPUTED_VALUE"""),"Rotterdam, NL")</f>
        <v>Rotterdam, NL</v>
      </c>
      <c r="U220" s="45"/>
      <c r="V220" s="45"/>
      <c r="W220" s="45"/>
      <c r="X220" s="45"/>
      <c r="Y220" s="46">
        <f ca="1">IFERROR(__xludf.DUMMYFUNCTION("""COMPUTED_VALUE"""),45831)</f>
        <v>45831</v>
      </c>
      <c r="Z220" s="46">
        <f ca="1">IFERROR(__xludf.DUMMYFUNCTION("""COMPUTED_VALUE"""),45852)</f>
        <v>45852</v>
      </c>
      <c r="AA220" s="46">
        <f ca="1">IFERROR(__xludf.DUMMYFUNCTION("""COMPUTED_VALUE"""),45859)</f>
        <v>45859</v>
      </c>
      <c r="AB220" s="45" t="str">
        <f ca="1">IFERROR(__xludf.DUMMYFUNCTION("""COMPUTED_VALUE"""),"Conradweg 26")</f>
        <v>Conradweg 26</v>
      </c>
      <c r="AC220" s="45"/>
      <c r="AD220" s="45" t="str">
        <f ca="1">IFERROR(__xludf.DUMMYFUNCTION("""COMPUTED_VALUE"""),"OCEAN")</f>
        <v>OCEAN</v>
      </c>
      <c r="AE220" s="45" t="str">
        <f ca="1">IFERROR(__xludf.DUMMYFUNCTION("""COMPUTED_VALUE"""),"N")</f>
        <v>N</v>
      </c>
      <c r="AF220" s="45"/>
      <c r="AG220" s="49" t="str">
        <f ca="1">IFERROR(__xludf.DUMMYFUNCTION("IFNA(vlookup(H220,IMPORTRANGE(""1vUGwO1n0QQGx9kKbO0_M5gmuhXZ6-LaxQxgrmJnzgP0"",""'TP# look up'!A:C""),3,0),"""")"),"")</f>
        <v/>
      </c>
      <c r="AH220" s="49" t="str">
        <f t="shared" ca="1" si="3"/>
        <v>LW</v>
      </c>
    </row>
    <row r="221" spans="1:34" ht="12.75">
      <c r="A221" s="45" t="str">
        <f ca="1">IFERROR(__xludf.DUMMYFUNCTION("""COMPUTED_VALUE"""),"Colombo")</f>
        <v>Colombo</v>
      </c>
      <c r="B221" s="45"/>
      <c r="C221" s="45">
        <f ca="1">IFERROR(__xludf.DUMMYFUNCTION("""COMPUTED_VALUE"""),3254120)</f>
        <v>3254120</v>
      </c>
      <c r="D221" s="45"/>
      <c r="E221" s="45" t="str">
        <f ca="1">IFERROR(__xludf.DUMMYFUNCTION("""COMPUTED_VALUE"""),"CFS")</f>
        <v>CFS</v>
      </c>
      <c r="F221" s="45" t="str">
        <f ca="1">IFERROR(__xludf.DUMMYFUNCTION("""COMPUTED_VALUE"""),"MAS AMITY PTE LTD")</f>
        <v>MAS AMITY PTE LTD</v>
      </c>
      <c r="G221" s="45" t="str">
        <f ca="1">IFERROR(__xludf.DUMMYFUNCTION("""COMPUTED_VALUE"""),"MAS Active(Pvt) Ltd – CONTOURLINE")</f>
        <v>MAS Active(Pvt) Ltd – CONTOURLINE</v>
      </c>
      <c r="H221" s="43">
        <f ca="1">IFERROR(__xludf.DUMMYFUNCTION("""COMPUTED_VALUE"""),454775252695)</f>
        <v>454775252695</v>
      </c>
      <c r="I221" s="45">
        <f ca="1">IFERROR(__xludf.DUMMYFUNCTION("""COMPUTED_VALUE"""),19921010)</f>
        <v>19921010</v>
      </c>
      <c r="J221" s="45" t="str">
        <f ca="1">IFERROR(__xludf.DUMMYFUNCTION("""COMPUTED_VALUE"""),"LW7CPPS")</f>
        <v>LW7CPPS</v>
      </c>
      <c r="K221" s="45" t="str">
        <f ca="1">IFERROR(__xludf.DUMMYFUNCTION("""COMPUTED_VALUE"""),"LW7CPPS-031382")</f>
        <v>LW7CPPS-031382</v>
      </c>
      <c r="L221" s="45">
        <f ca="1">IFERROR(__xludf.DUMMYFUNCTION("""COMPUTED_VALUE"""),1)</f>
        <v>1</v>
      </c>
      <c r="M221" s="45">
        <f ca="1">IFERROR(__xludf.DUMMYFUNCTION("""COMPUTED_VALUE"""),42)</f>
        <v>42</v>
      </c>
      <c r="N221" s="45">
        <f ca="1">IFERROR(__xludf.DUMMYFUNCTION("""COMPUTED_VALUE"""),6.959)</f>
        <v>6.9589999999999996</v>
      </c>
      <c r="O221" s="45">
        <f ca="1">IFERROR(__xludf.DUMMYFUNCTION("""COMPUTED_VALUE"""),0.079)</f>
        <v>7.9000000000000001E-2</v>
      </c>
      <c r="P221" s="45" t="str">
        <f ca="1">IFERROR(__xludf.DUMMYFUNCTION("""COMPUTED_VALUE"""),"Colombo, LK")</f>
        <v>Colombo, LK</v>
      </c>
      <c r="Q221" s="45" t="str">
        <f ca="1">IFERROR(__xludf.DUMMYFUNCTION("""COMPUTED_VALUE"""),"Rotterdam, NL")</f>
        <v>Rotterdam, NL</v>
      </c>
      <c r="R221" s="44">
        <f ca="1">IFERROR(__xludf.DUMMYFUNCTION("""COMPUTED_VALUE"""),45824)</f>
        <v>45824</v>
      </c>
      <c r="S221" s="44">
        <f ca="1">IFERROR(__xludf.DUMMYFUNCTION("""COMPUTED_VALUE"""),45878)</f>
        <v>45878</v>
      </c>
      <c r="T221" s="45" t="str">
        <f ca="1">IFERROR(__xludf.DUMMYFUNCTION("""COMPUTED_VALUE"""),"Rotterdam, NL")</f>
        <v>Rotterdam, NL</v>
      </c>
      <c r="U221" s="45"/>
      <c r="V221" s="45"/>
      <c r="W221" s="45"/>
      <c r="X221" s="45"/>
      <c r="Y221" s="46">
        <f ca="1">IFERROR(__xludf.DUMMYFUNCTION("""COMPUTED_VALUE"""),45831)</f>
        <v>45831</v>
      </c>
      <c r="Z221" s="46">
        <f ca="1">IFERROR(__xludf.DUMMYFUNCTION("""COMPUTED_VALUE"""),45852)</f>
        <v>45852</v>
      </c>
      <c r="AA221" s="46">
        <f ca="1">IFERROR(__xludf.DUMMYFUNCTION("""COMPUTED_VALUE"""),45859)</f>
        <v>45859</v>
      </c>
      <c r="AB221" s="45" t="str">
        <f ca="1">IFERROR(__xludf.DUMMYFUNCTION("""COMPUTED_VALUE"""),"Conradweg 26")</f>
        <v>Conradweg 26</v>
      </c>
      <c r="AC221" s="45"/>
      <c r="AD221" s="45" t="str">
        <f ca="1">IFERROR(__xludf.DUMMYFUNCTION("""COMPUTED_VALUE"""),"OCEAN")</f>
        <v>OCEAN</v>
      </c>
      <c r="AE221" s="45" t="str">
        <f ca="1">IFERROR(__xludf.DUMMYFUNCTION("""COMPUTED_VALUE"""),"N")</f>
        <v>N</v>
      </c>
      <c r="AF221" s="45"/>
      <c r="AG221" s="49" t="str">
        <f ca="1">IFERROR(__xludf.DUMMYFUNCTION("IFNA(vlookup(H221,IMPORTRANGE(""1vUGwO1n0QQGx9kKbO0_M5gmuhXZ6-LaxQxgrmJnzgP0"",""'TP# look up'!A:C""),3,0),"""")"),"")</f>
        <v/>
      </c>
      <c r="AH221" s="49" t="str">
        <f t="shared" ca="1" si="3"/>
        <v>LW</v>
      </c>
    </row>
    <row r="222" spans="1:34" ht="12.75">
      <c r="A222" s="45" t="str">
        <f ca="1">IFERROR(__xludf.DUMMYFUNCTION("""COMPUTED_VALUE"""),"Colombo")</f>
        <v>Colombo</v>
      </c>
      <c r="B222" s="45"/>
      <c r="C222" s="45">
        <f ca="1">IFERROR(__xludf.DUMMYFUNCTION("""COMPUTED_VALUE"""),3254120)</f>
        <v>3254120</v>
      </c>
      <c r="D222" s="45"/>
      <c r="E222" s="45" t="str">
        <f ca="1">IFERROR(__xludf.DUMMYFUNCTION("""COMPUTED_VALUE"""),"CFS")</f>
        <v>CFS</v>
      </c>
      <c r="F222" s="45" t="str">
        <f ca="1">IFERROR(__xludf.DUMMYFUNCTION("""COMPUTED_VALUE"""),"MAS AMITY PTE LTD")</f>
        <v>MAS AMITY PTE LTD</v>
      </c>
      <c r="G222" s="45" t="str">
        <f ca="1">IFERROR(__xludf.DUMMYFUNCTION("""COMPUTED_VALUE"""),"MAS Active(Pvt) Ltd – CONTOURLINE")</f>
        <v>MAS Active(Pvt) Ltd – CONTOURLINE</v>
      </c>
      <c r="H222" s="43">
        <f ca="1">IFERROR(__xludf.DUMMYFUNCTION("""COMPUTED_VALUE"""),454775252915)</f>
        <v>454775252915</v>
      </c>
      <c r="I222" s="45">
        <f ca="1">IFERROR(__xludf.DUMMYFUNCTION("""COMPUTED_VALUE"""),19925972)</f>
        <v>19925972</v>
      </c>
      <c r="J222" s="45" t="str">
        <f ca="1">IFERROR(__xludf.DUMMYFUNCTION("""COMPUTED_VALUE"""),"LW5FARS")</f>
        <v>LW5FARS</v>
      </c>
      <c r="K222" s="45" t="str">
        <f ca="1">IFERROR(__xludf.DUMMYFUNCTION("""COMPUTED_VALUE"""),"LW5FARS-049106")</f>
        <v>LW5FARS-049106</v>
      </c>
      <c r="L222" s="45">
        <f ca="1">IFERROR(__xludf.DUMMYFUNCTION("""COMPUTED_VALUE"""),4)</f>
        <v>4</v>
      </c>
      <c r="M222" s="45">
        <f ca="1">IFERROR(__xludf.DUMMYFUNCTION("""COMPUTED_VALUE"""),212)</f>
        <v>212</v>
      </c>
      <c r="N222" s="45">
        <f ca="1">IFERROR(__xludf.DUMMYFUNCTION("""COMPUTED_VALUE"""),45.138)</f>
        <v>45.137999999999998</v>
      </c>
      <c r="O222" s="45">
        <f ca="1">IFERROR(__xludf.DUMMYFUNCTION("""COMPUTED_VALUE"""),0.316)</f>
        <v>0.316</v>
      </c>
      <c r="P222" s="45" t="str">
        <f ca="1">IFERROR(__xludf.DUMMYFUNCTION("""COMPUTED_VALUE"""),"Colombo, LK")</f>
        <v>Colombo, LK</v>
      </c>
      <c r="Q222" s="45" t="str">
        <f ca="1">IFERROR(__xludf.DUMMYFUNCTION("""COMPUTED_VALUE"""),"Rotterdam, NL")</f>
        <v>Rotterdam, NL</v>
      </c>
      <c r="R222" s="44">
        <f ca="1">IFERROR(__xludf.DUMMYFUNCTION("""COMPUTED_VALUE"""),45824)</f>
        <v>45824</v>
      </c>
      <c r="S222" s="44">
        <f ca="1">IFERROR(__xludf.DUMMYFUNCTION("""COMPUTED_VALUE"""),45878)</f>
        <v>45878</v>
      </c>
      <c r="T222" s="45" t="str">
        <f ca="1">IFERROR(__xludf.DUMMYFUNCTION("""COMPUTED_VALUE"""),"Rotterdam, NL")</f>
        <v>Rotterdam, NL</v>
      </c>
      <c r="U222" s="45"/>
      <c r="V222" s="45"/>
      <c r="W222" s="45"/>
      <c r="X222" s="45"/>
      <c r="Y222" s="46">
        <f ca="1">IFERROR(__xludf.DUMMYFUNCTION("""COMPUTED_VALUE"""),45831)</f>
        <v>45831</v>
      </c>
      <c r="Z222" s="46">
        <f ca="1">IFERROR(__xludf.DUMMYFUNCTION("""COMPUTED_VALUE"""),45852)</f>
        <v>45852</v>
      </c>
      <c r="AA222" s="46">
        <f ca="1">IFERROR(__xludf.DUMMYFUNCTION("""COMPUTED_VALUE"""),45859)</f>
        <v>45859</v>
      </c>
      <c r="AB222" s="45" t="str">
        <f ca="1">IFERROR(__xludf.DUMMYFUNCTION("""COMPUTED_VALUE"""),"Conradweg 26")</f>
        <v>Conradweg 26</v>
      </c>
      <c r="AC222" s="45"/>
      <c r="AD222" s="45" t="str">
        <f ca="1">IFERROR(__xludf.DUMMYFUNCTION("""COMPUTED_VALUE"""),"OCEAN")</f>
        <v>OCEAN</v>
      </c>
      <c r="AE222" s="45" t="str">
        <f ca="1">IFERROR(__xludf.DUMMYFUNCTION("""COMPUTED_VALUE"""),"N")</f>
        <v>N</v>
      </c>
      <c r="AF222" s="45"/>
      <c r="AG222" s="49" t="str">
        <f ca="1">IFERROR(__xludf.DUMMYFUNCTION("IFNA(vlookup(H222,IMPORTRANGE(""1vUGwO1n0QQGx9kKbO0_M5gmuhXZ6-LaxQxgrmJnzgP0"",""'TP# look up'!A:C""),3,0),"""")"),"")</f>
        <v/>
      </c>
      <c r="AH222" s="49" t="str">
        <f t="shared" ca="1" si="3"/>
        <v>LW</v>
      </c>
    </row>
    <row r="223" spans="1:34" ht="12.75">
      <c r="A223" s="45" t="str">
        <f ca="1">IFERROR(__xludf.DUMMYFUNCTION("""COMPUTED_VALUE"""),"Colombo")</f>
        <v>Colombo</v>
      </c>
      <c r="B223" s="45"/>
      <c r="C223" s="45">
        <f ca="1">IFERROR(__xludf.DUMMYFUNCTION("""COMPUTED_VALUE"""),3254120)</f>
        <v>3254120</v>
      </c>
      <c r="D223" s="45"/>
      <c r="E223" s="45" t="str">
        <f ca="1">IFERROR(__xludf.DUMMYFUNCTION("""COMPUTED_VALUE"""),"CFS")</f>
        <v>CFS</v>
      </c>
      <c r="F223" s="45" t="str">
        <f ca="1">IFERROR(__xludf.DUMMYFUNCTION("""COMPUTED_VALUE"""),"MAS AMITY PTE LTD")</f>
        <v>MAS AMITY PTE LTD</v>
      </c>
      <c r="G223" s="45" t="str">
        <f ca="1">IFERROR(__xludf.DUMMYFUNCTION("""COMPUTED_VALUE"""),"MAS Active(Pvt) Ltd – CONTOURLINE")</f>
        <v>MAS Active(Pvt) Ltd – CONTOURLINE</v>
      </c>
      <c r="H223" s="43">
        <f ca="1">IFERROR(__xludf.DUMMYFUNCTION("""COMPUTED_VALUE"""),454775661312)</f>
        <v>454775661312</v>
      </c>
      <c r="I223" s="45">
        <f ca="1">IFERROR(__xludf.DUMMYFUNCTION("""COMPUTED_VALUE"""),19926202)</f>
        <v>19926202</v>
      </c>
      <c r="J223" s="45" t="str">
        <f ca="1">IFERROR(__xludf.DUMMYFUNCTION("""COMPUTED_VALUE"""),"LW7CPPS")</f>
        <v>LW7CPPS</v>
      </c>
      <c r="K223" s="45" t="str">
        <f ca="1">IFERROR(__xludf.DUMMYFUNCTION("""COMPUTED_VALUE"""),"LW7CPPS-070108")</f>
        <v>LW7CPPS-070108</v>
      </c>
      <c r="L223" s="45">
        <f ca="1">IFERROR(__xludf.DUMMYFUNCTION("""COMPUTED_VALUE"""),3)</f>
        <v>3</v>
      </c>
      <c r="M223" s="45">
        <f ca="1">IFERROR(__xludf.DUMMYFUNCTION("""COMPUTED_VALUE"""),138)</f>
        <v>138</v>
      </c>
      <c r="N223" s="45">
        <f ca="1">IFERROR(__xludf.DUMMYFUNCTION("""COMPUTED_VALUE"""),21.765)</f>
        <v>21.765000000000001</v>
      </c>
      <c r="O223" s="45">
        <f ca="1">IFERROR(__xludf.DUMMYFUNCTION("""COMPUTED_VALUE"""),0.158)</f>
        <v>0.158</v>
      </c>
      <c r="P223" s="45" t="str">
        <f ca="1">IFERROR(__xludf.DUMMYFUNCTION("""COMPUTED_VALUE"""),"Colombo, LK")</f>
        <v>Colombo, LK</v>
      </c>
      <c r="Q223" s="45" t="str">
        <f ca="1">IFERROR(__xludf.DUMMYFUNCTION("""COMPUTED_VALUE"""),"Rotterdam, NL")</f>
        <v>Rotterdam, NL</v>
      </c>
      <c r="R223" s="44">
        <f ca="1">IFERROR(__xludf.DUMMYFUNCTION("""COMPUTED_VALUE"""),45824)</f>
        <v>45824</v>
      </c>
      <c r="S223" s="44">
        <f ca="1">IFERROR(__xludf.DUMMYFUNCTION("""COMPUTED_VALUE"""),45849)</f>
        <v>45849</v>
      </c>
      <c r="T223" s="45" t="str">
        <f ca="1">IFERROR(__xludf.DUMMYFUNCTION("""COMPUTED_VALUE"""),"Rotterdam, NL")</f>
        <v>Rotterdam, NL</v>
      </c>
      <c r="U223" s="45"/>
      <c r="V223" s="45"/>
      <c r="W223" s="45"/>
      <c r="X223" s="45"/>
      <c r="Y223" s="46">
        <f ca="1">IFERROR(__xludf.DUMMYFUNCTION("""COMPUTED_VALUE"""),45831)</f>
        <v>45831</v>
      </c>
      <c r="Z223" s="46">
        <f ca="1">IFERROR(__xludf.DUMMYFUNCTION("""COMPUTED_VALUE"""),45852)</f>
        <v>45852</v>
      </c>
      <c r="AA223" s="46">
        <f ca="1">IFERROR(__xludf.DUMMYFUNCTION("""COMPUTED_VALUE"""),45859)</f>
        <v>45859</v>
      </c>
      <c r="AB223" s="45" t="str">
        <f ca="1">IFERROR(__xludf.DUMMYFUNCTION("""COMPUTED_VALUE"""),"Conradweg 26")</f>
        <v>Conradweg 26</v>
      </c>
      <c r="AC223" s="45"/>
      <c r="AD223" s="45" t="str">
        <f ca="1">IFERROR(__xludf.DUMMYFUNCTION("""COMPUTED_VALUE"""),"FAF")</f>
        <v>FAF</v>
      </c>
      <c r="AE223" s="45" t="str">
        <f ca="1">IFERROR(__xludf.DUMMYFUNCTION("""COMPUTED_VALUE"""),"N")</f>
        <v>N</v>
      </c>
      <c r="AF223" s="45" t="str">
        <f ca="1">IFERROR(__xludf.DUMMYFUNCTION("""COMPUTED_VALUE"""),"Checking the mode")</f>
        <v>Checking the mode</v>
      </c>
      <c r="AG223" s="49" t="str">
        <f ca="1">IFERROR(__xludf.DUMMYFUNCTION("IFNA(vlookup(H223,IMPORTRANGE(""1vUGwO1n0QQGx9kKbO0_M5gmuhXZ6-LaxQxgrmJnzgP0"",""'TP# look up'!A:C""),3,0),"""")"),"")</f>
        <v/>
      </c>
      <c r="AH223" s="49" t="str">
        <f t="shared" ca="1" si="3"/>
        <v>LW</v>
      </c>
    </row>
    <row r="224" spans="1:34" ht="12.75">
      <c r="A224" s="45" t="str">
        <f ca="1">IFERROR(__xludf.DUMMYFUNCTION("""COMPUTED_VALUE"""),"Colombo")</f>
        <v>Colombo</v>
      </c>
      <c r="B224" s="45"/>
      <c r="C224" s="45">
        <f ca="1">IFERROR(__xludf.DUMMYFUNCTION("""COMPUTED_VALUE"""),3254120)</f>
        <v>3254120</v>
      </c>
      <c r="D224" s="45"/>
      <c r="E224" s="45" t="str">
        <f ca="1">IFERROR(__xludf.DUMMYFUNCTION("""COMPUTED_VALUE"""),"CFS")</f>
        <v>CFS</v>
      </c>
      <c r="F224" s="45" t="str">
        <f ca="1">IFERROR(__xludf.DUMMYFUNCTION("""COMPUTED_VALUE"""),"MAS AMITY PTE LTD")</f>
        <v>MAS AMITY PTE LTD</v>
      </c>
      <c r="G224" s="45" t="str">
        <f ca="1">IFERROR(__xludf.DUMMYFUNCTION("""COMPUTED_VALUE"""),"MAS Active(Pvt) Ltd – CONTOURLINE")</f>
        <v>MAS Active(Pvt) Ltd – CONTOURLINE</v>
      </c>
      <c r="H224" s="43">
        <f ca="1">IFERROR(__xludf.DUMMYFUNCTION("""COMPUTED_VALUE"""),454776032834)</f>
        <v>454776032834</v>
      </c>
      <c r="I224" s="45">
        <f ca="1">IFERROR(__xludf.DUMMYFUNCTION("""COMPUTED_VALUE"""),19926262)</f>
        <v>19926262</v>
      </c>
      <c r="J224" s="45" t="str">
        <f ca="1">IFERROR(__xludf.DUMMYFUNCTION("""COMPUTED_VALUE"""),"LW2EB3S")</f>
        <v>LW2EB3S</v>
      </c>
      <c r="K224" s="45" t="str">
        <f ca="1">IFERROR(__xludf.DUMMYFUNCTION("""COMPUTED_VALUE"""),"LW2EB3S-071200")</f>
        <v>LW2EB3S-071200</v>
      </c>
      <c r="L224" s="45">
        <f ca="1">IFERROR(__xludf.DUMMYFUNCTION("""COMPUTED_VALUE"""),1)</f>
        <v>1</v>
      </c>
      <c r="M224" s="45">
        <f ca="1">IFERROR(__xludf.DUMMYFUNCTION("""COMPUTED_VALUE"""),60)</f>
        <v>60</v>
      </c>
      <c r="N224" s="45">
        <f ca="1">IFERROR(__xludf.DUMMYFUNCTION("""COMPUTED_VALUE"""),7.771)</f>
        <v>7.7709999999999999</v>
      </c>
      <c r="O224" s="45">
        <f ca="1">IFERROR(__xludf.DUMMYFUNCTION("""COMPUTED_VALUE"""),0.079)</f>
        <v>7.9000000000000001E-2</v>
      </c>
      <c r="P224" s="45" t="str">
        <f ca="1">IFERROR(__xludf.DUMMYFUNCTION("""COMPUTED_VALUE"""),"Colombo, LK")</f>
        <v>Colombo, LK</v>
      </c>
      <c r="Q224" s="45" t="str">
        <f ca="1">IFERROR(__xludf.DUMMYFUNCTION("""COMPUTED_VALUE"""),"Rotterdam, NL")</f>
        <v>Rotterdam, NL</v>
      </c>
      <c r="R224" s="44">
        <f ca="1">IFERROR(__xludf.DUMMYFUNCTION("""COMPUTED_VALUE"""),45824)</f>
        <v>45824</v>
      </c>
      <c r="S224" s="44">
        <f ca="1">IFERROR(__xludf.DUMMYFUNCTION("""COMPUTED_VALUE"""),45878)</f>
        <v>45878</v>
      </c>
      <c r="T224" s="45" t="str">
        <f ca="1">IFERROR(__xludf.DUMMYFUNCTION("""COMPUTED_VALUE"""),"Rotterdam, NL")</f>
        <v>Rotterdam, NL</v>
      </c>
      <c r="U224" s="45"/>
      <c r="V224" s="45"/>
      <c r="W224" s="45"/>
      <c r="X224" s="45"/>
      <c r="Y224" s="46">
        <f ca="1">IFERROR(__xludf.DUMMYFUNCTION("""COMPUTED_VALUE"""),45831)</f>
        <v>45831</v>
      </c>
      <c r="Z224" s="46">
        <f ca="1">IFERROR(__xludf.DUMMYFUNCTION("""COMPUTED_VALUE"""),45852)</f>
        <v>45852</v>
      </c>
      <c r="AA224" s="46">
        <f ca="1">IFERROR(__xludf.DUMMYFUNCTION("""COMPUTED_VALUE"""),45859)</f>
        <v>45859</v>
      </c>
      <c r="AB224" s="45" t="str">
        <f ca="1">IFERROR(__xludf.DUMMYFUNCTION("""COMPUTED_VALUE"""),"Conradweg 26")</f>
        <v>Conradweg 26</v>
      </c>
      <c r="AC224" s="45"/>
      <c r="AD224" s="45" t="str">
        <f ca="1">IFERROR(__xludf.DUMMYFUNCTION("""COMPUTED_VALUE"""),"OCEAN")</f>
        <v>OCEAN</v>
      </c>
      <c r="AE224" s="45" t="str">
        <f ca="1">IFERROR(__xludf.DUMMYFUNCTION("""COMPUTED_VALUE"""),"N")</f>
        <v>N</v>
      </c>
      <c r="AF224" s="45"/>
      <c r="AG224" s="49" t="str">
        <f ca="1">IFERROR(__xludf.DUMMYFUNCTION("IFNA(vlookup(H224,IMPORTRANGE(""1vUGwO1n0QQGx9kKbO0_M5gmuhXZ6-LaxQxgrmJnzgP0"",""'TP# look up'!A:C""),3,0),"""")"),"")</f>
        <v/>
      </c>
      <c r="AH224" s="49" t="str">
        <f t="shared" ca="1" si="3"/>
        <v>LW</v>
      </c>
    </row>
    <row r="225" spans="1:34" ht="12.75">
      <c r="A225" s="45" t="str">
        <f ca="1">IFERROR(__xludf.DUMMYFUNCTION("""COMPUTED_VALUE"""),"Colombo")</f>
        <v>Colombo</v>
      </c>
      <c r="B225" s="45"/>
      <c r="C225" s="45">
        <f ca="1">IFERROR(__xludf.DUMMYFUNCTION("""COMPUTED_VALUE"""),3254120)</f>
        <v>3254120</v>
      </c>
      <c r="D225" s="45"/>
      <c r="E225" s="45" t="str">
        <f ca="1">IFERROR(__xludf.DUMMYFUNCTION("""COMPUTED_VALUE"""),"CFS")</f>
        <v>CFS</v>
      </c>
      <c r="F225" s="45" t="str">
        <f ca="1">IFERROR(__xludf.DUMMYFUNCTION("""COMPUTED_VALUE"""),"MAS AMITY PTE LTD")</f>
        <v>MAS AMITY PTE LTD</v>
      </c>
      <c r="G225" s="45" t="str">
        <f ca="1">IFERROR(__xludf.DUMMYFUNCTION("""COMPUTED_VALUE"""),"MAS Fabrics (Pvt) Ltd Intimo")</f>
        <v>MAS Fabrics (Pvt) Ltd Intimo</v>
      </c>
      <c r="H225" s="43">
        <f ca="1">IFERROR(__xludf.DUMMYFUNCTION("""COMPUTED_VALUE"""),454698451345)</f>
        <v>454698451345</v>
      </c>
      <c r="I225" s="45">
        <f ca="1">IFERROR(__xludf.DUMMYFUNCTION("""COMPUTED_VALUE"""),19892444)</f>
        <v>19892444</v>
      </c>
      <c r="J225" s="45" t="str">
        <f ca="1">IFERROR(__xludf.DUMMYFUNCTION("""COMPUTED_VALUE"""),"LM3FG2S")</f>
        <v>LM3FG2S</v>
      </c>
      <c r="K225" s="45" t="str">
        <f ca="1">IFERROR(__xludf.DUMMYFUNCTION("""COMPUTED_VALUE"""),"LM3FG2S-071159")</f>
        <v>LM3FG2S-071159</v>
      </c>
      <c r="L225" s="45">
        <f ca="1">IFERROR(__xludf.DUMMYFUNCTION("""COMPUTED_VALUE"""),1)</f>
        <v>1</v>
      </c>
      <c r="M225" s="45">
        <f ca="1">IFERROR(__xludf.DUMMYFUNCTION("""COMPUTED_VALUE"""),20)</f>
        <v>20</v>
      </c>
      <c r="N225" s="45">
        <f ca="1">IFERROR(__xludf.DUMMYFUNCTION("""COMPUTED_VALUE"""),3.541)</f>
        <v>3.5409999999999999</v>
      </c>
      <c r="O225" s="45">
        <f ca="1">IFERROR(__xludf.DUMMYFUNCTION("""COMPUTED_VALUE"""),0.039)</f>
        <v>3.9E-2</v>
      </c>
      <c r="P225" s="45" t="str">
        <f ca="1">IFERROR(__xludf.DUMMYFUNCTION("""COMPUTED_VALUE"""),"Colombo, LK")</f>
        <v>Colombo, LK</v>
      </c>
      <c r="Q225" s="45" t="str">
        <f ca="1">IFERROR(__xludf.DUMMYFUNCTION("""COMPUTED_VALUE"""),"Rotterdam, NL")</f>
        <v>Rotterdam, NL</v>
      </c>
      <c r="R225" s="44">
        <f ca="1">IFERROR(__xludf.DUMMYFUNCTION("""COMPUTED_VALUE"""),45824)</f>
        <v>45824</v>
      </c>
      <c r="S225" s="44">
        <f ca="1">IFERROR(__xludf.DUMMYFUNCTION("""COMPUTED_VALUE"""),45878)</f>
        <v>45878</v>
      </c>
      <c r="T225" s="45" t="str">
        <f ca="1">IFERROR(__xludf.DUMMYFUNCTION("""COMPUTED_VALUE"""),"Rotterdam, NL")</f>
        <v>Rotterdam, NL</v>
      </c>
      <c r="U225" s="45"/>
      <c r="V225" s="45"/>
      <c r="W225" s="45"/>
      <c r="X225" s="45"/>
      <c r="Y225" s="46">
        <f ca="1">IFERROR(__xludf.DUMMYFUNCTION("""COMPUTED_VALUE"""),45831)</f>
        <v>45831</v>
      </c>
      <c r="Z225" s="46">
        <f ca="1">IFERROR(__xludf.DUMMYFUNCTION("""COMPUTED_VALUE"""),45852)</f>
        <v>45852</v>
      </c>
      <c r="AA225" s="46">
        <f ca="1">IFERROR(__xludf.DUMMYFUNCTION("""COMPUTED_VALUE"""),45859)</f>
        <v>45859</v>
      </c>
      <c r="AB225" s="45" t="str">
        <f ca="1">IFERROR(__xludf.DUMMYFUNCTION("""COMPUTED_VALUE"""),"Conradweg 26")</f>
        <v>Conradweg 26</v>
      </c>
      <c r="AC225" s="45"/>
      <c r="AD225" s="45" t="str">
        <f ca="1">IFERROR(__xludf.DUMMYFUNCTION("""COMPUTED_VALUE"""),"OCEAN")</f>
        <v>OCEAN</v>
      </c>
      <c r="AE225" s="45" t="str">
        <f ca="1">IFERROR(__xludf.DUMMYFUNCTION("""COMPUTED_VALUE"""),"N")</f>
        <v>N</v>
      </c>
      <c r="AF225" s="45"/>
      <c r="AG225" s="49" t="str">
        <f ca="1">IFERROR(__xludf.DUMMYFUNCTION("IFNA(vlookup(H225,IMPORTRANGE(""1vUGwO1n0QQGx9kKbO0_M5gmuhXZ6-LaxQxgrmJnzgP0"",""'TP# look up'!A:C""),3,0),"""")"),"")</f>
        <v/>
      </c>
      <c r="AH225" s="49" t="str">
        <f t="shared" ca="1" si="3"/>
        <v>LM</v>
      </c>
    </row>
    <row r="226" spans="1:34" ht="12.75">
      <c r="A226" s="45" t="str">
        <f ca="1">IFERROR(__xludf.DUMMYFUNCTION("""COMPUTED_VALUE"""),"Colombo")</f>
        <v>Colombo</v>
      </c>
      <c r="B226" s="45"/>
      <c r="C226" s="45">
        <f ca="1">IFERROR(__xludf.DUMMYFUNCTION("""COMPUTED_VALUE"""),3254120)</f>
        <v>3254120</v>
      </c>
      <c r="D226" s="45"/>
      <c r="E226" s="45" t="str">
        <f ca="1">IFERROR(__xludf.DUMMYFUNCTION("""COMPUTED_VALUE"""),"CFS")</f>
        <v>CFS</v>
      </c>
      <c r="F226" s="45" t="str">
        <f ca="1">IFERROR(__xludf.DUMMYFUNCTION("""COMPUTED_VALUE"""),"MAS AMITY PTE LTD")</f>
        <v>MAS AMITY PTE LTD</v>
      </c>
      <c r="G226" s="45" t="str">
        <f ca="1">IFERROR(__xludf.DUMMYFUNCTION("""COMPUTED_VALUE"""),"MAS Fabrics (Pvt) Ltd Intimo")</f>
        <v>MAS Fabrics (Pvt) Ltd Intimo</v>
      </c>
      <c r="H226" s="43">
        <f ca="1">IFERROR(__xludf.DUMMYFUNCTION("""COMPUTED_VALUE"""),454698628078)</f>
        <v>454698628078</v>
      </c>
      <c r="I226" s="45">
        <f ca="1">IFERROR(__xludf.DUMMYFUNCTION("""COMPUTED_VALUE"""),19892445)</f>
        <v>19892445</v>
      </c>
      <c r="J226" s="45" t="str">
        <f ca="1">IFERROR(__xludf.DUMMYFUNCTION("""COMPUTED_VALUE"""),"LM3FG2S")</f>
        <v>LM3FG2S</v>
      </c>
      <c r="K226" s="45" t="str">
        <f ca="1">IFERROR(__xludf.DUMMYFUNCTION("""COMPUTED_VALUE"""),"LM3FG2S-071157")</f>
        <v>LM3FG2S-071157</v>
      </c>
      <c r="L226" s="45">
        <f ca="1">IFERROR(__xludf.DUMMYFUNCTION("""COMPUTED_VALUE"""),1)</f>
        <v>1</v>
      </c>
      <c r="M226" s="45">
        <f ca="1">IFERROR(__xludf.DUMMYFUNCTION("""COMPUTED_VALUE"""),20)</f>
        <v>20</v>
      </c>
      <c r="N226" s="45">
        <f ca="1">IFERROR(__xludf.DUMMYFUNCTION("""COMPUTED_VALUE"""),3.541)</f>
        <v>3.5409999999999999</v>
      </c>
      <c r="O226" s="45">
        <f ca="1">IFERROR(__xludf.DUMMYFUNCTION("""COMPUTED_VALUE"""),0.039)</f>
        <v>3.9E-2</v>
      </c>
      <c r="P226" s="45" t="str">
        <f ca="1">IFERROR(__xludf.DUMMYFUNCTION("""COMPUTED_VALUE"""),"Colombo, LK")</f>
        <v>Colombo, LK</v>
      </c>
      <c r="Q226" s="45" t="str">
        <f ca="1">IFERROR(__xludf.DUMMYFUNCTION("""COMPUTED_VALUE"""),"Rotterdam, NL")</f>
        <v>Rotterdam, NL</v>
      </c>
      <c r="R226" s="44">
        <f ca="1">IFERROR(__xludf.DUMMYFUNCTION("""COMPUTED_VALUE"""),45824)</f>
        <v>45824</v>
      </c>
      <c r="S226" s="44">
        <f ca="1">IFERROR(__xludf.DUMMYFUNCTION("""COMPUTED_VALUE"""),45878)</f>
        <v>45878</v>
      </c>
      <c r="T226" s="45" t="str">
        <f ca="1">IFERROR(__xludf.DUMMYFUNCTION("""COMPUTED_VALUE"""),"Rotterdam, NL")</f>
        <v>Rotterdam, NL</v>
      </c>
      <c r="U226" s="45"/>
      <c r="V226" s="45"/>
      <c r="W226" s="45"/>
      <c r="X226" s="45"/>
      <c r="Y226" s="46">
        <f ca="1">IFERROR(__xludf.DUMMYFUNCTION("""COMPUTED_VALUE"""),45831)</f>
        <v>45831</v>
      </c>
      <c r="Z226" s="46">
        <f ca="1">IFERROR(__xludf.DUMMYFUNCTION("""COMPUTED_VALUE"""),45852)</f>
        <v>45852</v>
      </c>
      <c r="AA226" s="46">
        <f ca="1">IFERROR(__xludf.DUMMYFUNCTION("""COMPUTED_VALUE"""),45859)</f>
        <v>45859</v>
      </c>
      <c r="AB226" s="45" t="str">
        <f ca="1">IFERROR(__xludf.DUMMYFUNCTION("""COMPUTED_VALUE"""),"Conradweg 26")</f>
        <v>Conradweg 26</v>
      </c>
      <c r="AC226" s="45"/>
      <c r="AD226" s="45" t="str">
        <f ca="1">IFERROR(__xludf.DUMMYFUNCTION("""COMPUTED_VALUE"""),"OCEAN")</f>
        <v>OCEAN</v>
      </c>
      <c r="AE226" s="45" t="str">
        <f ca="1">IFERROR(__xludf.DUMMYFUNCTION("""COMPUTED_VALUE"""),"N")</f>
        <v>N</v>
      </c>
      <c r="AF226" s="45"/>
      <c r="AG226" s="49" t="str">
        <f ca="1">IFERROR(__xludf.DUMMYFUNCTION("IFNA(vlookup(H226,IMPORTRANGE(""1vUGwO1n0QQGx9kKbO0_M5gmuhXZ6-LaxQxgrmJnzgP0"",""'TP# look up'!A:C""),3,0),"""")"),"")</f>
        <v/>
      </c>
      <c r="AH226" s="49" t="str">
        <f t="shared" ca="1" si="3"/>
        <v>LM</v>
      </c>
    </row>
    <row r="227" spans="1:34" ht="12.75">
      <c r="A227" s="45" t="str">
        <f ca="1">IFERROR(__xludf.DUMMYFUNCTION("""COMPUTED_VALUE"""),"Colombo")</f>
        <v>Colombo</v>
      </c>
      <c r="B227" s="45"/>
      <c r="C227" s="45">
        <f ca="1">IFERROR(__xludf.DUMMYFUNCTION("""COMPUTED_VALUE"""),3254120)</f>
        <v>3254120</v>
      </c>
      <c r="D227" s="45"/>
      <c r="E227" s="45" t="str">
        <f ca="1">IFERROR(__xludf.DUMMYFUNCTION("""COMPUTED_VALUE"""),"CFS")</f>
        <v>CFS</v>
      </c>
      <c r="F227" s="45" t="str">
        <f ca="1">IFERROR(__xludf.DUMMYFUNCTION("""COMPUTED_VALUE"""),"Inqube Global (PVT) Ltd")</f>
        <v>Inqube Global (PVT) Ltd</v>
      </c>
      <c r="G227" s="45" t="str">
        <f ca="1">IFERROR(__xludf.DUMMYFUNCTION("""COMPUTED_VALUE"""),"Quantum Clothing Lanka (Pvt) Ltd")</f>
        <v>Quantum Clothing Lanka (Pvt) Ltd</v>
      </c>
      <c r="H227" s="43">
        <f ca="1">IFERROR(__xludf.DUMMYFUNCTION("""COMPUTED_VALUE"""),452036246851)</f>
        <v>452036246851</v>
      </c>
      <c r="I227" s="45">
        <f ca="1">IFERROR(__xludf.DUMMYFUNCTION("""COMPUTED_VALUE"""),19802402)</f>
        <v>19802402</v>
      </c>
      <c r="J227" s="45" t="str">
        <f ca="1">IFERROR(__xludf.DUMMYFUNCTION("""COMPUTED_VALUE"""),"LW2EC1S")</f>
        <v>LW2EC1S</v>
      </c>
      <c r="K227" s="45" t="str">
        <f ca="1">IFERROR(__xludf.DUMMYFUNCTION("""COMPUTED_VALUE"""),"LW2EC1S-069122")</f>
        <v>LW2EC1S-069122</v>
      </c>
      <c r="L227" s="45">
        <f ca="1">IFERROR(__xludf.DUMMYFUNCTION("""COMPUTED_VALUE"""),5)</f>
        <v>5</v>
      </c>
      <c r="M227" s="45">
        <f ca="1">IFERROR(__xludf.DUMMYFUNCTION("""COMPUTED_VALUE"""),30)</f>
        <v>30</v>
      </c>
      <c r="N227" s="45">
        <f ca="1">IFERROR(__xludf.DUMMYFUNCTION("""COMPUTED_VALUE"""),14.518)</f>
        <v>14.518000000000001</v>
      </c>
      <c r="O227" s="45">
        <f ca="1">IFERROR(__xludf.DUMMYFUNCTION("""COMPUTED_VALUE"""),0.42)</f>
        <v>0.42</v>
      </c>
      <c r="P227" s="45" t="str">
        <f ca="1">IFERROR(__xludf.DUMMYFUNCTION("""COMPUTED_VALUE"""),"Colombo, LK")</f>
        <v>Colombo, LK</v>
      </c>
      <c r="Q227" s="45" t="str">
        <f ca="1">IFERROR(__xludf.DUMMYFUNCTION("""COMPUTED_VALUE"""),"Rotterdam, NL")</f>
        <v>Rotterdam, NL</v>
      </c>
      <c r="R227" s="44">
        <f ca="1">IFERROR(__xludf.DUMMYFUNCTION("""COMPUTED_VALUE"""),45824)</f>
        <v>45824</v>
      </c>
      <c r="S227" s="44">
        <f ca="1">IFERROR(__xludf.DUMMYFUNCTION("""COMPUTED_VALUE"""),45878)</f>
        <v>45878</v>
      </c>
      <c r="T227" s="45" t="str">
        <f ca="1">IFERROR(__xludf.DUMMYFUNCTION("""COMPUTED_VALUE"""),"Rotterdam, NL")</f>
        <v>Rotterdam, NL</v>
      </c>
      <c r="U227" s="45"/>
      <c r="V227" s="45"/>
      <c r="W227" s="45"/>
      <c r="X227" s="45"/>
      <c r="Y227" s="46">
        <f ca="1">IFERROR(__xludf.DUMMYFUNCTION("""COMPUTED_VALUE"""),45831)</f>
        <v>45831</v>
      </c>
      <c r="Z227" s="46">
        <f ca="1">IFERROR(__xludf.DUMMYFUNCTION("""COMPUTED_VALUE"""),45852)</f>
        <v>45852</v>
      </c>
      <c r="AA227" s="46">
        <f ca="1">IFERROR(__xludf.DUMMYFUNCTION("""COMPUTED_VALUE"""),45859)</f>
        <v>45859</v>
      </c>
      <c r="AB227" s="45" t="str">
        <f ca="1">IFERROR(__xludf.DUMMYFUNCTION("""COMPUTED_VALUE"""),"Conradweg 26")</f>
        <v>Conradweg 26</v>
      </c>
      <c r="AC227" s="45"/>
      <c r="AD227" s="45" t="str">
        <f ca="1">IFERROR(__xludf.DUMMYFUNCTION("""COMPUTED_VALUE"""),"OCEAN")</f>
        <v>OCEAN</v>
      </c>
      <c r="AE227" s="45" t="str">
        <f ca="1">IFERROR(__xludf.DUMMYFUNCTION("""COMPUTED_VALUE"""),"N")</f>
        <v>N</v>
      </c>
      <c r="AF227" s="45"/>
      <c r="AG227" s="49" t="str">
        <f ca="1">IFERROR(__xludf.DUMMYFUNCTION("IFNA(vlookup(H227,IMPORTRANGE(""1vUGwO1n0QQGx9kKbO0_M5gmuhXZ6-LaxQxgrmJnzgP0"",""'TP# look up'!A:C""),3,0),"""")"),"")</f>
        <v/>
      </c>
      <c r="AH227" s="49" t="str">
        <f t="shared" ca="1" si="3"/>
        <v>LW</v>
      </c>
    </row>
    <row r="228" spans="1:34" ht="12.75">
      <c r="A228" s="45" t="str">
        <f ca="1">IFERROR(__xludf.DUMMYFUNCTION("""COMPUTED_VALUE"""),"Colombo")</f>
        <v>Colombo</v>
      </c>
      <c r="B228" s="45"/>
      <c r="C228" s="45">
        <f ca="1">IFERROR(__xludf.DUMMYFUNCTION("""COMPUTED_VALUE"""),3254120)</f>
        <v>3254120</v>
      </c>
      <c r="D228" s="45"/>
      <c r="E228" s="45" t="str">
        <f ca="1">IFERROR(__xludf.DUMMYFUNCTION("""COMPUTED_VALUE"""),"CFS")</f>
        <v>CFS</v>
      </c>
      <c r="F228" s="45" t="str">
        <f ca="1">IFERROR(__xludf.DUMMYFUNCTION("""COMPUTED_VALUE"""),"Inqube Global (PVT) Ltd")</f>
        <v>Inqube Global (PVT) Ltd</v>
      </c>
      <c r="G228" s="45" t="str">
        <f ca="1">IFERROR(__xludf.DUMMYFUNCTION("""COMPUTED_VALUE"""),"Quantum Clothing Lanka (Pvt) Ltd")</f>
        <v>Quantum Clothing Lanka (Pvt) Ltd</v>
      </c>
      <c r="H228" s="43">
        <f ca="1">IFERROR(__xludf.DUMMYFUNCTION("""COMPUTED_VALUE"""),452093818718)</f>
        <v>452093818718</v>
      </c>
      <c r="I228" s="45">
        <f ca="1">IFERROR(__xludf.DUMMYFUNCTION("""COMPUTED_VALUE"""),19855237)</f>
        <v>19855237</v>
      </c>
      <c r="J228" s="45" t="str">
        <f ca="1">IFERROR(__xludf.DUMMYFUNCTION("""COMPUTED_VALUE"""),"LW9FMPS")</f>
        <v>LW9FMPS</v>
      </c>
      <c r="K228" s="45" t="str">
        <f ca="1">IFERROR(__xludf.DUMMYFUNCTION("""COMPUTED_VALUE"""),"LW9FMPS-0001")</f>
        <v>LW9FMPS-0001</v>
      </c>
      <c r="L228" s="45">
        <f ca="1">IFERROR(__xludf.DUMMYFUNCTION("""COMPUTED_VALUE"""),1)</f>
        <v>1</v>
      </c>
      <c r="M228" s="45">
        <f ca="1">IFERROR(__xludf.DUMMYFUNCTION("""COMPUTED_VALUE"""),185)</f>
        <v>185</v>
      </c>
      <c r="N228" s="45">
        <f ca="1">IFERROR(__xludf.DUMMYFUNCTION("""COMPUTED_VALUE"""),7.964)</f>
        <v>7.9640000000000004</v>
      </c>
      <c r="O228" s="45">
        <f ca="1">IFERROR(__xludf.DUMMYFUNCTION("""COMPUTED_VALUE"""),0.079)</f>
        <v>7.9000000000000001E-2</v>
      </c>
      <c r="P228" s="45" t="str">
        <f ca="1">IFERROR(__xludf.DUMMYFUNCTION("""COMPUTED_VALUE"""),"Colombo, LK")</f>
        <v>Colombo, LK</v>
      </c>
      <c r="Q228" s="45" t="str">
        <f ca="1">IFERROR(__xludf.DUMMYFUNCTION("""COMPUTED_VALUE"""),"Rotterdam, NL")</f>
        <v>Rotterdam, NL</v>
      </c>
      <c r="R228" s="44">
        <f ca="1">IFERROR(__xludf.DUMMYFUNCTION("""COMPUTED_VALUE"""),45824)</f>
        <v>45824</v>
      </c>
      <c r="S228" s="44">
        <f ca="1">IFERROR(__xludf.DUMMYFUNCTION("""COMPUTED_VALUE"""),45878)</f>
        <v>45878</v>
      </c>
      <c r="T228" s="45" t="str">
        <f ca="1">IFERROR(__xludf.DUMMYFUNCTION("""COMPUTED_VALUE"""),"Rotterdam, NL")</f>
        <v>Rotterdam, NL</v>
      </c>
      <c r="U228" s="45"/>
      <c r="V228" s="45"/>
      <c r="W228" s="45"/>
      <c r="X228" s="45"/>
      <c r="Y228" s="46">
        <f ca="1">IFERROR(__xludf.DUMMYFUNCTION("""COMPUTED_VALUE"""),45831)</f>
        <v>45831</v>
      </c>
      <c r="Z228" s="46">
        <f ca="1">IFERROR(__xludf.DUMMYFUNCTION("""COMPUTED_VALUE"""),45852)</f>
        <v>45852</v>
      </c>
      <c r="AA228" s="46">
        <f ca="1">IFERROR(__xludf.DUMMYFUNCTION("""COMPUTED_VALUE"""),45859)</f>
        <v>45859</v>
      </c>
      <c r="AB228" s="45" t="str">
        <f ca="1">IFERROR(__xludf.DUMMYFUNCTION("""COMPUTED_VALUE"""),"Conradweg 26")</f>
        <v>Conradweg 26</v>
      </c>
      <c r="AC228" s="45"/>
      <c r="AD228" s="45" t="str">
        <f ca="1">IFERROR(__xludf.DUMMYFUNCTION("""COMPUTED_VALUE"""),"OCEAN")</f>
        <v>OCEAN</v>
      </c>
      <c r="AE228" s="45" t="str">
        <f ca="1">IFERROR(__xludf.DUMMYFUNCTION("""COMPUTED_VALUE"""),"N")</f>
        <v>N</v>
      </c>
      <c r="AF228" s="45"/>
      <c r="AG228" s="49" t="str">
        <f ca="1">IFERROR(__xludf.DUMMYFUNCTION("IFNA(vlookup(H228,IMPORTRANGE(""1vUGwO1n0QQGx9kKbO0_M5gmuhXZ6-LaxQxgrmJnzgP0"",""'TP# look up'!A:C""),3,0),"""")"),"")</f>
        <v/>
      </c>
      <c r="AH228" s="49" t="str">
        <f t="shared" ca="1" si="3"/>
        <v>LW</v>
      </c>
    </row>
    <row r="229" spans="1:34" ht="12.75">
      <c r="A229" s="45" t="str">
        <f ca="1">IFERROR(__xludf.DUMMYFUNCTION("""COMPUTED_VALUE"""),"Colombo")</f>
        <v>Colombo</v>
      </c>
      <c r="B229" s="45"/>
      <c r="C229" s="45">
        <f ca="1">IFERROR(__xludf.DUMMYFUNCTION("""COMPUTED_VALUE"""),3254506)</f>
        <v>3254506</v>
      </c>
      <c r="D229" s="45"/>
      <c r="E229" s="45" t="str">
        <f ca="1">IFERROR(__xludf.DUMMYFUNCTION("""COMPUTED_VALUE"""),"CFS")</f>
        <v>CFS</v>
      </c>
      <c r="F229" s="45" t="str">
        <f ca="1">IFERROR(__xludf.DUMMYFUNCTION("""COMPUTED_VALUE"""),"Inqube Global (PVT) Ltd")</f>
        <v>Inqube Global (PVT) Ltd</v>
      </c>
      <c r="G229" s="45" t="str">
        <f ca="1">IFERROR(__xludf.DUMMYFUNCTION("""COMPUTED_VALUE"""),"BRANDIX APPAREL SOLUTION LTD - GIRITALE")</f>
        <v>BRANDIX APPAREL SOLUTION LTD - GIRITALE</v>
      </c>
      <c r="H229" s="43">
        <f ca="1">IFERROR(__xludf.DUMMYFUNCTION("""COMPUTED_VALUE"""),451988861192)</f>
        <v>451988861192</v>
      </c>
      <c r="I229" s="45">
        <f ca="1">IFERROR(__xludf.DUMMYFUNCTION("""COMPUTED_VALUE"""),19855622)</f>
        <v>19855622</v>
      </c>
      <c r="J229" s="45" t="str">
        <f ca="1">IFERROR(__xludf.DUMMYFUNCTION("""COMPUTED_VALUE"""),"LM5AO4S")</f>
        <v>LM5AO4S</v>
      </c>
      <c r="K229" s="45" t="str">
        <f ca="1">IFERROR(__xludf.DUMMYFUNCTION("""COMPUTED_VALUE"""),"LM5AO4S-019222")</f>
        <v>LM5AO4S-019222</v>
      </c>
      <c r="L229" s="45">
        <f ca="1">IFERROR(__xludf.DUMMYFUNCTION("""COMPUTED_VALUE"""),7)</f>
        <v>7</v>
      </c>
      <c r="M229" s="45">
        <f ca="1">IFERROR(__xludf.DUMMYFUNCTION("""COMPUTED_VALUE"""),150)</f>
        <v>150</v>
      </c>
      <c r="N229" s="45">
        <f ca="1">IFERROR(__xludf.DUMMYFUNCTION("""COMPUTED_VALUE"""),68.66)</f>
        <v>68.66</v>
      </c>
      <c r="O229" s="45">
        <f ca="1">IFERROR(__xludf.DUMMYFUNCTION("""COMPUTED_VALUE"""),0.458)</f>
        <v>0.45800000000000002</v>
      </c>
      <c r="P229" s="45" t="str">
        <f ca="1">IFERROR(__xludf.DUMMYFUNCTION("""COMPUTED_VALUE"""),"Colombo, LK")</f>
        <v>Colombo, LK</v>
      </c>
      <c r="Q229" s="45" t="str">
        <f ca="1">IFERROR(__xludf.DUMMYFUNCTION("""COMPUTED_VALUE"""),"New York, NY, US")</f>
        <v>New York, NY, US</v>
      </c>
      <c r="R229" s="44">
        <f ca="1">IFERROR(__xludf.DUMMYFUNCTION("""COMPUTED_VALUE"""),45824)</f>
        <v>45824</v>
      </c>
      <c r="S229" s="44">
        <f ca="1">IFERROR(__xludf.DUMMYFUNCTION("""COMPUTED_VALUE"""),45883)</f>
        <v>45883</v>
      </c>
      <c r="T229" s="45" t="str">
        <f ca="1">IFERROR(__xludf.DUMMYFUNCTION("""COMPUTED_VALUE"""),"Mississauga, ON, CA")</f>
        <v>Mississauga, ON, CA</v>
      </c>
      <c r="U229" s="45"/>
      <c r="V229" s="45"/>
      <c r="W229" s="45"/>
      <c r="X229" s="45"/>
      <c r="Y229" s="46">
        <f ca="1">IFERROR(__xludf.DUMMYFUNCTION("""COMPUTED_VALUE"""),45832)</f>
        <v>45832</v>
      </c>
      <c r="Z229" s="46">
        <f ca="1">IFERROR(__xludf.DUMMYFUNCTION("""COMPUTED_VALUE"""),45861)</f>
        <v>45861</v>
      </c>
      <c r="AA229" s="46">
        <f ca="1">IFERROR(__xludf.DUMMYFUNCTION("""COMPUTED_VALUE"""),45874)</f>
        <v>45874</v>
      </c>
      <c r="AB229" s="45" t="str">
        <f ca="1">IFERROR(__xludf.DUMMYFUNCTION("""COMPUTED_VALUE"""),"3500 Argentia Road")</f>
        <v>3500 Argentia Road</v>
      </c>
      <c r="AC229" s="45"/>
      <c r="AD229" s="45" t="str">
        <f ca="1">IFERROR(__xludf.DUMMYFUNCTION("""COMPUTED_VALUE"""),"OCEAN")</f>
        <v>OCEAN</v>
      </c>
      <c r="AE229" s="45" t="str">
        <f ca="1">IFERROR(__xludf.DUMMYFUNCTION("""COMPUTED_VALUE"""),"N")</f>
        <v>N</v>
      </c>
      <c r="AF229" s="45"/>
      <c r="AG229" s="49" t="str">
        <f ca="1">IFERROR(__xludf.DUMMYFUNCTION("IFNA(vlookup(H229,IMPORTRANGE(""1vUGwO1n0QQGx9kKbO0_M5gmuhXZ6-LaxQxgrmJnzgP0"",""'TP# look up'!A:C""),3,0),"""")"),"")</f>
        <v/>
      </c>
      <c r="AH229" s="49" t="str">
        <f t="shared" ca="1" si="3"/>
        <v>LM</v>
      </c>
    </row>
    <row r="230" spans="1:34" ht="12.75">
      <c r="A230" s="45" t="str">
        <f ca="1">IFERROR(__xludf.DUMMYFUNCTION("""COMPUTED_VALUE"""),"Colombo")</f>
        <v>Colombo</v>
      </c>
      <c r="B230" s="45"/>
      <c r="C230" s="45">
        <f ca="1">IFERROR(__xludf.DUMMYFUNCTION("""COMPUTED_VALUE"""),3254506)</f>
        <v>3254506</v>
      </c>
      <c r="D230" s="45"/>
      <c r="E230" s="45" t="str">
        <f ca="1">IFERROR(__xludf.DUMMYFUNCTION("""COMPUTED_VALUE"""),"CFS")</f>
        <v>CFS</v>
      </c>
      <c r="F230" s="45" t="str">
        <f ca="1">IFERROR(__xludf.DUMMYFUNCTION("""COMPUTED_VALUE"""),"Inqube Global (PVT) Ltd")</f>
        <v>Inqube Global (PVT) Ltd</v>
      </c>
      <c r="G230" s="45" t="str">
        <f ca="1">IFERROR(__xludf.DUMMYFUNCTION("""COMPUTED_VALUE"""),"BRANDIX APPAREL SOLUTION LTD - GIRITALE")</f>
        <v>BRANDIX APPAREL SOLUTION LTD - GIRITALE</v>
      </c>
      <c r="H230" s="43">
        <f ca="1">IFERROR(__xludf.DUMMYFUNCTION("""COMPUTED_VALUE"""),451989839084)</f>
        <v>451989839084</v>
      </c>
      <c r="I230" s="45">
        <f ca="1">IFERROR(__xludf.DUMMYFUNCTION("""COMPUTED_VALUE"""),19856007)</f>
        <v>19856007</v>
      </c>
      <c r="J230" s="45" t="str">
        <f ca="1">IFERROR(__xludf.DUMMYFUNCTION("""COMPUTED_VALUE"""),"LM5AQGS")</f>
        <v>LM5AQGS</v>
      </c>
      <c r="K230" s="45" t="str">
        <f ca="1">IFERROR(__xludf.DUMMYFUNCTION("""COMPUTED_VALUE"""),"LM5AQGS-070108")</f>
        <v>LM5AQGS-070108</v>
      </c>
      <c r="L230" s="45">
        <f ca="1">IFERROR(__xludf.DUMMYFUNCTION("""COMPUTED_VALUE"""),4)</f>
        <v>4</v>
      </c>
      <c r="M230" s="45">
        <f ca="1">IFERROR(__xludf.DUMMYFUNCTION("""COMPUTED_VALUE"""),69)</f>
        <v>69</v>
      </c>
      <c r="N230" s="45">
        <f ca="1">IFERROR(__xludf.DUMMYFUNCTION("""COMPUTED_VALUE"""),31.39)</f>
        <v>31.39</v>
      </c>
      <c r="O230" s="45">
        <f ca="1">IFERROR(__xludf.DUMMYFUNCTION("""COMPUTED_VALUE"""),0.21)</f>
        <v>0.21</v>
      </c>
      <c r="P230" s="45" t="str">
        <f ca="1">IFERROR(__xludf.DUMMYFUNCTION("""COMPUTED_VALUE"""),"Colombo, LK")</f>
        <v>Colombo, LK</v>
      </c>
      <c r="Q230" s="45" t="str">
        <f ca="1">IFERROR(__xludf.DUMMYFUNCTION("""COMPUTED_VALUE"""),"New York, NY, US")</f>
        <v>New York, NY, US</v>
      </c>
      <c r="R230" s="44">
        <f ca="1">IFERROR(__xludf.DUMMYFUNCTION("""COMPUTED_VALUE"""),45824)</f>
        <v>45824</v>
      </c>
      <c r="S230" s="44">
        <f ca="1">IFERROR(__xludf.DUMMYFUNCTION("""COMPUTED_VALUE"""),45883)</f>
        <v>45883</v>
      </c>
      <c r="T230" s="45" t="str">
        <f ca="1">IFERROR(__xludf.DUMMYFUNCTION("""COMPUTED_VALUE"""),"Mississauga, ON, CA")</f>
        <v>Mississauga, ON, CA</v>
      </c>
      <c r="U230" s="45"/>
      <c r="V230" s="45"/>
      <c r="W230" s="45"/>
      <c r="X230" s="45"/>
      <c r="Y230" s="46">
        <f ca="1">IFERROR(__xludf.DUMMYFUNCTION("""COMPUTED_VALUE"""),45832)</f>
        <v>45832</v>
      </c>
      <c r="Z230" s="46">
        <f ca="1">IFERROR(__xludf.DUMMYFUNCTION("""COMPUTED_VALUE"""),45861)</f>
        <v>45861</v>
      </c>
      <c r="AA230" s="46">
        <f ca="1">IFERROR(__xludf.DUMMYFUNCTION("""COMPUTED_VALUE"""),45874)</f>
        <v>45874</v>
      </c>
      <c r="AB230" s="45" t="str">
        <f ca="1">IFERROR(__xludf.DUMMYFUNCTION("""COMPUTED_VALUE"""),"3500 Argentia Road")</f>
        <v>3500 Argentia Road</v>
      </c>
      <c r="AC230" s="45"/>
      <c r="AD230" s="45" t="str">
        <f ca="1">IFERROR(__xludf.DUMMYFUNCTION("""COMPUTED_VALUE"""),"OCEAN")</f>
        <v>OCEAN</v>
      </c>
      <c r="AE230" s="45" t="str">
        <f ca="1">IFERROR(__xludf.DUMMYFUNCTION("""COMPUTED_VALUE"""),"N")</f>
        <v>N</v>
      </c>
      <c r="AF230" s="45"/>
      <c r="AG230" s="49" t="str">
        <f ca="1">IFERROR(__xludf.DUMMYFUNCTION("IFNA(vlookup(H230,IMPORTRANGE(""1vUGwO1n0QQGx9kKbO0_M5gmuhXZ6-LaxQxgrmJnzgP0"",""'TP# look up'!A:C""),3,0),"""")"),"")</f>
        <v/>
      </c>
      <c r="AH230" s="49" t="str">
        <f t="shared" ca="1" si="3"/>
        <v>LM</v>
      </c>
    </row>
    <row r="231" spans="1:34" ht="12.75">
      <c r="A231" s="45" t="str">
        <f ca="1">IFERROR(__xludf.DUMMYFUNCTION("""COMPUTED_VALUE"""),"Colombo")</f>
        <v>Colombo</v>
      </c>
      <c r="B231" s="45"/>
      <c r="C231" s="45">
        <f ca="1">IFERROR(__xludf.DUMMYFUNCTION("""COMPUTED_VALUE"""),3254506)</f>
        <v>3254506</v>
      </c>
      <c r="D231" s="45"/>
      <c r="E231" s="45" t="str">
        <f ca="1">IFERROR(__xludf.DUMMYFUNCTION("""COMPUTED_VALUE"""),"CFS")</f>
        <v>CFS</v>
      </c>
      <c r="F231" s="45" t="str">
        <f ca="1">IFERROR(__xludf.DUMMYFUNCTION("""COMPUTED_VALUE"""),"Inqube Global (PVT) Ltd")</f>
        <v>Inqube Global (PVT) Ltd</v>
      </c>
      <c r="G231" s="45" t="str">
        <f ca="1">IFERROR(__xludf.DUMMYFUNCTION("""COMPUTED_VALUE"""),"BRANDIX APPAREL SOLUTION LTD - GIRITALE")</f>
        <v>BRANDIX APPAREL SOLUTION LTD - GIRITALE</v>
      </c>
      <c r="H231" s="43">
        <f ca="1">IFERROR(__xludf.DUMMYFUNCTION("""COMPUTED_VALUE"""),451995535808)</f>
        <v>451995535808</v>
      </c>
      <c r="I231" s="45">
        <f ca="1">IFERROR(__xludf.DUMMYFUNCTION("""COMPUTED_VALUE"""),19856119)</f>
        <v>19856119</v>
      </c>
      <c r="J231" s="45" t="str">
        <f ca="1">IFERROR(__xludf.DUMMYFUNCTION("""COMPUTED_VALUE"""),"LM5AQXS")</f>
        <v>LM5AQXS</v>
      </c>
      <c r="K231" s="45" t="str">
        <f ca="1">IFERROR(__xludf.DUMMYFUNCTION("""COMPUTED_VALUE"""),"LM5AQXS-019222")</f>
        <v>LM5AQXS-019222</v>
      </c>
      <c r="L231" s="45">
        <f ca="1">IFERROR(__xludf.DUMMYFUNCTION("""COMPUTED_VALUE"""),8)</f>
        <v>8</v>
      </c>
      <c r="M231" s="45">
        <f ca="1">IFERROR(__xludf.DUMMYFUNCTION("""COMPUTED_VALUE"""),223)</f>
        <v>223</v>
      </c>
      <c r="N231" s="45">
        <f ca="1">IFERROR(__xludf.DUMMYFUNCTION("""COMPUTED_VALUE"""),89.15)</f>
        <v>89.15</v>
      </c>
      <c r="O231" s="45">
        <f ca="1">IFERROR(__xludf.DUMMYFUNCTION("""COMPUTED_VALUE"""),0.54)</f>
        <v>0.54</v>
      </c>
      <c r="P231" s="45" t="str">
        <f ca="1">IFERROR(__xludf.DUMMYFUNCTION("""COMPUTED_VALUE"""),"Colombo, LK")</f>
        <v>Colombo, LK</v>
      </c>
      <c r="Q231" s="45" t="str">
        <f ca="1">IFERROR(__xludf.DUMMYFUNCTION("""COMPUTED_VALUE"""),"New York, NY, US")</f>
        <v>New York, NY, US</v>
      </c>
      <c r="R231" s="44">
        <f ca="1">IFERROR(__xludf.DUMMYFUNCTION("""COMPUTED_VALUE"""),45824)</f>
        <v>45824</v>
      </c>
      <c r="S231" s="44">
        <f ca="1">IFERROR(__xludf.DUMMYFUNCTION("""COMPUTED_VALUE"""),45883)</f>
        <v>45883</v>
      </c>
      <c r="T231" s="45" t="str">
        <f ca="1">IFERROR(__xludf.DUMMYFUNCTION("""COMPUTED_VALUE"""),"Mississauga, ON, CA")</f>
        <v>Mississauga, ON, CA</v>
      </c>
      <c r="U231" s="45"/>
      <c r="V231" s="45"/>
      <c r="W231" s="45"/>
      <c r="X231" s="45"/>
      <c r="Y231" s="46">
        <f ca="1">IFERROR(__xludf.DUMMYFUNCTION("""COMPUTED_VALUE"""),45832)</f>
        <v>45832</v>
      </c>
      <c r="Z231" s="46">
        <f ca="1">IFERROR(__xludf.DUMMYFUNCTION("""COMPUTED_VALUE"""),45861)</f>
        <v>45861</v>
      </c>
      <c r="AA231" s="46">
        <f ca="1">IFERROR(__xludf.DUMMYFUNCTION("""COMPUTED_VALUE"""),45874)</f>
        <v>45874</v>
      </c>
      <c r="AB231" s="45" t="str">
        <f ca="1">IFERROR(__xludf.DUMMYFUNCTION("""COMPUTED_VALUE"""),"3500 Argentia Road")</f>
        <v>3500 Argentia Road</v>
      </c>
      <c r="AC231" s="45"/>
      <c r="AD231" s="45" t="str">
        <f ca="1">IFERROR(__xludf.DUMMYFUNCTION("""COMPUTED_VALUE"""),"OCEAN")</f>
        <v>OCEAN</v>
      </c>
      <c r="AE231" s="45" t="str">
        <f ca="1">IFERROR(__xludf.DUMMYFUNCTION("""COMPUTED_VALUE"""),"N")</f>
        <v>N</v>
      </c>
      <c r="AF231" s="45"/>
      <c r="AG231" s="49" t="str">
        <f ca="1">IFERROR(__xludf.DUMMYFUNCTION("IFNA(vlookup(H231,IMPORTRANGE(""1vUGwO1n0QQGx9kKbO0_M5gmuhXZ6-LaxQxgrmJnzgP0"",""'TP# look up'!A:C""),3,0),"""")"),"")</f>
        <v/>
      </c>
      <c r="AH231" s="49" t="str">
        <f t="shared" ca="1" si="3"/>
        <v>LM</v>
      </c>
    </row>
    <row r="232" spans="1:34" ht="12.75">
      <c r="A232" s="45" t="str">
        <f ca="1">IFERROR(__xludf.DUMMYFUNCTION("""COMPUTED_VALUE"""),"Colombo")</f>
        <v>Colombo</v>
      </c>
      <c r="B232" s="45"/>
      <c r="C232" s="45">
        <f ca="1">IFERROR(__xludf.DUMMYFUNCTION("""COMPUTED_VALUE"""),3254506)</f>
        <v>3254506</v>
      </c>
      <c r="D232" s="45"/>
      <c r="E232" s="45" t="str">
        <f ca="1">IFERROR(__xludf.DUMMYFUNCTION("""COMPUTED_VALUE"""),"CFS")</f>
        <v>CFS</v>
      </c>
      <c r="F232" s="45" t="str">
        <f ca="1">IFERROR(__xludf.DUMMYFUNCTION("""COMPUTED_VALUE"""),"Inqube Global (PVT) Ltd")</f>
        <v>Inqube Global (PVT) Ltd</v>
      </c>
      <c r="G232" s="45" t="str">
        <f ca="1">IFERROR(__xludf.DUMMYFUNCTION("""COMPUTED_VALUE"""),"BRANDIX APPAREL SOLUTION LTD - GIRITALE")</f>
        <v>BRANDIX APPAREL SOLUTION LTD - GIRITALE</v>
      </c>
      <c r="H232" s="43">
        <f ca="1">IFERROR(__xludf.DUMMYFUNCTION("""COMPUTED_VALUE"""),452504526441)</f>
        <v>452504526441</v>
      </c>
      <c r="I232" s="45">
        <f ca="1">IFERROR(__xludf.DUMMYFUNCTION("""COMPUTED_VALUE"""),19855598)</f>
        <v>19855598</v>
      </c>
      <c r="J232" s="45" t="str">
        <f ca="1">IFERROR(__xludf.DUMMYFUNCTION("""COMPUTED_VALUE"""),"LM5AO1S")</f>
        <v>LM5AO1S</v>
      </c>
      <c r="K232" s="45" t="str">
        <f ca="1">IFERROR(__xludf.DUMMYFUNCTION("""COMPUTED_VALUE"""),"LM5AO1S-070108")</f>
        <v>LM5AO1S-070108</v>
      </c>
      <c r="L232" s="45">
        <f ca="1">IFERROR(__xludf.DUMMYFUNCTION("""COMPUTED_VALUE"""),4)</f>
        <v>4</v>
      </c>
      <c r="M232" s="45">
        <f ca="1">IFERROR(__xludf.DUMMYFUNCTION("""COMPUTED_VALUE"""),73)</f>
        <v>73</v>
      </c>
      <c r="N232" s="45">
        <f ca="1">IFERROR(__xludf.DUMMYFUNCTION("""COMPUTED_VALUE"""),35.31)</f>
        <v>35.31</v>
      </c>
      <c r="O232" s="45">
        <f ca="1">IFERROR(__xludf.DUMMYFUNCTION("""COMPUTED_VALUE"""),0.21)</f>
        <v>0.21</v>
      </c>
      <c r="P232" s="45" t="str">
        <f ca="1">IFERROR(__xludf.DUMMYFUNCTION("""COMPUTED_VALUE"""),"Colombo, LK")</f>
        <v>Colombo, LK</v>
      </c>
      <c r="Q232" s="45" t="str">
        <f ca="1">IFERROR(__xludf.DUMMYFUNCTION("""COMPUTED_VALUE"""),"New York, NY, US")</f>
        <v>New York, NY, US</v>
      </c>
      <c r="R232" s="44">
        <f ca="1">IFERROR(__xludf.DUMMYFUNCTION("""COMPUTED_VALUE"""),45824)</f>
        <v>45824</v>
      </c>
      <c r="S232" s="44">
        <f ca="1">IFERROR(__xludf.DUMMYFUNCTION("""COMPUTED_VALUE"""),45883)</f>
        <v>45883</v>
      </c>
      <c r="T232" s="45" t="str">
        <f ca="1">IFERROR(__xludf.DUMMYFUNCTION("""COMPUTED_VALUE"""),"Mississauga, ON, CA")</f>
        <v>Mississauga, ON, CA</v>
      </c>
      <c r="U232" s="45"/>
      <c r="V232" s="45"/>
      <c r="W232" s="45"/>
      <c r="X232" s="45"/>
      <c r="Y232" s="46">
        <f ca="1">IFERROR(__xludf.DUMMYFUNCTION("""COMPUTED_VALUE"""),45832)</f>
        <v>45832</v>
      </c>
      <c r="Z232" s="46">
        <f ca="1">IFERROR(__xludf.DUMMYFUNCTION("""COMPUTED_VALUE"""),45861)</f>
        <v>45861</v>
      </c>
      <c r="AA232" s="46">
        <f ca="1">IFERROR(__xludf.DUMMYFUNCTION("""COMPUTED_VALUE"""),45874)</f>
        <v>45874</v>
      </c>
      <c r="AB232" s="45" t="str">
        <f ca="1">IFERROR(__xludf.DUMMYFUNCTION("""COMPUTED_VALUE"""),"3500 Argentia Road")</f>
        <v>3500 Argentia Road</v>
      </c>
      <c r="AC232" s="45"/>
      <c r="AD232" s="45" t="str">
        <f ca="1">IFERROR(__xludf.DUMMYFUNCTION("""COMPUTED_VALUE"""),"OCEAN")</f>
        <v>OCEAN</v>
      </c>
      <c r="AE232" s="45" t="str">
        <f ca="1">IFERROR(__xludf.DUMMYFUNCTION("""COMPUTED_VALUE"""),"N")</f>
        <v>N</v>
      </c>
      <c r="AF232" s="45"/>
      <c r="AG232" s="49" t="str">
        <f ca="1">IFERROR(__xludf.DUMMYFUNCTION("IFNA(vlookup(H232,IMPORTRANGE(""1vUGwO1n0QQGx9kKbO0_M5gmuhXZ6-LaxQxgrmJnzgP0"",""'TP# look up'!A:C""),3,0),"""")"),"")</f>
        <v/>
      </c>
      <c r="AH232" s="49" t="str">
        <f t="shared" ca="1" si="3"/>
        <v>LM</v>
      </c>
    </row>
    <row r="233" spans="1:34" ht="12.75">
      <c r="A233" s="45" t="str">
        <f ca="1">IFERROR(__xludf.DUMMYFUNCTION("""COMPUTED_VALUE"""),"Colombo")</f>
        <v>Colombo</v>
      </c>
      <c r="B233" s="45"/>
      <c r="C233" s="45">
        <f ca="1">IFERROR(__xludf.DUMMYFUNCTION("""COMPUTED_VALUE"""),3254506)</f>
        <v>3254506</v>
      </c>
      <c r="D233" s="45"/>
      <c r="E233" s="45" t="str">
        <f ca="1">IFERROR(__xludf.DUMMYFUNCTION("""COMPUTED_VALUE"""),"CFS")</f>
        <v>CFS</v>
      </c>
      <c r="F233" s="45" t="str">
        <f ca="1">IFERROR(__xludf.DUMMYFUNCTION("""COMPUTED_VALUE"""),"Inqube Global (PVT) Ltd")</f>
        <v>Inqube Global (PVT) Ltd</v>
      </c>
      <c r="G233" s="45" t="str">
        <f ca="1">IFERROR(__xludf.DUMMYFUNCTION("""COMPUTED_VALUE"""),"BRANDIX APPAREL SOLUTION LTD - GIRITALE")</f>
        <v>BRANDIX APPAREL SOLUTION LTD - GIRITALE</v>
      </c>
      <c r="H233" s="43">
        <f ca="1">IFERROR(__xludf.DUMMYFUNCTION("""COMPUTED_VALUE"""),452507248363)</f>
        <v>452507248363</v>
      </c>
      <c r="I233" s="45">
        <f ca="1">IFERROR(__xludf.DUMMYFUNCTION("""COMPUTED_VALUE"""),19855867)</f>
        <v>19855867</v>
      </c>
      <c r="J233" s="45" t="str">
        <f ca="1">IFERROR(__xludf.DUMMYFUNCTION("""COMPUTED_VALUE"""),"LM5AO1S")</f>
        <v>LM5AO1S</v>
      </c>
      <c r="K233" s="45" t="str">
        <f ca="1">IFERROR(__xludf.DUMMYFUNCTION("""COMPUTED_VALUE"""),"LM5AO1S-070108")</f>
        <v>LM5AO1S-070108</v>
      </c>
      <c r="L233" s="45">
        <f ca="1">IFERROR(__xludf.DUMMYFUNCTION("""COMPUTED_VALUE"""),11)</f>
        <v>11</v>
      </c>
      <c r="M233" s="45">
        <f ca="1">IFERROR(__xludf.DUMMYFUNCTION("""COMPUTED_VALUE"""),323)</f>
        <v>323</v>
      </c>
      <c r="N233" s="45">
        <f ca="1">IFERROR(__xludf.DUMMYFUNCTION("""COMPUTED_VALUE"""),152.17)</f>
        <v>152.16999999999999</v>
      </c>
      <c r="O233" s="45">
        <f ca="1">IFERROR(__xludf.DUMMYFUNCTION("""COMPUTED_VALUE"""),0.828)</f>
        <v>0.82799999999999996</v>
      </c>
      <c r="P233" s="45" t="str">
        <f ca="1">IFERROR(__xludf.DUMMYFUNCTION("""COMPUTED_VALUE"""),"Colombo, LK")</f>
        <v>Colombo, LK</v>
      </c>
      <c r="Q233" s="45" t="str">
        <f ca="1">IFERROR(__xludf.DUMMYFUNCTION("""COMPUTED_VALUE"""),"New York, NY, US")</f>
        <v>New York, NY, US</v>
      </c>
      <c r="R233" s="44">
        <f ca="1">IFERROR(__xludf.DUMMYFUNCTION("""COMPUTED_VALUE"""),45824)</f>
        <v>45824</v>
      </c>
      <c r="S233" s="44">
        <f ca="1">IFERROR(__xludf.DUMMYFUNCTION("""COMPUTED_VALUE"""),45883)</f>
        <v>45883</v>
      </c>
      <c r="T233" s="45" t="str">
        <f ca="1">IFERROR(__xludf.DUMMYFUNCTION("""COMPUTED_VALUE"""),"Mississauga, ON, CA")</f>
        <v>Mississauga, ON, CA</v>
      </c>
      <c r="U233" s="45"/>
      <c r="V233" s="45"/>
      <c r="W233" s="45"/>
      <c r="X233" s="45"/>
      <c r="Y233" s="46">
        <f ca="1">IFERROR(__xludf.DUMMYFUNCTION("""COMPUTED_VALUE"""),45832)</f>
        <v>45832</v>
      </c>
      <c r="Z233" s="46">
        <f ca="1">IFERROR(__xludf.DUMMYFUNCTION("""COMPUTED_VALUE"""),45861)</f>
        <v>45861</v>
      </c>
      <c r="AA233" s="46">
        <f ca="1">IFERROR(__xludf.DUMMYFUNCTION("""COMPUTED_VALUE"""),45874)</f>
        <v>45874</v>
      </c>
      <c r="AB233" s="45" t="str">
        <f ca="1">IFERROR(__xludf.DUMMYFUNCTION("""COMPUTED_VALUE"""),"3500 Argentia Road")</f>
        <v>3500 Argentia Road</v>
      </c>
      <c r="AC233" s="45"/>
      <c r="AD233" s="45" t="str">
        <f ca="1">IFERROR(__xludf.DUMMYFUNCTION("""COMPUTED_VALUE"""),"OCEAN")</f>
        <v>OCEAN</v>
      </c>
      <c r="AE233" s="45" t="str">
        <f ca="1">IFERROR(__xludf.DUMMYFUNCTION("""COMPUTED_VALUE"""),"N")</f>
        <v>N</v>
      </c>
      <c r="AF233" s="45"/>
      <c r="AG233" s="49" t="str">
        <f ca="1">IFERROR(__xludf.DUMMYFUNCTION("IFNA(vlookup(H233,IMPORTRANGE(""1vUGwO1n0QQGx9kKbO0_M5gmuhXZ6-LaxQxgrmJnzgP0"",""'TP# look up'!A:C""),3,0),"""")"),"")</f>
        <v/>
      </c>
      <c r="AH233" s="49" t="str">
        <f t="shared" ca="1" si="3"/>
        <v>LM</v>
      </c>
    </row>
    <row r="234" spans="1:34" ht="12.75">
      <c r="A234" s="45" t="str">
        <f ca="1">IFERROR(__xludf.DUMMYFUNCTION("""COMPUTED_VALUE"""),"Colombo")</f>
        <v>Colombo</v>
      </c>
      <c r="B234" s="45"/>
      <c r="C234" s="45">
        <f ca="1">IFERROR(__xludf.DUMMYFUNCTION("""COMPUTED_VALUE"""),3254506)</f>
        <v>3254506</v>
      </c>
      <c r="D234" s="45"/>
      <c r="E234" s="45" t="str">
        <f ca="1">IFERROR(__xludf.DUMMYFUNCTION("""COMPUTED_VALUE"""),"CFS")</f>
        <v>CFS</v>
      </c>
      <c r="F234" s="45" t="str">
        <f ca="1">IFERROR(__xludf.DUMMYFUNCTION("""COMPUTED_VALUE"""),"Inqube Global (PVT) Ltd")</f>
        <v>Inqube Global (PVT) Ltd</v>
      </c>
      <c r="G234" s="45" t="str">
        <f ca="1">IFERROR(__xludf.DUMMYFUNCTION("""COMPUTED_VALUE"""),"BRANDIX APPAREL SOLUTION LTD - GIRITALE")</f>
        <v>BRANDIX APPAREL SOLUTION LTD - GIRITALE</v>
      </c>
      <c r="H234" s="43">
        <f ca="1">IFERROR(__xludf.DUMMYFUNCTION("""COMPUTED_VALUE"""),452510246609)</f>
        <v>452510246609</v>
      </c>
      <c r="I234" s="45">
        <f ca="1">IFERROR(__xludf.DUMMYFUNCTION("""COMPUTED_VALUE"""),19855946)</f>
        <v>19855946</v>
      </c>
      <c r="J234" s="45" t="str">
        <f ca="1">IFERROR(__xludf.DUMMYFUNCTION("""COMPUTED_VALUE"""),"LM5AQ9S")</f>
        <v>LM5AQ9S</v>
      </c>
      <c r="K234" s="45" t="str">
        <f ca="1">IFERROR(__xludf.DUMMYFUNCTION("""COMPUTED_VALUE"""),"LM5AQ9S-033123")</f>
        <v>LM5AQ9S-033123</v>
      </c>
      <c r="L234" s="45">
        <f ca="1">IFERROR(__xludf.DUMMYFUNCTION("""COMPUTED_VALUE"""),10)</f>
        <v>10</v>
      </c>
      <c r="M234" s="45">
        <f ca="1">IFERROR(__xludf.DUMMYFUNCTION("""COMPUTED_VALUE"""),269)</f>
        <v>269</v>
      </c>
      <c r="N234" s="45">
        <f ca="1">IFERROR(__xludf.DUMMYFUNCTION("""COMPUTED_VALUE"""),136.45)</f>
        <v>136.44999999999999</v>
      </c>
      <c r="O234" s="45">
        <f ca="1">IFERROR(__xludf.DUMMYFUNCTION("""COMPUTED_VALUE"""),0.665)</f>
        <v>0.66500000000000004</v>
      </c>
      <c r="P234" s="45" t="str">
        <f ca="1">IFERROR(__xludf.DUMMYFUNCTION("""COMPUTED_VALUE"""),"Colombo, LK")</f>
        <v>Colombo, LK</v>
      </c>
      <c r="Q234" s="45" t="str">
        <f ca="1">IFERROR(__xludf.DUMMYFUNCTION("""COMPUTED_VALUE"""),"New York, NY, US")</f>
        <v>New York, NY, US</v>
      </c>
      <c r="R234" s="44">
        <f ca="1">IFERROR(__xludf.DUMMYFUNCTION("""COMPUTED_VALUE"""),45824)</f>
        <v>45824</v>
      </c>
      <c r="S234" s="44">
        <f ca="1">IFERROR(__xludf.DUMMYFUNCTION("""COMPUTED_VALUE"""),45883)</f>
        <v>45883</v>
      </c>
      <c r="T234" s="45" t="str">
        <f ca="1">IFERROR(__xludf.DUMMYFUNCTION("""COMPUTED_VALUE"""),"Mississauga, ON, CA")</f>
        <v>Mississauga, ON, CA</v>
      </c>
      <c r="U234" s="45"/>
      <c r="V234" s="45"/>
      <c r="W234" s="45"/>
      <c r="X234" s="45"/>
      <c r="Y234" s="46">
        <f ca="1">IFERROR(__xludf.DUMMYFUNCTION("""COMPUTED_VALUE"""),45824)</f>
        <v>45824</v>
      </c>
      <c r="Z234" s="46">
        <f ca="1">IFERROR(__xludf.DUMMYFUNCTION("""COMPUTED_VALUE"""),45861)</f>
        <v>45861</v>
      </c>
      <c r="AA234" s="46">
        <f ca="1">IFERROR(__xludf.DUMMYFUNCTION("""COMPUTED_VALUE"""),45874)</f>
        <v>45874</v>
      </c>
      <c r="AB234" s="45" t="str">
        <f ca="1">IFERROR(__xludf.DUMMYFUNCTION("""COMPUTED_VALUE"""),"3500 Argentia Road")</f>
        <v>3500 Argentia Road</v>
      </c>
      <c r="AC234" s="45"/>
      <c r="AD234" s="45" t="str">
        <f ca="1">IFERROR(__xludf.DUMMYFUNCTION("""COMPUTED_VALUE"""),"OCEAN")</f>
        <v>OCEAN</v>
      </c>
      <c r="AE234" s="45" t="str">
        <f ca="1">IFERROR(__xludf.DUMMYFUNCTION("""COMPUTED_VALUE"""),"N")</f>
        <v>N</v>
      </c>
      <c r="AF234" s="45"/>
      <c r="AG234" s="49" t="str">
        <f ca="1">IFERROR(__xludf.DUMMYFUNCTION("IFNA(vlookup(H234,IMPORTRANGE(""1vUGwO1n0QQGx9kKbO0_M5gmuhXZ6-LaxQxgrmJnzgP0"",""'TP# look up'!A:C""),3,0),"""")"),"")</f>
        <v/>
      </c>
      <c r="AH234" s="49" t="str">
        <f t="shared" ca="1" si="3"/>
        <v>LM</v>
      </c>
    </row>
    <row r="235" spans="1:34" ht="12.75">
      <c r="A235" s="45" t="str">
        <f ca="1">IFERROR(__xludf.DUMMYFUNCTION("""COMPUTED_VALUE"""),"Colombo")</f>
        <v>Colombo</v>
      </c>
      <c r="B235" s="45"/>
      <c r="C235" s="45">
        <f ca="1">IFERROR(__xludf.DUMMYFUNCTION("""COMPUTED_VALUE"""),3254506)</f>
        <v>3254506</v>
      </c>
      <c r="D235" s="45"/>
      <c r="E235" s="45" t="str">
        <f ca="1">IFERROR(__xludf.DUMMYFUNCTION("""COMPUTED_VALUE"""),"CFS")</f>
        <v>CFS</v>
      </c>
      <c r="F235" s="45" t="str">
        <f ca="1">IFERROR(__xludf.DUMMYFUNCTION("""COMPUTED_VALUE"""),"Inqube Global (PVT) Ltd")</f>
        <v>Inqube Global (PVT) Ltd</v>
      </c>
      <c r="G235" s="45" t="str">
        <f ca="1">IFERROR(__xludf.DUMMYFUNCTION("""COMPUTED_VALUE"""),"BRANDIX APPAREL SOLUTION LTD - GIRITALE")</f>
        <v>BRANDIX APPAREL SOLUTION LTD - GIRITALE</v>
      </c>
      <c r="H235" s="43">
        <f ca="1">IFERROR(__xludf.DUMMYFUNCTION("""COMPUTED_VALUE"""),452510849438)</f>
        <v>452510849438</v>
      </c>
      <c r="I235" s="45">
        <f ca="1">IFERROR(__xludf.DUMMYFUNCTION("""COMPUTED_VALUE"""),19855921)</f>
        <v>19855921</v>
      </c>
      <c r="J235" s="45" t="str">
        <f ca="1">IFERROR(__xludf.DUMMYFUNCTION("""COMPUTED_VALUE"""),"LM5AO4S")</f>
        <v>LM5AO4S</v>
      </c>
      <c r="K235" s="45" t="str">
        <f ca="1">IFERROR(__xludf.DUMMYFUNCTION("""COMPUTED_VALUE"""),"LM5AO4S-019222")</f>
        <v>LM5AO4S-019222</v>
      </c>
      <c r="L235" s="45">
        <f ca="1">IFERROR(__xludf.DUMMYFUNCTION("""COMPUTED_VALUE"""),20)</f>
        <v>20</v>
      </c>
      <c r="M235" s="45">
        <f ca="1">IFERROR(__xludf.DUMMYFUNCTION("""COMPUTED_VALUE"""),669)</f>
        <v>669</v>
      </c>
      <c r="N235" s="45">
        <f ca="1">IFERROR(__xludf.DUMMYFUNCTION("""COMPUTED_VALUE"""),296.66)</f>
        <v>296.66000000000003</v>
      </c>
      <c r="O235" s="45">
        <f ca="1">IFERROR(__xludf.DUMMYFUNCTION("""COMPUTED_VALUE"""),1.491)</f>
        <v>1.4910000000000001</v>
      </c>
      <c r="P235" s="45" t="str">
        <f ca="1">IFERROR(__xludf.DUMMYFUNCTION("""COMPUTED_VALUE"""),"Colombo, LK")</f>
        <v>Colombo, LK</v>
      </c>
      <c r="Q235" s="45" t="str">
        <f ca="1">IFERROR(__xludf.DUMMYFUNCTION("""COMPUTED_VALUE"""),"New York, NY, US")</f>
        <v>New York, NY, US</v>
      </c>
      <c r="R235" s="44">
        <f ca="1">IFERROR(__xludf.DUMMYFUNCTION("""COMPUTED_VALUE"""),45824)</f>
        <v>45824</v>
      </c>
      <c r="S235" s="44">
        <f ca="1">IFERROR(__xludf.DUMMYFUNCTION("""COMPUTED_VALUE"""),45883)</f>
        <v>45883</v>
      </c>
      <c r="T235" s="45" t="str">
        <f ca="1">IFERROR(__xludf.DUMMYFUNCTION("""COMPUTED_VALUE"""),"Mississauga, ON, CA")</f>
        <v>Mississauga, ON, CA</v>
      </c>
      <c r="U235" s="45"/>
      <c r="V235" s="45"/>
      <c r="W235" s="45"/>
      <c r="X235" s="45"/>
      <c r="Y235" s="46">
        <f ca="1">IFERROR(__xludf.DUMMYFUNCTION("""COMPUTED_VALUE"""),45824)</f>
        <v>45824</v>
      </c>
      <c r="Z235" s="46">
        <f ca="1">IFERROR(__xludf.DUMMYFUNCTION("""COMPUTED_VALUE"""),45861)</f>
        <v>45861</v>
      </c>
      <c r="AA235" s="46">
        <f ca="1">IFERROR(__xludf.DUMMYFUNCTION("""COMPUTED_VALUE"""),45874)</f>
        <v>45874</v>
      </c>
      <c r="AB235" s="45" t="str">
        <f ca="1">IFERROR(__xludf.DUMMYFUNCTION("""COMPUTED_VALUE"""),"3500 Argentia Road")</f>
        <v>3500 Argentia Road</v>
      </c>
      <c r="AC235" s="45"/>
      <c r="AD235" s="45" t="str">
        <f ca="1">IFERROR(__xludf.DUMMYFUNCTION("""COMPUTED_VALUE"""),"OCEAN")</f>
        <v>OCEAN</v>
      </c>
      <c r="AE235" s="45" t="str">
        <f ca="1">IFERROR(__xludf.DUMMYFUNCTION("""COMPUTED_VALUE"""),"N")</f>
        <v>N</v>
      </c>
      <c r="AF235" s="45"/>
      <c r="AG235" s="49" t="str">
        <f ca="1">IFERROR(__xludf.DUMMYFUNCTION("IFNA(vlookup(H235,IMPORTRANGE(""1vUGwO1n0QQGx9kKbO0_M5gmuhXZ6-LaxQxgrmJnzgP0"",""'TP# look up'!A:C""),3,0),"""")"),"")</f>
        <v/>
      </c>
      <c r="AH235" s="49" t="str">
        <f t="shared" ca="1" si="3"/>
        <v>LM</v>
      </c>
    </row>
    <row r="236" spans="1:34" ht="12.75">
      <c r="A236" s="45" t="str">
        <f ca="1">IFERROR(__xludf.DUMMYFUNCTION("""COMPUTED_VALUE"""),"Colombo")</f>
        <v>Colombo</v>
      </c>
      <c r="B236" s="45"/>
      <c r="C236" s="45">
        <f ca="1">IFERROR(__xludf.DUMMYFUNCTION("""COMPUTED_VALUE"""),3254506)</f>
        <v>3254506</v>
      </c>
      <c r="D236" s="45"/>
      <c r="E236" s="45" t="str">
        <f ca="1">IFERROR(__xludf.DUMMYFUNCTION("""COMPUTED_VALUE"""),"CFS")</f>
        <v>CFS</v>
      </c>
      <c r="F236" s="45" t="str">
        <f ca="1">IFERROR(__xludf.DUMMYFUNCTION("""COMPUTED_VALUE"""),"Inqube Global (PVT) Ltd")</f>
        <v>Inqube Global (PVT) Ltd</v>
      </c>
      <c r="G236" s="45" t="str">
        <f ca="1">IFERROR(__xludf.DUMMYFUNCTION("""COMPUTED_VALUE"""),"BRANDIX APPAREL SOLUTION LTD - GIRITALE")</f>
        <v>BRANDIX APPAREL SOLUTION LTD - GIRITALE</v>
      </c>
      <c r="H236" s="43">
        <f ca="1">IFERROR(__xludf.DUMMYFUNCTION("""COMPUTED_VALUE"""),452510849936)</f>
        <v>452510849936</v>
      </c>
      <c r="I236" s="45">
        <f ca="1">IFERROR(__xludf.DUMMYFUNCTION("""COMPUTED_VALUE"""),19855628)</f>
        <v>19855628</v>
      </c>
      <c r="J236" s="45" t="str">
        <f ca="1">IFERROR(__xludf.DUMMYFUNCTION("""COMPUTED_VALUE"""),"LM5AQ9S")</f>
        <v>LM5AQ9S</v>
      </c>
      <c r="K236" s="45" t="str">
        <f ca="1">IFERROR(__xludf.DUMMYFUNCTION("""COMPUTED_VALUE"""),"LM5AQ9S-029283")</f>
        <v>LM5AQ9S-029283</v>
      </c>
      <c r="L236" s="45">
        <f ca="1">IFERROR(__xludf.DUMMYFUNCTION("""COMPUTED_VALUE"""),3)</f>
        <v>3</v>
      </c>
      <c r="M236" s="45">
        <f ca="1">IFERROR(__xludf.DUMMYFUNCTION("""COMPUTED_VALUE"""),63)</f>
        <v>63</v>
      </c>
      <c r="N236" s="45">
        <f ca="1">IFERROR(__xludf.DUMMYFUNCTION("""COMPUTED_VALUE"""),32.31)</f>
        <v>32.31</v>
      </c>
      <c r="O236" s="45">
        <f ca="1">IFERROR(__xludf.DUMMYFUNCTION("""COMPUTED_VALUE"""),0.168)</f>
        <v>0.16800000000000001</v>
      </c>
      <c r="P236" s="45" t="str">
        <f ca="1">IFERROR(__xludf.DUMMYFUNCTION("""COMPUTED_VALUE"""),"Colombo, LK")</f>
        <v>Colombo, LK</v>
      </c>
      <c r="Q236" s="45" t="str">
        <f ca="1">IFERROR(__xludf.DUMMYFUNCTION("""COMPUTED_VALUE"""),"New York, NY, US")</f>
        <v>New York, NY, US</v>
      </c>
      <c r="R236" s="44">
        <f ca="1">IFERROR(__xludf.DUMMYFUNCTION("""COMPUTED_VALUE"""),45824)</f>
        <v>45824</v>
      </c>
      <c r="S236" s="44">
        <f ca="1">IFERROR(__xludf.DUMMYFUNCTION("""COMPUTED_VALUE"""),45883)</f>
        <v>45883</v>
      </c>
      <c r="T236" s="45" t="str">
        <f ca="1">IFERROR(__xludf.DUMMYFUNCTION("""COMPUTED_VALUE"""),"Mississauga, ON, CA")</f>
        <v>Mississauga, ON, CA</v>
      </c>
      <c r="U236" s="45"/>
      <c r="V236" s="45"/>
      <c r="W236" s="45"/>
      <c r="X236" s="45"/>
      <c r="Y236" s="46">
        <f ca="1">IFERROR(__xludf.DUMMYFUNCTION("""COMPUTED_VALUE"""),45832)</f>
        <v>45832</v>
      </c>
      <c r="Z236" s="46">
        <f ca="1">IFERROR(__xludf.DUMMYFUNCTION("""COMPUTED_VALUE"""),45861)</f>
        <v>45861</v>
      </c>
      <c r="AA236" s="46">
        <f ca="1">IFERROR(__xludf.DUMMYFUNCTION("""COMPUTED_VALUE"""),45874)</f>
        <v>45874</v>
      </c>
      <c r="AB236" s="45" t="str">
        <f ca="1">IFERROR(__xludf.DUMMYFUNCTION("""COMPUTED_VALUE"""),"3500 Argentia Road")</f>
        <v>3500 Argentia Road</v>
      </c>
      <c r="AC236" s="45"/>
      <c r="AD236" s="45" t="str">
        <f ca="1">IFERROR(__xludf.DUMMYFUNCTION("""COMPUTED_VALUE"""),"OCEAN")</f>
        <v>OCEAN</v>
      </c>
      <c r="AE236" s="45" t="str">
        <f ca="1">IFERROR(__xludf.DUMMYFUNCTION("""COMPUTED_VALUE"""),"N")</f>
        <v>N</v>
      </c>
      <c r="AF236" s="45"/>
      <c r="AG236" s="49" t="str">
        <f ca="1">IFERROR(__xludf.DUMMYFUNCTION("IFNA(vlookup(H236,IMPORTRANGE(""1vUGwO1n0QQGx9kKbO0_M5gmuhXZ6-LaxQxgrmJnzgP0"",""'TP# look up'!A:C""),3,0),"""")"),"")</f>
        <v/>
      </c>
      <c r="AH236" s="49" t="str">
        <f t="shared" ca="1" si="3"/>
        <v>LM</v>
      </c>
    </row>
    <row r="237" spans="1:34" ht="12.75">
      <c r="A237" s="45" t="str">
        <f ca="1">IFERROR(__xludf.DUMMYFUNCTION("""COMPUTED_VALUE"""),"Colombo")</f>
        <v>Colombo</v>
      </c>
      <c r="B237" s="45"/>
      <c r="C237" s="45">
        <f ca="1">IFERROR(__xludf.DUMMYFUNCTION("""COMPUTED_VALUE"""),3254506)</f>
        <v>3254506</v>
      </c>
      <c r="D237" s="45"/>
      <c r="E237" s="45" t="str">
        <f ca="1">IFERROR(__xludf.DUMMYFUNCTION("""COMPUTED_VALUE"""),"CFS")</f>
        <v>CFS</v>
      </c>
      <c r="F237" s="45" t="str">
        <f ca="1">IFERROR(__xludf.DUMMYFUNCTION("""COMPUTED_VALUE"""),"Inqube Global (PVT) Ltd")</f>
        <v>Inqube Global (PVT) Ltd</v>
      </c>
      <c r="G237" s="45" t="str">
        <f ca="1">IFERROR(__xludf.DUMMYFUNCTION("""COMPUTED_VALUE"""),"BRANDIX APPAREL SOLUTION LTD - GIRITALE")</f>
        <v>BRANDIX APPAREL SOLUTION LTD - GIRITALE</v>
      </c>
      <c r="H237" s="43">
        <f ca="1">IFERROR(__xludf.DUMMYFUNCTION("""COMPUTED_VALUE"""),452511203202)</f>
        <v>452511203202</v>
      </c>
      <c r="I237" s="45">
        <f ca="1">IFERROR(__xludf.DUMMYFUNCTION("""COMPUTED_VALUE"""),19855632)</f>
        <v>19855632</v>
      </c>
      <c r="J237" s="45" t="str">
        <f ca="1">IFERROR(__xludf.DUMMYFUNCTION("""COMPUTED_VALUE"""),"LM5AQ9S")</f>
        <v>LM5AQ9S</v>
      </c>
      <c r="K237" s="45" t="str">
        <f ca="1">IFERROR(__xludf.DUMMYFUNCTION("""COMPUTED_VALUE"""),"LM5AQ9S-033123")</f>
        <v>LM5AQ9S-033123</v>
      </c>
      <c r="L237" s="45">
        <f ca="1">IFERROR(__xludf.DUMMYFUNCTION("""COMPUTED_VALUE"""),5)</f>
        <v>5</v>
      </c>
      <c r="M237" s="45">
        <f ca="1">IFERROR(__xludf.DUMMYFUNCTION("""COMPUTED_VALUE"""),96)</f>
        <v>96</v>
      </c>
      <c r="N237" s="45">
        <f ca="1">IFERROR(__xludf.DUMMYFUNCTION("""COMPUTED_VALUE"""),49.83)</f>
        <v>49.83</v>
      </c>
      <c r="O237" s="45">
        <f ca="1">IFERROR(__xludf.DUMMYFUNCTION("""COMPUTED_VALUE"""),0.293)</f>
        <v>0.29299999999999998</v>
      </c>
      <c r="P237" s="45" t="str">
        <f ca="1">IFERROR(__xludf.DUMMYFUNCTION("""COMPUTED_VALUE"""),"Colombo, LK")</f>
        <v>Colombo, LK</v>
      </c>
      <c r="Q237" s="45" t="str">
        <f ca="1">IFERROR(__xludf.DUMMYFUNCTION("""COMPUTED_VALUE"""),"New York, NY, US")</f>
        <v>New York, NY, US</v>
      </c>
      <c r="R237" s="44">
        <f ca="1">IFERROR(__xludf.DUMMYFUNCTION("""COMPUTED_VALUE"""),45824)</f>
        <v>45824</v>
      </c>
      <c r="S237" s="44">
        <f ca="1">IFERROR(__xludf.DUMMYFUNCTION("""COMPUTED_VALUE"""),45883)</f>
        <v>45883</v>
      </c>
      <c r="T237" s="45" t="str">
        <f ca="1">IFERROR(__xludf.DUMMYFUNCTION("""COMPUTED_VALUE"""),"Mississauga, ON, CA")</f>
        <v>Mississauga, ON, CA</v>
      </c>
      <c r="U237" s="45"/>
      <c r="V237" s="45"/>
      <c r="W237" s="45"/>
      <c r="X237" s="45"/>
      <c r="Y237" s="46">
        <f ca="1">IFERROR(__xludf.DUMMYFUNCTION("""COMPUTED_VALUE"""),45832)</f>
        <v>45832</v>
      </c>
      <c r="Z237" s="46">
        <f ca="1">IFERROR(__xludf.DUMMYFUNCTION("""COMPUTED_VALUE"""),45861)</f>
        <v>45861</v>
      </c>
      <c r="AA237" s="46">
        <f ca="1">IFERROR(__xludf.DUMMYFUNCTION("""COMPUTED_VALUE"""),45874)</f>
        <v>45874</v>
      </c>
      <c r="AB237" s="45" t="str">
        <f ca="1">IFERROR(__xludf.DUMMYFUNCTION("""COMPUTED_VALUE"""),"3500 Argentia Road")</f>
        <v>3500 Argentia Road</v>
      </c>
      <c r="AC237" s="45"/>
      <c r="AD237" s="45" t="str">
        <f ca="1">IFERROR(__xludf.DUMMYFUNCTION("""COMPUTED_VALUE"""),"OCEAN")</f>
        <v>OCEAN</v>
      </c>
      <c r="AE237" s="45" t="str">
        <f ca="1">IFERROR(__xludf.DUMMYFUNCTION("""COMPUTED_VALUE"""),"N")</f>
        <v>N</v>
      </c>
      <c r="AF237" s="45"/>
      <c r="AG237" s="49" t="str">
        <f ca="1">IFERROR(__xludf.DUMMYFUNCTION("IFNA(vlookup(H237,IMPORTRANGE(""1vUGwO1n0QQGx9kKbO0_M5gmuhXZ6-LaxQxgrmJnzgP0"",""'TP# look up'!A:C""),3,0),"""")"),"")</f>
        <v/>
      </c>
      <c r="AH237" s="49" t="str">
        <f t="shared" ca="1" si="3"/>
        <v>LM</v>
      </c>
    </row>
    <row r="238" spans="1:34" ht="12.75">
      <c r="A238" s="45" t="str">
        <f ca="1">IFERROR(__xludf.DUMMYFUNCTION("""COMPUTED_VALUE"""),"Colombo")</f>
        <v>Colombo</v>
      </c>
      <c r="B238" s="45"/>
      <c r="C238" s="45">
        <f ca="1">IFERROR(__xludf.DUMMYFUNCTION("""COMPUTED_VALUE"""),3254506)</f>
        <v>3254506</v>
      </c>
      <c r="D238" s="45"/>
      <c r="E238" s="45" t="str">
        <f ca="1">IFERROR(__xludf.DUMMYFUNCTION("""COMPUTED_VALUE"""),"CFS")</f>
        <v>CFS</v>
      </c>
      <c r="F238" s="45" t="str">
        <f ca="1">IFERROR(__xludf.DUMMYFUNCTION("""COMPUTED_VALUE"""),"Inqube Global (PVT) Ltd")</f>
        <v>Inqube Global (PVT) Ltd</v>
      </c>
      <c r="G238" s="45" t="str">
        <f ca="1">IFERROR(__xludf.DUMMYFUNCTION("""COMPUTED_VALUE"""),"BRANDIX APPAREL SOLUTION LTD - GIRITALE")</f>
        <v>BRANDIX APPAREL SOLUTION LTD - GIRITALE</v>
      </c>
      <c r="H238" s="43">
        <f ca="1">IFERROR(__xludf.DUMMYFUNCTION("""COMPUTED_VALUE"""),452511415477)</f>
        <v>452511415477</v>
      </c>
      <c r="I238" s="45">
        <f ca="1">IFERROR(__xludf.DUMMYFUNCTION("""COMPUTED_VALUE"""),19855934)</f>
        <v>19855934</v>
      </c>
      <c r="J238" s="45" t="str">
        <f ca="1">IFERROR(__xludf.DUMMYFUNCTION("""COMPUTED_VALUE"""),"LM5AQ9S")</f>
        <v>LM5AQ9S</v>
      </c>
      <c r="K238" s="45" t="str">
        <f ca="1">IFERROR(__xludf.DUMMYFUNCTION("""COMPUTED_VALUE"""),"LM5AQ9S-029283")</f>
        <v>LM5AQ9S-029283</v>
      </c>
      <c r="L238" s="45">
        <f ca="1">IFERROR(__xludf.DUMMYFUNCTION("""COMPUTED_VALUE"""),7)</f>
        <v>7</v>
      </c>
      <c r="M238" s="45">
        <f ca="1">IFERROR(__xludf.DUMMYFUNCTION("""COMPUTED_VALUE"""),174)</f>
        <v>174</v>
      </c>
      <c r="N238" s="45">
        <f ca="1">IFERROR(__xludf.DUMMYFUNCTION("""COMPUTED_VALUE"""),88.51)</f>
        <v>88.51</v>
      </c>
      <c r="O238" s="45">
        <f ca="1">IFERROR(__xludf.DUMMYFUNCTION("""COMPUTED_VALUE"""),0.418)</f>
        <v>0.41799999999999998</v>
      </c>
      <c r="P238" s="45" t="str">
        <f ca="1">IFERROR(__xludf.DUMMYFUNCTION("""COMPUTED_VALUE"""),"Colombo, LK")</f>
        <v>Colombo, LK</v>
      </c>
      <c r="Q238" s="45" t="str">
        <f ca="1">IFERROR(__xludf.DUMMYFUNCTION("""COMPUTED_VALUE"""),"New York, NY, US")</f>
        <v>New York, NY, US</v>
      </c>
      <c r="R238" s="44">
        <f ca="1">IFERROR(__xludf.DUMMYFUNCTION("""COMPUTED_VALUE"""),45824)</f>
        <v>45824</v>
      </c>
      <c r="S238" s="44">
        <f ca="1">IFERROR(__xludf.DUMMYFUNCTION("""COMPUTED_VALUE"""),45883)</f>
        <v>45883</v>
      </c>
      <c r="T238" s="45" t="str">
        <f ca="1">IFERROR(__xludf.DUMMYFUNCTION("""COMPUTED_VALUE"""),"Mississauga, ON, CA")</f>
        <v>Mississauga, ON, CA</v>
      </c>
      <c r="U238" s="45"/>
      <c r="V238" s="45"/>
      <c r="W238" s="45"/>
      <c r="X238" s="45"/>
      <c r="Y238" s="46">
        <f ca="1">IFERROR(__xludf.DUMMYFUNCTION("""COMPUTED_VALUE"""),45832)</f>
        <v>45832</v>
      </c>
      <c r="Z238" s="46">
        <f ca="1">IFERROR(__xludf.DUMMYFUNCTION("""COMPUTED_VALUE"""),45861)</f>
        <v>45861</v>
      </c>
      <c r="AA238" s="46">
        <f ca="1">IFERROR(__xludf.DUMMYFUNCTION("""COMPUTED_VALUE"""),45874)</f>
        <v>45874</v>
      </c>
      <c r="AB238" s="45" t="str">
        <f ca="1">IFERROR(__xludf.DUMMYFUNCTION("""COMPUTED_VALUE"""),"3500 Argentia Road")</f>
        <v>3500 Argentia Road</v>
      </c>
      <c r="AC238" s="45"/>
      <c r="AD238" s="45" t="str">
        <f ca="1">IFERROR(__xludf.DUMMYFUNCTION("""COMPUTED_VALUE"""),"OCEAN")</f>
        <v>OCEAN</v>
      </c>
      <c r="AE238" s="45" t="str">
        <f ca="1">IFERROR(__xludf.DUMMYFUNCTION("""COMPUTED_VALUE"""),"N")</f>
        <v>N</v>
      </c>
      <c r="AF238" s="45"/>
      <c r="AG238" s="49" t="str">
        <f ca="1">IFERROR(__xludf.DUMMYFUNCTION("IFNA(vlookup(H238,IMPORTRANGE(""1vUGwO1n0QQGx9kKbO0_M5gmuhXZ6-LaxQxgrmJnzgP0"",""'TP# look up'!A:C""),3,0),"""")"),"")</f>
        <v/>
      </c>
      <c r="AH238" s="49" t="str">
        <f t="shared" ca="1" si="3"/>
        <v>LM</v>
      </c>
    </row>
    <row r="239" spans="1:34" ht="12.75">
      <c r="A239" s="45" t="str">
        <f ca="1">IFERROR(__xludf.DUMMYFUNCTION("""COMPUTED_VALUE"""),"Colombo")</f>
        <v>Colombo</v>
      </c>
      <c r="B239" s="45"/>
      <c r="C239" s="45">
        <f ca="1">IFERROR(__xludf.DUMMYFUNCTION("""COMPUTED_VALUE"""),3254506)</f>
        <v>3254506</v>
      </c>
      <c r="D239" s="45"/>
      <c r="E239" s="45" t="str">
        <f ca="1">IFERROR(__xludf.DUMMYFUNCTION("""COMPUTED_VALUE"""),"CFS")</f>
        <v>CFS</v>
      </c>
      <c r="F239" s="45" t="str">
        <f ca="1">IFERROR(__xludf.DUMMYFUNCTION("""COMPUTED_VALUE"""),"Inqube Global (PVT) Ltd")</f>
        <v>Inqube Global (PVT) Ltd</v>
      </c>
      <c r="G239" s="45" t="str">
        <f ca="1">IFERROR(__xludf.DUMMYFUNCTION("""COMPUTED_VALUE"""),"BRANDIX APPAREL SOLUTION LTD - GIRITALE")</f>
        <v>BRANDIX APPAREL SOLUTION LTD - GIRITALE</v>
      </c>
      <c r="H239" s="43">
        <f ca="1">IFERROR(__xludf.DUMMYFUNCTION("""COMPUTED_VALUE"""),452512005389)</f>
        <v>452512005389</v>
      </c>
      <c r="I239" s="45">
        <f ca="1">IFERROR(__xludf.DUMMYFUNCTION("""COMPUTED_VALUE"""),19855959)</f>
        <v>19855959</v>
      </c>
      <c r="J239" s="45" t="str">
        <f ca="1">IFERROR(__xludf.DUMMYFUNCTION("""COMPUTED_VALUE"""),"LM5AQ9S")</f>
        <v>LM5AQ9S</v>
      </c>
      <c r="K239" s="45" t="str">
        <f ca="1">IFERROR(__xludf.DUMMYFUNCTION("""COMPUTED_VALUE"""),"LM5AQ9S-070108")</f>
        <v>LM5AQ9S-070108</v>
      </c>
      <c r="L239" s="45">
        <f ca="1">IFERROR(__xludf.DUMMYFUNCTION("""COMPUTED_VALUE"""),9)</f>
        <v>9</v>
      </c>
      <c r="M239" s="45">
        <f ca="1">IFERROR(__xludf.DUMMYFUNCTION("""COMPUTED_VALUE"""),235)</f>
        <v>235</v>
      </c>
      <c r="N239" s="45">
        <f ca="1">IFERROR(__xludf.DUMMYFUNCTION("""COMPUTED_VALUE"""),119.49)</f>
        <v>119.49</v>
      </c>
      <c r="O239" s="45">
        <f ca="1">IFERROR(__xludf.DUMMYFUNCTION("""COMPUTED_VALUE"""),0.623)</f>
        <v>0.623</v>
      </c>
      <c r="P239" s="45" t="str">
        <f ca="1">IFERROR(__xludf.DUMMYFUNCTION("""COMPUTED_VALUE"""),"Colombo, LK")</f>
        <v>Colombo, LK</v>
      </c>
      <c r="Q239" s="45" t="str">
        <f ca="1">IFERROR(__xludf.DUMMYFUNCTION("""COMPUTED_VALUE"""),"New York, NY, US")</f>
        <v>New York, NY, US</v>
      </c>
      <c r="R239" s="44">
        <f ca="1">IFERROR(__xludf.DUMMYFUNCTION("""COMPUTED_VALUE"""),45824)</f>
        <v>45824</v>
      </c>
      <c r="S239" s="44">
        <f ca="1">IFERROR(__xludf.DUMMYFUNCTION("""COMPUTED_VALUE"""),45883)</f>
        <v>45883</v>
      </c>
      <c r="T239" s="45" t="str">
        <f ca="1">IFERROR(__xludf.DUMMYFUNCTION("""COMPUTED_VALUE"""),"Mississauga, ON, CA")</f>
        <v>Mississauga, ON, CA</v>
      </c>
      <c r="U239" s="45"/>
      <c r="V239" s="45"/>
      <c r="W239" s="45"/>
      <c r="X239" s="45"/>
      <c r="Y239" s="46">
        <f ca="1">IFERROR(__xludf.DUMMYFUNCTION("""COMPUTED_VALUE"""),45824)</f>
        <v>45824</v>
      </c>
      <c r="Z239" s="46">
        <f ca="1">IFERROR(__xludf.DUMMYFUNCTION("""COMPUTED_VALUE"""),45861)</f>
        <v>45861</v>
      </c>
      <c r="AA239" s="46">
        <f ca="1">IFERROR(__xludf.DUMMYFUNCTION("""COMPUTED_VALUE"""),45874)</f>
        <v>45874</v>
      </c>
      <c r="AB239" s="45" t="str">
        <f ca="1">IFERROR(__xludf.DUMMYFUNCTION("""COMPUTED_VALUE"""),"3500 Argentia Road")</f>
        <v>3500 Argentia Road</v>
      </c>
      <c r="AC239" s="45"/>
      <c r="AD239" s="45" t="str">
        <f ca="1">IFERROR(__xludf.DUMMYFUNCTION("""COMPUTED_VALUE"""),"OCEAN")</f>
        <v>OCEAN</v>
      </c>
      <c r="AE239" s="45" t="str">
        <f ca="1">IFERROR(__xludf.DUMMYFUNCTION("""COMPUTED_VALUE"""),"N")</f>
        <v>N</v>
      </c>
      <c r="AF239" s="45"/>
      <c r="AG239" s="49" t="str">
        <f ca="1">IFERROR(__xludf.DUMMYFUNCTION("IFNA(vlookup(H239,IMPORTRANGE(""1vUGwO1n0QQGx9kKbO0_M5gmuhXZ6-LaxQxgrmJnzgP0"",""'TP# look up'!A:C""),3,0),"""")"),"")</f>
        <v/>
      </c>
      <c r="AH239" s="49" t="str">
        <f t="shared" ca="1" si="3"/>
        <v>LM</v>
      </c>
    </row>
    <row r="240" spans="1:34" ht="12.75">
      <c r="A240" s="45" t="str">
        <f ca="1">IFERROR(__xludf.DUMMYFUNCTION("""COMPUTED_VALUE"""),"Colombo")</f>
        <v>Colombo</v>
      </c>
      <c r="B240" s="45"/>
      <c r="C240" s="45">
        <f ca="1">IFERROR(__xludf.DUMMYFUNCTION("""COMPUTED_VALUE"""),3254506)</f>
        <v>3254506</v>
      </c>
      <c r="D240" s="45"/>
      <c r="E240" s="45" t="str">
        <f ca="1">IFERROR(__xludf.DUMMYFUNCTION("""COMPUTED_VALUE"""),"CFS")</f>
        <v>CFS</v>
      </c>
      <c r="F240" s="45" t="str">
        <f ca="1">IFERROR(__xludf.DUMMYFUNCTION("""COMPUTED_VALUE"""),"Inqube Global (PVT) Ltd")</f>
        <v>Inqube Global (PVT) Ltd</v>
      </c>
      <c r="G240" s="45" t="str">
        <f ca="1">IFERROR(__xludf.DUMMYFUNCTION("""COMPUTED_VALUE"""),"BRANDIX APPAREL SOLUTION LTD - GIRITALE")</f>
        <v>BRANDIX APPAREL SOLUTION LTD - GIRITALE</v>
      </c>
      <c r="H240" s="43">
        <f ca="1">IFERROR(__xludf.DUMMYFUNCTION("""COMPUTED_VALUE"""),452512384989)</f>
        <v>452512384989</v>
      </c>
      <c r="I240" s="45">
        <f ca="1">IFERROR(__xludf.DUMMYFUNCTION("""COMPUTED_VALUE"""),19855984)</f>
        <v>19855984</v>
      </c>
      <c r="J240" s="45" t="str">
        <f ca="1">IFERROR(__xludf.DUMMYFUNCTION("""COMPUTED_VALUE"""),"LM5AQGS")</f>
        <v>LM5AQGS</v>
      </c>
      <c r="K240" s="45" t="str">
        <f ca="1">IFERROR(__xludf.DUMMYFUNCTION("""COMPUTED_VALUE"""),"LM5AQGS-019222")</f>
        <v>LM5AQGS-019222</v>
      </c>
      <c r="L240" s="45">
        <f ca="1">IFERROR(__xludf.DUMMYFUNCTION("""COMPUTED_VALUE"""),5)</f>
        <v>5</v>
      </c>
      <c r="M240" s="45">
        <f ca="1">IFERROR(__xludf.DUMMYFUNCTION("""COMPUTED_VALUE"""),68)</f>
        <v>68</v>
      </c>
      <c r="N240" s="45">
        <f ca="1">IFERROR(__xludf.DUMMYFUNCTION("""COMPUTED_VALUE"""),31.77)</f>
        <v>31.77</v>
      </c>
      <c r="O240" s="45">
        <f ca="1">IFERROR(__xludf.DUMMYFUNCTION("""COMPUTED_VALUE"""),0.253)</f>
        <v>0.253</v>
      </c>
      <c r="P240" s="45" t="str">
        <f ca="1">IFERROR(__xludf.DUMMYFUNCTION("""COMPUTED_VALUE"""),"Colombo, LK")</f>
        <v>Colombo, LK</v>
      </c>
      <c r="Q240" s="45" t="str">
        <f ca="1">IFERROR(__xludf.DUMMYFUNCTION("""COMPUTED_VALUE"""),"New York, NY, US")</f>
        <v>New York, NY, US</v>
      </c>
      <c r="R240" s="44">
        <f ca="1">IFERROR(__xludf.DUMMYFUNCTION("""COMPUTED_VALUE"""),45824)</f>
        <v>45824</v>
      </c>
      <c r="S240" s="44">
        <f ca="1">IFERROR(__xludf.DUMMYFUNCTION("""COMPUTED_VALUE"""),45883)</f>
        <v>45883</v>
      </c>
      <c r="T240" s="45" t="str">
        <f ca="1">IFERROR(__xludf.DUMMYFUNCTION("""COMPUTED_VALUE"""),"Mississauga, ON, CA")</f>
        <v>Mississauga, ON, CA</v>
      </c>
      <c r="U240" s="45"/>
      <c r="V240" s="45"/>
      <c r="W240" s="45"/>
      <c r="X240" s="45"/>
      <c r="Y240" s="46">
        <f ca="1">IFERROR(__xludf.DUMMYFUNCTION("""COMPUTED_VALUE"""),45832)</f>
        <v>45832</v>
      </c>
      <c r="Z240" s="46">
        <f ca="1">IFERROR(__xludf.DUMMYFUNCTION("""COMPUTED_VALUE"""),45861)</f>
        <v>45861</v>
      </c>
      <c r="AA240" s="46">
        <f ca="1">IFERROR(__xludf.DUMMYFUNCTION("""COMPUTED_VALUE"""),45874)</f>
        <v>45874</v>
      </c>
      <c r="AB240" s="45" t="str">
        <f ca="1">IFERROR(__xludf.DUMMYFUNCTION("""COMPUTED_VALUE"""),"3500 Argentia Road")</f>
        <v>3500 Argentia Road</v>
      </c>
      <c r="AC240" s="45"/>
      <c r="AD240" s="45" t="str">
        <f ca="1">IFERROR(__xludf.DUMMYFUNCTION("""COMPUTED_VALUE"""),"OCEAN")</f>
        <v>OCEAN</v>
      </c>
      <c r="AE240" s="45" t="str">
        <f ca="1">IFERROR(__xludf.DUMMYFUNCTION("""COMPUTED_VALUE"""),"N")</f>
        <v>N</v>
      </c>
      <c r="AF240" s="45"/>
      <c r="AG240" s="49" t="str">
        <f ca="1">IFERROR(__xludf.DUMMYFUNCTION("IFNA(vlookup(H240,IMPORTRANGE(""1vUGwO1n0QQGx9kKbO0_M5gmuhXZ6-LaxQxgrmJnzgP0"",""'TP# look up'!A:C""),3,0),"""")"),"")</f>
        <v/>
      </c>
      <c r="AH240" s="49" t="str">
        <f t="shared" ca="1" si="3"/>
        <v>LM</v>
      </c>
    </row>
    <row r="241" spans="1:34" ht="12.75">
      <c r="A241" s="45" t="str">
        <f ca="1">IFERROR(__xludf.DUMMYFUNCTION("""COMPUTED_VALUE"""),"Colombo")</f>
        <v>Colombo</v>
      </c>
      <c r="B241" s="45"/>
      <c r="C241" s="45">
        <f ca="1">IFERROR(__xludf.DUMMYFUNCTION("""COMPUTED_VALUE"""),3254506)</f>
        <v>3254506</v>
      </c>
      <c r="D241" s="45"/>
      <c r="E241" s="45" t="str">
        <f ca="1">IFERROR(__xludf.DUMMYFUNCTION("""COMPUTED_VALUE"""),"CFS")</f>
        <v>CFS</v>
      </c>
      <c r="F241" s="45" t="str">
        <f ca="1">IFERROR(__xludf.DUMMYFUNCTION("""COMPUTED_VALUE"""),"Inqube Global (PVT) Ltd")</f>
        <v>Inqube Global (PVT) Ltd</v>
      </c>
      <c r="G241" s="45" t="str">
        <f ca="1">IFERROR(__xludf.DUMMYFUNCTION("""COMPUTED_VALUE"""),"BRANDIX APPAREL SOLUTION LTD - GIRITALE")</f>
        <v>BRANDIX APPAREL SOLUTION LTD - GIRITALE</v>
      </c>
      <c r="H241" s="43">
        <f ca="1">IFERROR(__xludf.DUMMYFUNCTION("""COMPUTED_VALUE"""),452513362362)</f>
        <v>452513362362</v>
      </c>
      <c r="I241" s="45">
        <f ca="1">IFERROR(__xludf.DUMMYFUNCTION("""COMPUTED_VALUE"""),19855995)</f>
        <v>19855995</v>
      </c>
      <c r="J241" s="45" t="str">
        <f ca="1">IFERROR(__xludf.DUMMYFUNCTION("""COMPUTED_VALUE"""),"LM5AQGS")</f>
        <v>LM5AQGS</v>
      </c>
      <c r="K241" s="45" t="str">
        <f ca="1">IFERROR(__xludf.DUMMYFUNCTION("""COMPUTED_VALUE"""),"LM5AQGS-033123")</f>
        <v>LM5AQGS-033123</v>
      </c>
      <c r="L241" s="45">
        <f ca="1">IFERROR(__xludf.DUMMYFUNCTION("""COMPUTED_VALUE"""),5)</f>
        <v>5</v>
      </c>
      <c r="M241" s="45">
        <f ca="1">IFERROR(__xludf.DUMMYFUNCTION("""COMPUTED_VALUE"""),83)</f>
        <v>83</v>
      </c>
      <c r="N241" s="45">
        <f ca="1">IFERROR(__xludf.DUMMYFUNCTION("""COMPUTED_VALUE"""),37.81)</f>
        <v>37.81</v>
      </c>
      <c r="O241" s="45">
        <f ca="1">IFERROR(__xludf.DUMMYFUNCTION("""COMPUTED_VALUE"""),0.253)</f>
        <v>0.253</v>
      </c>
      <c r="P241" s="45" t="str">
        <f ca="1">IFERROR(__xludf.DUMMYFUNCTION("""COMPUTED_VALUE"""),"Colombo, LK")</f>
        <v>Colombo, LK</v>
      </c>
      <c r="Q241" s="45" t="str">
        <f ca="1">IFERROR(__xludf.DUMMYFUNCTION("""COMPUTED_VALUE"""),"New York, NY, US")</f>
        <v>New York, NY, US</v>
      </c>
      <c r="R241" s="44">
        <f ca="1">IFERROR(__xludf.DUMMYFUNCTION("""COMPUTED_VALUE"""),45824)</f>
        <v>45824</v>
      </c>
      <c r="S241" s="44">
        <f ca="1">IFERROR(__xludf.DUMMYFUNCTION("""COMPUTED_VALUE"""),45883)</f>
        <v>45883</v>
      </c>
      <c r="T241" s="45" t="str">
        <f ca="1">IFERROR(__xludf.DUMMYFUNCTION("""COMPUTED_VALUE"""),"Mississauga, ON, CA")</f>
        <v>Mississauga, ON, CA</v>
      </c>
      <c r="U241" s="45"/>
      <c r="V241" s="45"/>
      <c r="W241" s="45"/>
      <c r="X241" s="45"/>
      <c r="Y241" s="46">
        <f ca="1">IFERROR(__xludf.DUMMYFUNCTION("""COMPUTED_VALUE"""),45832)</f>
        <v>45832</v>
      </c>
      <c r="Z241" s="46">
        <f ca="1">IFERROR(__xludf.DUMMYFUNCTION("""COMPUTED_VALUE"""),45861)</f>
        <v>45861</v>
      </c>
      <c r="AA241" s="46">
        <f ca="1">IFERROR(__xludf.DUMMYFUNCTION("""COMPUTED_VALUE"""),45874)</f>
        <v>45874</v>
      </c>
      <c r="AB241" s="45" t="str">
        <f ca="1">IFERROR(__xludf.DUMMYFUNCTION("""COMPUTED_VALUE"""),"3500 Argentia Road")</f>
        <v>3500 Argentia Road</v>
      </c>
      <c r="AC241" s="45"/>
      <c r="AD241" s="45" t="str">
        <f ca="1">IFERROR(__xludf.DUMMYFUNCTION("""COMPUTED_VALUE"""),"OCEAN")</f>
        <v>OCEAN</v>
      </c>
      <c r="AE241" s="45" t="str">
        <f ca="1">IFERROR(__xludf.DUMMYFUNCTION("""COMPUTED_VALUE"""),"N")</f>
        <v>N</v>
      </c>
      <c r="AF241" s="45"/>
      <c r="AG241" s="49" t="str">
        <f ca="1">IFERROR(__xludf.DUMMYFUNCTION("IFNA(vlookup(H241,IMPORTRANGE(""1vUGwO1n0QQGx9kKbO0_M5gmuhXZ6-LaxQxgrmJnzgP0"",""'TP# look up'!A:C""),3,0),"""")"),"")</f>
        <v/>
      </c>
      <c r="AH241" s="49" t="str">
        <f t="shared" ca="1" si="3"/>
        <v>LM</v>
      </c>
    </row>
    <row r="242" spans="1:34" ht="12.75">
      <c r="A242" s="45" t="str">
        <f ca="1">IFERROR(__xludf.DUMMYFUNCTION("""COMPUTED_VALUE"""),"Colombo")</f>
        <v>Colombo</v>
      </c>
      <c r="B242" s="45"/>
      <c r="C242" s="45">
        <f ca="1">IFERROR(__xludf.DUMMYFUNCTION("""COMPUTED_VALUE"""),3254506)</f>
        <v>3254506</v>
      </c>
      <c r="D242" s="45"/>
      <c r="E242" s="45" t="str">
        <f ca="1">IFERROR(__xludf.DUMMYFUNCTION("""COMPUTED_VALUE"""),"CFS")</f>
        <v>CFS</v>
      </c>
      <c r="F242" s="45" t="str">
        <f ca="1">IFERROR(__xludf.DUMMYFUNCTION("""COMPUTED_VALUE"""),"Inqube Global (PVT) Ltd")</f>
        <v>Inqube Global (PVT) Ltd</v>
      </c>
      <c r="G242" s="45" t="str">
        <f ca="1">IFERROR(__xludf.DUMMYFUNCTION("""COMPUTED_VALUE"""),"BRANDIX APPAREL SOLUTION LTD - GIRITALE")</f>
        <v>BRANDIX APPAREL SOLUTION LTD - GIRITALE</v>
      </c>
      <c r="H242" s="43">
        <f ca="1">IFERROR(__xludf.DUMMYFUNCTION("""COMPUTED_VALUE"""),452514184896)</f>
        <v>452514184896</v>
      </c>
      <c r="I242" s="45">
        <f ca="1">IFERROR(__xludf.DUMMYFUNCTION("""COMPUTED_VALUE"""),19856019)</f>
        <v>19856019</v>
      </c>
      <c r="J242" s="45" t="str">
        <f ca="1">IFERROR(__xludf.DUMMYFUNCTION("""COMPUTED_VALUE"""),"LM5AQHS")</f>
        <v>LM5AQHS</v>
      </c>
      <c r="K242" s="45" t="str">
        <f ca="1">IFERROR(__xludf.DUMMYFUNCTION("""COMPUTED_VALUE"""),"LM5AQHS-070108")</f>
        <v>LM5AQHS-070108</v>
      </c>
      <c r="L242" s="45">
        <f ca="1">IFERROR(__xludf.DUMMYFUNCTION("""COMPUTED_VALUE"""),9)</f>
        <v>9</v>
      </c>
      <c r="M242" s="45">
        <f ca="1">IFERROR(__xludf.DUMMYFUNCTION("""COMPUTED_VALUE"""),248)</f>
        <v>248</v>
      </c>
      <c r="N242" s="45">
        <f ca="1">IFERROR(__xludf.DUMMYFUNCTION("""COMPUTED_VALUE"""),112.39)</f>
        <v>112.39</v>
      </c>
      <c r="O242" s="45">
        <f ca="1">IFERROR(__xludf.DUMMYFUNCTION("""COMPUTED_VALUE"""),0.663)</f>
        <v>0.66300000000000003</v>
      </c>
      <c r="P242" s="45" t="str">
        <f ca="1">IFERROR(__xludf.DUMMYFUNCTION("""COMPUTED_VALUE"""),"Colombo, LK")</f>
        <v>Colombo, LK</v>
      </c>
      <c r="Q242" s="45" t="str">
        <f ca="1">IFERROR(__xludf.DUMMYFUNCTION("""COMPUTED_VALUE"""),"New York, NY, US")</f>
        <v>New York, NY, US</v>
      </c>
      <c r="R242" s="44">
        <f ca="1">IFERROR(__xludf.DUMMYFUNCTION("""COMPUTED_VALUE"""),45824)</f>
        <v>45824</v>
      </c>
      <c r="S242" s="44">
        <f ca="1">IFERROR(__xludf.DUMMYFUNCTION("""COMPUTED_VALUE"""),45883)</f>
        <v>45883</v>
      </c>
      <c r="T242" s="45" t="str">
        <f ca="1">IFERROR(__xludf.DUMMYFUNCTION("""COMPUTED_VALUE"""),"Mississauga, ON, CA")</f>
        <v>Mississauga, ON, CA</v>
      </c>
      <c r="U242" s="45"/>
      <c r="V242" s="45"/>
      <c r="W242" s="45"/>
      <c r="X242" s="45"/>
      <c r="Y242" s="46">
        <f ca="1">IFERROR(__xludf.DUMMYFUNCTION("""COMPUTED_VALUE"""),45832)</f>
        <v>45832</v>
      </c>
      <c r="Z242" s="46">
        <f ca="1">IFERROR(__xludf.DUMMYFUNCTION("""COMPUTED_VALUE"""),45861)</f>
        <v>45861</v>
      </c>
      <c r="AA242" s="46">
        <f ca="1">IFERROR(__xludf.DUMMYFUNCTION("""COMPUTED_VALUE"""),45874)</f>
        <v>45874</v>
      </c>
      <c r="AB242" s="45" t="str">
        <f ca="1">IFERROR(__xludf.DUMMYFUNCTION("""COMPUTED_VALUE"""),"3500 Argentia Road")</f>
        <v>3500 Argentia Road</v>
      </c>
      <c r="AC242" s="45"/>
      <c r="AD242" s="45" t="str">
        <f ca="1">IFERROR(__xludf.DUMMYFUNCTION("""COMPUTED_VALUE"""),"OCEAN")</f>
        <v>OCEAN</v>
      </c>
      <c r="AE242" s="45" t="str">
        <f ca="1">IFERROR(__xludf.DUMMYFUNCTION("""COMPUTED_VALUE"""),"N")</f>
        <v>N</v>
      </c>
      <c r="AF242" s="45"/>
      <c r="AG242" s="49" t="str">
        <f ca="1">IFERROR(__xludf.DUMMYFUNCTION("IFNA(vlookup(H242,IMPORTRANGE(""1vUGwO1n0QQGx9kKbO0_M5gmuhXZ6-LaxQxgrmJnzgP0"",""'TP# look up'!A:C""),3,0),"""")"),"")</f>
        <v/>
      </c>
      <c r="AH242" s="49" t="str">
        <f t="shared" ca="1" si="3"/>
        <v>LM</v>
      </c>
    </row>
    <row r="243" spans="1:34" ht="12.75">
      <c r="A243" s="45" t="str">
        <f ca="1">IFERROR(__xludf.DUMMYFUNCTION("""COMPUTED_VALUE"""),"Colombo")</f>
        <v>Colombo</v>
      </c>
      <c r="B243" s="45"/>
      <c r="C243" s="45">
        <f ca="1">IFERROR(__xludf.DUMMYFUNCTION("""COMPUTED_VALUE"""),3254506)</f>
        <v>3254506</v>
      </c>
      <c r="D243" s="45"/>
      <c r="E243" s="45" t="str">
        <f ca="1">IFERROR(__xludf.DUMMYFUNCTION("""COMPUTED_VALUE"""),"CFS")</f>
        <v>CFS</v>
      </c>
      <c r="F243" s="45" t="str">
        <f ca="1">IFERROR(__xludf.DUMMYFUNCTION("""COMPUTED_VALUE"""),"Inqube Global (PVT) Ltd")</f>
        <v>Inqube Global (PVT) Ltd</v>
      </c>
      <c r="G243" s="45" t="str">
        <f ca="1">IFERROR(__xludf.DUMMYFUNCTION("""COMPUTED_VALUE"""),"BRANDIX APPAREL SOLUTION LTD - GIRITALE")</f>
        <v>BRANDIX APPAREL SOLUTION LTD - GIRITALE</v>
      </c>
      <c r="H243" s="43">
        <f ca="1">IFERROR(__xludf.DUMMYFUNCTION("""COMPUTED_VALUE"""),452514187247)</f>
        <v>452514187247</v>
      </c>
      <c r="I243" s="45">
        <f ca="1">IFERROR(__xludf.DUMMYFUNCTION("""COMPUTED_VALUE"""),19856055)</f>
        <v>19856055</v>
      </c>
      <c r="J243" s="45" t="str">
        <f ca="1">IFERROR(__xludf.DUMMYFUNCTION("""COMPUTED_VALUE"""),"LM5AQMT")</f>
        <v>LM5AQMT</v>
      </c>
      <c r="K243" s="45" t="str">
        <f ca="1">IFERROR(__xludf.DUMMYFUNCTION("""COMPUTED_VALUE"""),"LM5AQMT-019222")</f>
        <v>LM5AQMT-019222</v>
      </c>
      <c r="L243" s="45">
        <f ca="1">IFERROR(__xludf.DUMMYFUNCTION("""COMPUTED_VALUE"""),4)</f>
        <v>4</v>
      </c>
      <c r="M243" s="45">
        <f ca="1">IFERROR(__xludf.DUMMYFUNCTION("""COMPUTED_VALUE"""),71)</f>
        <v>71</v>
      </c>
      <c r="N243" s="45">
        <f ca="1">IFERROR(__xludf.DUMMYFUNCTION("""COMPUTED_VALUE"""),37.48)</f>
        <v>37.479999999999997</v>
      </c>
      <c r="O243" s="45">
        <f ca="1">IFERROR(__xludf.DUMMYFUNCTION("""COMPUTED_VALUE"""),0.21)</f>
        <v>0.21</v>
      </c>
      <c r="P243" s="45" t="str">
        <f ca="1">IFERROR(__xludf.DUMMYFUNCTION("""COMPUTED_VALUE"""),"Colombo, LK")</f>
        <v>Colombo, LK</v>
      </c>
      <c r="Q243" s="45" t="str">
        <f ca="1">IFERROR(__xludf.DUMMYFUNCTION("""COMPUTED_VALUE"""),"New York, NY, US")</f>
        <v>New York, NY, US</v>
      </c>
      <c r="R243" s="44">
        <f ca="1">IFERROR(__xludf.DUMMYFUNCTION("""COMPUTED_VALUE"""),45824)</f>
        <v>45824</v>
      </c>
      <c r="S243" s="44">
        <f ca="1">IFERROR(__xludf.DUMMYFUNCTION("""COMPUTED_VALUE"""),45883)</f>
        <v>45883</v>
      </c>
      <c r="T243" s="45" t="str">
        <f ca="1">IFERROR(__xludf.DUMMYFUNCTION("""COMPUTED_VALUE"""),"Mississauga, ON, CA")</f>
        <v>Mississauga, ON, CA</v>
      </c>
      <c r="U243" s="45"/>
      <c r="V243" s="45"/>
      <c r="W243" s="45"/>
      <c r="X243" s="45"/>
      <c r="Y243" s="46">
        <f ca="1">IFERROR(__xludf.DUMMYFUNCTION("""COMPUTED_VALUE"""),45832)</f>
        <v>45832</v>
      </c>
      <c r="Z243" s="46">
        <f ca="1">IFERROR(__xludf.DUMMYFUNCTION("""COMPUTED_VALUE"""),45861)</f>
        <v>45861</v>
      </c>
      <c r="AA243" s="46">
        <f ca="1">IFERROR(__xludf.DUMMYFUNCTION("""COMPUTED_VALUE"""),45874)</f>
        <v>45874</v>
      </c>
      <c r="AB243" s="45" t="str">
        <f ca="1">IFERROR(__xludf.DUMMYFUNCTION("""COMPUTED_VALUE"""),"3500 Argentia Road")</f>
        <v>3500 Argentia Road</v>
      </c>
      <c r="AC243" s="45"/>
      <c r="AD243" s="45" t="str">
        <f ca="1">IFERROR(__xludf.DUMMYFUNCTION("""COMPUTED_VALUE"""),"OCEAN")</f>
        <v>OCEAN</v>
      </c>
      <c r="AE243" s="45" t="str">
        <f ca="1">IFERROR(__xludf.DUMMYFUNCTION("""COMPUTED_VALUE"""),"N")</f>
        <v>N</v>
      </c>
      <c r="AF243" s="45"/>
      <c r="AG243" s="49" t="str">
        <f ca="1">IFERROR(__xludf.DUMMYFUNCTION("IFNA(vlookup(H243,IMPORTRANGE(""1vUGwO1n0QQGx9kKbO0_M5gmuhXZ6-LaxQxgrmJnzgP0"",""'TP# look up'!A:C""),3,0),"""")"),"")</f>
        <v/>
      </c>
      <c r="AH243" s="49" t="str">
        <f t="shared" ca="1" si="3"/>
        <v>LM</v>
      </c>
    </row>
    <row r="244" spans="1:34" ht="12.75">
      <c r="A244" s="45" t="str">
        <f ca="1">IFERROR(__xludf.DUMMYFUNCTION("""COMPUTED_VALUE"""),"Colombo")</f>
        <v>Colombo</v>
      </c>
      <c r="B244" s="45"/>
      <c r="C244" s="45">
        <f ca="1">IFERROR(__xludf.DUMMYFUNCTION("""COMPUTED_VALUE"""),3254506)</f>
        <v>3254506</v>
      </c>
      <c r="D244" s="45"/>
      <c r="E244" s="45" t="str">
        <f ca="1">IFERROR(__xludf.DUMMYFUNCTION("""COMPUTED_VALUE"""),"CFS")</f>
        <v>CFS</v>
      </c>
      <c r="F244" s="45" t="str">
        <f ca="1">IFERROR(__xludf.DUMMYFUNCTION("""COMPUTED_VALUE"""),"Inqube Global (PVT) Ltd")</f>
        <v>Inqube Global (PVT) Ltd</v>
      </c>
      <c r="G244" s="45" t="str">
        <f ca="1">IFERROR(__xludf.DUMMYFUNCTION("""COMPUTED_VALUE"""),"BRANDIX APPAREL SOLUTION LTD - GIRITALE")</f>
        <v>BRANDIX APPAREL SOLUTION LTD - GIRITALE</v>
      </c>
      <c r="H244" s="43">
        <f ca="1">IFERROR(__xludf.DUMMYFUNCTION("""COMPUTED_VALUE"""),452514909602)</f>
        <v>452514909602</v>
      </c>
      <c r="I244" s="45">
        <f ca="1">IFERROR(__xludf.DUMMYFUNCTION("""COMPUTED_VALUE"""),19856067)</f>
        <v>19856067</v>
      </c>
      <c r="J244" s="45" t="str">
        <f ca="1">IFERROR(__xludf.DUMMYFUNCTION("""COMPUTED_VALUE"""),"LM5AQMT")</f>
        <v>LM5AQMT</v>
      </c>
      <c r="K244" s="45" t="str">
        <f ca="1">IFERROR(__xludf.DUMMYFUNCTION("""COMPUTED_VALUE"""),"LM5AQMT-070108")</f>
        <v>LM5AQMT-070108</v>
      </c>
      <c r="L244" s="45">
        <f ca="1">IFERROR(__xludf.DUMMYFUNCTION("""COMPUTED_VALUE"""),4)</f>
        <v>4</v>
      </c>
      <c r="M244" s="45">
        <f ca="1">IFERROR(__xludf.DUMMYFUNCTION("""COMPUTED_VALUE"""),75)</f>
        <v>75</v>
      </c>
      <c r="N244" s="45">
        <f ca="1">IFERROR(__xludf.DUMMYFUNCTION("""COMPUTED_VALUE"""),39.38)</f>
        <v>39.380000000000003</v>
      </c>
      <c r="O244" s="45">
        <f ca="1">IFERROR(__xludf.DUMMYFUNCTION("""COMPUTED_VALUE"""),0.21)</f>
        <v>0.21</v>
      </c>
      <c r="P244" s="45" t="str">
        <f ca="1">IFERROR(__xludf.DUMMYFUNCTION("""COMPUTED_VALUE"""),"Colombo, LK")</f>
        <v>Colombo, LK</v>
      </c>
      <c r="Q244" s="45" t="str">
        <f ca="1">IFERROR(__xludf.DUMMYFUNCTION("""COMPUTED_VALUE"""),"New York, NY, US")</f>
        <v>New York, NY, US</v>
      </c>
      <c r="R244" s="44">
        <f ca="1">IFERROR(__xludf.DUMMYFUNCTION("""COMPUTED_VALUE"""),45824)</f>
        <v>45824</v>
      </c>
      <c r="S244" s="44">
        <f ca="1">IFERROR(__xludf.DUMMYFUNCTION("""COMPUTED_VALUE"""),45883)</f>
        <v>45883</v>
      </c>
      <c r="T244" s="45" t="str">
        <f ca="1">IFERROR(__xludf.DUMMYFUNCTION("""COMPUTED_VALUE"""),"Mississauga, ON, CA")</f>
        <v>Mississauga, ON, CA</v>
      </c>
      <c r="U244" s="45"/>
      <c r="V244" s="45"/>
      <c r="W244" s="45"/>
      <c r="X244" s="45"/>
      <c r="Y244" s="46">
        <f ca="1">IFERROR(__xludf.DUMMYFUNCTION("""COMPUTED_VALUE"""),45832)</f>
        <v>45832</v>
      </c>
      <c r="Z244" s="46">
        <f ca="1">IFERROR(__xludf.DUMMYFUNCTION("""COMPUTED_VALUE"""),45861)</f>
        <v>45861</v>
      </c>
      <c r="AA244" s="46">
        <f ca="1">IFERROR(__xludf.DUMMYFUNCTION("""COMPUTED_VALUE"""),45874)</f>
        <v>45874</v>
      </c>
      <c r="AB244" s="45" t="str">
        <f ca="1">IFERROR(__xludf.DUMMYFUNCTION("""COMPUTED_VALUE"""),"3500 Argentia Road")</f>
        <v>3500 Argentia Road</v>
      </c>
      <c r="AC244" s="45"/>
      <c r="AD244" s="45" t="str">
        <f ca="1">IFERROR(__xludf.DUMMYFUNCTION("""COMPUTED_VALUE"""),"OCEAN")</f>
        <v>OCEAN</v>
      </c>
      <c r="AE244" s="45" t="str">
        <f ca="1">IFERROR(__xludf.DUMMYFUNCTION("""COMPUTED_VALUE"""),"N")</f>
        <v>N</v>
      </c>
      <c r="AF244" s="45"/>
      <c r="AG244" s="49" t="str">
        <f ca="1">IFERROR(__xludf.DUMMYFUNCTION("IFNA(vlookup(H244,IMPORTRANGE(""1vUGwO1n0QQGx9kKbO0_M5gmuhXZ6-LaxQxgrmJnzgP0"",""'TP# look up'!A:C""),3,0),"""")"),"")</f>
        <v/>
      </c>
      <c r="AH244" s="49" t="str">
        <f t="shared" ca="1" si="3"/>
        <v>LM</v>
      </c>
    </row>
    <row r="245" spans="1:34" ht="12.75">
      <c r="A245" s="45" t="str">
        <f ca="1">IFERROR(__xludf.DUMMYFUNCTION("""COMPUTED_VALUE"""),"Colombo")</f>
        <v>Colombo</v>
      </c>
      <c r="B245" s="45"/>
      <c r="C245" s="45">
        <f ca="1">IFERROR(__xludf.DUMMYFUNCTION("""COMPUTED_VALUE"""),3254506)</f>
        <v>3254506</v>
      </c>
      <c r="D245" s="45"/>
      <c r="E245" s="45" t="str">
        <f ca="1">IFERROR(__xludf.DUMMYFUNCTION("""COMPUTED_VALUE"""),"CFS")</f>
        <v>CFS</v>
      </c>
      <c r="F245" s="45" t="str">
        <f ca="1">IFERROR(__xludf.DUMMYFUNCTION("""COMPUTED_VALUE"""),"Inqube Global (PVT) Ltd")</f>
        <v>Inqube Global (PVT) Ltd</v>
      </c>
      <c r="G245" s="45" t="str">
        <f ca="1">IFERROR(__xludf.DUMMYFUNCTION("""COMPUTED_VALUE"""),"BRANDIX APPAREL SOLUTION LTD - GIRITALE")</f>
        <v>BRANDIX APPAREL SOLUTION LTD - GIRITALE</v>
      </c>
      <c r="H245" s="43">
        <f ca="1">IFERROR(__xludf.DUMMYFUNCTION("""COMPUTED_VALUE"""),452516737431)</f>
        <v>452516737431</v>
      </c>
      <c r="I245" s="45">
        <f ca="1">IFERROR(__xludf.DUMMYFUNCTION("""COMPUTED_VALUE"""),19855823)</f>
        <v>19855823</v>
      </c>
      <c r="J245" s="45" t="str">
        <f ca="1">IFERROR(__xludf.DUMMYFUNCTION("""COMPUTED_VALUE"""),"LM5BKOS")</f>
        <v>LM5BKOS</v>
      </c>
      <c r="K245" s="45" t="str">
        <f ca="1">IFERROR(__xludf.DUMMYFUNCTION("""COMPUTED_VALUE"""),"LM5BKOS-0001")</f>
        <v>LM5BKOS-0001</v>
      </c>
      <c r="L245" s="45">
        <f ca="1">IFERROR(__xludf.DUMMYFUNCTION("""COMPUTED_VALUE"""),26)</f>
        <v>26</v>
      </c>
      <c r="M245" s="45">
        <f ca="1">IFERROR(__xludf.DUMMYFUNCTION("""COMPUTED_VALUE"""),1166)</f>
        <v>1166</v>
      </c>
      <c r="N245" s="45">
        <f ca="1">IFERROR(__xludf.DUMMYFUNCTION("""COMPUTED_VALUE"""),461.72)</f>
        <v>461.72</v>
      </c>
      <c r="O245" s="45">
        <f ca="1">IFERROR(__xludf.DUMMYFUNCTION("""COMPUTED_VALUE"""),2.146)</f>
        <v>2.1459999999999999</v>
      </c>
      <c r="P245" s="45" t="str">
        <f ca="1">IFERROR(__xludf.DUMMYFUNCTION("""COMPUTED_VALUE"""),"Colombo, LK")</f>
        <v>Colombo, LK</v>
      </c>
      <c r="Q245" s="45" t="str">
        <f ca="1">IFERROR(__xludf.DUMMYFUNCTION("""COMPUTED_VALUE"""),"New York, NY, US")</f>
        <v>New York, NY, US</v>
      </c>
      <c r="R245" s="44">
        <f ca="1">IFERROR(__xludf.DUMMYFUNCTION("""COMPUTED_VALUE"""),45824)</f>
        <v>45824</v>
      </c>
      <c r="S245" s="44">
        <f ca="1">IFERROR(__xludf.DUMMYFUNCTION("""COMPUTED_VALUE"""),45883)</f>
        <v>45883</v>
      </c>
      <c r="T245" s="45" t="str">
        <f ca="1">IFERROR(__xludf.DUMMYFUNCTION("""COMPUTED_VALUE"""),"Milton, ON, CA")</f>
        <v>Milton, ON, CA</v>
      </c>
      <c r="U245" s="45"/>
      <c r="V245" s="45"/>
      <c r="W245" s="45"/>
      <c r="X245" s="45"/>
      <c r="Y245" s="46">
        <f ca="1">IFERROR(__xludf.DUMMYFUNCTION("""COMPUTED_VALUE"""),45832)</f>
        <v>45832</v>
      </c>
      <c r="Z245" s="46">
        <f ca="1">IFERROR(__xludf.DUMMYFUNCTION("""COMPUTED_VALUE"""),45861)</f>
        <v>45861</v>
      </c>
      <c r="AA245" s="46">
        <f ca="1">IFERROR(__xludf.DUMMYFUNCTION("""COMPUTED_VALUE"""),45874)</f>
        <v>45874</v>
      </c>
      <c r="AB245" s="45" t="str">
        <f ca="1">IFERROR(__xludf.DUMMYFUNCTION("""COMPUTED_VALUE"""),"7211 Fifth Line")</f>
        <v>7211 Fifth Line</v>
      </c>
      <c r="AC245" s="45"/>
      <c r="AD245" s="45" t="str">
        <f ca="1">IFERROR(__xludf.DUMMYFUNCTION("""COMPUTED_VALUE"""),"OCEAN")</f>
        <v>OCEAN</v>
      </c>
      <c r="AE245" s="45" t="str">
        <f ca="1">IFERROR(__xludf.DUMMYFUNCTION("""COMPUTED_VALUE"""),"N")</f>
        <v>N</v>
      </c>
      <c r="AF245" s="45"/>
      <c r="AG245" s="49" t="str">
        <f ca="1">IFERROR(__xludf.DUMMYFUNCTION("IFNA(vlookup(H245,IMPORTRANGE(""1vUGwO1n0QQGx9kKbO0_M5gmuhXZ6-LaxQxgrmJnzgP0"",""'TP# look up'!A:C""),3,0),"""")"),"")</f>
        <v/>
      </c>
      <c r="AH245" s="49" t="str">
        <f t="shared" ca="1" si="3"/>
        <v>LM</v>
      </c>
    </row>
    <row r="246" spans="1:34" ht="12.75">
      <c r="A246" s="45" t="str">
        <f ca="1">IFERROR(__xludf.DUMMYFUNCTION("""COMPUTED_VALUE"""),"Colombo")</f>
        <v>Colombo</v>
      </c>
      <c r="B246" s="45"/>
      <c r="C246" s="45">
        <f ca="1">IFERROR(__xludf.DUMMYFUNCTION("""COMPUTED_VALUE"""),3254506)</f>
        <v>3254506</v>
      </c>
      <c r="D246" s="45"/>
      <c r="E246" s="45" t="str">
        <f ca="1">IFERROR(__xludf.DUMMYFUNCTION("""COMPUTED_VALUE"""),"CFS")</f>
        <v>CFS</v>
      </c>
      <c r="F246" s="45" t="str">
        <f ca="1">IFERROR(__xludf.DUMMYFUNCTION("""COMPUTED_VALUE"""),"Inqube Global (PVT) Ltd")</f>
        <v>Inqube Global (PVT) Ltd</v>
      </c>
      <c r="G246" s="45" t="str">
        <f ca="1">IFERROR(__xludf.DUMMYFUNCTION("""COMPUTED_VALUE"""),"BRANDIX APPAREL SOLUTION LTD - GIRITALE")</f>
        <v>BRANDIX APPAREL SOLUTION LTD - GIRITALE</v>
      </c>
      <c r="H246" s="43">
        <f ca="1">IFERROR(__xludf.DUMMYFUNCTION("""COMPUTED_VALUE"""),452517477928)</f>
        <v>452517477928</v>
      </c>
      <c r="I246" s="45">
        <f ca="1">IFERROR(__xludf.DUMMYFUNCTION("""COMPUTED_VALUE"""),19855825)</f>
        <v>19855825</v>
      </c>
      <c r="J246" s="45" t="str">
        <f ca="1">IFERROR(__xludf.DUMMYFUNCTION("""COMPUTED_VALUE"""),"LM5BKOS")</f>
        <v>LM5BKOS</v>
      </c>
      <c r="K246" s="45" t="str">
        <f ca="1">IFERROR(__xludf.DUMMYFUNCTION("""COMPUTED_VALUE"""),"LM5BKOS-031382")</f>
        <v>LM5BKOS-031382</v>
      </c>
      <c r="L246" s="45">
        <f ca="1">IFERROR(__xludf.DUMMYFUNCTION("""COMPUTED_VALUE"""),21)</f>
        <v>21</v>
      </c>
      <c r="M246" s="45">
        <f ca="1">IFERROR(__xludf.DUMMYFUNCTION("""COMPUTED_VALUE"""),880)</f>
        <v>880</v>
      </c>
      <c r="N246" s="45">
        <f ca="1">IFERROR(__xludf.DUMMYFUNCTION("""COMPUTED_VALUE"""),350.46)</f>
        <v>350.46</v>
      </c>
      <c r="O246" s="45">
        <f ca="1">IFERROR(__xludf.DUMMYFUNCTION("""COMPUTED_VALUE"""),1.693)</f>
        <v>1.6930000000000001</v>
      </c>
      <c r="P246" s="45" t="str">
        <f ca="1">IFERROR(__xludf.DUMMYFUNCTION("""COMPUTED_VALUE"""),"Colombo, LK")</f>
        <v>Colombo, LK</v>
      </c>
      <c r="Q246" s="45" t="str">
        <f ca="1">IFERROR(__xludf.DUMMYFUNCTION("""COMPUTED_VALUE"""),"New York, NY, US")</f>
        <v>New York, NY, US</v>
      </c>
      <c r="R246" s="44">
        <f ca="1">IFERROR(__xludf.DUMMYFUNCTION("""COMPUTED_VALUE"""),45824)</f>
        <v>45824</v>
      </c>
      <c r="S246" s="44">
        <f ca="1">IFERROR(__xludf.DUMMYFUNCTION("""COMPUTED_VALUE"""),45883)</f>
        <v>45883</v>
      </c>
      <c r="T246" s="45" t="str">
        <f ca="1">IFERROR(__xludf.DUMMYFUNCTION("""COMPUTED_VALUE"""),"Milton, ON, CA")</f>
        <v>Milton, ON, CA</v>
      </c>
      <c r="U246" s="45"/>
      <c r="V246" s="45"/>
      <c r="W246" s="45"/>
      <c r="X246" s="45"/>
      <c r="Y246" s="46">
        <f ca="1">IFERROR(__xludf.DUMMYFUNCTION("""COMPUTED_VALUE"""),45832)</f>
        <v>45832</v>
      </c>
      <c r="Z246" s="46">
        <f ca="1">IFERROR(__xludf.DUMMYFUNCTION("""COMPUTED_VALUE"""),45861)</f>
        <v>45861</v>
      </c>
      <c r="AA246" s="46">
        <f ca="1">IFERROR(__xludf.DUMMYFUNCTION("""COMPUTED_VALUE"""),45874)</f>
        <v>45874</v>
      </c>
      <c r="AB246" s="45" t="str">
        <f ca="1">IFERROR(__xludf.DUMMYFUNCTION("""COMPUTED_VALUE"""),"7211 Fifth Line")</f>
        <v>7211 Fifth Line</v>
      </c>
      <c r="AC246" s="45"/>
      <c r="AD246" s="45" t="str">
        <f ca="1">IFERROR(__xludf.DUMMYFUNCTION("""COMPUTED_VALUE"""),"OCEAN")</f>
        <v>OCEAN</v>
      </c>
      <c r="AE246" s="45" t="str">
        <f ca="1">IFERROR(__xludf.DUMMYFUNCTION("""COMPUTED_VALUE"""),"N")</f>
        <v>N</v>
      </c>
      <c r="AF246" s="45"/>
      <c r="AG246" s="49" t="str">
        <f ca="1">IFERROR(__xludf.DUMMYFUNCTION("IFNA(vlookup(H246,IMPORTRANGE(""1vUGwO1n0QQGx9kKbO0_M5gmuhXZ6-LaxQxgrmJnzgP0"",""'TP# look up'!A:C""),3,0),"""")"),"")</f>
        <v/>
      </c>
      <c r="AH246" s="49" t="str">
        <f t="shared" ca="1" si="3"/>
        <v>LM</v>
      </c>
    </row>
    <row r="247" spans="1:34" ht="12.75">
      <c r="A247" s="45" t="str">
        <f ca="1">IFERROR(__xludf.DUMMYFUNCTION("""COMPUTED_VALUE"""),"Colombo")</f>
        <v>Colombo</v>
      </c>
      <c r="B247" s="45"/>
      <c r="C247" s="45">
        <f ca="1">IFERROR(__xludf.DUMMYFUNCTION("""COMPUTED_VALUE"""),3254506)</f>
        <v>3254506</v>
      </c>
      <c r="D247" s="45"/>
      <c r="E247" s="45" t="str">
        <f ca="1">IFERROR(__xludf.DUMMYFUNCTION("""COMPUTED_VALUE"""),"CFS")</f>
        <v>CFS</v>
      </c>
      <c r="F247" s="45" t="str">
        <f ca="1">IFERROR(__xludf.DUMMYFUNCTION("""COMPUTED_VALUE"""),"Inqube Global (PVT) Ltd")</f>
        <v>Inqube Global (PVT) Ltd</v>
      </c>
      <c r="G247" s="45" t="str">
        <f ca="1">IFERROR(__xludf.DUMMYFUNCTION("""COMPUTED_VALUE"""),"Brandix Apparel Solutions Limited - Minuwangoda")</f>
        <v>Brandix Apparel Solutions Limited - Minuwangoda</v>
      </c>
      <c r="H247" s="43">
        <f ca="1">IFERROR(__xludf.DUMMYFUNCTION("""COMPUTED_VALUE"""),452016338555)</f>
        <v>452016338555</v>
      </c>
      <c r="I247" s="45">
        <f ca="1">IFERROR(__xludf.DUMMYFUNCTION("""COMPUTED_VALUE"""),19897678)</f>
        <v>19897678</v>
      </c>
      <c r="J247" s="45" t="str">
        <f ca="1">IFERROR(__xludf.DUMMYFUNCTION("""COMPUTED_VALUE"""),"LW5GLNS")</f>
        <v>LW5GLNS</v>
      </c>
      <c r="K247" s="45" t="str">
        <f ca="1">IFERROR(__xludf.DUMMYFUNCTION("""COMPUTED_VALUE"""),"LW5GLNS-031382")</f>
        <v>LW5GLNS-031382</v>
      </c>
      <c r="L247" s="45">
        <f ca="1">IFERROR(__xludf.DUMMYFUNCTION("""COMPUTED_VALUE"""),13)</f>
        <v>13</v>
      </c>
      <c r="M247" s="45">
        <f ca="1">IFERROR(__xludf.DUMMYFUNCTION("""COMPUTED_VALUE"""),265)</f>
        <v>265</v>
      </c>
      <c r="N247" s="45">
        <f ca="1">IFERROR(__xludf.DUMMYFUNCTION("""COMPUTED_VALUE"""),142.51)</f>
        <v>142.51</v>
      </c>
      <c r="O247" s="45">
        <f ca="1">IFERROR(__xludf.DUMMYFUNCTION("""COMPUTED_VALUE"""),1.021)</f>
        <v>1.0209999999999999</v>
      </c>
      <c r="P247" s="45" t="str">
        <f ca="1">IFERROR(__xludf.DUMMYFUNCTION("""COMPUTED_VALUE"""),"Colombo, LK")</f>
        <v>Colombo, LK</v>
      </c>
      <c r="Q247" s="45" t="str">
        <f ca="1">IFERROR(__xludf.DUMMYFUNCTION("""COMPUTED_VALUE"""),"New York, NY, US")</f>
        <v>New York, NY, US</v>
      </c>
      <c r="R247" s="44">
        <f ca="1">IFERROR(__xludf.DUMMYFUNCTION("""COMPUTED_VALUE"""),45824)</f>
        <v>45824</v>
      </c>
      <c r="S247" s="44">
        <f ca="1">IFERROR(__xludf.DUMMYFUNCTION("""COMPUTED_VALUE"""),45883)</f>
        <v>45883</v>
      </c>
      <c r="T247" s="45" t="str">
        <f ca="1">IFERROR(__xludf.DUMMYFUNCTION("""COMPUTED_VALUE"""),"Milton, ON, CA")</f>
        <v>Milton, ON, CA</v>
      </c>
      <c r="U247" s="45"/>
      <c r="V247" s="45"/>
      <c r="W247" s="45"/>
      <c r="X247" s="45"/>
      <c r="Y247" s="46">
        <f ca="1">IFERROR(__xludf.DUMMYFUNCTION("""COMPUTED_VALUE"""),45832)</f>
        <v>45832</v>
      </c>
      <c r="Z247" s="46">
        <f ca="1">IFERROR(__xludf.DUMMYFUNCTION("""COMPUTED_VALUE"""),45861)</f>
        <v>45861</v>
      </c>
      <c r="AA247" s="46">
        <f ca="1">IFERROR(__xludf.DUMMYFUNCTION("""COMPUTED_VALUE"""),45874)</f>
        <v>45874</v>
      </c>
      <c r="AB247" s="45" t="str">
        <f ca="1">IFERROR(__xludf.DUMMYFUNCTION("""COMPUTED_VALUE"""),"7211 Fifth Line")</f>
        <v>7211 Fifth Line</v>
      </c>
      <c r="AC247" s="45"/>
      <c r="AD247" s="45" t="str">
        <f ca="1">IFERROR(__xludf.DUMMYFUNCTION("""COMPUTED_VALUE"""),"OCEAN")</f>
        <v>OCEAN</v>
      </c>
      <c r="AE247" s="45" t="str">
        <f ca="1">IFERROR(__xludf.DUMMYFUNCTION("""COMPUTED_VALUE"""),"N")</f>
        <v>N</v>
      </c>
      <c r="AF247" s="45"/>
      <c r="AG247" s="49" t="str">
        <f ca="1">IFERROR(__xludf.DUMMYFUNCTION("IFNA(vlookup(H247,IMPORTRANGE(""1vUGwO1n0QQGx9kKbO0_M5gmuhXZ6-LaxQxgrmJnzgP0"",""'TP# look up'!A:C""),3,0),"""")"),"")</f>
        <v/>
      </c>
      <c r="AH247" s="49" t="str">
        <f t="shared" ca="1" si="3"/>
        <v>LW</v>
      </c>
    </row>
    <row r="248" spans="1:34" ht="12.75">
      <c r="A248" s="45" t="str">
        <f ca="1">IFERROR(__xludf.DUMMYFUNCTION("""COMPUTED_VALUE"""),"Colombo")</f>
        <v>Colombo</v>
      </c>
      <c r="B248" s="45"/>
      <c r="C248" s="45">
        <f ca="1">IFERROR(__xludf.DUMMYFUNCTION("""COMPUTED_VALUE"""),3254506)</f>
        <v>3254506</v>
      </c>
      <c r="D248" s="45"/>
      <c r="E248" s="45" t="str">
        <f ca="1">IFERROR(__xludf.DUMMYFUNCTION("""COMPUTED_VALUE"""),"CFS")</f>
        <v>CFS</v>
      </c>
      <c r="F248" s="45" t="str">
        <f ca="1">IFERROR(__xludf.DUMMYFUNCTION("""COMPUTED_VALUE"""),"Inqube Global (PVT) Ltd")</f>
        <v>Inqube Global (PVT) Ltd</v>
      </c>
      <c r="G248" s="45" t="str">
        <f ca="1">IFERROR(__xludf.DUMMYFUNCTION("""COMPUTED_VALUE"""),"Brandix Apparel Solutions Limited - Minuwangoda")</f>
        <v>Brandix Apparel Solutions Limited - Minuwangoda</v>
      </c>
      <c r="H248" s="43">
        <f ca="1">IFERROR(__xludf.DUMMYFUNCTION("""COMPUTED_VALUE"""),452017063440)</f>
        <v>452017063440</v>
      </c>
      <c r="I248" s="45">
        <f ca="1">IFERROR(__xludf.DUMMYFUNCTION("""COMPUTED_VALUE"""),19897689)</f>
        <v>19897689</v>
      </c>
      <c r="J248" s="45" t="str">
        <f ca="1">IFERROR(__xludf.DUMMYFUNCTION("""COMPUTED_VALUE"""),"LW5GLNS")</f>
        <v>LW5GLNS</v>
      </c>
      <c r="K248" s="45" t="str">
        <f ca="1">IFERROR(__xludf.DUMMYFUNCTION("""COMPUTED_VALUE"""),"LW5GLNS-071195")</f>
        <v>LW5GLNS-071195</v>
      </c>
      <c r="L248" s="45">
        <f ca="1">IFERROR(__xludf.DUMMYFUNCTION("""COMPUTED_VALUE"""),28)</f>
        <v>28</v>
      </c>
      <c r="M248" s="45">
        <f ca="1">IFERROR(__xludf.DUMMYFUNCTION("""COMPUTED_VALUE"""),596)</f>
        <v>596</v>
      </c>
      <c r="N248" s="45">
        <f ca="1">IFERROR(__xludf.DUMMYFUNCTION("""COMPUTED_VALUE"""),302.33)</f>
        <v>302.33</v>
      </c>
      <c r="O248" s="45">
        <f ca="1">IFERROR(__xludf.DUMMYFUNCTION("""COMPUTED_VALUE"""),2.198)</f>
        <v>2.198</v>
      </c>
      <c r="P248" s="45" t="str">
        <f ca="1">IFERROR(__xludf.DUMMYFUNCTION("""COMPUTED_VALUE"""),"Colombo, LK")</f>
        <v>Colombo, LK</v>
      </c>
      <c r="Q248" s="45" t="str">
        <f ca="1">IFERROR(__xludf.DUMMYFUNCTION("""COMPUTED_VALUE"""),"New York, NY, US")</f>
        <v>New York, NY, US</v>
      </c>
      <c r="R248" s="44">
        <f ca="1">IFERROR(__xludf.DUMMYFUNCTION("""COMPUTED_VALUE"""),45824)</f>
        <v>45824</v>
      </c>
      <c r="S248" s="44">
        <f ca="1">IFERROR(__xludf.DUMMYFUNCTION("""COMPUTED_VALUE"""),45883)</f>
        <v>45883</v>
      </c>
      <c r="T248" s="45" t="str">
        <f ca="1">IFERROR(__xludf.DUMMYFUNCTION("""COMPUTED_VALUE"""),"Milton, ON, CA")</f>
        <v>Milton, ON, CA</v>
      </c>
      <c r="U248" s="45"/>
      <c r="V248" s="45"/>
      <c r="W248" s="45"/>
      <c r="X248" s="45"/>
      <c r="Y248" s="46">
        <f ca="1">IFERROR(__xludf.DUMMYFUNCTION("""COMPUTED_VALUE"""),45832)</f>
        <v>45832</v>
      </c>
      <c r="Z248" s="46">
        <f ca="1">IFERROR(__xludf.DUMMYFUNCTION("""COMPUTED_VALUE"""),45861)</f>
        <v>45861</v>
      </c>
      <c r="AA248" s="46">
        <f ca="1">IFERROR(__xludf.DUMMYFUNCTION("""COMPUTED_VALUE"""),45874)</f>
        <v>45874</v>
      </c>
      <c r="AB248" s="45" t="str">
        <f ca="1">IFERROR(__xludf.DUMMYFUNCTION("""COMPUTED_VALUE"""),"7211 Fifth Line")</f>
        <v>7211 Fifth Line</v>
      </c>
      <c r="AC248" s="45"/>
      <c r="AD248" s="45" t="str">
        <f ca="1">IFERROR(__xludf.DUMMYFUNCTION("""COMPUTED_VALUE"""),"OCEAN")</f>
        <v>OCEAN</v>
      </c>
      <c r="AE248" s="45" t="str">
        <f ca="1">IFERROR(__xludf.DUMMYFUNCTION("""COMPUTED_VALUE"""),"N")</f>
        <v>N</v>
      </c>
      <c r="AF248" s="45"/>
      <c r="AG248" s="49" t="str">
        <f ca="1">IFERROR(__xludf.DUMMYFUNCTION("IFNA(vlookup(H248,IMPORTRANGE(""1vUGwO1n0QQGx9kKbO0_M5gmuhXZ6-LaxQxgrmJnzgP0"",""'TP# look up'!A:C""),3,0),"""")"),"")</f>
        <v/>
      </c>
      <c r="AH248" s="49" t="str">
        <f t="shared" ca="1" si="3"/>
        <v>LW</v>
      </c>
    </row>
    <row r="249" spans="1:34" ht="12.75">
      <c r="A249" s="45" t="str">
        <f ca="1">IFERROR(__xludf.DUMMYFUNCTION("""COMPUTED_VALUE"""),"Colombo")</f>
        <v>Colombo</v>
      </c>
      <c r="B249" s="45"/>
      <c r="C249" s="45">
        <f ca="1">IFERROR(__xludf.DUMMYFUNCTION("""COMPUTED_VALUE"""),3254506)</f>
        <v>3254506</v>
      </c>
      <c r="D249" s="45"/>
      <c r="E249" s="45" t="str">
        <f ca="1">IFERROR(__xludf.DUMMYFUNCTION("""COMPUTED_VALUE"""),"CFS")</f>
        <v>CFS</v>
      </c>
      <c r="F249" s="45" t="str">
        <f ca="1">IFERROR(__xludf.DUMMYFUNCTION("""COMPUTED_VALUE"""),"Inqube Global (PVT) Ltd")</f>
        <v>Inqube Global (PVT) Ltd</v>
      </c>
      <c r="G249" s="45" t="str">
        <f ca="1">IFERROR(__xludf.DUMMYFUNCTION("""COMPUTED_VALUE"""),"Brandix Apparel Solutions Limited - Minuwangoda")</f>
        <v>Brandix Apparel Solutions Limited - Minuwangoda</v>
      </c>
      <c r="H249" s="43">
        <f ca="1">IFERROR(__xludf.DUMMYFUNCTION("""COMPUTED_VALUE"""),452020198265)</f>
        <v>452020198265</v>
      </c>
      <c r="I249" s="45">
        <f ca="1">IFERROR(__xludf.DUMMYFUNCTION("""COMPUTED_VALUE"""),19910305)</f>
        <v>19910305</v>
      </c>
      <c r="J249" s="45" t="str">
        <f ca="1">IFERROR(__xludf.DUMMYFUNCTION("""COMPUTED_VALUE"""),"LW5GLNS")</f>
        <v>LW5GLNS</v>
      </c>
      <c r="K249" s="45" t="str">
        <f ca="1">IFERROR(__xludf.DUMMYFUNCTION("""COMPUTED_VALUE"""),"LW5GLNS-071195")</f>
        <v>LW5GLNS-071195</v>
      </c>
      <c r="L249" s="45">
        <f ca="1">IFERROR(__xludf.DUMMYFUNCTION("""COMPUTED_VALUE"""),14)</f>
        <v>14</v>
      </c>
      <c r="M249" s="45">
        <f ca="1">IFERROR(__xludf.DUMMYFUNCTION("""COMPUTED_VALUE"""),280)</f>
        <v>280</v>
      </c>
      <c r="N249" s="45">
        <f ca="1">IFERROR(__xludf.DUMMYFUNCTION("""COMPUTED_VALUE"""),142.26)</f>
        <v>142.26</v>
      </c>
      <c r="O249" s="45">
        <f ca="1">IFERROR(__xludf.DUMMYFUNCTION("""COMPUTED_VALUE"""),1.099)</f>
        <v>1.099</v>
      </c>
      <c r="P249" s="45" t="str">
        <f ca="1">IFERROR(__xludf.DUMMYFUNCTION("""COMPUTED_VALUE"""),"Colombo, LK")</f>
        <v>Colombo, LK</v>
      </c>
      <c r="Q249" s="45" t="str">
        <f ca="1">IFERROR(__xludf.DUMMYFUNCTION("""COMPUTED_VALUE"""),"New York, NY, US")</f>
        <v>New York, NY, US</v>
      </c>
      <c r="R249" s="44">
        <f ca="1">IFERROR(__xludf.DUMMYFUNCTION("""COMPUTED_VALUE"""),45824)</f>
        <v>45824</v>
      </c>
      <c r="S249" s="44">
        <f ca="1">IFERROR(__xludf.DUMMYFUNCTION("""COMPUTED_VALUE"""),45883)</f>
        <v>45883</v>
      </c>
      <c r="T249" s="45" t="str">
        <f ca="1">IFERROR(__xludf.DUMMYFUNCTION("""COMPUTED_VALUE"""),"Mississauga, ON, CA")</f>
        <v>Mississauga, ON, CA</v>
      </c>
      <c r="U249" s="45"/>
      <c r="V249" s="45"/>
      <c r="W249" s="45"/>
      <c r="X249" s="45"/>
      <c r="Y249" s="46">
        <f ca="1">IFERROR(__xludf.DUMMYFUNCTION("""COMPUTED_VALUE"""),45832)</f>
        <v>45832</v>
      </c>
      <c r="Z249" s="46">
        <f ca="1">IFERROR(__xludf.DUMMYFUNCTION("""COMPUTED_VALUE"""),45861)</f>
        <v>45861</v>
      </c>
      <c r="AA249" s="46">
        <f ca="1">IFERROR(__xludf.DUMMYFUNCTION("""COMPUTED_VALUE"""),45874)</f>
        <v>45874</v>
      </c>
      <c r="AB249" s="45" t="str">
        <f ca="1">IFERROR(__xludf.DUMMYFUNCTION("""COMPUTED_VALUE"""),"3500 Argentia Road")</f>
        <v>3500 Argentia Road</v>
      </c>
      <c r="AC249" s="45"/>
      <c r="AD249" s="45" t="str">
        <f ca="1">IFERROR(__xludf.DUMMYFUNCTION("""COMPUTED_VALUE"""),"OCEAN")</f>
        <v>OCEAN</v>
      </c>
      <c r="AE249" s="45" t="str">
        <f ca="1">IFERROR(__xludf.DUMMYFUNCTION("""COMPUTED_VALUE"""),"N")</f>
        <v>N</v>
      </c>
      <c r="AF249" s="45"/>
      <c r="AG249" s="49" t="str">
        <f ca="1">IFERROR(__xludf.DUMMYFUNCTION("IFNA(vlookup(H249,IMPORTRANGE(""1vUGwO1n0QQGx9kKbO0_M5gmuhXZ6-LaxQxgrmJnzgP0"",""'TP# look up'!A:C""),3,0),"""")"),"")</f>
        <v/>
      </c>
      <c r="AH249" s="49" t="str">
        <f t="shared" ca="1" si="3"/>
        <v>LW</v>
      </c>
    </row>
    <row r="250" spans="1:34" ht="12.75">
      <c r="A250" s="45" t="str">
        <f ca="1">IFERROR(__xludf.DUMMYFUNCTION("""COMPUTED_VALUE"""),"Colombo")</f>
        <v>Colombo</v>
      </c>
      <c r="B250" s="45"/>
      <c r="C250" s="45">
        <f ca="1">IFERROR(__xludf.DUMMYFUNCTION("""COMPUTED_VALUE"""),3254506)</f>
        <v>3254506</v>
      </c>
      <c r="D250" s="45"/>
      <c r="E250" s="45" t="str">
        <f ca="1">IFERROR(__xludf.DUMMYFUNCTION("""COMPUTED_VALUE"""),"CFS")</f>
        <v>CFS</v>
      </c>
      <c r="F250" s="45" t="str">
        <f ca="1">IFERROR(__xludf.DUMMYFUNCTION("""COMPUTED_VALUE"""),"Inqube Global (PVT) Ltd")</f>
        <v>Inqube Global (PVT) Ltd</v>
      </c>
      <c r="G250" s="45" t="str">
        <f ca="1">IFERROR(__xludf.DUMMYFUNCTION("""COMPUTED_VALUE"""),"Brandix Apparel Solutions Limited - Minuwangoda")</f>
        <v>Brandix Apparel Solutions Limited - Minuwangoda</v>
      </c>
      <c r="H250" s="43">
        <f ca="1">IFERROR(__xludf.DUMMYFUNCTION("""COMPUTED_VALUE"""),452020642697)</f>
        <v>452020642697</v>
      </c>
      <c r="I250" s="45">
        <f ca="1">IFERROR(__xludf.DUMMYFUNCTION("""COMPUTED_VALUE"""),19933127)</f>
        <v>19933127</v>
      </c>
      <c r="J250" s="45" t="str">
        <f ca="1">IFERROR(__xludf.DUMMYFUNCTION("""COMPUTED_VALUE"""),"LM3DK7S")</f>
        <v>LM3DK7S</v>
      </c>
      <c r="K250" s="45" t="str">
        <f ca="1">IFERROR(__xludf.DUMMYFUNCTION("""COMPUTED_VALUE"""),"LM3DK7S-058320")</f>
        <v>LM3DK7S-058320</v>
      </c>
      <c r="L250" s="45">
        <f ca="1">IFERROR(__xludf.DUMMYFUNCTION("""COMPUTED_VALUE"""),8)</f>
        <v>8</v>
      </c>
      <c r="M250" s="45">
        <f ca="1">IFERROR(__xludf.DUMMYFUNCTION("""COMPUTED_VALUE"""),343)</f>
        <v>343</v>
      </c>
      <c r="N250" s="45">
        <f ca="1">IFERROR(__xludf.DUMMYFUNCTION("""COMPUTED_VALUE"""),93.65)</f>
        <v>93.65</v>
      </c>
      <c r="O250" s="45">
        <f ca="1">IFERROR(__xludf.DUMMYFUNCTION("""COMPUTED_VALUE"""),0.628)</f>
        <v>0.628</v>
      </c>
      <c r="P250" s="45" t="str">
        <f ca="1">IFERROR(__xludf.DUMMYFUNCTION("""COMPUTED_VALUE"""),"Colombo, LK")</f>
        <v>Colombo, LK</v>
      </c>
      <c r="Q250" s="45" t="str">
        <f ca="1">IFERROR(__xludf.DUMMYFUNCTION("""COMPUTED_VALUE"""),"New York, NY, US")</f>
        <v>New York, NY, US</v>
      </c>
      <c r="R250" s="44">
        <f ca="1">IFERROR(__xludf.DUMMYFUNCTION("""COMPUTED_VALUE"""),45824)</f>
        <v>45824</v>
      </c>
      <c r="S250" s="44">
        <f ca="1">IFERROR(__xludf.DUMMYFUNCTION("""COMPUTED_VALUE"""),45883)</f>
        <v>45883</v>
      </c>
      <c r="T250" s="45" t="str">
        <f ca="1">IFERROR(__xludf.DUMMYFUNCTION("""COMPUTED_VALUE"""),"Mississauga, ON, CA")</f>
        <v>Mississauga, ON, CA</v>
      </c>
      <c r="U250" s="45"/>
      <c r="V250" s="45"/>
      <c r="W250" s="45"/>
      <c r="X250" s="45"/>
      <c r="Y250" s="46">
        <f ca="1">IFERROR(__xludf.DUMMYFUNCTION("""COMPUTED_VALUE"""),45832)</f>
        <v>45832</v>
      </c>
      <c r="Z250" s="46">
        <f ca="1">IFERROR(__xludf.DUMMYFUNCTION("""COMPUTED_VALUE"""),45861)</f>
        <v>45861</v>
      </c>
      <c r="AA250" s="46">
        <f ca="1">IFERROR(__xludf.DUMMYFUNCTION("""COMPUTED_VALUE"""),45874)</f>
        <v>45874</v>
      </c>
      <c r="AB250" s="45" t="str">
        <f ca="1">IFERROR(__xludf.DUMMYFUNCTION("""COMPUTED_VALUE"""),"3500 Argentia Road")</f>
        <v>3500 Argentia Road</v>
      </c>
      <c r="AC250" s="45"/>
      <c r="AD250" s="45" t="str">
        <f ca="1">IFERROR(__xludf.DUMMYFUNCTION("""COMPUTED_VALUE"""),"OCEAN")</f>
        <v>OCEAN</v>
      </c>
      <c r="AE250" s="45" t="str">
        <f ca="1">IFERROR(__xludf.DUMMYFUNCTION("""COMPUTED_VALUE"""),"N")</f>
        <v>N</v>
      </c>
      <c r="AF250" s="45"/>
      <c r="AG250" s="49" t="str">
        <f ca="1">IFERROR(__xludf.DUMMYFUNCTION("IFNA(vlookup(H250,IMPORTRANGE(""1vUGwO1n0QQGx9kKbO0_M5gmuhXZ6-LaxQxgrmJnzgP0"",""'TP# look up'!A:C""),3,0),"""")"),"")</f>
        <v/>
      </c>
      <c r="AH250" s="49" t="str">
        <f t="shared" ca="1" si="3"/>
        <v>LM</v>
      </c>
    </row>
    <row r="251" spans="1:34" ht="12.75">
      <c r="A251" s="45" t="str">
        <f ca="1">IFERROR(__xludf.DUMMYFUNCTION("""COMPUTED_VALUE"""),"Colombo")</f>
        <v>Colombo</v>
      </c>
      <c r="B251" s="45"/>
      <c r="C251" s="45">
        <f ca="1">IFERROR(__xludf.DUMMYFUNCTION("""COMPUTED_VALUE"""),3254506)</f>
        <v>3254506</v>
      </c>
      <c r="D251" s="45"/>
      <c r="E251" s="45" t="str">
        <f ca="1">IFERROR(__xludf.DUMMYFUNCTION("""COMPUTED_VALUE"""),"CFS")</f>
        <v>CFS</v>
      </c>
      <c r="F251" s="45" t="str">
        <f ca="1">IFERROR(__xludf.DUMMYFUNCTION("""COMPUTED_VALUE"""),"Inqube Global (PVT) Ltd")</f>
        <v>Inqube Global (PVT) Ltd</v>
      </c>
      <c r="G251" s="45" t="str">
        <f ca="1">IFERROR(__xludf.DUMMYFUNCTION("""COMPUTED_VALUE"""),"Brandix Apparel Solutions Limited - Minuwangoda")</f>
        <v>Brandix Apparel Solutions Limited - Minuwangoda</v>
      </c>
      <c r="H251" s="43">
        <f ca="1">IFERROR(__xludf.DUMMYFUNCTION("""COMPUTED_VALUE"""),452021328446)</f>
        <v>452021328446</v>
      </c>
      <c r="I251" s="45">
        <f ca="1">IFERROR(__xludf.DUMMYFUNCTION("""COMPUTED_VALUE"""),19933357)</f>
        <v>19933357</v>
      </c>
      <c r="J251" s="45" t="str">
        <f ca="1">IFERROR(__xludf.DUMMYFUNCTION("""COMPUTED_VALUE"""),"LM3DK7S")</f>
        <v>LM3DK7S</v>
      </c>
      <c r="K251" s="45" t="str">
        <f ca="1">IFERROR(__xludf.DUMMYFUNCTION("""COMPUTED_VALUE"""),"LM3DK7S-058320")</f>
        <v>LM3DK7S-058320</v>
      </c>
      <c r="L251" s="45">
        <f ca="1">IFERROR(__xludf.DUMMYFUNCTION("""COMPUTED_VALUE"""),6)</f>
        <v>6</v>
      </c>
      <c r="M251" s="45">
        <f ca="1">IFERROR(__xludf.DUMMYFUNCTION("""COMPUTED_VALUE"""),279)</f>
        <v>279</v>
      </c>
      <c r="N251" s="45">
        <f ca="1">IFERROR(__xludf.DUMMYFUNCTION("""COMPUTED_VALUE"""),76)</f>
        <v>76</v>
      </c>
      <c r="O251" s="45">
        <f ca="1">IFERROR(__xludf.DUMMYFUNCTION("""COMPUTED_VALUE"""),0.471)</f>
        <v>0.47099999999999997</v>
      </c>
      <c r="P251" s="45" t="str">
        <f ca="1">IFERROR(__xludf.DUMMYFUNCTION("""COMPUTED_VALUE"""),"Colombo, LK")</f>
        <v>Colombo, LK</v>
      </c>
      <c r="Q251" s="45" t="str">
        <f ca="1">IFERROR(__xludf.DUMMYFUNCTION("""COMPUTED_VALUE"""),"New York, NY, US")</f>
        <v>New York, NY, US</v>
      </c>
      <c r="R251" s="44">
        <f ca="1">IFERROR(__xludf.DUMMYFUNCTION("""COMPUTED_VALUE"""),45824)</f>
        <v>45824</v>
      </c>
      <c r="S251" s="44">
        <f ca="1">IFERROR(__xludf.DUMMYFUNCTION("""COMPUTED_VALUE"""),45883)</f>
        <v>45883</v>
      </c>
      <c r="T251" s="45" t="str">
        <f ca="1">IFERROR(__xludf.DUMMYFUNCTION("""COMPUTED_VALUE"""),"Mississauga, ON, CA")</f>
        <v>Mississauga, ON, CA</v>
      </c>
      <c r="U251" s="45"/>
      <c r="V251" s="45"/>
      <c r="W251" s="45"/>
      <c r="X251" s="45"/>
      <c r="Y251" s="46">
        <f ca="1">IFERROR(__xludf.DUMMYFUNCTION("""COMPUTED_VALUE"""),45832)</f>
        <v>45832</v>
      </c>
      <c r="Z251" s="46">
        <f ca="1">IFERROR(__xludf.DUMMYFUNCTION("""COMPUTED_VALUE"""),45861)</f>
        <v>45861</v>
      </c>
      <c r="AA251" s="46">
        <f ca="1">IFERROR(__xludf.DUMMYFUNCTION("""COMPUTED_VALUE"""),45874)</f>
        <v>45874</v>
      </c>
      <c r="AB251" s="45" t="str">
        <f ca="1">IFERROR(__xludf.DUMMYFUNCTION("""COMPUTED_VALUE"""),"3500 Argentia Road")</f>
        <v>3500 Argentia Road</v>
      </c>
      <c r="AC251" s="45"/>
      <c r="AD251" s="45" t="str">
        <f ca="1">IFERROR(__xludf.DUMMYFUNCTION("""COMPUTED_VALUE"""),"OCEAN")</f>
        <v>OCEAN</v>
      </c>
      <c r="AE251" s="45" t="str">
        <f ca="1">IFERROR(__xludf.DUMMYFUNCTION("""COMPUTED_VALUE"""),"N")</f>
        <v>N</v>
      </c>
      <c r="AF251" s="45"/>
      <c r="AG251" s="49" t="str">
        <f ca="1">IFERROR(__xludf.DUMMYFUNCTION("IFNA(vlookup(H251,IMPORTRANGE(""1vUGwO1n0QQGx9kKbO0_M5gmuhXZ6-LaxQxgrmJnzgP0"",""'TP# look up'!A:C""),3,0),"""")"),"")</f>
        <v/>
      </c>
      <c r="AH251" s="49" t="str">
        <f t="shared" ca="1" si="3"/>
        <v>LM</v>
      </c>
    </row>
    <row r="252" spans="1:34" ht="12.75">
      <c r="A252" s="45" t="str">
        <f ca="1">IFERROR(__xludf.DUMMYFUNCTION("""COMPUTED_VALUE"""),"Colombo")</f>
        <v>Colombo</v>
      </c>
      <c r="B252" s="45"/>
      <c r="C252" s="45">
        <f ca="1">IFERROR(__xludf.DUMMYFUNCTION("""COMPUTED_VALUE"""),3254506)</f>
        <v>3254506</v>
      </c>
      <c r="D252" s="45"/>
      <c r="E252" s="45" t="str">
        <f ca="1">IFERROR(__xludf.DUMMYFUNCTION("""COMPUTED_VALUE"""),"CFS")</f>
        <v>CFS</v>
      </c>
      <c r="F252" s="45" t="str">
        <f ca="1">IFERROR(__xludf.DUMMYFUNCTION("""COMPUTED_VALUE"""),"Inqube Global (PVT) Ltd")</f>
        <v>Inqube Global (PVT) Ltd</v>
      </c>
      <c r="G252" s="45" t="str">
        <f ca="1">IFERROR(__xludf.DUMMYFUNCTION("""COMPUTED_VALUE"""),"Brandix Apparel Solutions Limited - Minuwangoda")</f>
        <v>Brandix Apparel Solutions Limited - Minuwangoda</v>
      </c>
      <c r="H252" s="43">
        <f ca="1">IFERROR(__xludf.DUMMYFUNCTION("""COMPUTED_VALUE"""),452521447192)</f>
        <v>452521447192</v>
      </c>
      <c r="I252" s="45">
        <f ca="1">IFERROR(__xludf.DUMMYFUNCTION("""COMPUTED_VALUE"""),19897598)</f>
        <v>19897598</v>
      </c>
      <c r="J252" s="45" t="str">
        <f ca="1">IFERROR(__xludf.DUMMYFUNCTION("""COMPUTED_VALUE"""),"LW3JBFS")</f>
        <v>LW3JBFS</v>
      </c>
      <c r="K252" s="45" t="str">
        <f ca="1">IFERROR(__xludf.DUMMYFUNCTION("""COMPUTED_VALUE"""),"LW3JBFS-0002")</f>
        <v>LW3JBFS-0002</v>
      </c>
      <c r="L252" s="45">
        <f ca="1">IFERROR(__xludf.DUMMYFUNCTION("""COMPUTED_VALUE"""),21)</f>
        <v>21</v>
      </c>
      <c r="M252" s="45">
        <f ca="1">IFERROR(__xludf.DUMMYFUNCTION("""COMPUTED_VALUE"""),501)</f>
        <v>501</v>
      </c>
      <c r="N252" s="45">
        <f ca="1">IFERROR(__xludf.DUMMYFUNCTION("""COMPUTED_VALUE"""),234.33)</f>
        <v>234.33</v>
      </c>
      <c r="O252" s="45">
        <f ca="1">IFERROR(__xludf.DUMMYFUNCTION("""COMPUTED_VALUE"""),1.649)</f>
        <v>1.649</v>
      </c>
      <c r="P252" s="45" t="str">
        <f ca="1">IFERROR(__xludf.DUMMYFUNCTION("""COMPUTED_VALUE"""),"Colombo, LK")</f>
        <v>Colombo, LK</v>
      </c>
      <c r="Q252" s="45" t="str">
        <f ca="1">IFERROR(__xludf.DUMMYFUNCTION("""COMPUTED_VALUE"""),"New York, NY, US")</f>
        <v>New York, NY, US</v>
      </c>
      <c r="R252" s="44">
        <f ca="1">IFERROR(__xludf.DUMMYFUNCTION("""COMPUTED_VALUE"""),45824)</f>
        <v>45824</v>
      </c>
      <c r="S252" s="44">
        <f ca="1">IFERROR(__xludf.DUMMYFUNCTION("""COMPUTED_VALUE"""),45883)</f>
        <v>45883</v>
      </c>
      <c r="T252" s="45" t="str">
        <f ca="1">IFERROR(__xludf.DUMMYFUNCTION("""COMPUTED_VALUE"""),"Milton, ON, CA")</f>
        <v>Milton, ON, CA</v>
      </c>
      <c r="U252" s="45"/>
      <c r="V252" s="45"/>
      <c r="W252" s="45"/>
      <c r="X252" s="45"/>
      <c r="Y252" s="46">
        <f ca="1">IFERROR(__xludf.DUMMYFUNCTION("""COMPUTED_VALUE"""),45832)</f>
        <v>45832</v>
      </c>
      <c r="Z252" s="46">
        <f ca="1">IFERROR(__xludf.DUMMYFUNCTION("""COMPUTED_VALUE"""),45861)</f>
        <v>45861</v>
      </c>
      <c r="AA252" s="46">
        <f ca="1">IFERROR(__xludf.DUMMYFUNCTION("""COMPUTED_VALUE"""),45874)</f>
        <v>45874</v>
      </c>
      <c r="AB252" s="45" t="str">
        <f ca="1">IFERROR(__xludf.DUMMYFUNCTION("""COMPUTED_VALUE"""),"7211 Fifth Line")</f>
        <v>7211 Fifth Line</v>
      </c>
      <c r="AC252" s="45"/>
      <c r="AD252" s="45" t="str">
        <f ca="1">IFERROR(__xludf.DUMMYFUNCTION("""COMPUTED_VALUE"""),"OCEAN")</f>
        <v>OCEAN</v>
      </c>
      <c r="AE252" s="45" t="str">
        <f ca="1">IFERROR(__xludf.DUMMYFUNCTION("""COMPUTED_VALUE"""),"N")</f>
        <v>N</v>
      </c>
      <c r="AF252" s="45"/>
      <c r="AG252" s="49" t="str">
        <f ca="1">IFERROR(__xludf.DUMMYFUNCTION("IFNA(vlookup(H252,IMPORTRANGE(""1vUGwO1n0QQGx9kKbO0_M5gmuhXZ6-LaxQxgrmJnzgP0"",""'TP# look up'!A:C""),3,0),"""")"),"")</f>
        <v/>
      </c>
      <c r="AH252" s="49" t="str">
        <f t="shared" ca="1" si="3"/>
        <v>LW</v>
      </c>
    </row>
    <row r="253" spans="1:34" ht="12.75">
      <c r="A253" s="45" t="str">
        <f ca="1">IFERROR(__xludf.DUMMYFUNCTION("""COMPUTED_VALUE"""),"Colombo")</f>
        <v>Colombo</v>
      </c>
      <c r="B253" s="45"/>
      <c r="C253" s="45">
        <f ca="1">IFERROR(__xludf.DUMMYFUNCTION("""COMPUTED_VALUE"""),3254506)</f>
        <v>3254506</v>
      </c>
      <c r="D253" s="45"/>
      <c r="E253" s="45" t="str">
        <f ca="1">IFERROR(__xludf.DUMMYFUNCTION("""COMPUTED_VALUE"""),"CFS")</f>
        <v>CFS</v>
      </c>
      <c r="F253" s="45" t="str">
        <f ca="1">IFERROR(__xludf.DUMMYFUNCTION("""COMPUTED_VALUE"""),"Inqube Global (PVT) Ltd")</f>
        <v>Inqube Global (PVT) Ltd</v>
      </c>
      <c r="G253" s="45" t="str">
        <f ca="1">IFERROR(__xludf.DUMMYFUNCTION("""COMPUTED_VALUE"""),"Brandix Apparel Solutions Limited - Minuwangoda")</f>
        <v>Brandix Apparel Solutions Limited - Minuwangoda</v>
      </c>
      <c r="H253" s="43">
        <f ca="1">IFERROR(__xludf.DUMMYFUNCTION("""COMPUTED_VALUE"""),452521848044)</f>
        <v>452521848044</v>
      </c>
      <c r="I253" s="45">
        <f ca="1">IFERROR(__xludf.DUMMYFUNCTION("""COMPUTED_VALUE"""),19933297)</f>
        <v>19933297</v>
      </c>
      <c r="J253" s="45" t="str">
        <f ca="1">IFERROR(__xludf.DUMMYFUNCTION("""COMPUTED_VALUE"""),"LW5GLNS")</f>
        <v>LW5GLNS</v>
      </c>
      <c r="K253" s="45" t="str">
        <f ca="1">IFERROR(__xludf.DUMMYFUNCTION("""COMPUTED_VALUE"""),"LW5GLNS-071195")</f>
        <v>LW5GLNS-071195</v>
      </c>
      <c r="L253" s="45">
        <f ca="1">IFERROR(__xludf.DUMMYFUNCTION("""COMPUTED_VALUE"""),25)</f>
        <v>25</v>
      </c>
      <c r="M253" s="45">
        <f ca="1">IFERROR(__xludf.DUMMYFUNCTION("""COMPUTED_VALUE"""),535)</f>
        <v>535</v>
      </c>
      <c r="N253" s="45">
        <f ca="1">IFERROR(__xludf.DUMMYFUNCTION("""COMPUTED_VALUE"""),269.96)</f>
        <v>269.95999999999998</v>
      </c>
      <c r="O253" s="45">
        <f ca="1">IFERROR(__xludf.DUMMYFUNCTION("""COMPUTED_VALUE"""),1.963)</f>
        <v>1.9630000000000001</v>
      </c>
      <c r="P253" s="45" t="str">
        <f ca="1">IFERROR(__xludf.DUMMYFUNCTION("""COMPUTED_VALUE"""),"Colombo, LK")</f>
        <v>Colombo, LK</v>
      </c>
      <c r="Q253" s="45" t="str">
        <f ca="1">IFERROR(__xludf.DUMMYFUNCTION("""COMPUTED_VALUE"""),"New York, NY, US")</f>
        <v>New York, NY, US</v>
      </c>
      <c r="R253" s="44">
        <f ca="1">IFERROR(__xludf.DUMMYFUNCTION("""COMPUTED_VALUE"""),45824)</f>
        <v>45824</v>
      </c>
      <c r="S253" s="44">
        <f ca="1">IFERROR(__xludf.DUMMYFUNCTION("""COMPUTED_VALUE"""),45883)</f>
        <v>45883</v>
      </c>
      <c r="T253" s="45" t="str">
        <f ca="1">IFERROR(__xludf.DUMMYFUNCTION("""COMPUTED_VALUE"""),"Mississauga, ON, CA")</f>
        <v>Mississauga, ON, CA</v>
      </c>
      <c r="U253" s="45"/>
      <c r="V253" s="45"/>
      <c r="W253" s="45"/>
      <c r="X253" s="45"/>
      <c r="Y253" s="46">
        <f ca="1">IFERROR(__xludf.DUMMYFUNCTION("""COMPUTED_VALUE"""),45832)</f>
        <v>45832</v>
      </c>
      <c r="Z253" s="46">
        <f ca="1">IFERROR(__xludf.DUMMYFUNCTION("""COMPUTED_VALUE"""),45861)</f>
        <v>45861</v>
      </c>
      <c r="AA253" s="46">
        <f ca="1">IFERROR(__xludf.DUMMYFUNCTION("""COMPUTED_VALUE"""),45874)</f>
        <v>45874</v>
      </c>
      <c r="AB253" s="45" t="str">
        <f ca="1">IFERROR(__xludf.DUMMYFUNCTION("""COMPUTED_VALUE"""),"3500 Argentia Road")</f>
        <v>3500 Argentia Road</v>
      </c>
      <c r="AC253" s="45"/>
      <c r="AD253" s="45" t="str">
        <f ca="1">IFERROR(__xludf.DUMMYFUNCTION("""COMPUTED_VALUE"""),"OCEAN")</f>
        <v>OCEAN</v>
      </c>
      <c r="AE253" s="45" t="str">
        <f ca="1">IFERROR(__xludf.DUMMYFUNCTION("""COMPUTED_VALUE"""),"N")</f>
        <v>N</v>
      </c>
      <c r="AF253" s="45"/>
      <c r="AG253" s="49" t="str">
        <f ca="1">IFERROR(__xludf.DUMMYFUNCTION("IFNA(vlookup(H253,IMPORTRANGE(""1vUGwO1n0QQGx9kKbO0_M5gmuhXZ6-LaxQxgrmJnzgP0"",""'TP# look up'!A:C""),3,0),"""")"),"")</f>
        <v/>
      </c>
      <c r="AH253" s="49" t="str">
        <f t="shared" ca="1" si="3"/>
        <v>LW</v>
      </c>
    </row>
    <row r="254" spans="1:34" ht="12.75">
      <c r="A254" s="45" t="str">
        <f ca="1">IFERROR(__xludf.DUMMYFUNCTION("""COMPUTED_VALUE"""),"Colombo")</f>
        <v>Colombo</v>
      </c>
      <c r="B254" s="45"/>
      <c r="C254" s="45">
        <f ca="1">IFERROR(__xludf.DUMMYFUNCTION("""COMPUTED_VALUE"""),3254506)</f>
        <v>3254506</v>
      </c>
      <c r="D254" s="45"/>
      <c r="E254" s="45" t="str">
        <f ca="1">IFERROR(__xludf.DUMMYFUNCTION("""COMPUTED_VALUE"""),"CFS")</f>
        <v>CFS</v>
      </c>
      <c r="F254" s="45" t="str">
        <f ca="1">IFERROR(__xludf.DUMMYFUNCTION("""COMPUTED_VALUE"""),"Inqube Global (PVT) Ltd")</f>
        <v>Inqube Global (PVT) Ltd</v>
      </c>
      <c r="G254" s="45" t="str">
        <f ca="1">IFERROR(__xludf.DUMMYFUNCTION("""COMPUTED_VALUE"""),"Quantum Clothing Lanka (Pvt) Ltd")</f>
        <v>Quantum Clothing Lanka (Pvt) Ltd</v>
      </c>
      <c r="H254" s="43">
        <f ca="1">IFERROR(__xludf.DUMMYFUNCTION("""COMPUTED_VALUE"""),452043834613)</f>
        <v>452043834613</v>
      </c>
      <c r="I254" s="45">
        <f ca="1">IFERROR(__xludf.DUMMYFUNCTION("""COMPUTED_VALUE"""),19876732)</f>
        <v>19876732</v>
      </c>
      <c r="J254" s="45" t="str">
        <f ca="1">IFERROR(__xludf.DUMMYFUNCTION("""COMPUTED_VALUE"""),"LW2EDNS")</f>
        <v>LW2EDNS</v>
      </c>
      <c r="K254" s="45" t="str">
        <f ca="1">IFERROR(__xludf.DUMMYFUNCTION("""COMPUTED_VALUE"""),"LW2EDNS-0001")</f>
        <v>LW2EDNS-0001</v>
      </c>
      <c r="L254" s="45">
        <f ca="1">IFERROR(__xludf.DUMMYFUNCTION("""COMPUTED_VALUE"""),1)</f>
        <v>1</v>
      </c>
      <c r="M254" s="45">
        <f ca="1">IFERROR(__xludf.DUMMYFUNCTION("""COMPUTED_VALUE"""),59)</f>
        <v>59</v>
      </c>
      <c r="N254" s="45">
        <f ca="1">IFERROR(__xludf.DUMMYFUNCTION("""COMPUTED_VALUE"""),5.172)</f>
        <v>5.1719999999999997</v>
      </c>
      <c r="O254" s="45">
        <f ca="1">IFERROR(__xludf.DUMMYFUNCTION("""COMPUTED_VALUE"""),0.04)</f>
        <v>0.04</v>
      </c>
      <c r="P254" s="45" t="str">
        <f ca="1">IFERROR(__xludf.DUMMYFUNCTION("""COMPUTED_VALUE"""),"Colombo, LK")</f>
        <v>Colombo, LK</v>
      </c>
      <c r="Q254" s="45" t="str">
        <f ca="1">IFERROR(__xludf.DUMMYFUNCTION("""COMPUTED_VALUE"""),"New York, NY, US")</f>
        <v>New York, NY, US</v>
      </c>
      <c r="R254" s="44">
        <f ca="1">IFERROR(__xludf.DUMMYFUNCTION("""COMPUTED_VALUE"""),45824)</f>
        <v>45824</v>
      </c>
      <c r="S254" s="44">
        <f ca="1">IFERROR(__xludf.DUMMYFUNCTION("""COMPUTED_VALUE"""),45883)</f>
        <v>45883</v>
      </c>
      <c r="T254" s="45" t="str">
        <f ca="1">IFERROR(__xludf.DUMMYFUNCTION("""COMPUTED_VALUE"""),"Mississauga, ON, CA")</f>
        <v>Mississauga, ON, CA</v>
      </c>
      <c r="U254" s="45"/>
      <c r="V254" s="45"/>
      <c r="W254" s="45"/>
      <c r="X254" s="45"/>
      <c r="Y254" s="46">
        <f ca="1">IFERROR(__xludf.DUMMYFUNCTION("""COMPUTED_VALUE"""),45832)</f>
        <v>45832</v>
      </c>
      <c r="Z254" s="46">
        <f ca="1">IFERROR(__xludf.DUMMYFUNCTION("""COMPUTED_VALUE"""),45861)</f>
        <v>45861</v>
      </c>
      <c r="AA254" s="46">
        <f ca="1">IFERROR(__xludf.DUMMYFUNCTION("""COMPUTED_VALUE"""),45874)</f>
        <v>45874</v>
      </c>
      <c r="AB254" s="45" t="str">
        <f ca="1">IFERROR(__xludf.DUMMYFUNCTION("""COMPUTED_VALUE"""),"3500 Argentia Road")</f>
        <v>3500 Argentia Road</v>
      </c>
      <c r="AC254" s="45"/>
      <c r="AD254" s="45" t="str">
        <f ca="1">IFERROR(__xludf.DUMMYFUNCTION("""COMPUTED_VALUE"""),"OCEAN")</f>
        <v>OCEAN</v>
      </c>
      <c r="AE254" s="45" t="str">
        <f ca="1">IFERROR(__xludf.DUMMYFUNCTION("""COMPUTED_VALUE"""),"N")</f>
        <v>N</v>
      </c>
      <c r="AF254" s="45"/>
      <c r="AG254" s="49" t="str">
        <f ca="1">IFERROR(__xludf.DUMMYFUNCTION("IFNA(vlookup(H254,IMPORTRANGE(""1vUGwO1n0QQGx9kKbO0_M5gmuhXZ6-LaxQxgrmJnzgP0"",""'TP# look up'!A:C""),3,0),"""")"),"")</f>
        <v/>
      </c>
      <c r="AH254" s="49" t="str">
        <f t="shared" ca="1" si="3"/>
        <v>LW</v>
      </c>
    </row>
    <row r="255" spans="1:34" ht="12.75">
      <c r="A255" s="45" t="str">
        <f ca="1">IFERROR(__xludf.DUMMYFUNCTION("""COMPUTED_VALUE"""),"Colombo")</f>
        <v>Colombo</v>
      </c>
      <c r="B255" s="45"/>
      <c r="C255" s="45">
        <f ca="1">IFERROR(__xludf.DUMMYFUNCTION("""COMPUTED_VALUE"""),3254506)</f>
        <v>3254506</v>
      </c>
      <c r="D255" s="45"/>
      <c r="E255" s="45" t="str">
        <f ca="1">IFERROR(__xludf.DUMMYFUNCTION("""COMPUTED_VALUE"""),"CFS")</f>
        <v>CFS</v>
      </c>
      <c r="F255" s="45" t="str">
        <f ca="1">IFERROR(__xludf.DUMMYFUNCTION("""COMPUTED_VALUE"""),"Inqube Global (PVT) Ltd")</f>
        <v>Inqube Global (PVT) Ltd</v>
      </c>
      <c r="G255" s="45" t="str">
        <f ca="1">IFERROR(__xludf.DUMMYFUNCTION("""COMPUTED_VALUE"""),"Quantum Clothing Lanka (Pvt) Ltd")</f>
        <v>Quantum Clothing Lanka (Pvt) Ltd</v>
      </c>
      <c r="H255" s="43">
        <f ca="1">IFERROR(__xludf.DUMMYFUNCTION("""COMPUTED_VALUE"""),452045547643)</f>
        <v>452045547643</v>
      </c>
      <c r="I255" s="45">
        <f ca="1">IFERROR(__xludf.DUMMYFUNCTION("""COMPUTED_VALUE"""),19876487)</f>
        <v>19876487</v>
      </c>
      <c r="J255" s="45" t="str">
        <f ca="1">IFERROR(__xludf.DUMMYFUNCTION("""COMPUTED_VALUE"""),"LW2EDNS")</f>
        <v>LW2EDNS</v>
      </c>
      <c r="K255" s="45" t="str">
        <f ca="1">IFERROR(__xludf.DUMMYFUNCTION("""COMPUTED_VALUE"""),"LW2EDNS-0001")</f>
        <v>LW2EDNS-0001</v>
      </c>
      <c r="L255" s="45">
        <f ca="1">IFERROR(__xludf.DUMMYFUNCTION("""COMPUTED_VALUE"""),1)</f>
        <v>1</v>
      </c>
      <c r="M255" s="45">
        <f ca="1">IFERROR(__xludf.DUMMYFUNCTION("""COMPUTED_VALUE"""),93)</f>
        <v>93</v>
      </c>
      <c r="N255" s="45">
        <f ca="1">IFERROR(__xludf.DUMMYFUNCTION("""COMPUTED_VALUE"""),7.624)</f>
        <v>7.6239999999999997</v>
      </c>
      <c r="O255" s="45">
        <f ca="1">IFERROR(__xludf.DUMMYFUNCTION("""COMPUTED_VALUE"""),0.04)</f>
        <v>0.04</v>
      </c>
      <c r="P255" s="45" t="str">
        <f ca="1">IFERROR(__xludf.DUMMYFUNCTION("""COMPUTED_VALUE"""),"Colombo, LK")</f>
        <v>Colombo, LK</v>
      </c>
      <c r="Q255" s="45" t="str">
        <f ca="1">IFERROR(__xludf.DUMMYFUNCTION("""COMPUTED_VALUE"""),"New York, NY, US")</f>
        <v>New York, NY, US</v>
      </c>
      <c r="R255" s="44">
        <f ca="1">IFERROR(__xludf.DUMMYFUNCTION("""COMPUTED_VALUE"""),45824)</f>
        <v>45824</v>
      </c>
      <c r="S255" s="44">
        <f ca="1">IFERROR(__xludf.DUMMYFUNCTION("""COMPUTED_VALUE"""),45883)</f>
        <v>45883</v>
      </c>
      <c r="T255" s="45" t="str">
        <f ca="1">IFERROR(__xludf.DUMMYFUNCTION("""COMPUTED_VALUE"""),"Mississauga, ON, CA")</f>
        <v>Mississauga, ON, CA</v>
      </c>
      <c r="U255" s="45"/>
      <c r="V255" s="45"/>
      <c r="W255" s="45"/>
      <c r="X255" s="45"/>
      <c r="Y255" s="46">
        <f ca="1">IFERROR(__xludf.DUMMYFUNCTION("""COMPUTED_VALUE"""),45832)</f>
        <v>45832</v>
      </c>
      <c r="Z255" s="46">
        <f ca="1">IFERROR(__xludf.DUMMYFUNCTION("""COMPUTED_VALUE"""),45861)</f>
        <v>45861</v>
      </c>
      <c r="AA255" s="46">
        <f ca="1">IFERROR(__xludf.DUMMYFUNCTION("""COMPUTED_VALUE"""),45874)</f>
        <v>45874</v>
      </c>
      <c r="AB255" s="45" t="str">
        <f ca="1">IFERROR(__xludf.DUMMYFUNCTION("""COMPUTED_VALUE"""),"3500 Argentia Road")</f>
        <v>3500 Argentia Road</v>
      </c>
      <c r="AC255" s="45"/>
      <c r="AD255" s="45" t="str">
        <f ca="1">IFERROR(__xludf.DUMMYFUNCTION("""COMPUTED_VALUE"""),"OCEAN")</f>
        <v>OCEAN</v>
      </c>
      <c r="AE255" s="45" t="str">
        <f ca="1">IFERROR(__xludf.DUMMYFUNCTION("""COMPUTED_VALUE"""),"N")</f>
        <v>N</v>
      </c>
      <c r="AF255" s="45"/>
      <c r="AG255" s="49" t="str">
        <f ca="1">IFERROR(__xludf.DUMMYFUNCTION("IFNA(vlookup(H255,IMPORTRANGE(""1vUGwO1n0QQGx9kKbO0_M5gmuhXZ6-LaxQxgrmJnzgP0"",""'TP# look up'!A:C""),3,0),"""")"),"")</f>
        <v/>
      </c>
      <c r="AH255" s="49" t="str">
        <f t="shared" ca="1" si="3"/>
        <v>LW</v>
      </c>
    </row>
    <row r="256" spans="1:34" ht="12.75">
      <c r="A256" s="45" t="str">
        <f ca="1">IFERROR(__xludf.DUMMYFUNCTION("""COMPUTED_VALUE"""),"Colombo")</f>
        <v>Colombo</v>
      </c>
      <c r="B256" s="45"/>
      <c r="C256" s="45">
        <f ca="1">IFERROR(__xludf.DUMMYFUNCTION("""COMPUTED_VALUE"""),3254506)</f>
        <v>3254506</v>
      </c>
      <c r="D256" s="45"/>
      <c r="E256" s="45" t="str">
        <f ca="1">IFERROR(__xludf.DUMMYFUNCTION("""COMPUTED_VALUE"""),"CFS")</f>
        <v>CFS</v>
      </c>
      <c r="F256" s="45" t="str">
        <f ca="1">IFERROR(__xludf.DUMMYFUNCTION("""COMPUTED_VALUE"""),"Inqube Global (PVT) Ltd")</f>
        <v>Inqube Global (PVT) Ltd</v>
      </c>
      <c r="G256" s="45" t="str">
        <f ca="1">IFERROR(__xludf.DUMMYFUNCTION("""COMPUTED_VALUE"""),"Quantum Clothing Lanka (Pvt) Ltd")</f>
        <v>Quantum Clothing Lanka (Pvt) Ltd</v>
      </c>
      <c r="H256" s="43">
        <f ca="1">IFERROR(__xludf.DUMMYFUNCTION("""COMPUTED_VALUE"""),452048141508)</f>
        <v>452048141508</v>
      </c>
      <c r="I256" s="45">
        <f ca="1">IFERROR(__xludf.DUMMYFUNCTION("""COMPUTED_VALUE"""),19876518)</f>
        <v>19876518</v>
      </c>
      <c r="J256" s="45" t="str">
        <f ca="1">IFERROR(__xludf.DUMMYFUNCTION("""COMPUTED_VALUE"""),"LW2EDNS")</f>
        <v>LW2EDNS</v>
      </c>
      <c r="K256" s="45" t="str">
        <f ca="1">IFERROR(__xludf.DUMMYFUNCTION("""COMPUTED_VALUE"""),"LW2EDNS-071150")</f>
        <v>LW2EDNS-071150</v>
      </c>
      <c r="L256" s="45">
        <f ca="1">IFERROR(__xludf.DUMMYFUNCTION("""COMPUTED_VALUE"""),1)</f>
        <v>1</v>
      </c>
      <c r="M256" s="45">
        <f ca="1">IFERROR(__xludf.DUMMYFUNCTION("""COMPUTED_VALUE"""),34)</f>
        <v>34</v>
      </c>
      <c r="N256" s="45">
        <f ca="1">IFERROR(__xludf.DUMMYFUNCTION("""COMPUTED_VALUE"""),3.387)</f>
        <v>3.387</v>
      </c>
      <c r="O256" s="45">
        <f ca="1">IFERROR(__xludf.DUMMYFUNCTION("""COMPUTED_VALUE"""),0.04)</f>
        <v>0.04</v>
      </c>
      <c r="P256" s="45" t="str">
        <f ca="1">IFERROR(__xludf.DUMMYFUNCTION("""COMPUTED_VALUE"""),"Colombo, LK")</f>
        <v>Colombo, LK</v>
      </c>
      <c r="Q256" s="45" t="str">
        <f ca="1">IFERROR(__xludf.DUMMYFUNCTION("""COMPUTED_VALUE"""),"New York, NY, US")</f>
        <v>New York, NY, US</v>
      </c>
      <c r="R256" s="44">
        <f ca="1">IFERROR(__xludf.DUMMYFUNCTION("""COMPUTED_VALUE"""),45824)</f>
        <v>45824</v>
      </c>
      <c r="S256" s="44">
        <f ca="1">IFERROR(__xludf.DUMMYFUNCTION("""COMPUTED_VALUE"""),45883)</f>
        <v>45883</v>
      </c>
      <c r="T256" s="45" t="str">
        <f ca="1">IFERROR(__xludf.DUMMYFUNCTION("""COMPUTED_VALUE"""),"Mississauga, ON, CA")</f>
        <v>Mississauga, ON, CA</v>
      </c>
      <c r="U256" s="45"/>
      <c r="V256" s="45"/>
      <c r="W256" s="45"/>
      <c r="X256" s="45"/>
      <c r="Y256" s="46">
        <f ca="1">IFERROR(__xludf.DUMMYFUNCTION("""COMPUTED_VALUE"""),45832)</f>
        <v>45832</v>
      </c>
      <c r="Z256" s="46">
        <f ca="1">IFERROR(__xludf.DUMMYFUNCTION("""COMPUTED_VALUE"""),45861)</f>
        <v>45861</v>
      </c>
      <c r="AA256" s="46">
        <f ca="1">IFERROR(__xludf.DUMMYFUNCTION("""COMPUTED_VALUE"""),45874)</f>
        <v>45874</v>
      </c>
      <c r="AB256" s="45" t="str">
        <f ca="1">IFERROR(__xludf.DUMMYFUNCTION("""COMPUTED_VALUE"""),"3500 Argentia Road")</f>
        <v>3500 Argentia Road</v>
      </c>
      <c r="AC256" s="45"/>
      <c r="AD256" s="45" t="str">
        <f ca="1">IFERROR(__xludf.DUMMYFUNCTION("""COMPUTED_VALUE"""),"OCEAN")</f>
        <v>OCEAN</v>
      </c>
      <c r="AE256" s="45" t="str">
        <f ca="1">IFERROR(__xludf.DUMMYFUNCTION("""COMPUTED_VALUE"""),"N")</f>
        <v>N</v>
      </c>
      <c r="AF256" s="45"/>
      <c r="AG256" s="49" t="str">
        <f ca="1">IFERROR(__xludf.DUMMYFUNCTION("IFNA(vlookup(H256,IMPORTRANGE(""1vUGwO1n0QQGx9kKbO0_M5gmuhXZ6-LaxQxgrmJnzgP0"",""'TP# look up'!A:C""),3,0),"""")"),"")</f>
        <v/>
      </c>
      <c r="AH256" s="49" t="str">
        <f t="shared" ca="1" si="3"/>
        <v>LW</v>
      </c>
    </row>
    <row r="257" spans="1:34" ht="12.75">
      <c r="A257" s="45" t="str">
        <f ca="1">IFERROR(__xludf.DUMMYFUNCTION("""COMPUTED_VALUE"""),"Colombo")</f>
        <v>Colombo</v>
      </c>
      <c r="B257" s="45"/>
      <c r="C257" s="45">
        <f ca="1">IFERROR(__xludf.DUMMYFUNCTION("""COMPUTED_VALUE"""),3254506)</f>
        <v>3254506</v>
      </c>
      <c r="D257" s="45"/>
      <c r="E257" s="45" t="str">
        <f ca="1">IFERROR(__xludf.DUMMYFUNCTION("""COMPUTED_VALUE"""),"CFS")</f>
        <v>CFS</v>
      </c>
      <c r="F257" s="45" t="str">
        <f ca="1">IFERROR(__xludf.DUMMYFUNCTION("""COMPUTED_VALUE"""),"Inqube Global (PVT) Ltd")</f>
        <v>Inqube Global (PVT) Ltd</v>
      </c>
      <c r="G257" s="45" t="str">
        <f ca="1">IFERROR(__xludf.DUMMYFUNCTION("""COMPUTED_VALUE"""),"Quantum Clothing Lanka (Pvt) Ltd")</f>
        <v>Quantum Clothing Lanka (Pvt) Ltd</v>
      </c>
      <c r="H257" s="43">
        <f ca="1">IFERROR(__xludf.DUMMYFUNCTION("""COMPUTED_VALUE"""),452051223910)</f>
        <v>452051223910</v>
      </c>
      <c r="I257" s="45">
        <f ca="1">IFERROR(__xludf.DUMMYFUNCTION("""COMPUTED_VALUE"""),19876108)</f>
        <v>19876108</v>
      </c>
      <c r="J257" s="45" t="str">
        <f ca="1">IFERROR(__xludf.DUMMYFUNCTION("""COMPUTED_VALUE"""),"LW9FMOS")</f>
        <v>LW9FMOS</v>
      </c>
      <c r="K257" s="45" t="str">
        <f ca="1">IFERROR(__xludf.DUMMYFUNCTION("""COMPUTED_VALUE"""),"LW9FMOS-0001")</f>
        <v>LW9FMOS-0001</v>
      </c>
      <c r="L257" s="45">
        <f ca="1">IFERROR(__xludf.DUMMYFUNCTION("""COMPUTED_VALUE"""),1)</f>
        <v>1</v>
      </c>
      <c r="M257" s="45">
        <f ca="1">IFERROR(__xludf.DUMMYFUNCTION("""COMPUTED_VALUE"""),81)</f>
        <v>81</v>
      </c>
      <c r="N257" s="45">
        <f ca="1">IFERROR(__xludf.DUMMYFUNCTION("""COMPUTED_VALUE"""),6.713)</f>
        <v>6.7130000000000001</v>
      </c>
      <c r="O257" s="45">
        <f ca="1">IFERROR(__xludf.DUMMYFUNCTION("""COMPUTED_VALUE"""),0.04)</f>
        <v>0.04</v>
      </c>
      <c r="P257" s="45" t="str">
        <f ca="1">IFERROR(__xludf.DUMMYFUNCTION("""COMPUTED_VALUE"""),"Colombo, LK")</f>
        <v>Colombo, LK</v>
      </c>
      <c r="Q257" s="45" t="str">
        <f ca="1">IFERROR(__xludf.DUMMYFUNCTION("""COMPUTED_VALUE"""),"New York, NY, US")</f>
        <v>New York, NY, US</v>
      </c>
      <c r="R257" s="44">
        <f ca="1">IFERROR(__xludf.DUMMYFUNCTION("""COMPUTED_VALUE"""),45824)</f>
        <v>45824</v>
      </c>
      <c r="S257" s="44">
        <f ca="1">IFERROR(__xludf.DUMMYFUNCTION("""COMPUTED_VALUE"""),45883)</f>
        <v>45883</v>
      </c>
      <c r="T257" s="45" t="str">
        <f ca="1">IFERROR(__xludf.DUMMYFUNCTION("""COMPUTED_VALUE"""),"Mississauga, ON, CA")</f>
        <v>Mississauga, ON, CA</v>
      </c>
      <c r="U257" s="45"/>
      <c r="V257" s="45"/>
      <c r="W257" s="45"/>
      <c r="X257" s="45"/>
      <c r="Y257" s="46">
        <f ca="1">IFERROR(__xludf.DUMMYFUNCTION("""COMPUTED_VALUE"""),45832)</f>
        <v>45832</v>
      </c>
      <c r="Z257" s="46">
        <f ca="1">IFERROR(__xludf.DUMMYFUNCTION("""COMPUTED_VALUE"""),45861)</f>
        <v>45861</v>
      </c>
      <c r="AA257" s="46">
        <f ca="1">IFERROR(__xludf.DUMMYFUNCTION("""COMPUTED_VALUE"""),45874)</f>
        <v>45874</v>
      </c>
      <c r="AB257" s="45" t="str">
        <f ca="1">IFERROR(__xludf.DUMMYFUNCTION("""COMPUTED_VALUE"""),"3500 Argentia Road")</f>
        <v>3500 Argentia Road</v>
      </c>
      <c r="AC257" s="45"/>
      <c r="AD257" s="45" t="str">
        <f ca="1">IFERROR(__xludf.DUMMYFUNCTION("""COMPUTED_VALUE"""),"OCEAN")</f>
        <v>OCEAN</v>
      </c>
      <c r="AE257" s="45" t="str">
        <f ca="1">IFERROR(__xludf.DUMMYFUNCTION("""COMPUTED_VALUE"""),"N")</f>
        <v>N</v>
      </c>
      <c r="AF257" s="45"/>
      <c r="AG257" s="49" t="str">
        <f ca="1">IFERROR(__xludf.DUMMYFUNCTION("IFNA(vlookup(H257,IMPORTRANGE(""1vUGwO1n0QQGx9kKbO0_M5gmuhXZ6-LaxQxgrmJnzgP0"",""'TP# look up'!A:C""),3,0),"""")"),"")</f>
        <v/>
      </c>
      <c r="AH257" s="49" t="str">
        <f t="shared" ca="1" si="3"/>
        <v>LW</v>
      </c>
    </row>
    <row r="258" spans="1:34" ht="12.75" hidden="1">
      <c r="A258" s="45" t="str">
        <f ca="1">IFERROR(__xludf.DUMMYFUNCTION("""COMPUTED_VALUE"""),"Colombo")</f>
        <v>Colombo</v>
      </c>
      <c r="B258" s="45"/>
      <c r="C258" s="45">
        <f ca="1">IFERROR(__xludf.DUMMYFUNCTION("""COMPUTED_VALUE"""),3254506)</f>
        <v>3254506</v>
      </c>
      <c r="D258" s="45"/>
      <c r="E258" s="45" t="str">
        <f ca="1">IFERROR(__xludf.DUMMYFUNCTION("""COMPUTED_VALUE"""),"CFS")</f>
        <v>CFS</v>
      </c>
      <c r="F258" s="45" t="str">
        <f ca="1">IFERROR(__xludf.DUMMYFUNCTION("""COMPUTED_VALUE"""),"Inqube Global (PVT) Ltd")</f>
        <v>Inqube Global (PVT) Ltd</v>
      </c>
      <c r="G258" s="45" t="str">
        <f ca="1">IFERROR(__xludf.DUMMYFUNCTION("""COMPUTED_VALUE"""),"Quantum Clothing Lanka (Pvt) Ltd")</f>
        <v>Quantum Clothing Lanka (Pvt) Ltd</v>
      </c>
      <c r="H258" s="43">
        <f ca="1">IFERROR(__xludf.DUMMYFUNCTION("""COMPUTED_VALUE"""),452052829747)</f>
        <v>452052829747</v>
      </c>
      <c r="I258" s="45">
        <f ca="1">IFERROR(__xludf.DUMMYFUNCTION("""COMPUTED_VALUE"""),19876875)</f>
        <v>19876875</v>
      </c>
      <c r="J258" s="45" t="str">
        <f ca="1">IFERROR(__xludf.DUMMYFUNCTION("""COMPUTED_VALUE"""),"LW9FMOS")</f>
        <v>LW9FMOS</v>
      </c>
      <c r="K258" s="45" t="str">
        <f ca="1">IFERROR(__xludf.DUMMYFUNCTION("""COMPUTED_VALUE"""),"LW9FMOS-0001")</f>
        <v>LW9FMOS-0001</v>
      </c>
      <c r="L258" s="45">
        <f ca="1">IFERROR(__xludf.DUMMYFUNCTION("""COMPUTED_VALUE"""),1)</f>
        <v>1</v>
      </c>
      <c r="M258" s="45">
        <f ca="1">IFERROR(__xludf.DUMMYFUNCTION("""COMPUTED_VALUE"""),235)</f>
        <v>235</v>
      </c>
      <c r="N258" s="45">
        <f ca="1">IFERROR(__xludf.DUMMYFUNCTION("""COMPUTED_VALUE"""),18.76)</f>
        <v>18.760000000000002</v>
      </c>
      <c r="O258" s="45">
        <f ca="1">IFERROR(__xludf.DUMMYFUNCTION("""COMPUTED_VALUE"""),0.084)</f>
        <v>8.4000000000000005E-2</v>
      </c>
      <c r="P258" s="45" t="str">
        <f ca="1">IFERROR(__xludf.DUMMYFUNCTION("""COMPUTED_VALUE"""),"Colombo, LK")</f>
        <v>Colombo, LK</v>
      </c>
      <c r="Q258" s="45" t="str">
        <f ca="1">IFERROR(__xludf.DUMMYFUNCTION("""COMPUTED_VALUE"""),"New York, NY, US")</f>
        <v>New York, NY, US</v>
      </c>
      <c r="R258" s="44">
        <f ca="1">IFERROR(__xludf.DUMMYFUNCTION("""COMPUTED_VALUE"""),45824)</f>
        <v>45824</v>
      </c>
      <c r="S258" s="44">
        <f ca="1">IFERROR(__xludf.DUMMYFUNCTION("""COMPUTED_VALUE"""),45883)</f>
        <v>45883</v>
      </c>
      <c r="T258" s="45" t="str">
        <f ca="1">IFERROR(__xludf.DUMMYFUNCTION("""COMPUTED_VALUE"""),"Mississauga, ON, CA")</f>
        <v>Mississauga, ON, CA</v>
      </c>
      <c r="U258" s="45"/>
      <c r="V258" s="45"/>
      <c r="W258" s="45"/>
      <c r="X258" s="45"/>
      <c r="Y258" s="46">
        <f ca="1">IFERROR(__xludf.DUMMYFUNCTION("""COMPUTED_VALUE"""),45832)</f>
        <v>45832</v>
      </c>
      <c r="Z258" s="46">
        <f ca="1">IFERROR(__xludf.DUMMYFUNCTION("""COMPUTED_VALUE"""),45861)</f>
        <v>45861</v>
      </c>
      <c r="AA258" s="46">
        <f ca="1">IFERROR(__xludf.DUMMYFUNCTION("""COMPUTED_VALUE"""),45874)</f>
        <v>45874</v>
      </c>
      <c r="AB258" s="45" t="str">
        <f ca="1">IFERROR(__xludf.DUMMYFUNCTION("""COMPUTED_VALUE"""),"3500 Argentia Road")</f>
        <v>3500 Argentia Road</v>
      </c>
      <c r="AC258" s="45"/>
      <c r="AD258" s="45" t="str">
        <f ca="1">IFERROR(__xludf.DUMMYFUNCTION("""COMPUTED_VALUE"""),"OCEAN")</f>
        <v>OCEAN</v>
      </c>
      <c r="AE258" s="45" t="str">
        <f ca="1">IFERROR(__xludf.DUMMYFUNCTION("""COMPUTED_VALUE"""),"N")</f>
        <v>N</v>
      </c>
      <c r="AF258" s="45"/>
      <c r="AG258" s="49" t="str">
        <f ca="1">IFERROR(__xludf.DUMMYFUNCTION("IFNA(vlookup(H258,IMPORTRANGE(""1vUGwO1n0QQGx9kKbO0_M5gmuhXZ6-LaxQxgrmJnzgP0"",""'TP# look up'!A:C""),3,0),"""")"),"")</f>
        <v/>
      </c>
      <c r="AH258" s="49" t="str">
        <f t="shared" ref="AH258:AH321" ca="1" si="4">LEFT(J258,2)</f>
        <v>LW</v>
      </c>
    </row>
    <row r="259" spans="1:34" ht="12.75" hidden="1">
      <c r="A259" s="45" t="str">
        <f ca="1">IFERROR(__xludf.DUMMYFUNCTION("""COMPUTED_VALUE"""),"Colombo")</f>
        <v>Colombo</v>
      </c>
      <c r="B259" s="45"/>
      <c r="C259" s="45">
        <f ca="1">IFERROR(__xludf.DUMMYFUNCTION("""COMPUTED_VALUE"""),3254506)</f>
        <v>3254506</v>
      </c>
      <c r="D259" s="45"/>
      <c r="E259" s="45" t="str">
        <f ca="1">IFERROR(__xludf.DUMMYFUNCTION("""COMPUTED_VALUE"""),"CFS")</f>
        <v>CFS</v>
      </c>
      <c r="F259" s="45" t="str">
        <f ca="1">IFERROR(__xludf.DUMMYFUNCTION("""COMPUTED_VALUE"""),"Inqube Global (PVT) Ltd")</f>
        <v>Inqube Global (PVT) Ltd</v>
      </c>
      <c r="G259" s="45" t="str">
        <f ca="1">IFERROR(__xludf.DUMMYFUNCTION("""COMPUTED_VALUE"""),"Quantum Clothing Lanka (Pvt) Ltd")</f>
        <v>Quantum Clothing Lanka (Pvt) Ltd</v>
      </c>
      <c r="H259" s="43">
        <f ca="1">IFERROR(__xludf.DUMMYFUNCTION("""COMPUTED_VALUE"""),452052906569)</f>
        <v>452052906569</v>
      </c>
      <c r="I259" s="45">
        <f ca="1">IFERROR(__xludf.DUMMYFUNCTION("""COMPUTED_VALUE"""),19876879)</f>
        <v>19876879</v>
      </c>
      <c r="J259" s="45" t="str">
        <f ca="1">IFERROR(__xludf.DUMMYFUNCTION("""COMPUTED_VALUE"""),"LW9FMOS")</f>
        <v>LW9FMOS</v>
      </c>
      <c r="K259" s="45" t="str">
        <f ca="1">IFERROR(__xludf.DUMMYFUNCTION("""COMPUTED_VALUE"""),"LW9FMOS-0001")</f>
        <v>LW9FMOS-0001</v>
      </c>
      <c r="L259" s="45">
        <f ca="1">IFERROR(__xludf.DUMMYFUNCTION("""COMPUTED_VALUE"""),1)</f>
        <v>1</v>
      </c>
      <c r="M259" s="45">
        <f ca="1">IFERROR(__xludf.DUMMYFUNCTION("""COMPUTED_VALUE"""),133)</f>
        <v>133</v>
      </c>
      <c r="N259" s="45">
        <f ca="1">IFERROR(__xludf.DUMMYFUNCTION("""COMPUTED_VALUE"""),10.425)</f>
        <v>10.425000000000001</v>
      </c>
      <c r="O259" s="45">
        <f ca="1">IFERROR(__xludf.DUMMYFUNCTION("""COMPUTED_VALUE"""),0.04)</f>
        <v>0.04</v>
      </c>
      <c r="P259" s="45" t="str">
        <f ca="1">IFERROR(__xludf.DUMMYFUNCTION("""COMPUTED_VALUE"""),"Colombo, LK")</f>
        <v>Colombo, LK</v>
      </c>
      <c r="Q259" s="45" t="str">
        <f ca="1">IFERROR(__xludf.DUMMYFUNCTION("""COMPUTED_VALUE"""),"New York, NY, US")</f>
        <v>New York, NY, US</v>
      </c>
      <c r="R259" s="44">
        <f ca="1">IFERROR(__xludf.DUMMYFUNCTION("""COMPUTED_VALUE"""),45824)</f>
        <v>45824</v>
      </c>
      <c r="S259" s="44">
        <f ca="1">IFERROR(__xludf.DUMMYFUNCTION("""COMPUTED_VALUE"""),45883)</f>
        <v>45883</v>
      </c>
      <c r="T259" s="45" t="str">
        <f ca="1">IFERROR(__xludf.DUMMYFUNCTION("""COMPUTED_VALUE"""),"Mississauga, ON, CA")</f>
        <v>Mississauga, ON, CA</v>
      </c>
      <c r="U259" s="45"/>
      <c r="V259" s="45"/>
      <c r="W259" s="45"/>
      <c r="X259" s="45"/>
      <c r="Y259" s="46">
        <f ca="1">IFERROR(__xludf.DUMMYFUNCTION("""COMPUTED_VALUE"""),45832)</f>
        <v>45832</v>
      </c>
      <c r="Z259" s="46">
        <f ca="1">IFERROR(__xludf.DUMMYFUNCTION("""COMPUTED_VALUE"""),45861)</f>
        <v>45861</v>
      </c>
      <c r="AA259" s="46">
        <f ca="1">IFERROR(__xludf.DUMMYFUNCTION("""COMPUTED_VALUE"""),45874)</f>
        <v>45874</v>
      </c>
      <c r="AB259" s="45" t="str">
        <f ca="1">IFERROR(__xludf.DUMMYFUNCTION("""COMPUTED_VALUE"""),"3500 Argentia Road")</f>
        <v>3500 Argentia Road</v>
      </c>
      <c r="AC259" s="45"/>
      <c r="AD259" s="45" t="str">
        <f ca="1">IFERROR(__xludf.DUMMYFUNCTION("""COMPUTED_VALUE"""),"OCEAN")</f>
        <v>OCEAN</v>
      </c>
      <c r="AE259" s="45" t="str">
        <f ca="1">IFERROR(__xludf.DUMMYFUNCTION("""COMPUTED_VALUE"""),"N")</f>
        <v>N</v>
      </c>
      <c r="AF259" s="45"/>
      <c r="AG259" s="49" t="str">
        <f ca="1">IFERROR(__xludf.DUMMYFUNCTION("IFNA(vlookup(H259,IMPORTRANGE(""1vUGwO1n0QQGx9kKbO0_M5gmuhXZ6-LaxQxgrmJnzgP0"",""'TP# look up'!A:C""),3,0),"""")"),"")</f>
        <v/>
      </c>
      <c r="AH259" s="49" t="str">
        <f t="shared" ca="1" si="4"/>
        <v>LW</v>
      </c>
    </row>
    <row r="260" spans="1:34" ht="12.75" hidden="1">
      <c r="A260" s="45" t="str">
        <f ca="1">IFERROR(__xludf.DUMMYFUNCTION("""COMPUTED_VALUE"""),"Colombo")</f>
        <v>Colombo</v>
      </c>
      <c r="B260" s="45"/>
      <c r="C260" s="45">
        <f ca="1">IFERROR(__xludf.DUMMYFUNCTION("""COMPUTED_VALUE"""),3254506)</f>
        <v>3254506</v>
      </c>
      <c r="D260" s="45"/>
      <c r="E260" s="45" t="str">
        <f ca="1">IFERROR(__xludf.DUMMYFUNCTION("""COMPUTED_VALUE"""),"CFS")</f>
        <v>CFS</v>
      </c>
      <c r="F260" s="45" t="str">
        <f ca="1">IFERROR(__xludf.DUMMYFUNCTION("""COMPUTED_VALUE"""),"Inqube Global (PVT) Ltd")</f>
        <v>Inqube Global (PVT) Ltd</v>
      </c>
      <c r="G260" s="45" t="str">
        <f ca="1">IFERROR(__xludf.DUMMYFUNCTION("""COMPUTED_VALUE"""),"Quantum Clothing Lanka (Pvt) Ltd")</f>
        <v>Quantum Clothing Lanka (Pvt) Ltd</v>
      </c>
      <c r="H260" s="43">
        <f ca="1">IFERROR(__xludf.DUMMYFUNCTION("""COMPUTED_VALUE"""),452057107390)</f>
        <v>452057107390</v>
      </c>
      <c r="I260" s="45">
        <f ca="1">IFERROR(__xludf.DUMMYFUNCTION("""COMPUTED_VALUE"""),19876142)</f>
        <v>19876142</v>
      </c>
      <c r="J260" s="45" t="str">
        <f ca="1">IFERROR(__xludf.DUMMYFUNCTION("""COMPUTED_VALUE"""),"LW9FMOS")</f>
        <v>LW9FMOS</v>
      </c>
      <c r="K260" s="45" t="str">
        <f ca="1">IFERROR(__xludf.DUMMYFUNCTION("""COMPUTED_VALUE"""),"LW9FMOS-068585")</f>
        <v>LW9FMOS-068585</v>
      </c>
      <c r="L260" s="45">
        <f ca="1">IFERROR(__xludf.DUMMYFUNCTION("""COMPUTED_VALUE"""),1)</f>
        <v>1</v>
      </c>
      <c r="M260" s="45">
        <f ca="1">IFERROR(__xludf.DUMMYFUNCTION("""COMPUTED_VALUE"""),33)</f>
        <v>33</v>
      </c>
      <c r="N260" s="45">
        <f ca="1">IFERROR(__xludf.DUMMYFUNCTION("""COMPUTED_VALUE"""),3.292)</f>
        <v>3.2919999999999998</v>
      </c>
      <c r="O260" s="45">
        <f ca="1">IFERROR(__xludf.DUMMYFUNCTION("""COMPUTED_VALUE"""),0.04)</f>
        <v>0.04</v>
      </c>
      <c r="P260" s="45" t="str">
        <f ca="1">IFERROR(__xludf.DUMMYFUNCTION("""COMPUTED_VALUE"""),"Colombo, LK")</f>
        <v>Colombo, LK</v>
      </c>
      <c r="Q260" s="45" t="str">
        <f ca="1">IFERROR(__xludf.DUMMYFUNCTION("""COMPUTED_VALUE"""),"New York, NY, US")</f>
        <v>New York, NY, US</v>
      </c>
      <c r="R260" s="44">
        <f ca="1">IFERROR(__xludf.DUMMYFUNCTION("""COMPUTED_VALUE"""),45824)</f>
        <v>45824</v>
      </c>
      <c r="S260" s="44">
        <f ca="1">IFERROR(__xludf.DUMMYFUNCTION("""COMPUTED_VALUE"""),45883)</f>
        <v>45883</v>
      </c>
      <c r="T260" s="45" t="str">
        <f ca="1">IFERROR(__xludf.DUMMYFUNCTION("""COMPUTED_VALUE"""),"Mississauga, ON, CA")</f>
        <v>Mississauga, ON, CA</v>
      </c>
      <c r="U260" s="45"/>
      <c r="V260" s="45"/>
      <c r="W260" s="45"/>
      <c r="X260" s="45"/>
      <c r="Y260" s="46">
        <f ca="1">IFERROR(__xludf.DUMMYFUNCTION("""COMPUTED_VALUE"""),45832)</f>
        <v>45832</v>
      </c>
      <c r="Z260" s="46">
        <f ca="1">IFERROR(__xludf.DUMMYFUNCTION("""COMPUTED_VALUE"""),45861)</f>
        <v>45861</v>
      </c>
      <c r="AA260" s="46">
        <f ca="1">IFERROR(__xludf.DUMMYFUNCTION("""COMPUTED_VALUE"""),45874)</f>
        <v>45874</v>
      </c>
      <c r="AB260" s="45" t="str">
        <f ca="1">IFERROR(__xludf.DUMMYFUNCTION("""COMPUTED_VALUE"""),"3500 Argentia Road")</f>
        <v>3500 Argentia Road</v>
      </c>
      <c r="AC260" s="45"/>
      <c r="AD260" s="45" t="str">
        <f ca="1">IFERROR(__xludf.DUMMYFUNCTION("""COMPUTED_VALUE"""),"OCEAN")</f>
        <v>OCEAN</v>
      </c>
      <c r="AE260" s="45" t="str">
        <f ca="1">IFERROR(__xludf.DUMMYFUNCTION("""COMPUTED_VALUE"""),"N")</f>
        <v>N</v>
      </c>
      <c r="AF260" s="45"/>
      <c r="AG260" s="49" t="str">
        <f ca="1">IFERROR(__xludf.DUMMYFUNCTION("IFNA(vlookup(H260,IMPORTRANGE(""1vUGwO1n0QQGx9kKbO0_M5gmuhXZ6-LaxQxgrmJnzgP0"",""'TP# look up'!A:C""),3,0),"""")"),"")</f>
        <v/>
      </c>
      <c r="AH260" s="49" t="str">
        <f t="shared" ca="1" si="4"/>
        <v>LW</v>
      </c>
    </row>
    <row r="261" spans="1:34" ht="12.75" hidden="1">
      <c r="A261" s="45" t="str">
        <f ca="1">IFERROR(__xludf.DUMMYFUNCTION("""COMPUTED_VALUE"""),"Colombo")</f>
        <v>Colombo</v>
      </c>
      <c r="B261" s="45"/>
      <c r="C261" s="45">
        <f ca="1">IFERROR(__xludf.DUMMYFUNCTION("""COMPUTED_VALUE"""),3254506)</f>
        <v>3254506</v>
      </c>
      <c r="D261" s="45"/>
      <c r="E261" s="45" t="str">
        <f ca="1">IFERROR(__xludf.DUMMYFUNCTION("""COMPUTED_VALUE"""),"CFS")</f>
        <v>CFS</v>
      </c>
      <c r="F261" s="45" t="str">
        <f ca="1">IFERROR(__xludf.DUMMYFUNCTION("""COMPUTED_VALUE"""),"Inqube Global (PVT) Ltd")</f>
        <v>Inqube Global (PVT) Ltd</v>
      </c>
      <c r="G261" s="45" t="str">
        <f ca="1">IFERROR(__xludf.DUMMYFUNCTION("""COMPUTED_VALUE"""),"Quantum Clothing Lanka (Pvt) Ltd")</f>
        <v>Quantum Clothing Lanka (Pvt) Ltd</v>
      </c>
      <c r="H261" s="43">
        <f ca="1">IFERROR(__xludf.DUMMYFUNCTION("""COMPUTED_VALUE"""),452057947068)</f>
        <v>452057947068</v>
      </c>
      <c r="I261" s="45">
        <f ca="1">IFERROR(__xludf.DUMMYFUNCTION("""COMPUTED_VALUE"""),19876141)</f>
        <v>19876141</v>
      </c>
      <c r="J261" s="45" t="str">
        <f ca="1">IFERROR(__xludf.DUMMYFUNCTION("""COMPUTED_VALUE"""),"LW9FMOS")</f>
        <v>LW9FMOS</v>
      </c>
      <c r="K261" s="45" t="str">
        <f ca="1">IFERROR(__xludf.DUMMYFUNCTION("""COMPUTED_VALUE"""),"LW9FMOS-068585")</f>
        <v>LW9FMOS-068585</v>
      </c>
      <c r="L261" s="45">
        <f ca="1">IFERROR(__xludf.DUMMYFUNCTION("""COMPUTED_VALUE"""),1)</f>
        <v>1</v>
      </c>
      <c r="M261" s="45">
        <f ca="1">IFERROR(__xludf.DUMMYFUNCTION("""COMPUTED_VALUE"""),52)</f>
        <v>52</v>
      </c>
      <c r="N261" s="45">
        <f ca="1">IFERROR(__xludf.DUMMYFUNCTION("""COMPUTED_VALUE"""),4.647)</f>
        <v>4.6470000000000002</v>
      </c>
      <c r="O261" s="45">
        <f ca="1">IFERROR(__xludf.DUMMYFUNCTION("""COMPUTED_VALUE"""),0.04)</f>
        <v>0.04</v>
      </c>
      <c r="P261" s="45" t="str">
        <f ca="1">IFERROR(__xludf.DUMMYFUNCTION("""COMPUTED_VALUE"""),"Colombo, LK")</f>
        <v>Colombo, LK</v>
      </c>
      <c r="Q261" s="45" t="str">
        <f ca="1">IFERROR(__xludf.DUMMYFUNCTION("""COMPUTED_VALUE"""),"New York, NY, US")</f>
        <v>New York, NY, US</v>
      </c>
      <c r="R261" s="44">
        <f ca="1">IFERROR(__xludf.DUMMYFUNCTION("""COMPUTED_VALUE"""),45824)</f>
        <v>45824</v>
      </c>
      <c r="S261" s="44">
        <f ca="1">IFERROR(__xludf.DUMMYFUNCTION("""COMPUTED_VALUE"""),45883)</f>
        <v>45883</v>
      </c>
      <c r="T261" s="45" t="str">
        <f ca="1">IFERROR(__xludf.DUMMYFUNCTION("""COMPUTED_VALUE"""),"Mississauga, ON, CA")</f>
        <v>Mississauga, ON, CA</v>
      </c>
      <c r="U261" s="45"/>
      <c r="V261" s="45"/>
      <c r="W261" s="45"/>
      <c r="X261" s="45"/>
      <c r="Y261" s="46">
        <f ca="1">IFERROR(__xludf.DUMMYFUNCTION("""COMPUTED_VALUE"""),45832)</f>
        <v>45832</v>
      </c>
      <c r="Z261" s="46">
        <f ca="1">IFERROR(__xludf.DUMMYFUNCTION("""COMPUTED_VALUE"""),45861)</f>
        <v>45861</v>
      </c>
      <c r="AA261" s="46">
        <f ca="1">IFERROR(__xludf.DUMMYFUNCTION("""COMPUTED_VALUE"""),45874)</f>
        <v>45874</v>
      </c>
      <c r="AB261" s="45" t="str">
        <f ca="1">IFERROR(__xludf.DUMMYFUNCTION("""COMPUTED_VALUE"""),"3500 Argentia Road")</f>
        <v>3500 Argentia Road</v>
      </c>
      <c r="AC261" s="45"/>
      <c r="AD261" s="45" t="str">
        <f ca="1">IFERROR(__xludf.DUMMYFUNCTION("""COMPUTED_VALUE"""),"OCEAN")</f>
        <v>OCEAN</v>
      </c>
      <c r="AE261" s="45" t="str">
        <f ca="1">IFERROR(__xludf.DUMMYFUNCTION("""COMPUTED_VALUE"""),"N")</f>
        <v>N</v>
      </c>
      <c r="AF261" s="45"/>
      <c r="AG261" s="49" t="str">
        <f ca="1">IFERROR(__xludf.DUMMYFUNCTION("IFNA(vlookup(H261,IMPORTRANGE(""1vUGwO1n0QQGx9kKbO0_M5gmuhXZ6-LaxQxgrmJnzgP0"",""'TP# look up'!A:C""),3,0),"""")"),"")</f>
        <v/>
      </c>
      <c r="AH261" s="49" t="str">
        <f t="shared" ca="1" si="4"/>
        <v>LW</v>
      </c>
    </row>
    <row r="262" spans="1:34" ht="12.75" hidden="1">
      <c r="A262" s="45" t="str">
        <f ca="1">IFERROR(__xludf.DUMMYFUNCTION("""COMPUTED_VALUE"""),"Colombo")</f>
        <v>Colombo</v>
      </c>
      <c r="B262" s="45"/>
      <c r="C262" s="45">
        <f ca="1">IFERROR(__xludf.DUMMYFUNCTION("""COMPUTED_VALUE"""),3254506)</f>
        <v>3254506</v>
      </c>
      <c r="D262" s="45"/>
      <c r="E262" s="45" t="str">
        <f ca="1">IFERROR(__xludf.DUMMYFUNCTION("""COMPUTED_VALUE"""),"CFS")</f>
        <v>CFS</v>
      </c>
      <c r="F262" s="45" t="str">
        <f ca="1">IFERROR(__xludf.DUMMYFUNCTION("""COMPUTED_VALUE"""),"Inqube Global (PVT) Ltd")</f>
        <v>Inqube Global (PVT) Ltd</v>
      </c>
      <c r="G262" s="45" t="str">
        <f ca="1">IFERROR(__xludf.DUMMYFUNCTION("""COMPUTED_VALUE"""),"Quantum Clothing Lanka (Pvt) Ltd")</f>
        <v>Quantum Clothing Lanka (Pvt) Ltd</v>
      </c>
      <c r="H262" s="43">
        <f ca="1">IFERROR(__xludf.DUMMYFUNCTION("""COMPUTED_VALUE"""),452058797576)</f>
        <v>452058797576</v>
      </c>
      <c r="I262" s="45">
        <f ca="1">IFERROR(__xludf.DUMMYFUNCTION("""COMPUTED_VALUE"""),19876945)</f>
        <v>19876945</v>
      </c>
      <c r="J262" s="45" t="str">
        <f ca="1">IFERROR(__xludf.DUMMYFUNCTION("""COMPUTED_VALUE"""),"LW9FMOS")</f>
        <v>LW9FMOS</v>
      </c>
      <c r="K262" s="45" t="str">
        <f ca="1">IFERROR(__xludf.DUMMYFUNCTION("""COMPUTED_VALUE"""),"LW9FMOS-068585")</f>
        <v>LW9FMOS-068585</v>
      </c>
      <c r="L262" s="45">
        <f ca="1">IFERROR(__xludf.DUMMYFUNCTION("""COMPUTED_VALUE"""),1)</f>
        <v>1</v>
      </c>
      <c r="M262" s="45">
        <f ca="1">IFERROR(__xludf.DUMMYFUNCTION("""COMPUTED_VALUE"""),110)</f>
        <v>110</v>
      </c>
      <c r="N262" s="45">
        <f ca="1">IFERROR(__xludf.DUMMYFUNCTION("""COMPUTED_VALUE"""),8.797)</f>
        <v>8.7970000000000006</v>
      </c>
      <c r="O262" s="45">
        <f ca="1">IFERROR(__xludf.DUMMYFUNCTION("""COMPUTED_VALUE"""),0.04)</f>
        <v>0.04</v>
      </c>
      <c r="P262" s="45" t="str">
        <f ca="1">IFERROR(__xludf.DUMMYFUNCTION("""COMPUTED_VALUE"""),"Colombo, LK")</f>
        <v>Colombo, LK</v>
      </c>
      <c r="Q262" s="45" t="str">
        <f ca="1">IFERROR(__xludf.DUMMYFUNCTION("""COMPUTED_VALUE"""),"New York, NY, US")</f>
        <v>New York, NY, US</v>
      </c>
      <c r="R262" s="44">
        <f ca="1">IFERROR(__xludf.DUMMYFUNCTION("""COMPUTED_VALUE"""),45824)</f>
        <v>45824</v>
      </c>
      <c r="S262" s="44">
        <f ca="1">IFERROR(__xludf.DUMMYFUNCTION("""COMPUTED_VALUE"""),45883)</f>
        <v>45883</v>
      </c>
      <c r="T262" s="45" t="str">
        <f ca="1">IFERROR(__xludf.DUMMYFUNCTION("""COMPUTED_VALUE"""),"Mississauga, ON, CA")</f>
        <v>Mississauga, ON, CA</v>
      </c>
      <c r="U262" s="45"/>
      <c r="V262" s="45"/>
      <c r="W262" s="45"/>
      <c r="X262" s="45"/>
      <c r="Y262" s="46">
        <f ca="1">IFERROR(__xludf.DUMMYFUNCTION("""COMPUTED_VALUE"""),45832)</f>
        <v>45832</v>
      </c>
      <c r="Z262" s="46">
        <f ca="1">IFERROR(__xludf.DUMMYFUNCTION("""COMPUTED_VALUE"""),45861)</f>
        <v>45861</v>
      </c>
      <c r="AA262" s="46">
        <f ca="1">IFERROR(__xludf.DUMMYFUNCTION("""COMPUTED_VALUE"""),45874)</f>
        <v>45874</v>
      </c>
      <c r="AB262" s="45" t="str">
        <f ca="1">IFERROR(__xludf.DUMMYFUNCTION("""COMPUTED_VALUE"""),"3500 Argentia Road")</f>
        <v>3500 Argentia Road</v>
      </c>
      <c r="AC262" s="45"/>
      <c r="AD262" s="45" t="str">
        <f ca="1">IFERROR(__xludf.DUMMYFUNCTION("""COMPUTED_VALUE"""),"OCEAN")</f>
        <v>OCEAN</v>
      </c>
      <c r="AE262" s="45" t="str">
        <f ca="1">IFERROR(__xludf.DUMMYFUNCTION("""COMPUTED_VALUE"""),"N")</f>
        <v>N</v>
      </c>
      <c r="AF262" s="45"/>
      <c r="AG262" s="49" t="str">
        <f ca="1">IFERROR(__xludf.DUMMYFUNCTION("IFNA(vlookup(H262,IMPORTRANGE(""1vUGwO1n0QQGx9kKbO0_M5gmuhXZ6-LaxQxgrmJnzgP0"",""'TP# look up'!A:C""),3,0),"""")"),"")</f>
        <v/>
      </c>
      <c r="AH262" s="49" t="str">
        <f t="shared" ca="1" si="4"/>
        <v>LW</v>
      </c>
    </row>
    <row r="263" spans="1:34" ht="12.75" hidden="1">
      <c r="A263" s="45" t="str">
        <f ca="1">IFERROR(__xludf.DUMMYFUNCTION("""COMPUTED_VALUE"""),"Colombo")</f>
        <v>Colombo</v>
      </c>
      <c r="B263" s="45"/>
      <c r="C263" s="45">
        <f ca="1">IFERROR(__xludf.DUMMYFUNCTION("""COMPUTED_VALUE"""),3254506)</f>
        <v>3254506</v>
      </c>
      <c r="D263" s="45"/>
      <c r="E263" s="45" t="str">
        <f ca="1">IFERROR(__xludf.DUMMYFUNCTION("""COMPUTED_VALUE"""),"CFS")</f>
        <v>CFS</v>
      </c>
      <c r="F263" s="45" t="str">
        <f ca="1">IFERROR(__xludf.DUMMYFUNCTION("""COMPUTED_VALUE"""),"Inqube Global (PVT) Ltd")</f>
        <v>Inqube Global (PVT) Ltd</v>
      </c>
      <c r="G263" s="45" t="str">
        <f ca="1">IFERROR(__xludf.DUMMYFUNCTION("""COMPUTED_VALUE"""),"Quantum Clothing Lanka (Pvt) Ltd")</f>
        <v>Quantum Clothing Lanka (Pvt) Ltd</v>
      </c>
      <c r="H263" s="43">
        <f ca="1">IFERROR(__xludf.DUMMYFUNCTION("""COMPUTED_VALUE"""),452059368323)</f>
        <v>452059368323</v>
      </c>
      <c r="I263" s="45">
        <f ca="1">IFERROR(__xludf.DUMMYFUNCTION("""COMPUTED_VALUE"""),19876949)</f>
        <v>19876949</v>
      </c>
      <c r="J263" s="45" t="str">
        <f ca="1">IFERROR(__xludf.DUMMYFUNCTION("""COMPUTED_VALUE"""),"LW9FMOS")</f>
        <v>LW9FMOS</v>
      </c>
      <c r="K263" s="45" t="str">
        <f ca="1">IFERROR(__xludf.DUMMYFUNCTION("""COMPUTED_VALUE"""),"LW9FMOS-068585")</f>
        <v>LW9FMOS-068585</v>
      </c>
      <c r="L263" s="45">
        <f ca="1">IFERROR(__xludf.DUMMYFUNCTION("""COMPUTED_VALUE"""),1)</f>
        <v>1</v>
      </c>
      <c r="M263" s="45">
        <f ca="1">IFERROR(__xludf.DUMMYFUNCTION("""COMPUTED_VALUE"""),66)</f>
        <v>66</v>
      </c>
      <c r="N263" s="45">
        <f ca="1">IFERROR(__xludf.DUMMYFUNCTION("""COMPUTED_VALUE"""),5.65)</f>
        <v>5.65</v>
      </c>
      <c r="O263" s="45">
        <f ca="1">IFERROR(__xludf.DUMMYFUNCTION("""COMPUTED_VALUE"""),0.04)</f>
        <v>0.04</v>
      </c>
      <c r="P263" s="45" t="str">
        <f ca="1">IFERROR(__xludf.DUMMYFUNCTION("""COMPUTED_VALUE"""),"Colombo, LK")</f>
        <v>Colombo, LK</v>
      </c>
      <c r="Q263" s="45" t="str">
        <f ca="1">IFERROR(__xludf.DUMMYFUNCTION("""COMPUTED_VALUE"""),"New York, NY, US")</f>
        <v>New York, NY, US</v>
      </c>
      <c r="R263" s="44">
        <f ca="1">IFERROR(__xludf.DUMMYFUNCTION("""COMPUTED_VALUE"""),45824)</f>
        <v>45824</v>
      </c>
      <c r="S263" s="44">
        <f ca="1">IFERROR(__xludf.DUMMYFUNCTION("""COMPUTED_VALUE"""),45883)</f>
        <v>45883</v>
      </c>
      <c r="T263" s="45" t="str">
        <f ca="1">IFERROR(__xludf.DUMMYFUNCTION("""COMPUTED_VALUE"""),"Mississauga, ON, CA")</f>
        <v>Mississauga, ON, CA</v>
      </c>
      <c r="U263" s="45"/>
      <c r="V263" s="45"/>
      <c r="W263" s="45"/>
      <c r="X263" s="45"/>
      <c r="Y263" s="46">
        <f ca="1">IFERROR(__xludf.DUMMYFUNCTION("""COMPUTED_VALUE"""),45832)</f>
        <v>45832</v>
      </c>
      <c r="Z263" s="46">
        <f ca="1">IFERROR(__xludf.DUMMYFUNCTION("""COMPUTED_VALUE"""),45861)</f>
        <v>45861</v>
      </c>
      <c r="AA263" s="46">
        <f ca="1">IFERROR(__xludf.DUMMYFUNCTION("""COMPUTED_VALUE"""),45874)</f>
        <v>45874</v>
      </c>
      <c r="AB263" s="45" t="str">
        <f ca="1">IFERROR(__xludf.DUMMYFUNCTION("""COMPUTED_VALUE"""),"3500 Argentia Road")</f>
        <v>3500 Argentia Road</v>
      </c>
      <c r="AC263" s="45"/>
      <c r="AD263" s="45" t="str">
        <f ca="1">IFERROR(__xludf.DUMMYFUNCTION("""COMPUTED_VALUE"""),"OCEAN")</f>
        <v>OCEAN</v>
      </c>
      <c r="AE263" s="45" t="str">
        <f ca="1">IFERROR(__xludf.DUMMYFUNCTION("""COMPUTED_VALUE"""),"N")</f>
        <v>N</v>
      </c>
      <c r="AF263" s="45"/>
      <c r="AG263" s="49" t="str">
        <f ca="1">IFERROR(__xludf.DUMMYFUNCTION("IFNA(vlookup(H263,IMPORTRANGE(""1vUGwO1n0QQGx9kKbO0_M5gmuhXZ6-LaxQxgrmJnzgP0"",""'TP# look up'!A:C""),3,0),"""")"),"")</f>
        <v/>
      </c>
      <c r="AH263" s="49" t="str">
        <f t="shared" ca="1" si="4"/>
        <v>LW</v>
      </c>
    </row>
    <row r="264" spans="1:34" ht="12.75" hidden="1">
      <c r="A264" s="45" t="str">
        <f ca="1">IFERROR(__xludf.DUMMYFUNCTION("""COMPUTED_VALUE"""),"Colombo")</f>
        <v>Colombo</v>
      </c>
      <c r="B264" s="45"/>
      <c r="C264" s="45">
        <f ca="1">IFERROR(__xludf.DUMMYFUNCTION("""COMPUTED_VALUE"""),3254506)</f>
        <v>3254506</v>
      </c>
      <c r="D264" s="45"/>
      <c r="E264" s="45" t="str">
        <f ca="1">IFERROR(__xludf.DUMMYFUNCTION("""COMPUTED_VALUE"""),"CFS")</f>
        <v>CFS</v>
      </c>
      <c r="F264" s="45" t="str">
        <f ca="1">IFERROR(__xludf.DUMMYFUNCTION("""COMPUTED_VALUE"""),"Inqube Global (PVT) Ltd")</f>
        <v>Inqube Global (PVT) Ltd</v>
      </c>
      <c r="G264" s="45" t="str">
        <f ca="1">IFERROR(__xludf.DUMMYFUNCTION("""COMPUTED_VALUE"""),"Quantum Clothing Lanka (Pvt) Ltd")</f>
        <v>Quantum Clothing Lanka (Pvt) Ltd</v>
      </c>
      <c r="H264" s="43">
        <f ca="1">IFERROR(__xludf.DUMMYFUNCTION("""COMPUTED_VALUE"""),452063949367)</f>
        <v>452063949367</v>
      </c>
      <c r="I264" s="45">
        <f ca="1">IFERROR(__xludf.DUMMYFUNCTION("""COMPUTED_VALUE"""),19876135)</f>
        <v>19876135</v>
      </c>
      <c r="J264" s="45" t="str">
        <f ca="1">IFERROR(__xludf.DUMMYFUNCTION("""COMPUTED_VALUE"""),"LW9FMOS")</f>
        <v>LW9FMOS</v>
      </c>
      <c r="K264" s="45" t="str">
        <f ca="1">IFERROR(__xludf.DUMMYFUNCTION("""COMPUTED_VALUE"""),"LW9FMOS-071150")</f>
        <v>LW9FMOS-071150</v>
      </c>
      <c r="L264" s="45">
        <f ca="1">IFERROR(__xludf.DUMMYFUNCTION("""COMPUTED_VALUE"""),1)</f>
        <v>1</v>
      </c>
      <c r="M264" s="45">
        <f ca="1">IFERROR(__xludf.DUMMYFUNCTION("""COMPUTED_VALUE"""),70)</f>
        <v>70</v>
      </c>
      <c r="N264" s="45">
        <f ca="1">IFERROR(__xludf.DUMMYFUNCTION("""COMPUTED_VALUE"""),5.925)</f>
        <v>5.9249999999999998</v>
      </c>
      <c r="O264" s="45">
        <f ca="1">IFERROR(__xludf.DUMMYFUNCTION("""COMPUTED_VALUE"""),0.04)</f>
        <v>0.04</v>
      </c>
      <c r="P264" s="45" t="str">
        <f ca="1">IFERROR(__xludf.DUMMYFUNCTION("""COMPUTED_VALUE"""),"Colombo, LK")</f>
        <v>Colombo, LK</v>
      </c>
      <c r="Q264" s="45" t="str">
        <f ca="1">IFERROR(__xludf.DUMMYFUNCTION("""COMPUTED_VALUE"""),"New York, NY, US")</f>
        <v>New York, NY, US</v>
      </c>
      <c r="R264" s="44">
        <f ca="1">IFERROR(__xludf.DUMMYFUNCTION("""COMPUTED_VALUE"""),45824)</f>
        <v>45824</v>
      </c>
      <c r="S264" s="44">
        <f ca="1">IFERROR(__xludf.DUMMYFUNCTION("""COMPUTED_VALUE"""),45883)</f>
        <v>45883</v>
      </c>
      <c r="T264" s="45" t="str">
        <f ca="1">IFERROR(__xludf.DUMMYFUNCTION("""COMPUTED_VALUE"""),"Mississauga, ON, CA")</f>
        <v>Mississauga, ON, CA</v>
      </c>
      <c r="U264" s="45"/>
      <c r="V264" s="45"/>
      <c r="W264" s="45"/>
      <c r="X264" s="45"/>
      <c r="Y264" s="46">
        <f ca="1">IFERROR(__xludf.DUMMYFUNCTION("""COMPUTED_VALUE"""),45832)</f>
        <v>45832</v>
      </c>
      <c r="Z264" s="46">
        <f ca="1">IFERROR(__xludf.DUMMYFUNCTION("""COMPUTED_VALUE"""),45861)</f>
        <v>45861</v>
      </c>
      <c r="AA264" s="46">
        <f ca="1">IFERROR(__xludf.DUMMYFUNCTION("""COMPUTED_VALUE"""),45874)</f>
        <v>45874</v>
      </c>
      <c r="AB264" s="45" t="str">
        <f ca="1">IFERROR(__xludf.DUMMYFUNCTION("""COMPUTED_VALUE"""),"3500 Argentia Road")</f>
        <v>3500 Argentia Road</v>
      </c>
      <c r="AC264" s="45"/>
      <c r="AD264" s="45" t="str">
        <f ca="1">IFERROR(__xludf.DUMMYFUNCTION("""COMPUTED_VALUE"""),"OCEAN")</f>
        <v>OCEAN</v>
      </c>
      <c r="AE264" s="45" t="str">
        <f ca="1">IFERROR(__xludf.DUMMYFUNCTION("""COMPUTED_VALUE"""),"N")</f>
        <v>N</v>
      </c>
      <c r="AF264" s="45"/>
      <c r="AG264" s="49" t="str">
        <f ca="1">IFERROR(__xludf.DUMMYFUNCTION("IFNA(vlookup(H264,IMPORTRANGE(""1vUGwO1n0QQGx9kKbO0_M5gmuhXZ6-LaxQxgrmJnzgP0"",""'TP# look up'!A:C""),3,0),"""")"),"")</f>
        <v/>
      </c>
      <c r="AH264" s="49" t="str">
        <f t="shared" ca="1" si="4"/>
        <v>LW</v>
      </c>
    </row>
    <row r="265" spans="1:34" ht="12.75" hidden="1">
      <c r="A265" s="45" t="str">
        <f ca="1">IFERROR(__xludf.DUMMYFUNCTION("""COMPUTED_VALUE"""),"Colombo")</f>
        <v>Colombo</v>
      </c>
      <c r="B265" s="45"/>
      <c r="C265" s="45">
        <f ca="1">IFERROR(__xludf.DUMMYFUNCTION("""COMPUTED_VALUE"""),3254506)</f>
        <v>3254506</v>
      </c>
      <c r="D265" s="45"/>
      <c r="E265" s="45" t="str">
        <f ca="1">IFERROR(__xludf.DUMMYFUNCTION("""COMPUTED_VALUE"""),"CFS")</f>
        <v>CFS</v>
      </c>
      <c r="F265" s="45" t="str">
        <f ca="1">IFERROR(__xludf.DUMMYFUNCTION("""COMPUTED_VALUE"""),"Inqube Global (PVT) Ltd")</f>
        <v>Inqube Global (PVT) Ltd</v>
      </c>
      <c r="G265" s="45" t="str">
        <f ca="1">IFERROR(__xludf.DUMMYFUNCTION("""COMPUTED_VALUE"""),"Quantum Clothing Lanka (Pvt) Ltd")</f>
        <v>Quantum Clothing Lanka (Pvt) Ltd</v>
      </c>
      <c r="H265" s="43">
        <f ca="1">IFERROR(__xludf.DUMMYFUNCTION("""COMPUTED_VALUE"""),452064162091)</f>
        <v>452064162091</v>
      </c>
      <c r="I265" s="45">
        <f ca="1">IFERROR(__xludf.DUMMYFUNCTION("""COMPUTED_VALUE"""),19876136)</f>
        <v>19876136</v>
      </c>
      <c r="J265" s="45" t="str">
        <f ca="1">IFERROR(__xludf.DUMMYFUNCTION("""COMPUTED_VALUE"""),"LW9FMOS")</f>
        <v>LW9FMOS</v>
      </c>
      <c r="K265" s="45" t="str">
        <f ca="1">IFERROR(__xludf.DUMMYFUNCTION("""COMPUTED_VALUE"""),"LW9FMOS-071150")</f>
        <v>LW9FMOS-071150</v>
      </c>
      <c r="L265" s="45">
        <f ca="1">IFERROR(__xludf.DUMMYFUNCTION("""COMPUTED_VALUE"""),1)</f>
        <v>1</v>
      </c>
      <c r="M265" s="45">
        <f ca="1">IFERROR(__xludf.DUMMYFUNCTION("""COMPUTED_VALUE"""),59)</f>
        <v>59</v>
      </c>
      <c r="N265" s="45">
        <f ca="1">IFERROR(__xludf.DUMMYFUNCTION("""COMPUTED_VALUE"""),5.144)</f>
        <v>5.1440000000000001</v>
      </c>
      <c r="O265" s="45">
        <f ca="1">IFERROR(__xludf.DUMMYFUNCTION("""COMPUTED_VALUE"""),0.04)</f>
        <v>0.04</v>
      </c>
      <c r="P265" s="45" t="str">
        <f ca="1">IFERROR(__xludf.DUMMYFUNCTION("""COMPUTED_VALUE"""),"Colombo, LK")</f>
        <v>Colombo, LK</v>
      </c>
      <c r="Q265" s="45" t="str">
        <f ca="1">IFERROR(__xludf.DUMMYFUNCTION("""COMPUTED_VALUE"""),"New York, NY, US")</f>
        <v>New York, NY, US</v>
      </c>
      <c r="R265" s="44">
        <f ca="1">IFERROR(__xludf.DUMMYFUNCTION("""COMPUTED_VALUE"""),45824)</f>
        <v>45824</v>
      </c>
      <c r="S265" s="44">
        <f ca="1">IFERROR(__xludf.DUMMYFUNCTION("""COMPUTED_VALUE"""),45883)</f>
        <v>45883</v>
      </c>
      <c r="T265" s="45" t="str">
        <f ca="1">IFERROR(__xludf.DUMMYFUNCTION("""COMPUTED_VALUE"""),"Mississauga, ON, CA")</f>
        <v>Mississauga, ON, CA</v>
      </c>
      <c r="U265" s="45"/>
      <c r="V265" s="45"/>
      <c r="W265" s="45"/>
      <c r="X265" s="45"/>
      <c r="Y265" s="46">
        <f ca="1">IFERROR(__xludf.DUMMYFUNCTION("""COMPUTED_VALUE"""),45832)</f>
        <v>45832</v>
      </c>
      <c r="Z265" s="46">
        <f ca="1">IFERROR(__xludf.DUMMYFUNCTION("""COMPUTED_VALUE"""),45861)</f>
        <v>45861</v>
      </c>
      <c r="AA265" s="46">
        <f ca="1">IFERROR(__xludf.DUMMYFUNCTION("""COMPUTED_VALUE"""),45874)</f>
        <v>45874</v>
      </c>
      <c r="AB265" s="45" t="str">
        <f ca="1">IFERROR(__xludf.DUMMYFUNCTION("""COMPUTED_VALUE"""),"3500 Argentia Road")</f>
        <v>3500 Argentia Road</v>
      </c>
      <c r="AC265" s="45"/>
      <c r="AD265" s="45" t="str">
        <f ca="1">IFERROR(__xludf.DUMMYFUNCTION("""COMPUTED_VALUE"""),"OCEAN")</f>
        <v>OCEAN</v>
      </c>
      <c r="AE265" s="45" t="str">
        <f ca="1">IFERROR(__xludf.DUMMYFUNCTION("""COMPUTED_VALUE"""),"N")</f>
        <v>N</v>
      </c>
      <c r="AF265" s="45"/>
      <c r="AG265" s="49" t="str">
        <f ca="1">IFERROR(__xludf.DUMMYFUNCTION("IFNA(vlookup(H265,IMPORTRANGE(""1vUGwO1n0QQGx9kKbO0_M5gmuhXZ6-LaxQxgrmJnzgP0"",""'TP# look up'!A:C""),3,0),"""")"),"")</f>
        <v/>
      </c>
      <c r="AH265" s="49" t="str">
        <f t="shared" ca="1" si="4"/>
        <v>LW</v>
      </c>
    </row>
    <row r="266" spans="1:34" ht="12.75" hidden="1">
      <c r="A266" s="45" t="str">
        <f ca="1">IFERROR(__xludf.DUMMYFUNCTION("""COMPUTED_VALUE"""),"Colombo")</f>
        <v>Colombo</v>
      </c>
      <c r="B266" s="45"/>
      <c r="C266" s="45">
        <f ca="1">IFERROR(__xludf.DUMMYFUNCTION("""COMPUTED_VALUE"""),3254506)</f>
        <v>3254506</v>
      </c>
      <c r="D266" s="45"/>
      <c r="E266" s="45" t="str">
        <f ca="1">IFERROR(__xludf.DUMMYFUNCTION("""COMPUTED_VALUE"""),"CFS")</f>
        <v>CFS</v>
      </c>
      <c r="F266" s="45" t="str">
        <f ca="1">IFERROR(__xludf.DUMMYFUNCTION("""COMPUTED_VALUE"""),"Inqube Global (PVT) Ltd")</f>
        <v>Inqube Global (PVT) Ltd</v>
      </c>
      <c r="G266" s="45" t="str">
        <f ca="1">IFERROR(__xludf.DUMMYFUNCTION("""COMPUTED_VALUE"""),"Quantum Clothing Lanka (Pvt) Ltd")</f>
        <v>Quantum Clothing Lanka (Pvt) Ltd</v>
      </c>
      <c r="H266" s="43">
        <f ca="1">IFERROR(__xludf.DUMMYFUNCTION("""COMPUTED_VALUE"""),452065075476)</f>
        <v>452065075476</v>
      </c>
      <c r="I266" s="45">
        <f ca="1">IFERROR(__xludf.DUMMYFUNCTION("""COMPUTED_VALUE"""),19876915)</f>
        <v>19876915</v>
      </c>
      <c r="J266" s="45" t="str">
        <f ca="1">IFERROR(__xludf.DUMMYFUNCTION("""COMPUTED_VALUE"""),"LW9FMOS")</f>
        <v>LW9FMOS</v>
      </c>
      <c r="K266" s="45" t="str">
        <f ca="1">IFERROR(__xludf.DUMMYFUNCTION("""COMPUTED_VALUE"""),"LW9FMOS-071150")</f>
        <v>LW9FMOS-071150</v>
      </c>
      <c r="L266" s="45">
        <f ca="1">IFERROR(__xludf.DUMMYFUNCTION("""COMPUTED_VALUE"""),1)</f>
        <v>1</v>
      </c>
      <c r="M266" s="45">
        <f ca="1">IFERROR(__xludf.DUMMYFUNCTION("""COMPUTED_VALUE"""),114)</f>
        <v>114</v>
      </c>
      <c r="N266" s="45">
        <f ca="1">IFERROR(__xludf.DUMMYFUNCTION("""COMPUTED_VALUE"""),9.07)</f>
        <v>9.07</v>
      </c>
      <c r="O266" s="45">
        <f ca="1">IFERROR(__xludf.DUMMYFUNCTION("""COMPUTED_VALUE"""),0.04)</f>
        <v>0.04</v>
      </c>
      <c r="P266" s="45" t="str">
        <f ca="1">IFERROR(__xludf.DUMMYFUNCTION("""COMPUTED_VALUE"""),"Colombo, LK")</f>
        <v>Colombo, LK</v>
      </c>
      <c r="Q266" s="45" t="str">
        <f ca="1">IFERROR(__xludf.DUMMYFUNCTION("""COMPUTED_VALUE"""),"New York, NY, US")</f>
        <v>New York, NY, US</v>
      </c>
      <c r="R266" s="44">
        <f ca="1">IFERROR(__xludf.DUMMYFUNCTION("""COMPUTED_VALUE"""),45824)</f>
        <v>45824</v>
      </c>
      <c r="S266" s="44">
        <f ca="1">IFERROR(__xludf.DUMMYFUNCTION("""COMPUTED_VALUE"""),45883)</f>
        <v>45883</v>
      </c>
      <c r="T266" s="45" t="str">
        <f ca="1">IFERROR(__xludf.DUMMYFUNCTION("""COMPUTED_VALUE"""),"Mississauga, ON, CA")</f>
        <v>Mississauga, ON, CA</v>
      </c>
      <c r="U266" s="45"/>
      <c r="V266" s="45"/>
      <c r="W266" s="45"/>
      <c r="X266" s="45"/>
      <c r="Y266" s="46">
        <f ca="1">IFERROR(__xludf.DUMMYFUNCTION("""COMPUTED_VALUE"""),45832)</f>
        <v>45832</v>
      </c>
      <c r="Z266" s="46">
        <f ca="1">IFERROR(__xludf.DUMMYFUNCTION("""COMPUTED_VALUE"""),45861)</f>
        <v>45861</v>
      </c>
      <c r="AA266" s="46">
        <f ca="1">IFERROR(__xludf.DUMMYFUNCTION("""COMPUTED_VALUE"""),45874)</f>
        <v>45874</v>
      </c>
      <c r="AB266" s="45" t="str">
        <f ca="1">IFERROR(__xludf.DUMMYFUNCTION("""COMPUTED_VALUE"""),"3500 Argentia Road")</f>
        <v>3500 Argentia Road</v>
      </c>
      <c r="AC266" s="45"/>
      <c r="AD266" s="45" t="str">
        <f ca="1">IFERROR(__xludf.DUMMYFUNCTION("""COMPUTED_VALUE"""),"OCEAN")</f>
        <v>OCEAN</v>
      </c>
      <c r="AE266" s="45" t="str">
        <f ca="1">IFERROR(__xludf.DUMMYFUNCTION("""COMPUTED_VALUE"""),"N")</f>
        <v>N</v>
      </c>
      <c r="AF266" s="45"/>
      <c r="AG266" s="49" t="str">
        <f ca="1">IFERROR(__xludf.DUMMYFUNCTION("IFNA(vlookup(H266,IMPORTRANGE(""1vUGwO1n0QQGx9kKbO0_M5gmuhXZ6-LaxQxgrmJnzgP0"",""'TP# look up'!A:C""),3,0),"""")"),"")</f>
        <v/>
      </c>
      <c r="AH266" s="49" t="str">
        <f t="shared" ca="1" si="4"/>
        <v>LW</v>
      </c>
    </row>
    <row r="267" spans="1:34" ht="12.75" hidden="1">
      <c r="A267" s="45" t="str">
        <f ca="1">IFERROR(__xludf.DUMMYFUNCTION("""COMPUTED_VALUE"""),"Colombo")</f>
        <v>Colombo</v>
      </c>
      <c r="B267" s="45"/>
      <c r="C267" s="45">
        <f ca="1">IFERROR(__xludf.DUMMYFUNCTION("""COMPUTED_VALUE"""),3254506)</f>
        <v>3254506</v>
      </c>
      <c r="D267" s="45"/>
      <c r="E267" s="45" t="str">
        <f ca="1">IFERROR(__xludf.DUMMYFUNCTION("""COMPUTED_VALUE"""),"CFS")</f>
        <v>CFS</v>
      </c>
      <c r="F267" s="45" t="str">
        <f ca="1">IFERROR(__xludf.DUMMYFUNCTION("""COMPUTED_VALUE"""),"Inqube Global (PVT) Ltd")</f>
        <v>Inqube Global (PVT) Ltd</v>
      </c>
      <c r="G267" s="45" t="str">
        <f ca="1">IFERROR(__xludf.DUMMYFUNCTION("""COMPUTED_VALUE"""),"Quantum Clothing Lanka (Pvt) Ltd")</f>
        <v>Quantum Clothing Lanka (Pvt) Ltd</v>
      </c>
      <c r="H267" s="43">
        <f ca="1">IFERROR(__xludf.DUMMYFUNCTION("""COMPUTED_VALUE"""),452065160070)</f>
        <v>452065160070</v>
      </c>
      <c r="I267" s="45">
        <f ca="1">IFERROR(__xludf.DUMMYFUNCTION("""COMPUTED_VALUE"""),19876911)</f>
        <v>19876911</v>
      </c>
      <c r="J267" s="45" t="str">
        <f ca="1">IFERROR(__xludf.DUMMYFUNCTION("""COMPUTED_VALUE"""),"LW9FMOS")</f>
        <v>LW9FMOS</v>
      </c>
      <c r="K267" s="45" t="str">
        <f ca="1">IFERROR(__xludf.DUMMYFUNCTION("""COMPUTED_VALUE"""),"LW9FMOS-071150")</f>
        <v>LW9FMOS-071150</v>
      </c>
      <c r="L267" s="45">
        <f ca="1">IFERROR(__xludf.DUMMYFUNCTION("""COMPUTED_VALUE"""),1)</f>
        <v>1</v>
      </c>
      <c r="M267" s="45">
        <f ca="1">IFERROR(__xludf.DUMMYFUNCTION("""COMPUTED_VALUE"""),207)</f>
        <v>207</v>
      </c>
      <c r="N267" s="45">
        <f ca="1">IFERROR(__xludf.DUMMYFUNCTION("""COMPUTED_VALUE"""),16.149)</f>
        <v>16.149000000000001</v>
      </c>
      <c r="O267" s="45">
        <f ca="1">IFERROR(__xludf.DUMMYFUNCTION("""COMPUTED_VALUE"""),0.079)</f>
        <v>7.9000000000000001E-2</v>
      </c>
      <c r="P267" s="45" t="str">
        <f ca="1">IFERROR(__xludf.DUMMYFUNCTION("""COMPUTED_VALUE"""),"Colombo, LK")</f>
        <v>Colombo, LK</v>
      </c>
      <c r="Q267" s="45" t="str">
        <f ca="1">IFERROR(__xludf.DUMMYFUNCTION("""COMPUTED_VALUE"""),"New York, NY, US")</f>
        <v>New York, NY, US</v>
      </c>
      <c r="R267" s="44">
        <f ca="1">IFERROR(__xludf.DUMMYFUNCTION("""COMPUTED_VALUE"""),45824)</f>
        <v>45824</v>
      </c>
      <c r="S267" s="44">
        <f ca="1">IFERROR(__xludf.DUMMYFUNCTION("""COMPUTED_VALUE"""),45883)</f>
        <v>45883</v>
      </c>
      <c r="T267" s="45" t="str">
        <f ca="1">IFERROR(__xludf.DUMMYFUNCTION("""COMPUTED_VALUE"""),"Mississauga, ON, CA")</f>
        <v>Mississauga, ON, CA</v>
      </c>
      <c r="U267" s="45"/>
      <c r="V267" s="45"/>
      <c r="W267" s="45"/>
      <c r="X267" s="45"/>
      <c r="Y267" s="46">
        <f ca="1">IFERROR(__xludf.DUMMYFUNCTION("""COMPUTED_VALUE"""),45832)</f>
        <v>45832</v>
      </c>
      <c r="Z267" s="46">
        <f ca="1">IFERROR(__xludf.DUMMYFUNCTION("""COMPUTED_VALUE"""),45861)</f>
        <v>45861</v>
      </c>
      <c r="AA267" s="46">
        <f ca="1">IFERROR(__xludf.DUMMYFUNCTION("""COMPUTED_VALUE"""),45874)</f>
        <v>45874</v>
      </c>
      <c r="AB267" s="45" t="str">
        <f ca="1">IFERROR(__xludf.DUMMYFUNCTION("""COMPUTED_VALUE"""),"3500 Argentia Road")</f>
        <v>3500 Argentia Road</v>
      </c>
      <c r="AC267" s="45"/>
      <c r="AD267" s="45" t="str">
        <f ca="1">IFERROR(__xludf.DUMMYFUNCTION("""COMPUTED_VALUE"""),"OCEAN")</f>
        <v>OCEAN</v>
      </c>
      <c r="AE267" s="45" t="str">
        <f ca="1">IFERROR(__xludf.DUMMYFUNCTION("""COMPUTED_VALUE"""),"N")</f>
        <v>N</v>
      </c>
      <c r="AF267" s="45"/>
      <c r="AG267" s="49" t="str">
        <f ca="1">IFERROR(__xludf.DUMMYFUNCTION("IFNA(vlookup(H267,IMPORTRANGE(""1vUGwO1n0QQGx9kKbO0_M5gmuhXZ6-LaxQxgrmJnzgP0"",""'TP# look up'!A:C""),3,0),"""")"),"")</f>
        <v/>
      </c>
      <c r="AH267" s="49" t="str">
        <f t="shared" ca="1" si="4"/>
        <v>LW</v>
      </c>
    </row>
    <row r="268" spans="1:34" ht="12.75" hidden="1">
      <c r="A268" s="45" t="str">
        <f ca="1">IFERROR(__xludf.DUMMYFUNCTION("""COMPUTED_VALUE"""),"Colombo")</f>
        <v>Colombo</v>
      </c>
      <c r="B268" s="45"/>
      <c r="C268" s="45">
        <f ca="1">IFERROR(__xludf.DUMMYFUNCTION("""COMPUTED_VALUE"""),3254506)</f>
        <v>3254506</v>
      </c>
      <c r="D268" s="45"/>
      <c r="E268" s="45" t="str">
        <f ca="1">IFERROR(__xludf.DUMMYFUNCTION("""COMPUTED_VALUE"""),"CFS")</f>
        <v>CFS</v>
      </c>
      <c r="F268" s="45" t="str">
        <f ca="1">IFERROR(__xludf.DUMMYFUNCTION("""COMPUTED_VALUE"""),"Inqube Global (PVT) Ltd")</f>
        <v>Inqube Global (PVT) Ltd</v>
      </c>
      <c r="G268" s="45" t="str">
        <f ca="1">IFERROR(__xludf.DUMMYFUNCTION("""COMPUTED_VALUE"""),"Quantum Clothing Lanka (Pvt) Ltd")</f>
        <v>Quantum Clothing Lanka (Pvt) Ltd</v>
      </c>
      <c r="H268" s="43">
        <f ca="1">IFERROR(__xludf.DUMMYFUNCTION("""COMPUTED_VALUE"""),452090767696)</f>
        <v>452090767696</v>
      </c>
      <c r="I268" s="45">
        <f ca="1">IFERROR(__xludf.DUMMYFUNCTION("""COMPUTED_VALUE"""),19876156)</f>
        <v>19876156</v>
      </c>
      <c r="J268" s="45" t="str">
        <f ca="1">IFERROR(__xludf.DUMMYFUNCTION("""COMPUTED_VALUE"""),"LW9FMPS")</f>
        <v>LW9FMPS</v>
      </c>
      <c r="K268" s="45" t="str">
        <f ca="1">IFERROR(__xludf.DUMMYFUNCTION("""COMPUTED_VALUE"""),"LW9FMPS-0001")</f>
        <v>LW9FMPS-0001</v>
      </c>
      <c r="L268" s="45">
        <f ca="1">IFERROR(__xludf.DUMMYFUNCTION("""COMPUTED_VALUE"""),1)</f>
        <v>1</v>
      </c>
      <c r="M268" s="45">
        <f ca="1">IFERROR(__xludf.DUMMYFUNCTION("""COMPUTED_VALUE"""),77)</f>
        <v>77</v>
      </c>
      <c r="N268" s="45">
        <f ca="1">IFERROR(__xludf.DUMMYFUNCTION("""COMPUTED_VALUE"""),4.251)</f>
        <v>4.2510000000000003</v>
      </c>
      <c r="O268" s="45">
        <f ca="1">IFERROR(__xludf.DUMMYFUNCTION("""COMPUTED_VALUE"""),0.079)</f>
        <v>7.9000000000000001E-2</v>
      </c>
      <c r="P268" s="45" t="str">
        <f ca="1">IFERROR(__xludf.DUMMYFUNCTION("""COMPUTED_VALUE"""),"Colombo, LK")</f>
        <v>Colombo, LK</v>
      </c>
      <c r="Q268" s="45" t="str">
        <f ca="1">IFERROR(__xludf.DUMMYFUNCTION("""COMPUTED_VALUE"""),"New York, NY, US")</f>
        <v>New York, NY, US</v>
      </c>
      <c r="R268" s="44">
        <f ca="1">IFERROR(__xludf.DUMMYFUNCTION("""COMPUTED_VALUE"""),45824)</f>
        <v>45824</v>
      </c>
      <c r="S268" s="44">
        <f ca="1">IFERROR(__xludf.DUMMYFUNCTION("""COMPUTED_VALUE"""),45883)</f>
        <v>45883</v>
      </c>
      <c r="T268" s="45" t="str">
        <f ca="1">IFERROR(__xludf.DUMMYFUNCTION("""COMPUTED_VALUE"""),"Mississauga, ON, CA")</f>
        <v>Mississauga, ON, CA</v>
      </c>
      <c r="U268" s="45"/>
      <c r="V268" s="45"/>
      <c r="W268" s="45"/>
      <c r="X268" s="45"/>
      <c r="Y268" s="46">
        <f ca="1">IFERROR(__xludf.DUMMYFUNCTION("""COMPUTED_VALUE"""),45832)</f>
        <v>45832</v>
      </c>
      <c r="Z268" s="46">
        <f ca="1">IFERROR(__xludf.DUMMYFUNCTION("""COMPUTED_VALUE"""),45861)</f>
        <v>45861</v>
      </c>
      <c r="AA268" s="46">
        <f ca="1">IFERROR(__xludf.DUMMYFUNCTION("""COMPUTED_VALUE"""),45874)</f>
        <v>45874</v>
      </c>
      <c r="AB268" s="45" t="str">
        <f ca="1">IFERROR(__xludf.DUMMYFUNCTION("""COMPUTED_VALUE"""),"3500 Argentia Road")</f>
        <v>3500 Argentia Road</v>
      </c>
      <c r="AC268" s="45"/>
      <c r="AD268" s="45" t="str">
        <f ca="1">IFERROR(__xludf.DUMMYFUNCTION("""COMPUTED_VALUE"""),"OCEAN")</f>
        <v>OCEAN</v>
      </c>
      <c r="AE268" s="45" t="str">
        <f ca="1">IFERROR(__xludf.DUMMYFUNCTION("""COMPUTED_VALUE"""),"N")</f>
        <v>N</v>
      </c>
      <c r="AF268" s="45"/>
      <c r="AG268" s="49" t="str">
        <f ca="1">IFERROR(__xludf.DUMMYFUNCTION("IFNA(vlookup(H268,IMPORTRANGE(""1vUGwO1n0QQGx9kKbO0_M5gmuhXZ6-LaxQxgrmJnzgP0"",""'TP# look up'!A:C""),3,0),"""")"),"")</f>
        <v/>
      </c>
      <c r="AH268" s="49" t="str">
        <f t="shared" ca="1" si="4"/>
        <v>LW</v>
      </c>
    </row>
    <row r="269" spans="1:34" ht="12.75" hidden="1">
      <c r="A269" s="45" t="str">
        <f ca="1">IFERROR(__xludf.DUMMYFUNCTION("""COMPUTED_VALUE"""),"Colombo")</f>
        <v>Colombo</v>
      </c>
      <c r="B269" s="45"/>
      <c r="C269" s="45">
        <f ca="1">IFERROR(__xludf.DUMMYFUNCTION("""COMPUTED_VALUE"""),3254506)</f>
        <v>3254506</v>
      </c>
      <c r="D269" s="45"/>
      <c r="E269" s="45" t="str">
        <f ca="1">IFERROR(__xludf.DUMMYFUNCTION("""COMPUTED_VALUE"""),"CFS")</f>
        <v>CFS</v>
      </c>
      <c r="F269" s="45" t="str">
        <f ca="1">IFERROR(__xludf.DUMMYFUNCTION("""COMPUTED_VALUE"""),"Inqube Global (PVT) Ltd")</f>
        <v>Inqube Global (PVT) Ltd</v>
      </c>
      <c r="G269" s="45" t="str">
        <f ca="1">IFERROR(__xludf.DUMMYFUNCTION("""COMPUTED_VALUE"""),"Quantum Clothing Lanka (Pvt) Ltd")</f>
        <v>Quantum Clothing Lanka (Pvt) Ltd</v>
      </c>
      <c r="H269" s="43">
        <f ca="1">IFERROR(__xludf.DUMMYFUNCTION("""COMPUTED_VALUE"""),452091918889)</f>
        <v>452091918889</v>
      </c>
      <c r="I269" s="45">
        <f ca="1">IFERROR(__xludf.DUMMYFUNCTION("""COMPUTED_VALUE"""),19876155)</f>
        <v>19876155</v>
      </c>
      <c r="J269" s="45" t="str">
        <f ca="1">IFERROR(__xludf.DUMMYFUNCTION("""COMPUTED_VALUE"""),"LW9FMPS")</f>
        <v>LW9FMPS</v>
      </c>
      <c r="K269" s="45" t="str">
        <f ca="1">IFERROR(__xludf.DUMMYFUNCTION("""COMPUTED_VALUE"""),"LW9FMPS-0001")</f>
        <v>LW9FMPS-0001</v>
      </c>
      <c r="L269" s="45">
        <f ca="1">IFERROR(__xludf.DUMMYFUNCTION("""COMPUTED_VALUE"""),1)</f>
        <v>1</v>
      </c>
      <c r="M269" s="45">
        <f ca="1">IFERROR(__xludf.DUMMYFUNCTION("""COMPUTED_VALUE"""),89)</f>
        <v>89</v>
      </c>
      <c r="N269" s="45">
        <f ca="1">IFERROR(__xludf.DUMMYFUNCTION("""COMPUTED_VALUE"""),4.232)</f>
        <v>4.2320000000000002</v>
      </c>
      <c r="O269" s="45">
        <f ca="1">IFERROR(__xludf.DUMMYFUNCTION("""COMPUTED_VALUE"""),0.04)</f>
        <v>0.04</v>
      </c>
      <c r="P269" s="45" t="str">
        <f ca="1">IFERROR(__xludf.DUMMYFUNCTION("""COMPUTED_VALUE"""),"Colombo, LK")</f>
        <v>Colombo, LK</v>
      </c>
      <c r="Q269" s="45" t="str">
        <f ca="1">IFERROR(__xludf.DUMMYFUNCTION("""COMPUTED_VALUE"""),"New York, NY, US")</f>
        <v>New York, NY, US</v>
      </c>
      <c r="R269" s="44">
        <f ca="1">IFERROR(__xludf.DUMMYFUNCTION("""COMPUTED_VALUE"""),45824)</f>
        <v>45824</v>
      </c>
      <c r="S269" s="44">
        <f ca="1">IFERROR(__xludf.DUMMYFUNCTION("""COMPUTED_VALUE"""),45883)</f>
        <v>45883</v>
      </c>
      <c r="T269" s="45" t="str">
        <f ca="1">IFERROR(__xludf.DUMMYFUNCTION("""COMPUTED_VALUE"""),"Mississauga, ON, CA")</f>
        <v>Mississauga, ON, CA</v>
      </c>
      <c r="U269" s="45"/>
      <c r="V269" s="45"/>
      <c r="W269" s="45"/>
      <c r="X269" s="45"/>
      <c r="Y269" s="46">
        <f ca="1">IFERROR(__xludf.DUMMYFUNCTION("""COMPUTED_VALUE"""),45832)</f>
        <v>45832</v>
      </c>
      <c r="Z269" s="46">
        <f ca="1">IFERROR(__xludf.DUMMYFUNCTION("""COMPUTED_VALUE"""),45861)</f>
        <v>45861</v>
      </c>
      <c r="AA269" s="46">
        <f ca="1">IFERROR(__xludf.DUMMYFUNCTION("""COMPUTED_VALUE"""),45874)</f>
        <v>45874</v>
      </c>
      <c r="AB269" s="45" t="str">
        <f ca="1">IFERROR(__xludf.DUMMYFUNCTION("""COMPUTED_VALUE"""),"3500 Argentia Road")</f>
        <v>3500 Argentia Road</v>
      </c>
      <c r="AC269" s="45"/>
      <c r="AD269" s="45" t="str">
        <f ca="1">IFERROR(__xludf.DUMMYFUNCTION("""COMPUTED_VALUE"""),"OCEAN")</f>
        <v>OCEAN</v>
      </c>
      <c r="AE269" s="45" t="str">
        <f ca="1">IFERROR(__xludf.DUMMYFUNCTION("""COMPUTED_VALUE"""),"N")</f>
        <v>N</v>
      </c>
      <c r="AF269" s="45"/>
      <c r="AG269" s="49" t="str">
        <f ca="1">IFERROR(__xludf.DUMMYFUNCTION("IFNA(vlookup(H269,IMPORTRANGE(""1vUGwO1n0QQGx9kKbO0_M5gmuhXZ6-LaxQxgrmJnzgP0"",""'TP# look up'!A:C""),3,0),"""")"),"")</f>
        <v/>
      </c>
      <c r="AH269" s="49" t="str">
        <f t="shared" ca="1" si="4"/>
        <v>LW</v>
      </c>
    </row>
    <row r="270" spans="1:34" ht="12.75" hidden="1">
      <c r="A270" s="45" t="str">
        <f ca="1">IFERROR(__xludf.DUMMYFUNCTION("""COMPUTED_VALUE"""),"Colombo")</f>
        <v>Colombo</v>
      </c>
      <c r="B270" s="45"/>
      <c r="C270" s="45">
        <f ca="1">IFERROR(__xludf.DUMMYFUNCTION("""COMPUTED_VALUE"""),3254506)</f>
        <v>3254506</v>
      </c>
      <c r="D270" s="45"/>
      <c r="E270" s="45" t="str">
        <f ca="1">IFERROR(__xludf.DUMMYFUNCTION("""COMPUTED_VALUE"""),"CFS")</f>
        <v>CFS</v>
      </c>
      <c r="F270" s="45" t="str">
        <f ca="1">IFERROR(__xludf.DUMMYFUNCTION("""COMPUTED_VALUE"""),"Inqube Global (PVT) Ltd")</f>
        <v>Inqube Global (PVT) Ltd</v>
      </c>
      <c r="G270" s="45" t="str">
        <f ca="1">IFERROR(__xludf.DUMMYFUNCTION("""COMPUTED_VALUE"""),"Quantum Clothing Lanka (Pvt) Ltd")</f>
        <v>Quantum Clothing Lanka (Pvt) Ltd</v>
      </c>
      <c r="H270" s="43">
        <f ca="1">IFERROR(__xludf.DUMMYFUNCTION("""COMPUTED_VALUE"""),452329023254)</f>
        <v>452329023254</v>
      </c>
      <c r="I270" s="45">
        <f ca="1">IFERROR(__xludf.DUMMYFUNCTION("""COMPUTED_VALUE"""),19876983)</f>
        <v>19876983</v>
      </c>
      <c r="J270" s="45" t="str">
        <f ca="1">IFERROR(__xludf.DUMMYFUNCTION("""COMPUTED_VALUE"""),"LW9FMPS")</f>
        <v>LW9FMPS</v>
      </c>
      <c r="K270" s="45" t="str">
        <f ca="1">IFERROR(__xludf.DUMMYFUNCTION("""COMPUTED_VALUE"""),"LW9FMPS-0001")</f>
        <v>LW9FMPS-0001</v>
      </c>
      <c r="L270" s="45">
        <f ca="1">IFERROR(__xludf.DUMMYFUNCTION("""COMPUTED_VALUE"""),1)</f>
        <v>1</v>
      </c>
      <c r="M270" s="45">
        <f ca="1">IFERROR(__xludf.DUMMYFUNCTION("""COMPUTED_VALUE"""),219)</f>
        <v>219</v>
      </c>
      <c r="N270" s="45">
        <f ca="1">IFERROR(__xludf.DUMMYFUNCTION("""COMPUTED_VALUE"""),9.51)</f>
        <v>9.51</v>
      </c>
      <c r="O270" s="45">
        <f ca="1">IFERROR(__xludf.DUMMYFUNCTION("""COMPUTED_VALUE"""),0.079)</f>
        <v>7.9000000000000001E-2</v>
      </c>
      <c r="P270" s="45" t="str">
        <f ca="1">IFERROR(__xludf.DUMMYFUNCTION("""COMPUTED_VALUE"""),"Colombo, LK")</f>
        <v>Colombo, LK</v>
      </c>
      <c r="Q270" s="45" t="str">
        <f ca="1">IFERROR(__xludf.DUMMYFUNCTION("""COMPUTED_VALUE"""),"New York, NY, US")</f>
        <v>New York, NY, US</v>
      </c>
      <c r="R270" s="44">
        <f ca="1">IFERROR(__xludf.DUMMYFUNCTION("""COMPUTED_VALUE"""),45824)</f>
        <v>45824</v>
      </c>
      <c r="S270" s="44">
        <f ca="1">IFERROR(__xludf.DUMMYFUNCTION("""COMPUTED_VALUE"""),45883)</f>
        <v>45883</v>
      </c>
      <c r="T270" s="45" t="str">
        <f ca="1">IFERROR(__xludf.DUMMYFUNCTION("""COMPUTED_VALUE"""),"Mississauga, ON, CA")</f>
        <v>Mississauga, ON, CA</v>
      </c>
      <c r="U270" s="45"/>
      <c r="V270" s="45"/>
      <c r="W270" s="45"/>
      <c r="X270" s="45"/>
      <c r="Y270" s="46">
        <f ca="1">IFERROR(__xludf.DUMMYFUNCTION("""COMPUTED_VALUE"""),45832)</f>
        <v>45832</v>
      </c>
      <c r="Z270" s="46">
        <f ca="1">IFERROR(__xludf.DUMMYFUNCTION("""COMPUTED_VALUE"""),45861)</f>
        <v>45861</v>
      </c>
      <c r="AA270" s="46">
        <f ca="1">IFERROR(__xludf.DUMMYFUNCTION("""COMPUTED_VALUE"""),45874)</f>
        <v>45874</v>
      </c>
      <c r="AB270" s="45" t="str">
        <f ca="1">IFERROR(__xludf.DUMMYFUNCTION("""COMPUTED_VALUE"""),"3500 Argentia Road")</f>
        <v>3500 Argentia Road</v>
      </c>
      <c r="AC270" s="45"/>
      <c r="AD270" s="45" t="str">
        <f ca="1">IFERROR(__xludf.DUMMYFUNCTION("""COMPUTED_VALUE"""),"OCEAN")</f>
        <v>OCEAN</v>
      </c>
      <c r="AE270" s="45" t="str">
        <f ca="1">IFERROR(__xludf.DUMMYFUNCTION("""COMPUTED_VALUE"""),"N")</f>
        <v>N</v>
      </c>
      <c r="AF270" s="45"/>
      <c r="AG270" s="49" t="str">
        <f ca="1">IFERROR(__xludf.DUMMYFUNCTION("IFNA(vlookup(H270,IMPORTRANGE(""1vUGwO1n0QQGx9kKbO0_M5gmuhXZ6-LaxQxgrmJnzgP0"",""'TP# look up'!A:C""),3,0),"""")"),"")</f>
        <v/>
      </c>
      <c r="AH270" s="49" t="str">
        <f t="shared" ca="1" si="4"/>
        <v>LW</v>
      </c>
    </row>
    <row r="271" spans="1:34" ht="12.75" hidden="1">
      <c r="A271" s="45" t="str">
        <f ca="1">IFERROR(__xludf.DUMMYFUNCTION("""COMPUTED_VALUE"""),"Colombo")</f>
        <v>Colombo</v>
      </c>
      <c r="B271" s="45"/>
      <c r="C271" s="45">
        <f ca="1">IFERROR(__xludf.DUMMYFUNCTION("""COMPUTED_VALUE"""),3254506)</f>
        <v>3254506</v>
      </c>
      <c r="D271" s="45"/>
      <c r="E271" s="45" t="str">
        <f ca="1">IFERROR(__xludf.DUMMYFUNCTION("""COMPUTED_VALUE"""),"CFS")</f>
        <v>CFS</v>
      </c>
      <c r="F271" s="45" t="str">
        <f ca="1">IFERROR(__xludf.DUMMYFUNCTION("""COMPUTED_VALUE"""),"Inqube Global (PVT) Ltd")</f>
        <v>Inqube Global (PVT) Ltd</v>
      </c>
      <c r="G271" s="45" t="str">
        <f ca="1">IFERROR(__xludf.DUMMYFUNCTION("""COMPUTED_VALUE"""),"Quantum Clothing Lanka (Pvt) Ltd")</f>
        <v>Quantum Clothing Lanka (Pvt) Ltd</v>
      </c>
      <c r="H271" s="43">
        <f ca="1">IFERROR(__xludf.DUMMYFUNCTION("""COMPUTED_VALUE"""),452329220808)</f>
        <v>452329220808</v>
      </c>
      <c r="I271" s="45">
        <f ca="1">IFERROR(__xludf.DUMMYFUNCTION("""COMPUTED_VALUE"""),19876987)</f>
        <v>19876987</v>
      </c>
      <c r="J271" s="45" t="str">
        <f ca="1">IFERROR(__xludf.DUMMYFUNCTION("""COMPUTED_VALUE"""),"LW9FMPS")</f>
        <v>LW9FMPS</v>
      </c>
      <c r="K271" s="45" t="str">
        <f ca="1">IFERROR(__xludf.DUMMYFUNCTION("""COMPUTED_VALUE"""),"LW9FMPS-0001")</f>
        <v>LW9FMPS-0001</v>
      </c>
      <c r="L271" s="45">
        <f ca="1">IFERROR(__xludf.DUMMYFUNCTION("""COMPUTED_VALUE"""),1)</f>
        <v>1</v>
      </c>
      <c r="M271" s="45">
        <f ca="1">IFERROR(__xludf.DUMMYFUNCTION("""COMPUTED_VALUE"""),114)</f>
        <v>114</v>
      </c>
      <c r="N271" s="45">
        <f ca="1">IFERROR(__xludf.DUMMYFUNCTION("""COMPUTED_VALUE"""),5.155)</f>
        <v>5.1550000000000002</v>
      </c>
      <c r="O271" s="45">
        <f ca="1">IFERROR(__xludf.DUMMYFUNCTION("""COMPUTED_VALUE"""),0.04)</f>
        <v>0.04</v>
      </c>
      <c r="P271" s="45" t="str">
        <f ca="1">IFERROR(__xludf.DUMMYFUNCTION("""COMPUTED_VALUE"""),"Colombo, LK")</f>
        <v>Colombo, LK</v>
      </c>
      <c r="Q271" s="45" t="str">
        <f ca="1">IFERROR(__xludf.DUMMYFUNCTION("""COMPUTED_VALUE"""),"New York, NY, US")</f>
        <v>New York, NY, US</v>
      </c>
      <c r="R271" s="44">
        <f ca="1">IFERROR(__xludf.DUMMYFUNCTION("""COMPUTED_VALUE"""),45824)</f>
        <v>45824</v>
      </c>
      <c r="S271" s="44">
        <f ca="1">IFERROR(__xludf.DUMMYFUNCTION("""COMPUTED_VALUE"""),45883)</f>
        <v>45883</v>
      </c>
      <c r="T271" s="45" t="str">
        <f ca="1">IFERROR(__xludf.DUMMYFUNCTION("""COMPUTED_VALUE"""),"Mississauga, ON, CA")</f>
        <v>Mississauga, ON, CA</v>
      </c>
      <c r="U271" s="45"/>
      <c r="V271" s="45"/>
      <c r="W271" s="45"/>
      <c r="X271" s="45"/>
      <c r="Y271" s="46">
        <f ca="1">IFERROR(__xludf.DUMMYFUNCTION("""COMPUTED_VALUE"""),45832)</f>
        <v>45832</v>
      </c>
      <c r="Z271" s="46">
        <f ca="1">IFERROR(__xludf.DUMMYFUNCTION("""COMPUTED_VALUE"""),45861)</f>
        <v>45861</v>
      </c>
      <c r="AA271" s="46">
        <f ca="1">IFERROR(__xludf.DUMMYFUNCTION("""COMPUTED_VALUE"""),45874)</f>
        <v>45874</v>
      </c>
      <c r="AB271" s="45" t="str">
        <f ca="1">IFERROR(__xludf.DUMMYFUNCTION("""COMPUTED_VALUE"""),"3500 Argentia Road")</f>
        <v>3500 Argentia Road</v>
      </c>
      <c r="AC271" s="45"/>
      <c r="AD271" s="45" t="str">
        <f ca="1">IFERROR(__xludf.DUMMYFUNCTION("""COMPUTED_VALUE"""),"OCEAN")</f>
        <v>OCEAN</v>
      </c>
      <c r="AE271" s="45" t="str">
        <f ca="1">IFERROR(__xludf.DUMMYFUNCTION("""COMPUTED_VALUE"""),"N")</f>
        <v>N</v>
      </c>
      <c r="AF271" s="45"/>
      <c r="AG271" s="49" t="str">
        <f ca="1">IFERROR(__xludf.DUMMYFUNCTION("IFNA(vlookup(H271,IMPORTRANGE(""1vUGwO1n0QQGx9kKbO0_M5gmuhXZ6-LaxQxgrmJnzgP0"",""'TP# look up'!A:C""),3,0),"""")"),"")</f>
        <v/>
      </c>
      <c r="AH271" s="49" t="str">
        <f t="shared" ca="1" si="4"/>
        <v>LW</v>
      </c>
    </row>
    <row r="272" spans="1:34" ht="12.75" hidden="1">
      <c r="A272" s="45" t="str">
        <f ca="1">IFERROR(__xludf.DUMMYFUNCTION("""COMPUTED_VALUE"""),"Colombo")</f>
        <v>Colombo</v>
      </c>
      <c r="B272" s="45"/>
      <c r="C272" s="45">
        <f ca="1">IFERROR(__xludf.DUMMYFUNCTION("""COMPUTED_VALUE"""),3254506)</f>
        <v>3254506</v>
      </c>
      <c r="D272" s="45"/>
      <c r="E272" s="45" t="str">
        <f ca="1">IFERROR(__xludf.DUMMYFUNCTION("""COMPUTED_VALUE"""),"CFS")</f>
        <v>CFS</v>
      </c>
      <c r="F272" s="45" t="str">
        <f ca="1">IFERROR(__xludf.DUMMYFUNCTION("""COMPUTED_VALUE"""),"Inqube Global (PVT) Ltd")</f>
        <v>Inqube Global (PVT) Ltd</v>
      </c>
      <c r="G272" s="45" t="str">
        <f ca="1">IFERROR(__xludf.DUMMYFUNCTION("""COMPUTED_VALUE"""),"Quantum Clothing Lanka (Pvt) Ltd")</f>
        <v>Quantum Clothing Lanka (Pvt) Ltd</v>
      </c>
      <c r="H272" s="43">
        <f ca="1">IFERROR(__xludf.DUMMYFUNCTION("""COMPUTED_VALUE"""),452331134230)</f>
        <v>452331134230</v>
      </c>
      <c r="I272" s="45">
        <f ca="1">IFERROR(__xludf.DUMMYFUNCTION("""COMPUTED_VALUE"""),19876167)</f>
        <v>19876167</v>
      </c>
      <c r="J272" s="45" t="str">
        <f ca="1">IFERROR(__xludf.DUMMYFUNCTION("""COMPUTED_VALUE"""),"LW9FMPS")</f>
        <v>LW9FMPS</v>
      </c>
      <c r="K272" s="45" t="str">
        <f ca="1">IFERROR(__xludf.DUMMYFUNCTION("""COMPUTED_VALUE"""),"LW9FMPS-068585")</f>
        <v>LW9FMPS-068585</v>
      </c>
      <c r="L272" s="45">
        <f ca="1">IFERROR(__xludf.DUMMYFUNCTION("""COMPUTED_VALUE"""),1)</f>
        <v>1</v>
      </c>
      <c r="M272" s="45">
        <f ca="1">IFERROR(__xludf.DUMMYFUNCTION("""COMPUTED_VALUE"""),48)</f>
        <v>48</v>
      </c>
      <c r="N272" s="45">
        <f ca="1">IFERROR(__xludf.DUMMYFUNCTION("""COMPUTED_VALUE"""),2.714)</f>
        <v>2.714</v>
      </c>
      <c r="O272" s="45">
        <f ca="1">IFERROR(__xludf.DUMMYFUNCTION("""COMPUTED_VALUE"""),0.04)</f>
        <v>0.04</v>
      </c>
      <c r="P272" s="45" t="str">
        <f ca="1">IFERROR(__xludf.DUMMYFUNCTION("""COMPUTED_VALUE"""),"Colombo, LK")</f>
        <v>Colombo, LK</v>
      </c>
      <c r="Q272" s="45" t="str">
        <f ca="1">IFERROR(__xludf.DUMMYFUNCTION("""COMPUTED_VALUE"""),"New York, NY, US")</f>
        <v>New York, NY, US</v>
      </c>
      <c r="R272" s="44">
        <f ca="1">IFERROR(__xludf.DUMMYFUNCTION("""COMPUTED_VALUE"""),45824)</f>
        <v>45824</v>
      </c>
      <c r="S272" s="44">
        <f ca="1">IFERROR(__xludf.DUMMYFUNCTION("""COMPUTED_VALUE"""),45883)</f>
        <v>45883</v>
      </c>
      <c r="T272" s="45" t="str">
        <f ca="1">IFERROR(__xludf.DUMMYFUNCTION("""COMPUTED_VALUE"""),"Mississauga, ON, CA")</f>
        <v>Mississauga, ON, CA</v>
      </c>
      <c r="U272" s="45"/>
      <c r="V272" s="45"/>
      <c r="W272" s="45"/>
      <c r="X272" s="45"/>
      <c r="Y272" s="46">
        <f ca="1">IFERROR(__xludf.DUMMYFUNCTION("""COMPUTED_VALUE"""),45832)</f>
        <v>45832</v>
      </c>
      <c r="Z272" s="46">
        <f ca="1">IFERROR(__xludf.DUMMYFUNCTION("""COMPUTED_VALUE"""),45861)</f>
        <v>45861</v>
      </c>
      <c r="AA272" s="46">
        <f ca="1">IFERROR(__xludf.DUMMYFUNCTION("""COMPUTED_VALUE"""),45874)</f>
        <v>45874</v>
      </c>
      <c r="AB272" s="45" t="str">
        <f ca="1">IFERROR(__xludf.DUMMYFUNCTION("""COMPUTED_VALUE"""),"3500 Argentia Road")</f>
        <v>3500 Argentia Road</v>
      </c>
      <c r="AC272" s="45"/>
      <c r="AD272" s="45" t="str">
        <f ca="1">IFERROR(__xludf.DUMMYFUNCTION("""COMPUTED_VALUE"""),"OCEAN")</f>
        <v>OCEAN</v>
      </c>
      <c r="AE272" s="45" t="str">
        <f ca="1">IFERROR(__xludf.DUMMYFUNCTION("""COMPUTED_VALUE"""),"N")</f>
        <v>N</v>
      </c>
      <c r="AF272" s="45"/>
      <c r="AG272" s="49" t="str">
        <f ca="1">IFERROR(__xludf.DUMMYFUNCTION("IFNA(vlookup(H272,IMPORTRANGE(""1vUGwO1n0QQGx9kKbO0_M5gmuhXZ6-LaxQxgrmJnzgP0"",""'TP# look up'!A:C""),3,0),"""")"),"")</f>
        <v/>
      </c>
      <c r="AH272" s="49" t="str">
        <f t="shared" ca="1" si="4"/>
        <v>LW</v>
      </c>
    </row>
    <row r="273" spans="1:34" ht="12.75" hidden="1">
      <c r="A273" s="45" t="str">
        <f ca="1">IFERROR(__xludf.DUMMYFUNCTION("""COMPUTED_VALUE"""),"Colombo")</f>
        <v>Colombo</v>
      </c>
      <c r="B273" s="45"/>
      <c r="C273" s="45">
        <f ca="1">IFERROR(__xludf.DUMMYFUNCTION("""COMPUTED_VALUE"""),3254506)</f>
        <v>3254506</v>
      </c>
      <c r="D273" s="45"/>
      <c r="E273" s="45" t="str">
        <f ca="1">IFERROR(__xludf.DUMMYFUNCTION("""COMPUTED_VALUE"""),"CFS")</f>
        <v>CFS</v>
      </c>
      <c r="F273" s="45" t="str">
        <f ca="1">IFERROR(__xludf.DUMMYFUNCTION("""COMPUTED_VALUE"""),"Inqube Global (PVT) Ltd")</f>
        <v>Inqube Global (PVT) Ltd</v>
      </c>
      <c r="G273" s="45" t="str">
        <f ca="1">IFERROR(__xludf.DUMMYFUNCTION("""COMPUTED_VALUE"""),"Quantum Clothing Lanka (Pvt) Ltd")</f>
        <v>Quantum Clothing Lanka (Pvt) Ltd</v>
      </c>
      <c r="H273" s="43">
        <f ca="1">IFERROR(__xludf.DUMMYFUNCTION("""COMPUTED_VALUE"""),452333555853)</f>
        <v>452333555853</v>
      </c>
      <c r="I273" s="45">
        <f ca="1">IFERROR(__xludf.DUMMYFUNCTION("""COMPUTED_VALUE"""),19876168)</f>
        <v>19876168</v>
      </c>
      <c r="J273" s="45" t="str">
        <f ca="1">IFERROR(__xludf.DUMMYFUNCTION("""COMPUTED_VALUE"""),"LW9FMPS")</f>
        <v>LW9FMPS</v>
      </c>
      <c r="K273" s="45" t="str">
        <f ca="1">IFERROR(__xludf.DUMMYFUNCTION("""COMPUTED_VALUE"""),"LW9FMPS-068585")</f>
        <v>LW9FMPS-068585</v>
      </c>
      <c r="L273" s="45">
        <f ca="1">IFERROR(__xludf.DUMMYFUNCTION("""COMPUTED_VALUE"""),1)</f>
        <v>1</v>
      </c>
      <c r="M273" s="45">
        <f ca="1">IFERROR(__xludf.DUMMYFUNCTION("""COMPUTED_VALUE"""),50)</f>
        <v>50</v>
      </c>
      <c r="N273" s="45">
        <f ca="1">IFERROR(__xludf.DUMMYFUNCTION("""COMPUTED_VALUE"""),2.789)</f>
        <v>2.7890000000000001</v>
      </c>
      <c r="O273" s="45">
        <f ca="1">IFERROR(__xludf.DUMMYFUNCTION("""COMPUTED_VALUE"""),0.04)</f>
        <v>0.04</v>
      </c>
      <c r="P273" s="45" t="str">
        <f ca="1">IFERROR(__xludf.DUMMYFUNCTION("""COMPUTED_VALUE"""),"Colombo, LK")</f>
        <v>Colombo, LK</v>
      </c>
      <c r="Q273" s="45" t="str">
        <f ca="1">IFERROR(__xludf.DUMMYFUNCTION("""COMPUTED_VALUE"""),"New York, NY, US")</f>
        <v>New York, NY, US</v>
      </c>
      <c r="R273" s="44">
        <f ca="1">IFERROR(__xludf.DUMMYFUNCTION("""COMPUTED_VALUE"""),45824)</f>
        <v>45824</v>
      </c>
      <c r="S273" s="44">
        <f ca="1">IFERROR(__xludf.DUMMYFUNCTION("""COMPUTED_VALUE"""),45883)</f>
        <v>45883</v>
      </c>
      <c r="T273" s="45" t="str">
        <f ca="1">IFERROR(__xludf.DUMMYFUNCTION("""COMPUTED_VALUE"""),"Mississauga, ON, CA")</f>
        <v>Mississauga, ON, CA</v>
      </c>
      <c r="U273" s="45"/>
      <c r="V273" s="45"/>
      <c r="W273" s="45"/>
      <c r="X273" s="45"/>
      <c r="Y273" s="46">
        <f ca="1">IFERROR(__xludf.DUMMYFUNCTION("""COMPUTED_VALUE"""),45832)</f>
        <v>45832</v>
      </c>
      <c r="Z273" s="46">
        <f ca="1">IFERROR(__xludf.DUMMYFUNCTION("""COMPUTED_VALUE"""),45861)</f>
        <v>45861</v>
      </c>
      <c r="AA273" s="46">
        <f ca="1">IFERROR(__xludf.DUMMYFUNCTION("""COMPUTED_VALUE"""),45874)</f>
        <v>45874</v>
      </c>
      <c r="AB273" s="45" t="str">
        <f ca="1">IFERROR(__xludf.DUMMYFUNCTION("""COMPUTED_VALUE"""),"3500 Argentia Road")</f>
        <v>3500 Argentia Road</v>
      </c>
      <c r="AC273" s="45"/>
      <c r="AD273" s="45" t="str">
        <f ca="1">IFERROR(__xludf.DUMMYFUNCTION("""COMPUTED_VALUE"""),"OCEAN")</f>
        <v>OCEAN</v>
      </c>
      <c r="AE273" s="45" t="str">
        <f ca="1">IFERROR(__xludf.DUMMYFUNCTION("""COMPUTED_VALUE"""),"N")</f>
        <v>N</v>
      </c>
      <c r="AF273" s="45"/>
      <c r="AG273" s="49" t="str">
        <f ca="1">IFERROR(__xludf.DUMMYFUNCTION("IFNA(vlookup(H273,IMPORTRANGE(""1vUGwO1n0QQGx9kKbO0_M5gmuhXZ6-LaxQxgrmJnzgP0"",""'TP# look up'!A:C""),3,0),"""")"),"")</f>
        <v/>
      </c>
      <c r="AH273" s="49" t="str">
        <f t="shared" ca="1" si="4"/>
        <v>LW</v>
      </c>
    </row>
    <row r="274" spans="1:34" ht="12.75" hidden="1">
      <c r="A274" s="45" t="str">
        <f ca="1">IFERROR(__xludf.DUMMYFUNCTION("""COMPUTED_VALUE"""),"Colombo")</f>
        <v>Colombo</v>
      </c>
      <c r="B274" s="45"/>
      <c r="C274" s="45">
        <f ca="1">IFERROR(__xludf.DUMMYFUNCTION("""COMPUTED_VALUE"""),3254506)</f>
        <v>3254506</v>
      </c>
      <c r="D274" s="45"/>
      <c r="E274" s="45" t="str">
        <f ca="1">IFERROR(__xludf.DUMMYFUNCTION("""COMPUTED_VALUE"""),"CFS")</f>
        <v>CFS</v>
      </c>
      <c r="F274" s="45" t="str">
        <f ca="1">IFERROR(__xludf.DUMMYFUNCTION("""COMPUTED_VALUE"""),"Inqube Global (PVT) Ltd")</f>
        <v>Inqube Global (PVT) Ltd</v>
      </c>
      <c r="G274" s="45" t="str">
        <f ca="1">IFERROR(__xludf.DUMMYFUNCTION("""COMPUTED_VALUE"""),"Quantum Clothing Lanka (Pvt) Ltd")</f>
        <v>Quantum Clothing Lanka (Pvt) Ltd</v>
      </c>
      <c r="H274" s="43">
        <f ca="1">IFERROR(__xludf.DUMMYFUNCTION("""COMPUTED_VALUE"""),452334621428)</f>
        <v>452334621428</v>
      </c>
      <c r="I274" s="45">
        <f ca="1">IFERROR(__xludf.DUMMYFUNCTION("""COMPUTED_VALUE"""),19877037)</f>
        <v>19877037</v>
      </c>
      <c r="J274" s="45" t="str">
        <f ca="1">IFERROR(__xludf.DUMMYFUNCTION("""COMPUTED_VALUE"""),"LW9FMPS")</f>
        <v>LW9FMPS</v>
      </c>
      <c r="K274" s="45" t="str">
        <f ca="1">IFERROR(__xludf.DUMMYFUNCTION("""COMPUTED_VALUE"""),"LW9FMPS-068585")</f>
        <v>LW9FMPS-068585</v>
      </c>
      <c r="L274" s="45">
        <f ca="1">IFERROR(__xludf.DUMMYFUNCTION("""COMPUTED_VALUE"""),1)</f>
        <v>1</v>
      </c>
      <c r="M274" s="45">
        <f ca="1">IFERROR(__xludf.DUMMYFUNCTION("""COMPUTED_VALUE"""),99)</f>
        <v>99</v>
      </c>
      <c r="N274" s="45">
        <f ca="1">IFERROR(__xludf.DUMMYFUNCTION("""COMPUTED_VALUE"""),4.602)</f>
        <v>4.6020000000000003</v>
      </c>
      <c r="O274" s="45">
        <f ca="1">IFERROR(__xludf.DUMMYFUNCTION("""COMPUTED_VALUE"""),0.04)</f>
        <v>0.04</v>
      </c>
      <c r="P274" s="45" t="str">
        <f ca="1">IFERROR(__xludf.DUMMYFUNCTION("""COMPUTED_VALUE"""),"Colombo, LK")</f>
        <v>Colombo, LK</v>
      </c>
      <c r="Q274" s="45" t="str">
        <f ca="1">IFERROR(__xludf.DUMMYFUNCTION("""COMPUTED_VALUE"""),"New York, NY, US")</f>
        <v>New York, NY, US</v>
      </c>
      <c r="R274" s="44">
        <f ca="1">IFERROR(__xludf.DUMMYFUNCTION("""COMPUTED_VALUE"""),45824)</f>
        <v>45824</v>
      </c>
      <c r="S274" s="44">
        <f ca="1">IFERROR(__xludf.DUMMYFUNCTION("""COMPUTED_VALUE"""),45883)</f>
        <v>45883</v>
      </c>
      <c r="T274" s="45" t="str">
        <f ca="1">IFERROR(__xludf.DUMMYFUNCTION("""COMPUTED_VALUE"""),"Mississauga, ON, CA")</f>
        <v>Mississauga, ON, CA</v>
      </c>
      <c r="U274" s="45"/>
      <c r="V274" s="45"/>
      <c r="W274" s="45"/>
      <c r="X274" s="45"/>
      <c r="Y274" s="46">
        <f ca="1">IFERROR(__xludf.DUMMYFUNCTION("""COMPUTED_VALUE"""),45832)</f>
        <v>45832</v>
      </c>
      <c r="Z274" s="46">
        <f ca="1">IFERROR(__xludf.DUMMYFUNCTION("""COMPUTED_VALUE"""),45861)</f>
        <v>45861</v>
      </c>
      <c r="AA274" s="46">
        <f ca="1">IFERROR(__xludf.DUMMYFUNCTION("""COMPUTED_VALUE"""),45874)</f>
        <v>45874</v>
      </c>
      <c r="AB274" s="45" t="str">
        <f ca="1">IFERROR(__xludf.DUMMYFUNCTION("""COMPUTED_VALUE"""),"3500 Argentia Road")</f>
        <v>3500 Argentia Road</v>
      </c>
      <c r="AC274" s="45"/>
      <c r="AD274" s="45" t="str">
        <f ca="1">IFERROR(__xludf.DUMMYFUNCTION("""COMPUTED_VALUE"""),"OCEAN")</f>
        <v>OCEAN</v>
      </c>
      <c r="AE274" s="45" t="str">
        <f ca="1">IFERROR(__xludf.DUMMYFUNCTION("""COMPUTED_VALUE"""),"N")</f>
        <v>N</v>
      </c>
      <c r="AF274" s="45"/>
      <c r="AG274" s="49" t="str">
        <f ca="1">IFERROR(__xludf.DUMMYFUNCTION("IFNA(vlookup(H274,IMPORTRANGE(""1vUGwO1n0QQGx9kKbO0_M5gmuhXZ6-LaxQxgrmJnzgP0"",""'TP# look up'!A:C""),3,0),"""")"),"")</f>
        <v/>
      </c>
      <c r="AH274" s="49" t="str">
        <f t="shared" ca="1" si="4"/>
        <v>LW</v>
      </c>
    </row>
    <row r="275" spans="1:34" ht="12.75" hidden="1">
      <c r="A275" s="45" t="str">
        <f ca="1">IFERROR(__xludf.DUMMYFUNCTION("""COMPUTED_VALUE"""),"Colombo")</f>
        <v>Colombo</v>
      </c>
      <c r="B275" s="45"/>
      <c r="C275" s="45">
        <f ca="1">IFERROR(__xludf.DUMMYFUNCTION("""COMPUTED_VALUE"""),3254506)</f>
        <v>3254506</v>
      </c>
      <c r="D275" s="45"/>
      <c r="E275" s="45" t="str">
        <f ca="1">IFERROR(__xludf.DUMMYFUNCTION("""COMPUTED_VALUE"""),"CFS")</f>
        <v>CFS</v>
      </c>
      <c r="F275" s="45" t="str">
        <f ca="1">IFERROR(__xludf.DUMMYFUNCTION("""COMPUTED_VALUE"""),"Inqube Global (PVT) Ltd")</f>
        <v>Inqube Global (PVT) Ltd</v>
      </c>
      <c r="G275" s="45" t="str">
        <f ca="1">IFERROR(__xludf.DUMMYFUNCTION("""COMPUTED_VALUE"""),"Quantum Clothing Lanka (Pvt) Ltd")</f>
        <v>Quantum Clothing Lanka (Pvt) Ltd</v>
      </c>
      <c r="H275" s="43">
        <f ca="1">IFERROR(__xludf.DUMMYFUNCTION("""COMPUTED_VALUE"""),452334899638)</f>
        <v>452334899638</v>
      </c>
      <c r="I275" s="45">
        <f ca="1">IFERROR(__xludf.DUMMYFUNCTION("""COMPUTED_VALUE"""),19877041)</f>
        <v>19877041</v>
      </c>
      <c r="J275" s="45" t="str">
        <f ca="1">IFERROR(__xludf.DUMMYFUNCTION("""COMPUTED_VALUE"""),"LW9FMPS")</f>
        <v>LW9FMPS</v>
      </c>
      <c r="K275" s="45" t="str">
        <f ca="1">IFERROR(__xludf.DUMMYFUNCTION("""COMPUTED_VALUE"""),"LW9FMPS-068585")</f>
        <v>LW9FMPS-068585</v>
      </c>
      <c r="L275" s="45">
        <f ca="1">IFERROR(__xludf.DUMMYFUNCTION("""COMPUTED_VALUE"""),1)</f>
        <v>1</v>
      </c>
      <c r="M275" s="45">
        <f ca="1">IFERROR(__xludf.DUMMYFUNCTION("""COMPUTED_VALUE"""),60)</f>
        <v>60</v>
      </c>
      <c r="N275" s="45">
        <f ca="1">IFERROR(__xludf.DUMMYFUNCTION("""COMPUTED_VALUE"""),3.157)</f>
        <v>3.157</v>
      </c>
      <c r="O275" s="45">
        <f ca="1">IFERROR(__xludf.DUMMYFUNCTION("""COMPUTED_VALUE"""),0.04)</f>
        <v>0.04</v>
      </c>
      <c r="P275" s="45" t="str">
        <f ca="1">IFERROR(__xludf.DUMMYFUNCTION("""COMPUTED_VALUE"""),"Colombo, LK")</f>
        <v>Colombo, LK</v>
      </c>
      <c r="Q275" s="45" t="str">
        <f ca="1">IFERROR(__xludf.DUMMYFUNCTION("""COMPUTED_VALUE"""),"New York, NY, US")</f>
        <v>New York, NY, US</v>
      </c>
      <c r="R275" s="44">
        <f ca="1">IFERROR(__xludf.DUMMYFUNCTION("""COMPUTED_VALUE"""),45824)</f>
        <v>45824</v>
      </c>
      <c r="S275" s="44">
        <f ca="1">IFERROR(__xludf.DUMMYFUNCTION("""COMPUTED_VALUE"""),45883)</f>
        <v>45883</v>
      </c>
      <c r="T275" s="45" t="str">
        <f ca="1">IFERROR(__xludf.DUMMYFUNCTION("""COMPUTED_VALUE"""),"Mississauga, ON, CA")</f>
        <v>Mississauga, ON, CA</v>
      </c>
      <c r="U275" s="45"/>
      <c r="V275" s="45"/>
      <c r="W275" s="45"/>
      <c r="X275" s="45"/>
      <c r="Y275" s="46">
        <f ca="1">IFERROR(__xludf.DUMMYFUNCTION("""COMPUTED_VALUE"""),45832)</f>
        <v>45832</v>
      </c>
      <c r="Z275" s="46">
        <f ca="1">IFERROR(__xludf.DUMMYFUNCTION("""COMPUTED_VALUE"""),45861)</f>
        <v>45861</v>
      </c>
      <c r="AA275" s="46">
        <f ca="1">IFERROR(__xludf.DUMMYFUNCTION("""COMPUTED_VALUE"""),45874)</f>
        <v>45874</v>
      </c>
      <c r="AB275" s="45" t="str">
        <f ca="1">IFERROR(__xludf.DUMMYFUNCTION("""COMPUTED_VALUE"""),"3500 Argentia Road")</f>
        <v>3500 Argentia Road</v>
      </c>
      <c r="AC275" s="45"/>
      <c r="AD275" s="45" t="str">
        <f ca="1">IFERROR(__xludf.DUMMYFUNCTION("""COMPUTED_VALUE"""),"OCEAN")</f>
        <v>OCEAN</v>
      </c>
      <c r="AE275" s="45" t="str">
        <f ca="1">IFERROR(__xludf.DUMMYFUNCTION("""COMPUTED_VALUE"""),"N")</f>
        <v>N</v>
      </c>
      <c r="AF275" s="45"/>
      <c r="AG275" s="49" t="str">
        <f ca="1">IFERROR(__xludf.DUMMYFUNCTION("IFNA(vlookup(H275,IMPORTRANGE(""1vUGwO1n0QQGx9kKbO0_M5gmuhXZ6-LaxQxgrmJnzgP0"",""'TP# look up'!A:C""),3,0),"""")"),"")</f>
        <v/>
      </c>
      <c r="AH275" s="49" t="str">
        <f t="shared" ca="1" si="4"/>
        <v>LW</v>
      </c>
    </row>
    <row r="276" spans="1:34" ht="12.75" hidden="1">
      <c r="A276" s="45" t="str">
        <f ca="1">IFERROR(__xludf.DUMMYFUNCTION("""COMPUTED_VALUE"""),"Colombo")</f>
        <v>Colombo</v>
      </c>
      <c r="B276" s="45"/>
      <c r="C276" s="45">
        <f ca="1">IFERROR(__xludf.DUMMYFUNCTION("""COMPUTED_VALUE"""),3254506)</f>
        <v>3254506</v>
      </c>
      <c r="D276" s="45"/>
      <c r="E276" s="45" t="str">
        <f ca="1">IFERROR(__xludf.DUMMYFUNCTION("""COMPUTED_VALUE"""),"CFS")</f>
        <v>CFS</v>
      </c>
      <c r="F276" s="45" t="str">
        <f ca="1">IFERROR(__xludf.DUMMYFUNCTION("""COMPUTED_VALUE"""),"Inqube Global (PVT) Ltd")</f>
        <v>Inqube Global (PVT) Ltd</v>
      </c>
      <c r="G276" s="45" t="str">
        <f ca="1">IFERROR(__xludf.DUMMYFUNCTION("""COMPUTED_VALUE"""),"Quantum Clothing Lanka (Pvt) Ltd")</f>
        <v>Quantum Clothing Lanka (Pvt) Ltd</v>
      </c>
      <c r="H276" s="43">
        <f ca="1">IFERROR(__xludf.DUMMYFUNCTION("""COMPUTED_VALUE"""),452336515351)</f>
        <v>452336515351</v>
      </c>
      <c r="I276" s="45">
        <f ca="1">IFERROR(__xludf.DUMMYFUNCTION("""COMPUTED_VALUE"""),19876163)</f>
        <v>19876163</v>
      </c>
      <c r="J276" s="45" t="str">
        <f ca="1">IFERROR(__xludf.DUMMYFUNCTION("""COMPUTED_VALUE"""),"LW9FMPS")</f>
        <v>LW9FMPS</v>
      </c>
      <c r="K276" s="45" t="str">
        <f ca="1">IFERROR(__xludf.DUMMYFUNCTION("""COMPUTED_VALUE"""),"LW9FMPS-071150")</f>
        <v>LW9FMPS-071150</v>
      </c>
      <c r="L276" s="45">
        <f ca="1">IFERROR(__xludf.DUMMYFUNCTION("""COMPUTED_VALUE"""),1)</f>
        <v>1</v>
      </c>
      <c r="M276" s="45">
        <f ca="1">IFERROR(__xludf.DUMMYFUNCTION("""COMPUTED_VALUE"""),37)</f>
        <v>37</v>
      </c>
      <c r="N276" s="45">
        <f ca="1">IFERROR(__xludf.DUMMYFUNCTION("""COMPUTED_VALUE"""),2.304)</f>
        <v>2.3039999999999998</v>
      </c>
      <c r="O276" s="45">
        <f ca="1">IFERROR(__xludf.DUMMYFUNCTION("""COMPUTED_VALUE"""),0.04)</f>
        <v>0.04</v>
      </c>
      <c r="P276" s="45" t="str">
        <f ca="1">IFERROR(__xludf.DUMMYFUNCTION("""COMPUTED_VALUE"""),"Colombo, LK")</f>
        <v>Colombo, LK</v>
      </c>
      <c r="Q276" s="45" t="str">
        <f ca="1">IFERROR(__xludf.DUMMYFUNCTION("""COMPUTED_VALUE"""),"New York, NY, US")</f>
        <v>New York, NY, US</v>
      </c>
      <c r="R276" s="44">
        <f ca="1">IFERROR(__xludf.DUMMYFUNCTION("""COMPUTED_VALUE"""),45824)</f>
        <v>45824</v>
      </c>
      <c r="S276" s="44">
        <f ca="1">IFERROR(__xludf.DUMMYFUNCTION("""COMPUTED_VALUE"""),45883)</f>
        <v>45883</v>
      </c>
      <c r="T276" s="45" t="str">
        <f ca="1">IFERROR(__xludf.DUMMYFUNCTION("""COMPUTED_VALUE"""),"Mississauga, ON, CA")</f>
        <v>Mississauga, ON, CA</v>
      </c>
      <c r="U276" s="45"/>
      <c r="V276" s="45"/>
      <c r="W276" s="45"/>
      <c r="X276" s="45"/>
      <c r="Y276" s="46">
        <f ca="1">IFERROR(__xludf.DUMMYFUNCTION("""COMPUTED_VALUE"""),45832)</f>
        <v>45832</v>
      </c>
      <c r="Z276" s="46">
        <f ca="1">IFERROR(__xludf.DUMMYFUNCTION("""COMPUTED_VALUE"""),45861)</f>
        <v>45861</v>
      </c>
      <c r="AA276" s="46">
        <f ca="1">IFERROR(__xludf.DUMMYFUNCTION("""COMPUTED_VALUE"""),45874)</f>
        <v>45874</v>
      </c>
      <c r="AB276" s="45" t="str">
        <f ca="1">IFERROR(__xludf.DUMMYFUNCTION("""COMPUTED_VALUE"""),"3500 Argentia Road")</f>
        <v>3500 Argentia Road</v>
      </c>
      <c r="AC276" s="45"/>
      <c r="AD276" s="45" t="str">
        <f ca="1">IFERROR(__xludf.DUMMYFUNCTION("""COMPUTED_VALUE"""),"OCEAN")</f>
        <v>OCEAN</v>
      </c>
      <c r="AE276" s="45" t="str">
        <f ca="1">IFERROR(__xludf.DUMMYFUNCTION("""COMPUTED_VALUE"""),"N")</f>
        <v>N</v>
      </c>
      <c r="AF276" s="45"/>
      <c r="AG276" s="49" t="str">
        <f ca="1">IFERROR(__xludf.DUMMYFUNCTION("IFNA(vlookup(H276,IMPORTRANGE(""1vUGwO1n0QQGx9kKbO0_M5gmuhXZ6-LaxQxgrmJnzgP0"",""'TP# look up'!A:C""),3,0),"""")"),"")</f>
        <v/>
      </c>
      <c r="AH276" s="49" t="str">
        <f t="shared" ca="1" si="4"/>
        <v>LW</v>
      </c>
    </row>
    <row r="277" spans="1:34" ht="12.75" hidden="1">
      <c r="A277" s="45" t="str">
        <f ca="1">IFERROR(__xludf.DUMMYFUNCTION("""COMPUTED_VALUE"""),"Colombo")</f>
        <v>Colombo</v>
      </c>
      <c r="B277" s="45"/>
      <c r="C277" s="45">
        <f ca="1">IFERROR(__xludf.DUMMYFUNCTION("""COMPUTED_VALUE"""),3254506)</f>
        <v>3254506</v>
      </c>
      <c r="D277" s="45"/>
      <c r="E277" s="45" t="str">
        <f ca="1">IFERROR(__xludf.DUMMYFUNCTION("""COMPUTED_VALUE"""),"CFS")</f>
        <v>CFS</v>
      </c>
      <c r="F277" s="45" t="str">
        <f ca="1">IFERROR(__xludf.DUMMYFUNCTION("""COMPUTED_VALUE"""),"Inqube Global (PVT) Ltd")</f>
        <v>Inqube Global (PVT) Ltd</v>
      </c>
      <c r="G277" s="45" t="str">
        <f ca="1">IFERROR(__xludf.DUMMYFUNCTION("""COMPUTED_VALUE"""),"Quantum Clothing Lanka (Pvt) Ltd")</f>
        <v>Quantum Clothing Lanka (Pvt) Ltd</v>
      </c>
      <c r="H277" s="43">
        <f ca="1">IFERROR(__xludf.DUMMYFUNCTION("""COMPUTED_VALUE"""),452337415724)</f>
        <v>452337415724</v>
      </c>
      <c r="I277" s="45">
        <f ca="1">IFERROR(__xludf.DUMMYFUNCTION("""COMPUTED_VALUE"""),19877011)</f>
        <v>19877011</v>
      </c>
      <c r="J277" s="45" t="str">
        <f ca="1">IFERROR(__xludf.DUMMYFUNCTION("""COMPUTED_VALUE"""),"LW9FMPS")</f>
        <v>LW9FMPS</v>
      </c>
      <c r="K277" s="45" t="str">
        <f ca="1">IFERROR(__xludf.DUMMYFUNCTION("""COMPUTED_VALUE"""),"LW9FMPS-071150")</f>
        <v>LW9FMPS-071150</v>
      </c>
      <c r="L277" s="45">
        <f ca="1">IFERROR(__xludf.DUMMYFUNCTION("""COMPUTED_VALUE"""),1)</f>
        <v>1</v>
      </c>
      <c r="M277" s="45">
        <f ca="1">IFERROR(__xludf.DUMMYFUNCTION("""COMPUTED_VALUE"""),102)</f>
        <v>102</v>
      </c>
      <c r="N277" s="45">
        <f ca="1">IFERROR(__xludf.DUMMYFUNCTION("""COMPUTED_VALUE"""),4.711)</f>
        <v>4.7110000000000003</v>
      </c>
      <c r="O277" s="45">
        <f ca="1">IFERROR(__xludf.DUMMYFUNCTION("""COMPUTED_VALUE"""),0.04)</f>
        <v>0.04</v>
      </c>
      <c r="P277" s="45" t="str">
        <f ca="1">IFERROR(__xludf.DUMMYFUNCTION("""COMPUTED_VALUE"""),"Colombo, LK")</f>
        <v>Colombo, LK</v>
      </c>
      <c r="Q277" s="45" t="str">
        <f ca="1">IFERROR(__xludf.DUMMYFUNCTION("""COMPUTED_VALUE"""),"New York, NY, US")</f>
        <v>New York, NY, US</v>
      </c>
      <c r="R277" s="44">
        <f ca="1">IFERROR(__xludf.DUMMYFUNCTION("""COMPUTED_VALUE"""),45824)</f>
        <v>45824</v>
      </c>
      <c r="S277" s="44">
        <f ca="1">IFERROR(__xludf.DUMMYFUNCTION("""COMPUTED_VALUE"""),45883)</f>
        <v>45883</v>
      </c>
      <c r="T277" s="45" t="str">
        <f ca="1">IFERROR(__xludf.DUMMYFUNCTION("""COMPUTED_VALUE"""),"Mississauga, ON, CA")</f>
        <v>Mississauga, ON, CA</v>
      </c>
      <c r="U277" s="45"/>
      <c r="V277" s="45"/>
      <c r="W277" s="45"/>
      <c r="X277" s="45"/>
      <c r="Y277" s="46">
        <f ca="1">IFERROR(__xludf.DUMMYFUNCTION("""COMPUTED_VALUE"""),45832)</f>
        <v>45832</v>
      </c>
      <c r="Z277" s="46">
        <f ca="1">IFERROR(__xludf.DUMMYFUNCTION("""COMPUTED_VALUE"""),45861)</f>
        <v>45861</v>
      </c>
      <c r="AA277" s="46">
        <f ca="1">IFERROR(__xludf.DUMMYFUNCTION("""COMPUTED_VALUE"""),45874)</f>
        <v>45874</v>
      </c>
      <c r="AB277" s="45" t="str">
        <f ca="1">IFERROR(__xludf.DUMMYFUNCTION("""COMPUTED_VALUE"""),"3500 Argentia Road")</f>
        <v>3500 Argentia Road</v>
      </c>
      <c r="AC277" s="45"/>
      <c r="AD277" s="45" t="str">
        <f ca="1">IFERROR(__xludf.DUMMYFUNCTION("""COMPUTED_VALUE"""),"OCEAN")</f>
        <v>OCEAN</v>
      </c>
      <c r="AE277" s="45" t="str">
        <f ca="1">IFERROR(__xludf.DUMMYFUNCTION("""COMPUTED_VALUE"""),"N")</f>
        <v>N</v>
      </c>
      <c r="AF277" s="45"/>
      <c r="AG277" s="49" t="str">
        <f ca="1">IFERROR(__xludf.DUMMYFUNCTION("IFNA(vlookup(H277,IMPORTRANGE(""1vUGwO1n0QQGx9kKbO0_M5gmuhXZ6-LaxQxgrmJnzgP0"",""'TP# look up'!A:C""),3,0),"""")"),"")</f>
        <v/>
      </c>
      <c r="AH277" s="49" t="str">
        <f t="shared" ca="1" si="4"/>
        <v>LW</v>
      </c>
    </row>
    <row r="278" spans="1:34" ht="12.75" hidden="1">
      <c r="A278" s="45" t="str">
        <f ca="1">IFERROR(__xludf.DUMMYFUNCTION("""COMPUTED_VALUE"""),"Colombo")</f>
        <v>Colombo</v>
      </c>
      <c r="B278" s="45"/>
      <c r="C278" s="45">
        <f ca="1">IFERROR(__xludf.DUMMYFUNCTION("""COMPUTED_VALUE"""),3254506)</f>
        <v>3254506</v>
      </c>
      <c r="D278" s="45"/>
      <c r="E278" s="45" t="str">
        <f ca="1">IFERROR(__xludf.DUMMYFUNCTION("""COMPUTED_VALUE"""),"CFS")</f>
        <v>CFS</v>
      </c>
      <c r="F278" s="45" t="str">
        <f ca="1">IFERROR(__xludf.DUMMYFUNCTION("""COMPUTED_VALUE"""),"Inqube Global (PVT) Ltd")</f>
        <v>Inqube Global (PVT) Ltd</v>
      </c>
      <c r="G278" s="45" t="str">
        <f ca="1">IFERROR(__xludf.DUMMYFUNCTION("""COMPUTED_VALUE"""),"Quantum Clothing Lanka (Pvt) Ltd")</f>
        <v>Quantum Clothing Lanka (Pvt) Ltd</v>
      </c>
      <c r="H278" s="43">
        <f ca="1">IFERROR(__xludf.DUMMYFUNCTION("""COMPUTED_VALUE"""),452337503304)</f>
        <v>452337503304</v>
      </c>
      <c r="I278" s="45">
        <f ca="1">IFERROR(__xludf.DUMMYFUNCTION("""COMPUTED_VALUE"""),19877007)</f>
        <v>19877007</v>
      </c>
      <c r="J278" s="45" t="str">
        <f ca="1">IFERROR(__xludf.DUMMYFUNCTION("""COMPUTED_VALUE"""),"LW9FMPS")</f>
        <v>LW9FMPS</v>
      </c>
      <c r="K278" s="45" t="str">
        <f ca="1">IFERROR(__xludf.DUMMYFUNCTION("""COMPUTED_VALUE"""),"LW9FMPS-071150")</f>
        <v>LW9FMPS-071150</v>
      </c>
      <c r="L278" s="45">
        <f ca="1">IFERROR(__xludf.DUMMYFUNCTION("""COMPUTED_VALUE"""),1)</f>
        <v>1</v>
      </c>
      <c r="M278" s="45">
        <f ca="1">IFERROR(__xludf.DUMMYFUNCTION("""COMPUTED_VALUE"""),198)</f>
        <v>198</v>
      </c>
      <c r="N278" s="45">
        <f ca="1">IFERROR(__xludf.DUMMYFUNCTION("""COMPUTED_VALUE"""),8.732)</f>
        <v>8.7319999999999993</v>
      </c>
      <c r="O278" s="45">
        <f ca="1">IFERROR(__xludf.DUMMYFUNCTION("""COMPUTED_VALUE"""),0.079)</f>
        <v>7.9000000000000001E-2</v>
      </c>
      <c r="P278" s="45" t="str">
        <f ca="1">IFERROR(__xludf.DUMMYFUNCTION("""COMPUTED_VALUE"""),"Colombo, LK")</f>
        <v>Colombo, LK</v>
      </c>
      <c r="Q278" s="45" t="str">
        <f ca="1">IFERROR(__xludf.DUMMYFUNCTION("""COMPUTED_VALUE"""),"New York, NY, US")</f>
        <v>New York, NY, US</v>
      </c>
      <c r="R278" s="44">
        <f ca="1">IFERROR(__xludf.DUMMYFUNCTION("""COMPUTED_VALUE"""),45824)</f>
        <v>45824</v>
      </c>
      <c r="S278" s="44">
        <f ca="1">IFERROR(__xludf.DUMMYFUNCTION("""COMPUTED_VALUE"""),45883)</f>
        <v>45883</v>
      </c>
      <c r="T278" s="45" t="str">
        <f ca="1">IFERROR(__xludf.DUMMYFUNCTION("""COMPUTED_VALUE"""),"Mississauga, ON, CA")</f>
        <v>Mississauga, ON, CA</v>
      </c>
      <c r="U278" s="45"/>
      <c r="V278" s="45"/>
      <c r="W278" s="45"/>
      <c r="X278" s="45"/>
      <c r="Y278" s="46">
        <f ca="1">IFERROR(__xludf.DUMMYFUNCTION("""COMPUTED_VALUE"""),45832)</f>
        <v>45832</v>
      </c>
      <c r="Z278" s="46">
        <f ca="1">IFERROR(__xludf.DUMMYFUNCTION("""COMPUTED_VALUE"""),45861)</f>
        <v>45861</v>
      </c>
      <c r="AA278" s="46">
        <f ca="1">IFERROR(__xludf.DUMMYFUNCTION("""COMPUTED_VALUE"""),45874)</f>
        <v>45874</v>
      </c>
      <c r="AB278" s="45" t="str">
        <f ca="1">IFERROR(__xludf.DUMMYFUNCTION("""COMPUTED_VALUE"""),"3500 Argentia Road")</f>
        <v>3500 Argentia Road</v>
      </c>
      <c r="AC278" s="45"/>
      <c r="AD278" s="45" t="str">
        <f ca="1">IFERROR(__xludf.DUMMYFUNCTION("""COMPUTED_VALUE"""),"OCEAN")</f>
        <v>OCEAN</v>
      </c>
      <c r="AE278" s="45" t="str">
        <f ca="1">IFERROR(__xludf.DUMMYFUNCTION("""COMPUTED_VALUE"""),"N")</f>
        <v>N</v>
      </c>
      <c r="AF278" s="45"/>
      <c r="AG278" s="49" t="str">
        <f ca="1">IFERROR(__xludf.DUMMYFUNCTION("IFNA(vlookup(H278,IMPORTRANGE(""1vUGwO1n0QQGx9kKbO0_M5gmuhXZ6-LaxQxgrmJnzgP0"",""'TP# look up'!A:C""),3,0),"""")"),"")</f>
        <v/>
      </c>
      <c r="AH278" s="49" t="str">
        <f t="shared" ca="1" si="4"/>
        <v>LW</v>
      </c>
    </row>
    <row r="279" spans="1:34" ht="12.75" hidden="1">
      <c r="A279" s="45" t="str">
        <f ca="1">IFERROR(__xludf.DUMMYFUNCTION("""COMPUTED_VALUE"""),"Colombo")</f>
        <v>Colombo</v>
      </c>
      <c r="B279" s="45"/>
      <c r="C279" s="45">
        <f ca="1">IFERROR(__xludf.DUMMYFUNCTION("""COMPUTED_VALUE"""),3254506)</f>
        <v>3254506</v>
      </c>
      <c r="D279" s="45"/>
      <c r="E279" s="45" t="str">
        <f ca="1">IFERROR(__xludf.DUMMYFUNCTION("""COMPUTED_VALUE"""),"CFS")</f>
        <v>CFS</v>
      </c>
      <c r="F279" s="45" t="str">
        <f ca="1">IFERROR(__xludf.DUMMYFUNCTION("""COMPUTED_VALUE"""),"Inqube Global (PVT) Ltd")</f>
        <v>Inqube Global (PVT) Ltd</v>
      </c>
      <c r="G279" s="45" t="str">
        <f ca="1">IFERROR(__xludf.DUMMYFUNCTION("""COMPUTED_VALUE"""),"Quantum Clothing Lanka (Pvt) Ltd")</f>
        <v>Quantum Clothing Lanka (Pvt) Ltd</v>
      </c>
      <c r="H279" s="43">
        <f ca="1">IFERROR(__xludf.DUMMYFUNCTION("""COMPUTED_VALUE"""),452338733738)</f>
        <v>452338733738</v>
      </c>
      <c r="I279" s="45">
        <f ca="1">IFERROR(__xludf.DUMMYFUNCTION("""COMPUTED_VALUE"""),19876190)</f>
        <v>19876190</v>
      </c>
      <c r="J279" s="45" t="str">
        <f ca="1">IFERROR(__xludf.DUMMYFUNCTION("""COMPUTED_VALUE"""),"LW9FUES")</f>
        <v>LW9FUES</v>
      </c>
      <c r="K279" s="45" t="str">
        <f ca="1">IFERROR(__xludf.DUMMYFUNCTION("""COMPUTED_VALUE"""),"LW9FUES-0001")</f>
        <v>LW9FUES-0001</v>
      </c>
      <c r="L279" s="45">
        <f ca="1">IFERROR(__xludf.DUMMYFUNCTION("""COMPUTED_VALUE"""),1)</f>
        <v>1</v>
      </c>
      <c r="M279" s="45">
        <f ca="1">IFERROR(__xludf.DUMMYFUNCTION("""COMPUTED_VALUE"""),45)</f>
        <v>45</v>
      </c>
      <c r="N279" s="45">
        <f ca="1">IFERROR(__xludf.DUMMYFUNCTION("""COMPUTED_VALUE"""),4.153)</f>
        <v>4.1529999999999996</v>
      </c>
      <c r="O279" s="45">
        <f ca="1">IFERROR(__xludf.DUMMYFUNCTION("""COMPUTED_VALUE"""),0.04)</f>
        <v>0.04</v>
      </c>
      <c r="P279" s="45" t="str">
        <f ca="1">IFERROR(__xludf.DUMMYFUNCTION("""COMPUTED_VALUE"""),"Colombo, LK")</f>
        <v>Colombo, LK</v>
      </c>
      <c r="Q279" s="45" t="str">
        <f ca="1">IFERROR(__xludf.DUMMYFUNCTION("""COMPUTED_VALUE"""),"New York, NY, US")</f>
        <v>New York, NY, US</v>
      </c>
      <c r="R279" s="44">
        <f ca="1">IFERROR(__xludf.DUMMYFUNCTION("""COMPUTED_VALUE"""),45824)</f>
        <v>45824</v>
      </c>
      <c r="S279" s="44">
        <f ca="1">IFERROR(__xludf.DUMMYFUNCTION("""COMPUTED_VALUE"""),45883)</f>
        <v>45883</v>
      </c>
      <c r="T279" s="45" t="str">
        <f ca="1">IFERROR(__xludf.DUMMYFUNCTION("""COMPUTED_VALUE"""),"Mississauga, ON, CA")</f>
        <v>Mississauga, ON, CA</v>
      </c>
      <c r="U279" s="45"/>
      <c r="V279" s="45"/>
      <c r="W279" s="45"/>
      <c r="X279" s="45"/>
      <c r="Y279" s="46">
        <f ca="1">IFERROR(__xludf.DUMMYFUNCTION("""COMPUTED_VALUE"""),45832)</f>
        <v>45832</v>
      </c>
      <c r="Z279" s="46">
        <f ca="1">IFERROR(__xludf.DUMMYFUNCTION("""COMPUTED_VALUE"""),45861)</f>
        <v>45861</v>
      </c>
      <c r="AA279" s="46">
        <f ca="1">IFERROR(__xludf.DUMMYFUNCTION("""COMPUTED_VALUE"""),45874)</f>
        <v>45874</v>
      </c>
      <c r="AB279" s="45" t="str">
        <f ca="1">IFERROR(__xludf.DUMMYFUNCTION("""COMPUTED_VALUE"""),"3500 Argentia Road")</f>
        <v>3500 Argentia Road</v>
      </c>
      <c r="AC279" s="45"/>
      <c r="AD279" s="45" t="str">
        <f ca="1">IFERROR(__xludf.DUMMYFUNCTION("""COMPUTED_VALUE"""),"OCEAN")</f>
        <v>OCEAN</v>
      </c>
      <c r="AE279" s="45" t="str">
        <f ca="1">IFERROR(__xludf.DUMMYFUNCTION("""COMPUTED_VALUE"""),"N")</f>
        <v>N</v>
      </c>
      <c r="AF279" s="45"/>
      <c r="AG279" s="49" t="str">
        <f ca="1">IFERROR(__xludf.DUMMYFUNCTION("IFNA(vlookup(H279,IMPORTRANGE(""1vUGwO1n0QQGx9kKbO0_M5gmuhXZ6-LaxQxgrmJnzgP0"",""'TP# look up'!A:C""),3,0),"""")"),"")</f>
        <v/>
      </c>
      <c r="AH279" s="49" t="str">
        <f t="shared" ca="1" si="4"/>
        <v>LW</v>
      </c>
    </row>
    <row r="280" spans="1:34" ht="12.75" hidden="1">
      <c r="A280" s="45" t="str">
        <f ca="1">IFERROR(__xludf.DUMMYFUNCTION("""COMPUTED_VALUE"""),"Colombo")</f>
        <v>Colombo</v>
      </c>
      <c r="B280" s="45"/>
      <c r="C280" s="45">
        <f ca="1">IFERROR(__xludf.DUMMYFUNCTION("""COMPUTED_VALUE"""),3254506)</f>
        <v>3254506</v>
      </c>
      <c r="D280" s="45"/>
      <c r="E280" s="45" t="str">
        <f ca="1">IFERROR(__xludf.DUMMYFUNCTION("""COMPUTED_VALUE"""),"CFS")</f>
        <v>CFS</v>
      </c>
      <c r="F280" s="45" t="str">
        <f ca="1">IFERROR(__xludf.DUMMYFUNCTION("""COMPUTED_VALUE"""),"Inqube Global (PVT) Ltd")</f>
        <v>Inqube Global (PVT) Ltd</v>
      </c>
      <c r="G280" s="45" t="str">
        <f ca="1">IFERROR(__xludf.DUMMYFUNCTION("""COMPUTED_VALUE"""),"Quantum Clothing Lanka (Pvt) Ltd")</f>
        <v>Quantum Clothing Lanka (Pvt) Ltd</v>
      </c>
      <c r="H280" s="43">
        <f ca="1">IFERROR(__xludf.DUMMYFUNCTION("""COMPUTED_VALUE"""),452339268805)</f>
        <v>452339268805</v>
      </c>
      <c r="I280" s="45">
        <f ca="1">IFERROR(__xludf.DUMMYFUNCTION("""COMPUTED_VALUE"""),19877071)</f>
        <v>19877071</v>
      </c>
      <c r="J280" s="45" t="str">
        <f ca="1">IFERROR(__xludf.DUMMYFUNCTION("""COMPUTED_VALUE"""),"LW9FUES")</f>
        <v>LW9FUES</v>
      </c>
      <c r="K280" s="45" t="str">
        <f ca="1">IFERROR(__xludf.DUMMYFUNCTION("""COMPUTED_VALUE"""),"LW9FUES-0001")</f>
        <v>LW9FUES-0001</v>
      </c>
      <c r="L280" s="45">
        <f ca="1">IFERROR(__xludf.DUMMYFUNCTION("""COMPUTED_VALUE"""),1)</f>
        <v>1</v>
      </c>
      <c r="M280" s="45">
        <f ca="1">IFERROR(__xludf.DUMMYFUNCTION("""COMPUTED_VALUE"""),129)</f>
        <v>129</v>
      </c>
      <c r="N280" s="45">
        <f ca="1">IFERROR(__xludf.DUMMYFUNCTION("""COMPUTED_VALUE"""),10.143)</f>
        <v>10.143000000000001</v>
      </c>
      <c r="O280" s="45">
        <f ca="1">IFERROR(__xludf.DUMMYFUNCTION("""COMPUTED_VALUE"""),0.04)</f>
        <v>0.04</v>
      </c>
      <c r="P280" s="45" t="str">
        <f ca="1">IFERROR(__xludf.DUMMYFUNCTION("""COMPUTED_VALUE"""),"Colombo, LK")</f>
        <v>Colombo, LK</v>
      </c>
      <c r="Q280" s="45" t="str">
        <f ca="1">IFERROR(__xludf.DUMMYFUNCTION("""COMPUTED_VALUE"""),"New York, NY, US")</f>
        <v>New York, NY, US</v>
      </c>
      <c r="R280" s="44">
        <f ca="1">IFERROR(__xludf.DUMMYFUNCTION("""COMPUTED_VALUE"""),45824)</f>
        <v>45824</v>
      </c>
      <c r="S280" s="44">
        <f ca="1">IFERROR(__xludf.DUMMYFUNCTION("""COMPUTED_VALUE"""),45883)</f>
        <v>45883</v>
      </c>
      <c r="T280" s="45" t="str">
        <f ca="1">IFERROR(__xludf.DUMMYFUNCTION("""COMPUTED_VALUE"""),"Mississauga, ON, CA")</f>
        <v>Mississauga, ON, CA</v>
      </c>
      <c r="U280" s="45"/>
      <c r="V280" s="45"/>
      <c r="W280" s="45"/>
      <c r="X280" s="45"/>
      <c r="Y280" s="46">
        <f ca="1">IFERROR(__xludf.DUMMYFUNCTION("""COMPUTED_VALUE"""),45832)</f>
        <v>45832</v>
      </c>
      <c r="Z280" s="46">
        <f ca="1">IFERROR(__xludf.DUMMYFUNCTION("""COMPUTED_VALUE"""),45861)</f>
        <v>45861</v>
      </c>
      <c r="AA280" s="46">
        <f ca="1">IFERROR(__xludf.DUMMYFUNCTION("""COMPUTED_VALUE"""),45874)</f>
        <v>45874</v>
      </c>
      <c r="AB280" s="45" t="str">
        <f ca="1">IFERROR(__xludf.DUMMYFUNCTION("""COMPUTED_VALUE"""),"3500 Argentia Road")</f>
        <v>3500 Argentia Road</v>
      </c>
      <c r="AC280" s="45"/>
      <c r="AD280" s="45" t="str">
        <f ca="1">IFERROR(__xludf.DUMMYFUNCTION("""COMPUTED_VALUE"""),"OCEAN")</f>
        <v>OCEAN</v>
      </c>
      <c r="AE280" s="45" t="str">
        <f ca="1">IFERROR(__xludf.DUMMYFUNCTION("""COMPUTED_VALUE"""),"N")</f>
        <v>N</v>
      </c>
      <c r="AF280" s="45"/>
      <c r="AG280" s="49" t="str">
        <f ca="1">IFERROR(__xludf.DUMMYFUNCTION("IFNA(vlookup(H280,IMPORTRANGE(""1vUGwO1n0QQGx9kKbO0_M5gmuhXZ6-LaxQxgrmJnzgP0"",""'TP# look up'!A:C""),3,0),"""")"),"")</f>
        <v/>
      </c>
      <c r="AH280" s="49" t="str">
        <f t="shared" ca="1" si="4"/>
        <v>LW</v>
      </c>
    </row>
    <row r="281" spans="1:34" ht="12.75" hidden="1">
      <c r="A281" s="45" t="str">
        <f ca="1">IFERROR(__xludf.DUMMYFUNCTION("""COMPUTED_VALUE"""),"Colombo")</f>
        <v>Colombo</v>
      </c>
      <c r="B281" s="45"/>
      <c r="C281" s="45">
        <f ca="1">IFERROR(__xludf.DUMMYFUNCTION("""COMPUTED_VALUE"""),3254506)</f>
        <v>3254506</v>
      </c>
      <c r="D281" s="45"/>
      <c r="E281" s="45" t="str">
        <f ca="1">IFERROR(__xludf.DUMMYFUNCTION("""COMPUTED_VALUE"""),"CFS")</f>
        <v>CFS</v>
      </c>
      <c r="F281" s="45" t="str">
        <f ca="1">IFERROR(__xludf.DUMMYFUNCTION("""COMPUTED_VALUE"""),"Inqube Global (PVT) Ltd")</f>
        <v>Inqube Global (PVT) Ltd</v>
      </c>
      <c r="G281" s="45" t="str">
        <f ca="1">IFERROR(__xludf.DUMMYFUNCTION("""COMPUTED_VALUE"""),"Quantum Clothing Lanka (Pvt) Ltd")</f>
        <v>Quantum Clothing Lanka (Pvt) Ltd</v>
      </c>
      <c r="H281" s="43">
        <f ca="1">IFERROR(__xludf.DUMMYFUNCTION("""COMPUTED_VALUE"""),452340224599)</f>
        <v>452340224599</v>
      </c>
      <c r="I281" s="45">
        <f ca="1">IFERROR(__xludf.DUMMYFUNCTION("""COMPUTED_VALUE"""),19877072)</f>
        <v>19877072</v>
      </c>
      <c r="J281" s="45" t="str">
        <f ca="1">IFERROR(__xludf.DUMMYFUNCTION("""COMPUTED_VALUE"""),"LW9FUES")</f>
        <v>LW9FUES</v>
      </c>
      <c r="K281" s="45" t="str">
        <f ca="1">IFERROR(__xludf.DUMMYFUNCTION("""COMPUTED_VALUE"""),"LW9FUES-0001")</f>
        <v>LW9FUES-0001</v>
      </c>
      <c r="L281" s="45">
        <f ca="1">IFERROR(__xludf.DUMMYFUNCTION("""COMPUTED_VALUE"""),1)</f>
        <v>1</v>
      </c>
      <c r="M281" s="45">
        <f ca="1">IFERROR(__xludf.DUMMYFUNCTION("""COMPUTED_VALUE"""),85)</f>
        <v>85</v>
      </c>
      <c r="N281" s="45">
        <f ca="1">IFERROR(__xludf.DUMMYFUNCTION("""COMPUTED_VALUE"""),7)</f>
        <v>7</v>
      </c>
      <c r="O281" s="45">
        <f ca="1">IFERROR(__xludf.DUMMYFUNCTION("""COMPUTED_VALUE"""),0.04)</f>
        <v>0.04</v>
      </c>
      <c r="P281" s="45" t="str">
        <f ca="1">IFERROR(__xludf.DUMMYFUNCTION("""COMPUTED_VALUE"""),"Colombo, LK")</f>
        <v>Colombo, LK</v>
      </c>
      <c r="Q281" s="45" t="str">
        <f ca="1">IFERROR(__xludf.DUMMYFUNCTION("""COMPUTED_VALUE"""),"New York, NY, US")</f>
        <v>New York, NY, US</v>
      </c>
      <c r="R281" s="44">
        <f ca="1">IFERROR(__xludf.DUMMYFUNCTION("""COMPUTED_VALUE"""),45824)</f>
        <v>45824</v>
      </c>
      <c r="S281" s="44">
        <f ca="1">IFERROR(__xludf.DUMMYFUNCTION("""COMPUTED_VALUE"""),45883)</f>
        <v>45883</v>
      </c>
      <c r="T281" s="45" t="str">
        <f ca="1">IFERROR(__xludf.DUMMYFUNCTION("""COMPUTED_VALUE"""),"Mississauga, ON, CA")</f>
        <v>Mississauga, ON, CA</v>
      </c>
      <c r="U281" s="45"/>
      <c r="V281" s="45"/>
      <c r="W281" s="45"/>
      <c r="X281" s="45"/>
      <c r="Y281" s="46">
        <f ca="1">IFERROR(__xludf.DUMMYFUNCTION("""COMPUTED_VALUE"""),45832)</f>
        <v>45832</v>
      </c>
      <c r="Z281" s="46">
        <f ca="1">IFERROR(__xludf.DUMMYFUNCTION("""COMPUTED_VALUE"""),45861)</f>
        <v>45861</v>
      </c>
      <c r="AA281" s="46">
        <f ca="1">IFERROR(__xludf.DUMMYFUNCTION("""COMPUTED_VALUE"""),45874)</f>
        <v>45874</v>
      </c>
      <c r="AB281" s="45" t="str">
        <f ca="1">IFERROR(__xludf.DUMMYFUNCTION("""COMPUTED_VALUE"""),"3500 Argentia Road")</f>
        <v>3500 Argentia Road</v>
      </c>
      <c r="AC281" s="45"/>
      <c r="AD281" s="45" t="str">
        <f ca="1">IFERROR(__xludf.DUMMYFUNCTION("""COMPUTED_VALUE"""),"OCEAN")</f>
        <v>OCEAN</v>
      </c>
      <c r="AE281" s="45" t="str">
        <f ca="1">IFERROR(__xludf.DUMMYFUNCTION("""COMPUTED_VALUE"""),"N")</f>
        <v>N</v>
      </c>
      <c r="AF281" s="45"/>
      <c r="AG281" s="49" t="str">
        <f ca="1">IFERROR(__xludf.DUMMYFUNCTION("IFNA(vlookup(H281,IMPORTRANGE(""1vUGwO1n0QQGx9kKbO0_M5gmuhXZ6-LaxQxgrmJnzgP0"",""'TP# look up'!A:C""),3,0),"""")"),"")</f>
        <v/>
      </c>
      <c r="AH281" s="49" t="str">
        <f t="shared" ca="1" si="4"/>
        <v>LW</v>
      </c>
    </row>
    <row r="282" spans="1:34" ht="12.75" hidden="1">
      <c r="A282" s="45" t="str">
        <f ca="1">IFERROR(__xludf.DUMMYFUNCTION("""COMPUTED_VALUE"""),"Colombo")</f>
        <v>Colombo</v>
      </c>
      <c r="B282" s="45"/>
      <c r="C282" s="45">
        <f ca="1">IFERROR(__xludf.DUMMYFUNCTION("""COMPUTED_VALUE"""),3254506)</f>
        <v>3254506</v>
      </c>
      <c r="D282" s="45"/>
      <c r="E282" s="45" t="str">
        <f ca="1">IFERROR(__xludf.DUMMYFUNCTION("""COMPUTED_VALUE"""),"CFS")</f>
        <v>CFS</v>
      </c>
      <c r="F282" s="45" t="str">
        <f ca="1">IFERROR(__xludf.DUMMYFUNCTION("""COMPUTED_VALUE"""),"Inqube Global (PVT) Ltd")</f>
        <v>Inqube Global (PVT) Ltd</v>
      </c>
      <c r="G282" s="45" t="str">
        <f ca="1">IFERROR(__xludf.DUMMYFUNCTION("""COMPUTED_VALUE"""),"Quantum Clothing Lanka (Pvt) Ltd")</f>
        <v>Quantum Clothing Lanka (Pvt) Ltd</v>
      </c>
      <c r="H282" s="43">
        <f ca="1">IFERROR(__xludf.DUMMYFUNCTION("""COMPUTED_VALUE"""),452342044538)</f>
        <v>452342044538</v>
      </c>
      <c r="I282" s="45">
        <f ca="1">IFERROR(__xludf.DUMMYFUNCTION("""COMPUTED_VALUE"""),19876212)</f>
        <v>19876212</v>
      </c>
      <c r="J282" s="45" t="str">
        <f ca="1">IFERROR(__xludf.DUMMYFUNCTION("""COMPUTED_VALUE"""),"LW9FUES")</f>
        <v>LW9FUES</v>
      </c>
      <c r="K282" s="45" t="str">
        <f ca="1">IFERROR(__xludf.DUMMYFUNCTION("""COMPUTED_VALUE"""),"LW9FUES-068585")</f>
        <v>LW9FUES-068585</v>
      </c>
      <c r="L282" s="45">
        <f ca="1">IFERROR(__xludf.DUMMYFUNCTION("""COMPUTED_VALUE"""),1)</f>
        <v>1</v>
      </c>
      <c r="M282" s="45">
        <f ca="1">IFERROR(__xludf.DUMMYFUNCTION("""COMPUTED_VALUE"""),54)</f>
        <v>54</v>
      </c>
      <c r="N282" s="45">
        <f ca="1">IFERROR(__xludf.DUMMYFUNCTION("""COMPUTED_VALUE"""),4.789)</f>
        <v>4.7889999999999997</v>
      </c>
      <c r="O282" s="45">
        <f ca="1">IFERROR(__xludf.DUMMYFUNCTION("""COMPUTED_VALUE"""),0.04)</f>
        <v>0.04</v>
      </c>
      <c r="P282" s="45" t="str">
        <f ca="1">IFERROR(__xludf.DUMMYFUNCTION("""COMPUTED_VALUE"""),"Colombo, LK")</f>
        <v>Colombo, LK</v>
      </c>
      <c r="Q282" s="45" t="str">
        <f ca="1">IFERROR(__xludf.DUMMYFUNCTION("""COMPUTED_VALUE"""),"New York, NY, US")</f>
        <v>New York, NY, US</v>
      </c>
      <c r="R282" s="44">
        <f ca="1">IFERROR(__xludf.DUMMYFUNCTION("""COMPUTED_VALUE"""),45824)</f>
        <v>45824</v>
      </c>
      <c r="S282" s="44">
        <f ca="1">IFERROR(__xludf.DUMMYFUNCTION("""COMPUTED_VALUE"""),45883)</f>
        <v>45883</v>
      </c>
      <c r="T282" s="45" t="str">
        <f ca="1">IFERROR(__xludf.DUMMYFUNCTION("""COMPUTED_VALUE"""),"Mississauga, ON, CA")</f>
        <v>Mississauga, ON, CA</v>
      </c>
      <c r="U282" s="45"/>
      <c r="V282" s="45"/>
      <c r="W282" s="45"/>
      <c r="X282" s="45"/>
      <c r="Y282" s="46">
        <f ca="1">IFERROR(__xludf.DUMMYFUNCTION("""COMPUTED_VALUE"""),45832)</f>
        <v>45832</v>
      </c>
      <c r="Z282" s="46">
        <f ca="1">IFERROR(__xludf.DUMMYFUNCTION("""COMPUTED_VALUE"""),45861)</f>
        <v>45861</v>
      </c>
      <c r="AA282" s="46">
        <f ca="1">IFERROR(__xludf.DUMMYFUNCTION("""COMPUTED_VALUE"""),45874)</f>
        <v>45874</v>
      </c>
      <c r="AB282" s="45" t="str">
        <f ca="1">IFERROR(__xludf.DUMMYFUNCTION("""COMPUTED_VALUE"""),"3500 Argentia Road")</f>
        <v>3500 Argentia Road</v>
      </c>
      <c r="AC282" s="45"/>
      <c r="AD282" s="45" t="str">
        <f ca="1">IFERROR(__xludf.DUMMYFUNCTION("""COMPUTED_VALUE"""),"OCEAN")</f>
        <v>OCEAN</v>
      </c>
      <c r="AE282" s="45" t="str">
        <f ca="1">IFERROR(__xludf.DUMMYFUNCTION("""COMPUTED_VALUE"""),"N")</f>
        <v>N</v>
      </c>
      <c r="AF282" s="45"/>
      <c r="AG282" s="49" t="str">
        <f ca="1">IFERROR(__xludf.DUMMYFUNCTION("IFNA(vlookup(H282,IMPORTRANGE(""1vUGwO1n0QQGx9kKbO0_M5gmuhXZ6-LaxQxgrmJnzgP0"",""'TP# look up'!A:C""),3,0),"""")"),"")</f>
        <v/>
      </c>
      <c r="AH282" s="49" t="str">
        <f t="shared" ca="1" si="4"/>
        <v>LW</v>
      </c>
    </row>
    <row r="283" spans="1:34" ht="12.75" hidden="1">
      <c r="A283" s="45" t="str">
        <f ca="1">IFERROR(__xludf.DUMMYFUNCTION("""COMPUTED_VALUE"""),"Colombo")</f>
        <v>Colombo</v>
      </c>
      <c r="B283" s="45"/>
      <c r="C283" s="45">
        <f ca="1">IFERROR(__xludf.DUMMYFUNCTION("""COMPUTED_VALUE"""),3254506)</f>
        <v>3254506</v>
      </c>
      <c r="D283" s="45"/>
      <c r="E283" s="45" t="str">
        <f ca="1">IFERROR(__xludf.DUMMYFUNCTION("""COMPUTED_VALUE"""),"CFS")</f>
        <v>CFS</v>
      </c>
      <c r="F283" s="45" t="str">
        <f ca="1">IFERROR(__xludf.DUMMYFUNCTION("""COMPUTED_VALUE"""),"Inqube Global (PVT) Ltd")</f>
        <v>Inqube Global (PVT) Ltd</v>
      </c>
      <c r="G283" s="45" t="str">
        <f ca="1">IFERROR(__xludf.DUMMYFUNCTION("""COMPUTED_VALUE"""),"Quantum Clothing Lanka (Pvt) Ltd")</f>
        <v>Quantum Clothing Lanka (Pvt) Ltd</v>
      </c>
      <c r="H283" s="43">
        <f ca="1">IFERROR(__xludf.DUMMYFUNCTION("""COMPUTED_VALUE"""),452342279624)</f>
        <v>452342279624</v>
      </c>
      <c r="I283" s="45">
        <f ca="1">IFERROR(__xludf.DUMMYFUNCTION("""COMPUTED_VALUE"""),19876211)</f>
        <v>19876211</v>
      </c>
      <c r="J283" s="45" t="str">
        <f ca="1">IFERROR(__xludf.DUMMYFUNCTION("""COMPUTED_VALUE"""),"LW9FUES")</f>
        <v>LW9FUES</v>
      </c>
      <c r="K283" s="45" t="str">
        <f ca="1">IFERROR(__xludf.DUMMYFUNCTION("""COMPUTED_VALUE"""),"LW9FUES-068585")</f>
        <v>LW9FUES-068585</v>
      </c>
      <c r="L283" s="45">
        <f ca="1">IFERROR(__xludf.DUMMYFUNCTION("""COMPUTED_VALUE"""),1)</f>
        <v>1</v>
      </c>
      <c r="M283" s="45">
        <f ca="1">IFERROR(__xludf.DUMMYFUNCTION("""COMPUTED_VALUE"""),46)</f>
        <v>46</v>
      </c>
      <c r="N283" s="45">
        <f ca="1">IFERROR(__xludf.DUMMYFUNCTION("""COMPUTED_VALUE"""),4.22)</f>
        <v>4.22</v>
      </c>
      <c r="O283" s="45">
        <f ca="1">IFERROR(__xludf.DUMMYFUNCTION("""COMPUTED_VALUE"""),0.04)</f>
        <v>0.04</v>
      </c>
      <c r="P283" s="45" t="str">
        <f ca="1">IFERROR(__xludf.DUMMYFUNCTION("""COMPUTED_VALUE"""),"Colombo, LK")</f>
        <v>Colombo, LK</v>
      </c>
      <c r="Q283" s="45" t="str">
        <f ca="1">IFERROR(__xludf.DUMMYFUNCTION("""COMPUTED_VALUE"""),"New York, NY, US")</f>
        <v>New York, NY, US</v>
      </c>
      <c r="R283" s="44">
        <f ca="1">IFERROR(__xludf.DUMMYFUNCTION("""COMPUTED_VALUE"""),45824)</f>
        <v>45824</v>
      </c>
      <c r="S283" s="44">
        <f ca="1">IFERROR(__xludf.DUMMYFUNCTION("""COMPUTED_VALUE"""),45883)</f>
        <v>45883</v>
      </c>
      <c r="T283" s="45" t="str">
        <f ca="1">IFERROR(__xludf.DUMMYFUNCTION("""COMPUTED_VALUE"""),"Mississauga, ON, CA")</f>
        <v>Mississauga, ON, CA</v>
      </c>
      <c r="U283" s="45"/>
      <c r="V283" s="45"/>
      <c r="W283" s="45"/>
      <c r="X283" s="45"/>
      <c r="Y283" s="46">
        <f ca="1">IFERROR(__xludf.DUMMYFUNCTION("""COMPUTED_VALUE"""),45832)</f>
        <v>45832</v>
      </c>
      <c r="Z283" s="46">
        <f ca="1">IFERROR(__xludf.DUMMYFUNCTION("""COMPUTED_VALUE"""),45861)</f>
        <v>45861</v>
      </c>
      <c r="AA283" s="46">
        <f ca="1">IFERROR(__xludf.DUMMYFUNCTION("""COMPUTED_VALUE"""),45874)</f>
        <v>45874</v>
      </c>
      <c r="AB283" s="45" t="str">
        <f ca="1">IFERROR(__xludf.DUMMYFUNCTION("""COMPUTED_VALUE"""),"3500 Argentia Road")</f>
        <v>3500 Argentia Road</v>
      </c>
      <c r="AC283" s="45"/>
      <c r="AD283" s="45" t="str">
        <f ca="1">IFERROR(__xludf.DUMMYFUNCTION("""COMPUTED_VALUE"""),"OCEAN")</f>
        <v>OCEAN</v>
      </c>
      <c r="AE283" s="45" t="str">
        <f ca="1">IFERROR(__xludf.DUMMYFUNCTION("""COMPUTED_VALUE"""),"N")</f>
        <v>N</v>
      </c>
      <c r="AF283" s="45"/>
      <c r="AG283" s="49" t="str">
        <f ca="1">IFERROR(__xludf.DUMMYFUNCTION("IFNA(vlookup(H283,IMPORTRANGE(""1vUGwO1n0QQGx9kKbO0_M5gmuhXZ6-LaxQxgrmJnzgP0"",""'TP# look up'!A:C""),3,0),"""")"),"")</f>
        <v/>
      </c>
      <c r="AH283" s="49" t="str">
        <f t="shared" ca="1" si="4"/>
        <v>LW</v>
      </c>
    </row>
    <row r="284" spans="1:34" ht="12.75" hidden="1">
      <c r="A284" s="45" t="str">
        <f ca="1">IFERROR(__xludf.DUMMYFUNCTION("""COMPUTED_VALUE"""),"Colombo")</f>
        <v>Colombo</v>
      </c>
      <c r="B284" s="45"/>
      <c r="C284" s="45">
        <f ca="1">IFERROR(__xludf.DUMMYFUNCTION("""COMPUTED_VALUE"""),3254506)</f>
        <v>3254506</v>
      </c>
      <c r="D284" s="45"/>
      <c r="E284" s="45" t="str">
        <f ca="1">IFERROR(__xludf.DUMMYFUNCTION("""COMPUTED_VALUE"""),"CFS")</f>
        <v>CFS</v>
      </c>
      <c r="F284" s="45" t="str">
        <f ca="1">IFERROR(__xludf.DUMMYFUNCTION("""COMPUTED_VALUE"""),"Inqube Global (PVT) Ltd")</f>
        <v>Inqube Global (PVT) Ltd</v>
      </c>
      <c r="G284" s="45" t="str">
        <f ca="1">IFERROR(__xludf.DUMMYFUNCTION("""COMPUTED_VALUE"""),"Quantum Clothing Lanka (Pvt) Ltd")</f>
        <v>Quantum Clothing Lanka (Pvt) Ltd</v>
      </c>
      <c r="H284" s="43">
        <f ca="1">IFERROR(__xludf.DUMMYFUNCTION("""COMPUTED_VALUE"""),452343218294)</f>
        <v>452343218294</v>
      </c>
      <c r="I284" s="45">
        <f ca="1">IFERROR(__xludf.DUMMYFUNCTION("""COMPUTED_VALUE"""),19877131)</f>
        <v>19877131</v>
      </c>
      <c r="J284" s="45" t="str">
        <f ca="1">IFERROR(__xludf.DUMMYFUNCTION("""COMPUTED_VALUE"""),"LW9FUES")</f>
        <v>LW9FUES</v>
      </c>
      <c r="K284" s="45" t="str">
        <f ca="1">IFERROR(__xludf.DUMMYFUNCTION("""COMPUTED_VALUE"""),"LW9FUES-068585")</f>
        <v>LW9FUES-068585</v>
      </c>
      <c r="L284" s="45">
        <f ca="1">IFERROR(__xludf.DUMMYFUNCTION("""COMPUTED_VALUE"""),1)</f>
        <v>1</v>
      </c>
      <c r="M284" s="45">
        <f ca="1">IFERROR(__xludf.DUMMYFUNCTION("""COMPUTED_VALUE"""),56)</f>
        <v>56</v>
      </c>
      <c r="N284" s="45">
        <f ca="1">IFERROR(__xludf.DUMMYFUNCTION("""COMPUTED_VALUE"""),4.926)</f>
        <v>4.9260000000000002</v>
      </c>
      <c r="O284" s="45">
        <f ca="1">IFERROR(__xludf.DUMMYFUNCTION("""COMPUTED_VALUE"""),0.04)</f>
        <v>0.04</v>
      </c>
      <c r="P284" s="45" t="str">
        <f ca="1">IFERROR(__xludf.DUMMYFUNCTION("""COMPUTED_VALUE"""),"Colombo, LK")</f>
        <v>Colombo, LK</v>
      </c>
      <c r="Q284" s="45" t="str">
        <f ca="1">IFERROR(__xludf.DUMMYFUNCTION("""COMPUTED_VALUE"""),"New York, NY, US")</f>
        <v>New York, NY, US</v>
      </c>
      <c r="R284" s="44">
        <f ca="1">IFERROR(__xludf.DUMMYFUNCTION("""COMPUTED_VALUE"""),45824)</f>
        <v>45824</v>
      </c>
      <c r="S284" s="44">
        <f ca="1">IFERROR(__xludf.DUMMYFUNCTION("""COMPUTED_VALUE"""),45883)</f>
        <v>45883</v>
      </c>
      <c r="T284" s="45" t="str">
        <f ca="1">IFERROR(__xludf.DUMMYFUNCTION("""COMPUTED_VALUE"""),"Mississauga, ON, CA")</f>
        <v>Mississauga, ON, CA</v>
      </c>
      <c r="U284" s="45"/>
      <c r="V284" s="45"/>
      <c r="W284" s="45"/>
      <c r="X284" s="45"/>
      <c r="Y284" s="46">
        <f ca="1">IFERROR(__xludf.DUMMYFUNCTION("""COMPUTED_VALUE"""),45832)</f>
        <v>45832</v>
      </c>
      <c r="Z284" s="46">
        <f ca="1">IFERROR(__xludf.DUMMYFUNCTION("""COMPUTED_VALUE"""),45861)</f>
        <v>45861</v>
      </c>
      <c r="AA284" s="46">
        <f ca="1">IFERROR(__xludf.DUMMYFUNCTION("""COMPUTED_VALUE"""),45874)</f>
        <v>45874</v>
      </c>
      <c r="AB284" s="45" t="str">
        <f ca="1">IFERROR(__xludf.DUMMYFUNCTION("""COMPUTED_VALUE"""),"3500 Argentia Road")</f>
        <v>3500 Argentia Road</v>
      </c>
      <c r="AC284" s="45"/>
      <c r="AD284" s="45" t="str">
        <f ca="1">IFERROR(__xludf.DUMMYFUNCTION("""COMPUTED_VALUE"""),"OCEAN")</f>
        <v>OCEAN</v>
      </c>
      <c r="AE284" s="45" t="str">
        <f ca="1">IFERROR(__xludf.DUMMYFUNCTION("""COMPUTED_VALUE"""),"N")</f>
        <v>N</v>
      </c>
      <c r="AF284" s="45"/>
      <c r="AG284" s="49" t="str">
        <f ca="1">IFERROR(__xludf.DUMMYFUNCTION("IFNA(vlookup(H284,IMPORTRANGE(""1vUGwO1n0QQGx9kKbO0_M5gmuhXZ6-LaxQxgrmJnzgP0"",""'TP# look up'!A:C""),3,0),"""")"),"")</f>
        <v/>
      </c>
      <c r="AH284" s="49" t="str">
        <f t="shared" ca="1" si="4"/>
        <v>LW</v>
      </c>
    </row>
    <row r="285" spans="1:34" ht="12.75" hidden="1">
      <c r="A285" s="45" t="str">
        <f ca="1">IFERROR(__xludf.DUMMYFUNCTION("""COMPUTED_VALUE"""),"Colombo")</f>
        <v>Colombo</v>
      </c>
      <c r="B285" s="45"/>
      <c r="C285" s="45">
        <f ca="1">IFERROR(__xludf.DUMMYFUNCTION("""COMPUTED_VALUE"""),3254506)</f>
        <v>3254506</v>
      </c>
      <c r="D285" s="45"/>
      <c r="E285" s="45" t="str">
        <f ca="1">IFERROR(__xludf.DUMMYFUNCTION("""COMPUTED_VALUE"""),"CFS")</f>
        <v>CFS</v>
      </c>
      <c r="F285" s="45" t="str">
        <f ca="1">IFERROR(__xludf.DUMMYFUNCTION("""COMPUTED_VALUE"""),"Inqube Global (PVT) Ltd")</f>
        <v>Inqube Global (PVT) Ltd</v>
      </c>
      <c r="G285" s="45" t="str">
        <f ca="1">IFERROR(__xludf.DUMMYFUNCTION("""COMPUTED_VALUE"""),"Quantum Clothing Lanka (Pvt) Ltd")</f>
        <v>Quantum Clothing Lanka (Pvt) Ltd</v>
      </c>
      <c r="H285" s="43">
        <f ca="1">IFERROR(__xludf.DUMMYFUNCTION("""COMPUTED_VALUE"""),452343456868)</f>
        <v>452343456868</v>
      </c>
      <c r="I285" s="45">
        <f ca="1">IFERROR(__xludf.DUMMYFUNCTION("""COMPUTED_VALUE"""),19877127)</f>
        <v>19877127</v>
      </c>
      <c r="J285" s="45" t="str">
        <f ca="1">IFERROR(__xludf.DUMMYFUNCTION("""COMPUTED_VALUE"""),"LW9FUES")</f>
        <v>LW9FUES</v>
      </c>
      <c r="K285" s="45" t="str">
        <f ca="1">IFERROR(__xludf.DUMMYFUNCTION("""COMPUTED_VALUE"""),"LW9FUES-068585")</f>
        <v>LW9FUES-068585</v>
      </c>
      <c r="L285" s="45">
        <f ca="1">IFERROR(__xludf.DUMMYFUNCTION("""COMPUTED_VALUE"""),1)</f>
        <v>1</v>
      </c>
      <c r="M285" s="45">
        <f ca="1">IFERROR(__xludf.DUMMYFUNCTION("""COMPUTED_VALUE"""),91)</f>
        <v>91</v>
      </c>
      <c r="N285" s="45">
        <f ca="1">IFERROR(__xludf.DUMMYFUNCTION("""COMPUTED_VALUE"""),7.43)</f>
        <v>7.43</v>
      </c>
      <c r="O285" s="45">
        <f ca="1">IFERROR(__xludf.DUMMYFUNCTION("""COMPUTED_VALUE"""),0.04)</f>
        <v>0.04</v>
      </c>
      <c r="P285" s="45" t="str">
        <f ca="1">IFERROR(__xludf.DUMMYFUNCTION("""COMPUTED_VALUE"""),"Colombo, LK")</f>
        <v>Colombo, LK</v>
      </c>
      <c r="Q285" s="45" t="str">
        <f ca="1">IFERROR(__xludf.DUMMYFUNCTION("""COMPUTED_VALUE"""),"New York, NY, US")</f>
        <v>New York, NY, US</v>
      </c>
      <c r="R285" s="44">
        <f ca="1">IFERROR(__xludf.DUMMYFUNCTION("""COMPUTED_VALUE"""),45824)</f>
        <v>45824</v>
      </c>
      <c r="S285" s="44">
        <f ca="1">IFERROR(__xludf.DUMMYFUNCTION("""COMPUTED_VALUE"""),45883)</f>
        <v>45883</v>
      </c>
      <c r="T285" s="45" t="str">
        <f ca="1">IFERROR(__xludf.DUMMYFUNCTION("""COMPUTED_VALUE"""),"Mississauga, ON, CA")</f>
        <v>Mississauga, ON, CA</v>
      </c>
      <c r="U285" s="45"/>
      <c r="V285" s="45"/>
      <c r="W285" s="45"/>
      <c r="X285" s="45"/>
      <c r="Y285" s="46">
        <f ca="1">IFERROR(__xludf.DUMMYFUNCTION("""COMPUTED_VALUE"""),45832)</f>
        <v>45832</v>
      </c>
      <c r="Z285" s="46">
        <f ca="1">IFERROR(__xludf.DUMMYFUNCTION("""COMPUTED_VALUE"""),45861)</f>
        <v>45861</v>
      </c>
      <c r="AA285" s="46">
        <f ca="1">IFERROR(__xludf.DUMMYFUNCTION("""COMPUTED_VALUE"""),45874)</f>
        <v>45874</v>
      </c>
      <c r="AB285" s="45" t="str">
        <f ca="1">IFERROR(__xludf.DUMMYFUNCTION("""COMPUTED_VALUE"""),"3500 Argentia Road")</f>
        <v>3500 Argentia Road</v>
      </c>
      <c r="AC285" s="45"/>
      <c r="AD285" s="45" t="str">
        <f ca="1">IFERROR(__xludf.DUMMYFUNCTION("""COMPUTED_VALUE"""),"OCEAN")</f>
        <v>OCEAN</v>
      </c>
      <c r="AE285" s="45" t="str">
        <f ca="1">IFERROR(__xludf.DUMMYFUNCTION("""COMPUTED_VALUE"""),"N")</f>
        <v>N</v>
      </c>
      <c r="AF285" s="45"/>
      <c r="AG285" s="49" t="str">
        <f ca="1">IFERROR(__xludf.DUMMYFUNCTION("IFNA(vlookup(H285,IMPORTRANGE(""1vUGwO1n0QQGx9kKbO0_M5gmuhXZ6-LaxQxgrmJnzgP0"",""'TP# look up'!A:C""),3,0),"""")"),"")</f>
        <v/>
      </c>
      <c r="AH285" s="49" t="str">
        <f t="shared" ca="1" si="4"/>
        <v>LW</v>
      </c>
    </row>
    <row r="286" spans="1:34" ht="12.75" hidden="1">
      <c r="A286" s="45" t="str">
        <f ca="1">IFERROR(__xludf.DUMMYFUNCTION("""COMPUTED_VALUE"""),"Colombo")</f>
        <v>Colombo</v>
      </c>
      <c r="B286" s="45"/>
      <c r="C286" s="45">
        <f ca="1">IFERROR(__xludf.DUMMYFUNCTION("""COMPUTED_VALUE"""),3254506)</f>
        <v>3254506</v>
      </c>
      <c r="D286" s="45"/>
      <c r="E286" s="45" t="str">
        <f ca="1">IFERROR(__xludf.DUMMYFUNCTION("""COMPUTED_VALUE"""),"CFS")</f>
        <v>CFS</v>
      </c>
      <c r="F286" s="45" t="str">
        <f ca="1">IFERROR(__xludf.DUMMYFUNCTION("""COMPUTED_VALUE"""),"Inqube Global (PVT) Ltd")</f>
        <v>Inqube Global (PVT) Ltd</v>
      </c>
      <c r="G286" s="45" t="str">
        <f ca="1">IFERROR(__xludf.DUMMYFUNCTION("""COMPUTED_VALUE"""),"Quantum Clothing Lanka (Pvt) Ltd")</f>
        <v>Quantum Clothing Lanka (Pvt) Ltd</v>
      </c>
      <c r="H286" s="43">
        <f ca="1">IFERROR(__xludf.DUMMYFUNCTION("""COMPUTED_VALUE"""),452345792788)</f>
        <v>452345792788</v>
      </c>
      <c r="I286" s="45">
        <f ca="1">IFERROR(__xludf.DUMMYFUNCTION("""COMPUTED_VALUE"""),19876195)</f>
        <v>19876195</v>
      </c>
      <c r="J286" s="45" t="str">
        <f ca="1">IFERROR(__xludf.DUMMYFUNCTION("""COMPUTED_VALUE"""),"LW9FUES")</f>
        <v>LW9FUES</v>
      </c>
      <c r="K286" s="45" t="str">
        <f ca="1">IFERROR(__xludf.DUMMYFUNCTION("""COMPUTED_VALUE"""),"LW9FUES-071150")</f>
        <v>LW9FUES-071150</v>
      </c>
      <c r="L286" s="45">
        <f ca="1">IFERROR(__xludf.DUMMYFUNCTION("""COMPUTED_VALUE"""),1)</f>
        <v>1</v>
      </c>
      <c r="M286" s="45">
        <f ca="1">IFERROR(__xludf.DUMMYFUNCTION("""COMPUTED_VALUE"""),30)</f>
        <v>30</v>
      </c>
      <c r="N286" s="45">
        <f ca="1">IFERROR(__xludf.DUMMYFUNCTION("""COMPUTED_VALUE"""),3.071)</f>
        <v>3.0710000000000002</v>
      </c>
      <c r="O286" s="45">
        <f ca="1">IFERROR(__xludf.DUMMYFUNCTION("""COMPUTED_VALUE"""),0.04)</f>
        <v>0.04</v>
      </c>
      <c r="P286" s="45" t="str">
        <f ca="1">IFERROR(__xludf.DUMMYFUNCTION("""COMPUTED_VALUE"""),"Colombo, LK")</f>
        <v>Colombo, LK</v>
      </c>
      <c r="Q286" s="45" t="str">
        <f ca="1">IFERROR(__xludf.DUMMYFUNCTION("""COMPUTED_VALUE"""),"New York, NY, US")</f>
        <v>New York, NY, US</v>
      </c>
      <c r="R286" s="44">
        <f ca="1">IFERROR(__xludf.DUMMYFUNCTION("""COMPUTED_VALUE"""),45824)</f>
        <v>45824</v>
      </c>
      <c r="S286" s="44">
        <f ca="1">IFERROR(__xludf.DUMMYFUNCTION("""COMPUTED_VALUE"""),45883)</f>
        <v>45883</v>
      </c>
      <c r="T286" s="45" t="str">
        <f ca="1">IFERROR(__xludf.DUMMYFUNCTION("""COMPUTED_VALUE"""),"Mississauga, ON, CA")</f>
        <v>Mississauga, ON, CA</v>
      </c>
      <c r="U286" s="45"/>
      <c r="V286" s="45"/>
      <c r="W286" s="45"/>
      <c r="X286" s="45"/>
      <c r="Y286" s="46">
        <f ca="1">IFERROR(__xludf.DUMMYFUNCTION("""COMPUTED_VALUE"""),45832)</f>
        <v>45832</v>
      </c>
      <c r="Z286" s="46">
        <f ca="1">IFERROR(__xludf.DUMMYFUNCTION("""COMPUTED_VALUE"""),45861)</f>
        <v>45861</v>
      </c>
      <c r="AA286" s="46">
        <f ca="1">IFERROR(__xludf.DUMMYFUNCTION("""COMPUTED_VALUE"""),45874)</f>
        <v>45874</v>
      </c>
      <c r="AB286" s="45" t="str">
        <f ca="1">IFERROR(__xludf.DUMMYFUNCTION("""COMPUTED_VALUE"""),"3500 Argentia Road")</f>
        <v>3500 Argentia Road</v>
      </c>
      <c r="AC286" s="45"/>
      <c r="AD286" s="45" t="str">
        <f ca="1">IFERROR(__xludf.DUMMYFUNCTION("""COMPUTED_VALUE"""),"OCEAN")</f>
        <v>OCEAN</v>
      </c>
      <c r="AE286" s="45" t="str">
        <f ca="1">IFERROR(__xludf.DUMMYFUNCTION("""COMPUTED_VALUE"""),"N")</f>
        <v>N</v>
      </c>
      <c r="AF286" s="45"/>
      <c r="AG286" s="49" t="str">
        <f ca="1">IFERROR(__xludf.DUMMYFUNCTION("IFNA(vlookup(H286,IMPORTRANGE(""1vUGwO1n0QQGx9kKbO0_M5gmuhXZ6-LaxQxgrmJnzgP0"",""'TP# look up'!A:C""),3,0),"""")"),"")</f>
        <v/>
      </c>
      <c r="AH286" s="49" t="str">
        <f t="shared" ca="1" si="4"/>
        <v>LW</v>
      </c>
    </row>
    <row r="287" spans="1:34" ht="12.75" hidden="1">
      <c r="A287" s="45" t="str">
        <f ca="1">IFERROR(__xludf.DUMMYFUNCTION("""COMPUTED_VALUE"""),"Colombo")</f>
        <v>Colombo</v>
      </c>
      <c r="B287" s="45"/>
      <c r="C287" s="45">
        <f ca="1">IFERROR(__xludf.DUMMYFUNCTION("""COMPUTED_VALUE"""),3254506)</f>
        <v>3254506</v>
      </c>
      <c r="D287" s="45"/>
      <c r="E287" s="45" t="str">
        <f ca="1">IFERROR(__xludf.DUMMYFUNCTION("""COMPUTED_VALUE"""),"CFS")</f>
        <v>CFS</v>
      </c>
      <c r="F287" s="45" t="str">
        <f ca="1">IFERROR(__xludf.DUMMYFUNCTION("""COMPUTED_VALUE"""),"Inqube Global (PVT) Ltd")</f>
        <v>Inqube Global (PVT) Ltd</v>
      </c>
      <c r="G287" s="45" t="str">
        <f ca="1">IFERROR(__xludf.DUMMYFUNCTION("""COMPUTED_VALUE"""),"Quantum Clothing Lanka (Pvt) Ltd")</f>
        <v>Quantum Clothing Lanka (Pvt) Ltd</v>
      </c>
      <c r="H287" s="43">
        <f ca="1">IFERROR(__xludf.DUMMYFUNCTION("""COMPUTED_VALUE"""),452347475679)</f>
        <v>452347475679</v>
      </c>
      <c r="I287" s="45">
        <f ca="1">IFERROR(__xludf.DUMMYFUNCTION("""COMPUTED_VALUE"""),19877091)</f>
        <v>19877091</v>
      </c>
      <c r="J287" s="45" t="str">
        <f ca="1">IFERROR(__xludf.DUMMYFUNCTION("""COMPUTED_VALUE"""),"LW9FUES")</f>
        <v>LW9FUES</v>
      </c>
      <c r="K287" s="45" t="str">
        <f ca="1">IFERROR(__xludf.DUMMYFUNCTION("""COMPUTED_VALUE"""),"LW9FUES-071150")</f>
        <v>LW9FUES-071150</v>
      </c>
      <c r="L287" s="45">
        <f ca="1">IFERROR(__xludf.DUMMYFUNCTION("""COMPUTED_VALUE"""),1)</f>
        <v>1</v>
      </c>
      <c r="M287" s="45">
        <f ca="1">IFERROR(__xludf.DUMMYFUNCTION("""COMPUTED_VALUE"""),132)</f>
        <v>132</v>
      </c>
      <c r="N287" s="45">
        <f ca="1">IFERROR(__xludf.DUMMYFUNCTION("""COMPUTED_VALUE"""),10.364)</f>
        <v>10.364000000000001</v>
      </c>
      <c r="O287" s="45">
        <f ca="1">IFERROR(__xludf.DUMMYFUNCTION("""COMPUTED_VALUE"""),0.04)</f>
        <v>0.04</v>
      </c>
      <c r="P287" s="45" t="str">
        <f ca="1">IFERROR(__xludf.DUMMYFUNCTION("""COMPUTED_VALUE"""),"Colombo, LK")</f>
        <v>Colombo, LK</v>
      </c>
      <c r="Q287" s="45" t="str">
        <f ca="1">IFERROR(__xludf.DUMMYFUNCTION("""COMPUTED_VALUE"""),"New York, NY, US")</f>
        <v>New York, NY, US</v>
      </c>
      <c r="R287" s="44">
        <f ca="1">IFERROR(__xludf.DUMMYFUNCTION("""COMPUTED_VALUE"""),45824)</f>
        <v>45824</v>
      </c>
      <c r="S287" s="44">
        <f ca="1">IFERROR(__xludf.DUMMYFUNCTION("""COMPUTED_VALUE"""),45883)</f>
        <v>45883</v>
      </c>
      <c r="T287" s="45" t="str">
        <f ca="1">IFERROR(__xludf.DUMMYFUNCTION("""COMPUTED_VALUE"""),"Mississauga, ON, CA")</f>
        <v>Mississauga, ON, CA</v>
      </c>
      <c r="U287" s="45"/>
      <c r="V287" s="45"/>
      <c r="W287" s="45"/>
      <c r="X287" s="45"/>
      <c r="Y287" s="46">
        <f ca="1">IFERROR(__xludf.DUMMYFUNCTION("""COMPUTED_VALUE"""),45832)</f>
        <v>45832</v>
      </c>
      <c r="Z287" s="46">
        <f ca="1">IFERROR(__xludf.DUMMYFUNCTION("""COMPUTED_VALUE"""),45861)</f>
        <v>45861</v>
      </c>
      <c r="AA287" s="46">
        <f ca="1">IFERROR(__xludf.DUMMYFUNCTION("""COMPUTED_VALUE"""),45874)</f>
        <v>45874</v>
      </c>
      <c r="AB287" s="45" t="str">
        <f ca="1">IFERROR(__xludf.DUMMYFUNCTION("""COMPUTED_VALUE"""),"3500 Argentia Road")</f>
        <v>3500 Argentia Road</v>
      </c>
      <c r="AC287" s="45"/>
      <c r="AD287" s="45" t="str">
        <f ca="1">IFERROR(__xludf.DUMMYFUNCTION("""COMPUTED_VALUE"""),"OCEAN")</f>
        <v>OCEAN</v>
      </c>
      <c r="AE287" s="45" t="str">
        <f ca="1">IFERROR(__xludf.DUMMYFUNCTION("""COMPUTED_VALUE"""),"N")</f>
        <v>N</v>
      </c>
      <c r="AF287" s="45"/>
      <c r="AG287" s="49" t="str">
        <f ca="1">IFERROR(__xludf.DUMMYFUNCTION("IFNA(vlookup(H287,IMPORTRANGE(""1vUGwO1n0QQGx9kKbO0_M5gmuhXZ6-LaxQxgrmJnzgP0"",""'TP# look up'!A:C""),3,0),"""")"),"")</f>
        <v/>
      </c>
      <c r="AH287" s="49" t="str">
        <f t="shared" ca="1" si="4"/>
        <v>LW</v>
      </c>
    </row>
    <row r="288" spans="1:34" ht="12.75" hidden="1">
      <c r="A288" s="45" t="str">
        <f ca="1">IFERROR(__xludf.DUMMYFUNCTION("""COMPUTED_VALUE"""),"Colombo")</f>
        <v>Colombo</v>
      </c>
      <c r="B288" s="45"/>
      <c r="C288" s="45">
        <f ca="1">IFERROR(__xludf.DUMMYFUNCTION("""COMPUTED_VALUE"""),3254506)</f>
        <v>3254506</v>
      </c>
      <c r="D288" s="45"/>
      <c r="E288" s="45" t="str">
        <f ca="1">IFERROR(__xludf.DUMMYFUNCTION("""COMPUTED_VALUE"""),"CFS")</f>
        <v>CFS</v>
      </c>
      <c r="F288" s="45" t="str">
        <f ca="1">IFERROR(__xludf.DUMMYFUNCTION("""COMPUTED_VALUE"""),"Bodyline Trading (Private) Limited")</f>
        <v>Bodyline Trading (Private) Limited</v>
      </c>
      <c r="G288" s="45" t="str">
        <f ca="1">IFERROR(__xludf.DUMMYFUNCTION("""COMPUTED_VALUE"""),"Bodyline (Private) Limited")</f>
        <v>Bodyline (Private) Limited</v>
      </c>
      <c r="H288" s="43">
        <f ca="1">IFERROR(__xludf.DUMMYFUNCTION("""COMPUTED_VALUE"""),452711175976)</f>
        <v>452711175976</v>
      </c>
      <c r="I288" s="45">
        <f ca="1">IFERROR(__xludf.DUMMYFUNCTION("""COMPUTED_VALUE"""),19878100)</f>
        <v>19878100</v>
      </c>
      <c r="J288" s="45" t="str">
        <f ca="1">IFERROR(__xludf.DUMMYFUNCTION("""COMPUTED_VALUE"""),"LW9FLRS")</f>
        <v>LW9FLRS</v>
      </c>
      <c r="K288" s="45" t="str">
        <f ca="1">IFERROR(__xludf.DUMMYFUNCTION("""COMPUTED_VALUE"""),"LW9FLRS-066526")</f>
        <v>LW9FLRS-066526</v>
      </c>
      <c r="L288" s="45">
        <f ca="1">IFERROR(__xludf.DUMMYFUNCTION("""COMPUTED_VALUE"""),4)</f>
        <v>4</v>
      </c>
      <c r="M288" s="45">
        <f ca="1">IFERROR(__xludf.DUMMYFUNCTION("""COMPUTED_VALUE"""),81)</f>
        <v>81</v>
      </c>
      <c r="N288" s="45">
        <f ca="1">IFERROR(__xludf.DUMMYFUNCTION("""COMPUTED_VALUE"""),17.892)</f>
        <v>17.891999999999999</v>
      </c>
      <c r="O288" s="45">
        <f ca="1">IFERROR(__xludf.DUMMYFUNCTION("""COMPUTED_VALUE"""),0.176)</f>
        <v>0.17599999999999999</v>
      </c>
      <c r="P288" s="45" t="str">
        <f ca="1">IFERROR(__xludf.DUMMYFUNCTION("""COMPUTED_VALUE"""),"Colombo, LK")</f>
        <v>Colombo, LK</v>
      </c>
      <c r="Q288" s="45" t="str">
        <f ca="1">IFERROR(__xludf.DUMMYFUNCTION("""COMPUTED_VALUE"""),"New York, NY, US")</f>
        <v>New York, NY, US</v>
      </c>
      <c r="R288" s="44">
        <f ca="1">IFERROR(__xludf.DUMMYFUNCTION("""COMPUTED_VALUE"""),45824)</f>
        <v>45824</v>
      </c>
      <c r="S288" s="44">
        <f ca="1">IFERROR(__xludf.DUMMYFUNCTION("""COMPUTED_VALUE"""),45883)</f>
        <v>45883</v>
      </c>
      <c r="T288" s="45" t="str">
        <f ca="1">IFERROR(__xludf.DUMMYFUNCTION("""COMPUTED_VALUE"""),"Milton, ON, CA")</f>
        <v>Milton, ON, CA</v>
      </c>
      <c r="U288" s="45"/>
      <c r="V288" s="45"/>
      <c r="W288" s="45"/>
      <c r="X288" s="45"/>
      <c r="Y288" s="46">
        <f ca="1">IFERROR(__xludf.DUMMYFUNCTION("""COMPUTED_VALUE"""),45832)</f>
        <v>45832</v>
      </c>
      <c r="Z288" s="46">
        <f ca="1">IFERROR(__xludf.DUMMYFUNCTION("""COMPUTED_VALUE"""),45861)</f>
        <v>45861</v>
      </c>
      <c r="AA288" s="46">
        <f ca="1">IFERROR(__xludf.DUMMYFUNCTION("""COMPUTED_VALUE"""),45874)</f>
        <v>45874</v>
      </c>
      <c r="AB288" s="45" t="str">
        <f ca="1">IFERROR(__xludf.DUMMYFUNCTION("""COMPUTED_VALUE"""),"7211 Fifth Line")</f>
        <v>7211 Fifth Line</v>
      </c>
      <c r="AC288" s="45"/>
      <c r="AD288" s="45" t="str">
        <f ca="1">IFERROR(__xludf.DUMMYFUNCTION("""COMPUTED_VALUE"""),"OCEAN")</f>
        <v>OCEAN</v>
      </c>
      <c r="AE288" s="45" t="str">
        <f ca="1">IFERROR(__xludf.DUMMYFUNCTION("""COMPUTED_VALUE"""),"N")</f>
        <v>N</v>
      </c>
      <c r="AF288" s="45"/>
      <c r="AG288" s="49" t="str">
        <f ca="1">IFERROR(__xludf.DUMMYFUNCTION("IFNA(vlookup(H288,IMPORTRANGE(""1vUGwO1n0QQGx9kKbO0_M5gmuhXZ6-LaxQxgrmJnzgP0"",""'TP# look up'!A:C""),3,0),"""")"),"")</f>
        <v/>
      </c>
      <c r="AH288" s="49" t="str">
        <f t="shared" ca="1" si="4"/>
        <v>LW</v>
      </c>
    </row>
    <row r="289" spans="1:34" ht="12.75" hidden="1">
      <c r="A289" s="45" t="str">
        <f ca="1">IFERROR(__xludf.DUMMYFUNCTION("""COMPUTED_VALUE"""),"Colombo")</f>
        <v>Colombo</v>
      </c>
      <c r="B289" s="45"/>
      <c r="C289" s="45">
        <f ca="1">IFERROR(__xludf.DUMMYFUNCTION("""COMPUTED_VALUE"""),3254506)</f>
        <v>3254506</v>
      </c>
      <c r="D289" s="45"/>
      <c r="E289" s="45" t="str">
        <f ca="1">IFERROR(__xludf.DUMMYFUNCTION("""COMPUTED_VALUE"""),"CFS")</f>
        <v>CFS</v>
      </c>
      <c r="F289" s="45" t="str">
        <f ca="1">IFERROR(__xludf.DUMMYFUNCTION("""COMPUTED_VALUE"""),"Bodyline Trading (Private) Limited")</f>
        <v>Bodyline Trading (Private) Limited</v>
      </c>
      <c r="G289" s="45" t="str">
        <f ca="1">IFERROR(__xludf.DUMMYFUNCTION("""COMPUTED_VALUE"""),"Bodyline (Private) Limited")</f>
        <v>Bodyline (Private) Limited</v>
      </c>
      <c r="H289" s="43">
        <f ca="1">IFERROR(__xludf.DUMMYFUNCTION("""COMPUTED_VALUE"""),452711781089)</f>
        <v>452711781089</v>
      </c>
      <c r="I289" s="45">
        <f ca="1">IFERROR(__xludf.DUMMYFUNCTION("""COMPUTED_VALUE"""),19878118)</f>
        <v>19878118</v>
      </c>
      <c r="J289" s="45" t="str">
        <f ca="1">IFERROR(__xludf.DUMMYFUNCTION("""COMPUTED_VALUE"""),"LW9FLRS")</f>
        <v>LW9FLRS</v>
      </c>
      <c r="K289" s="45" t="str">
        <f ca="1">IFERROR(__xludf.DUMMYFUNCTION("""COMPUTED_VALUE"""),"LW9FLRS-066526")</f>
        <v>LW9FLRS-066526</v>
      </c>
      <c r="L289" s="45">
        <f ca="1">IFERROR(__xludf.DUMMYFUNCTION("""COMPUTED_VALUE"""),3)</f>
        <v>3</v>
      </c>
      <c r="M289" s="45">
        <f ca="1">IFERROR(__xludf.DUMMYFUNCTION("""COMPUTED_VALUE"""),45)</f>
        <v>45</v>
      </c>
      <c r="N289" s="45">
        <f ca="1">IFERROR(__xludf.DUMMYFUNCTION("""COMPUTED_VALUE"""),10.71)</f>
        <v>10.71</v>
      </c>
      <c r="O289" s="45">
        <f ca="1">IFERROR(__xludf.DUMMYFUNCTION("""COMPUTED_VALUE"""),0.132)</f>
        <v>0.13200000000000001</v>
      </c>
      <c r="P289" s="45" t="str">
        <f ca="1">IFERROR(__xludf.DUMMYFUNCTION("""COMPUTED_VALUE"""),"Colombo, LK")</f>
        <v>Colombo, LK</v>
      </c>
      <c r="Q289" s="45" t="str">
        <f ca="1">IFERROR(__xludf.DUMMYFUNCTION("""COMPUTED_VALUE"""),"New York, NY, US")</f>
        <v>New York, NY, US</v>
      </c>
      <c r="R289" s="44">
        <f ca="1">IFERROR(__xludf.DUMMYFUNCTION("""COMPUTED_VALUE"""),45824)</f>
        <v>45824</v>
      </c>
      <c r="S289" s="44">
        <f ca="1">IFERROR(__xludf.DUMMYFUNCTION("""COMPUTED_VALUE"""),45883)</f>
        <v>45883</v>
      </c>
      <c r="T289" s="45" t="str">
        <f ca="1">IFERROR(__xludf.DUMMYFUNCTION("""COMPUTED_VALUE"""),"Mississauga, ON, CA")</f>
        <v>Mississauga, ON, CA</v>
      </c>
      <c r="U289" s="45"/>
      <c r="V289" s="45"/>
      <c r="W289" s="45"/>
      <c r="X289" s="45"/>
      <c r="Y289" s="46">
        <f ca="1">IFERROR(__xludf.DUMMYFUNCTION("""COMPUTED_VALUE"""),45832)</f>
        <v>45832</v>
      </c>
      <c r="Z289" s="46">
        <f ca="1">IFERROR(__xludf.DUMMYFUNCTION("""COMPUTED_VALUE"""),45861)</f>
        <v>45861</v>
      </c>
      <c r="AA289" s="46">
        <f ca="1">IFERROR(__xludf.DUMMYFUNCTION("""COMPUTED_VALUE"""),45874)</f>
        <v>45874</v>
      </c>
      <c r="AB289" s="45" t="str">
        <f ca="1">IFERROR(__xludf.DUMMYFUNCTION("""COMPUTED_VALUE"""),"3500 Argentia Road")</f>
        <v>3500 Argentia Road</v>
      </c>
      <c r="AC289" s="45"/>
      <c r="AD289" s="45" t="str">
        <f ca="1">IFERROR(__xludf.DUMMYFUNCTION("""COMPUTED_VALUE"""),"OCEAN")</f>
        <v>OCEAN</v>
      </c>
      <c r="AE289" s="45" t="str">
        <f ca="1">IFERROR(__xludf.DUMMYFUNCTION("""COMPUTED_VALUE"""),"N")</f>
        <v>N</v>
      </c>
      <c r="AF289" s="45"/>
      <c r="AG289" s="49" t="str">
        <f ca="1">IFERROR(__xludf.DUMMYFUNCTION("IFNA(vlookup(H289,IMPORTRANGE(""1vUGwO1n0QQGx9kKbO0_M5gmuhXZ6-LaxQxgrmJnzgP0"",""'TP# look up'!A:C""),3,0),"""")"),"")</f>
        <v/>
      </c>
      <c r="AH289" s="49" t="str">
        <f t="shared" ca="1" si="4"/>
        <v>LW</v>
      </c>
    </row>
    <row r="290" spans="1:34" ht="12.75" hidden="1">
      <c r="A290" s="45" t="str">
        <f ca="1">IFERROR(__xludf.DUMMYFUNCTION("""COMPUTED_VALUE"""),"Colombo")</f>
        <v>Colombo</v>
      </c>
      <c r="B290" s="45"/>
      <c r="C290" s="45">
        <f ca="1">IFERROR(__xludf.DUMMYFUNCTION("""COMPUTED_VALUE"""),3254506)</f>
        <v>3254506</v>
      </c>
      <c r="D290" s="45"/>
      <c r="E290" s="45" t="str">
        <f ca="1">IFERROR(__xludf.DUMMYFUNCTION("""COMPUTED_VALUE"""),"CFS")</f>
        <v>CFS</v>
      </c>
      <c r="F290" s="45" t="str">
        <f ca="1">IFERROR(__xludf.DUMMYFUNCTION("""COMPUTED_VALUE"""),"Bodyline Trading (Private) Limited")</f>
        <v>Bodyline Trading (Private) Limited</v>
      </c>
      <c r="G290" s="45" t="str">
        <f ca="1">IFERROR(__xludf.DUMMYFUNCTION("""COMPUTED_VALUE"""),"Bodyline (Private) Limited")</f>
        <v>Bodyline (Private) Limited</v>
      </c>
      <c r="H290" s="43">
        <f ca="1">IFERROR(__xludf.DUMMYFUNCTION("""COMPUTED_VALUE"""),452713380372)</f>
        <v>452713380372</v>
      </c>
      <c r="I290" s="45">
        <f ca="1">IFERROR(__xludf.DUMMYFUNCTION("""COMPUTED_VALUE"""),19878511)</f>
        <v>19878511</v>
      </c>
      <c r="J290" s="45" t="str">
        <f ca="1">IFERROR(__xludf.DUMMYFUNCTION("""COMPUTED_VALUE"""),"LW9FLRS")</f>
        <v>LW9FLRS</v>
      </c>
      <c r="K290" s="45" t="str">
        <f ca="1">IFERROR(__xludf.DUMMYFUNCTION("""COMPUTED_VALUE"""),"LW9FLRS-066526")</f>
        <v>LW9FLRS-066526</v>
      </c>
      <c r="L290" s="45">
        <f ca="1">IFERROR(__xludf.DUMMYFUNCTION("""COMPUTED_VALUE"""),4)</f>
        <v>4</v>
      </c>
      <c r="M290" s="45">
        <f ca="1">IFERROR(__xludf.DUMMYFUNCTION("""COMPUTED_VALUE"""),77)</f>
        <v>77</v>
      </c>
      <c r="N290" s="45">
        <f ca="1">IFERROR(__xludf.DUMMYFUNCTION("""COMPUTED_VALUE"""),17.284)</f>
        <v>17.283999999999999</v>
      </c>
      <c r="O290" s="45">
        <f ca="1">IFERROR(__xludf.DUMMYFUNCTION("""COMPUTED_VALUE"""),0.176)</f>
        <v>0.17599999999999999</v>
      </c>
      <c r="P290" s="45" t="str">
        <f ca="1">IFERROR(__xludf.DUMMYFUNCTION("""COMPUTED_VALUE"""),"Colombo, LK")</f>
        <v>Colombo, LK</v>
      </c>
      <c r="Q290" s="45" t="str">
        <f ca="1">IFERROR(__xludf.DUMMYFUNCTION("""COMPUTED_VALUE"""),"New York, NY, US")</f>
        <v>New York, NY, US</v>
      </c>
      <c r="R290" s="44">
        <f ca="1">IFERROR(__xludf.DUMMYFUNCTION("""COMPUTED_VALUE"""),45824)</f>
        <v>45824</v>
      </c>
      <c r="S290" s="44">
        <f ca="1">IFERROR(__xludf.DUMMYFUNCTION("""COMPUTED_VALUE"""),45883)</f>
        <v>45883</v>
      </c>
      <c r="T290" s="45" t="str">
        <f ca="1">IFERROR(__xludf.DUMMYFUNCTION("""COMPUTED_VALUE"""),"Mississauga, ON, CA")</f>
        <v>Mississauga, ON, CA</v>
      </c>
      <c r="U290" s="45"/>
      <c r="V290" s="45"/>
      <c r="W290" s="45"/>
      <c r="X290" s="45"/>
      <c r="Y290" s="46">
        <f ca="1">IFERROR(__xludf.DUMMYFUNCTION("""COMPUTED_VALUE"""),45832)</f>
        <v>45832</v>
      </c>
      <c r="Z290" s="46">
        <f ca="1">IFERROR(__xludf.DUMMYFUNCTION("""COMPUTED_VALUE"""),45861)</f>
        <v>45861</v>
      </c>
      <c r="AA290" s="46">
        <f ca="1">IFERROR(__xludf.DUMMYFUNCTION("""COMPUTED_VALUE"""),45874)</f>
        <v>45874</v>
      </c>
      <c r="AB290" s="45" t="str">
        <f ca="1">IFERROR(__xludf.DUMMYFUNCTION("""COMPUTED_VALUE"""),"3500 Argentia Road")</f>
        <v>3500 Argentia Road</v>
      </c>
      <c r="AC290" s="45"/>
      <c r="AD290" s="45" t="str">
        <f ca="1">IFERROR(__xludf.DUMMYFUNCTION("""COMPUTED_VALUE"""),"OCEAN")</f>
        <v>OCEAN</v>
      </c>
      <c r="AE290" s="45" t="str">
        <f ca="1">IFERROR(__xludf.DUMMYFUNCTION("""COMPUTED_VALUE"""),"N")</f>
        <v>N</v>
      </c>
      <c r="AF290" s="45"/>
      <c r="AG290" s="49" t="str">
        <f ca="1">IFERROR(__xludf.DUMMYFUNCTION("IFNA(vlookup(H290,IMPORTRANGE(""1vUGwO1n0QQGx9kKbO0_M5gmuhXZ6-LaxQxgrmJnzgP0"",""'TP# look up'!A:C""),3,0),"""")"),"")</f>
        <v/>
      </c>
      <c r="AH290" s="49" t="str">
        <f t="shared" ca="1" si="4"/>
        <v>LW</v>
      </c>
    </row>
    <row r="291" spans="1:34" ht="12.75" hidden="1">
      <c r="A291" s="45" t="str">
        <f ca="1">IFERROR(__xludf.DUMMYFUNCTION("""COMPUTED_VALUE"""),"Colombo")</f>
        <v>Colombo</v>
      </c>
      <c r="B291" s="45"/>
      <c r="C291" s="45">
        <f ca="1">IFERROR(__xludf.DUMMYFUNCTION("""COMPUTED_VALUE"""),3254506)</f>
        <v>3254506</v>
      </c>
      <c r="D291" s="45"/>
      <c r="E291" s="45" t="str">
        <f ca="1">IFERROR(__xludf.DUMMYFUNCTION("""COMPUTED_VALUE"""),"CFS")</f>
        <v>CFS</v>
      </c>
      <c r="F291" s="45" t="str">
        <f ca="1">IFERROR(__xludf.DUMMYFUNCTION("""COMPUTED_VALUE"""),"Bodyline Trading (Private) Limited")</f>
        <v>Bodyline Trading (Private) Limited</v>
      </c>
      <c r="G291" s="45" t="str">
        <f ca="1">IFERROR(__xludf.DUMMYFUNCTION("""COMPUTED_VALUE"""),"Bodyline (Private) Limited")</f>
        <v>Bodyline (Private) Limited</v>
      </c>
      <c r="H291" s="43">
        <f ca="1">IFERROR(__xludf.DUMMYFUNCTION("""COMPUTED_VALUE"""),452714007820)</f>
        <v>452714007820</v>
      </c>
      <c r="I291" s="45">
        <f ca="1">IFERROR(__xludf.DUMMYFUNCTION("""COMPUTED_VALUE"""),19843725)</f>
        <v>19843725</v>
      </c>
      <c r="J291" s="45" t="str">
        <f ca="1">IFERROR(__xludf.DUMMYFUNCTION("""COMPUTED_VALUE"""),"LW1FF7S")</f>
        <v>LW1FF7S</v>
      </c>
      <c r="K291" s="45" t="str">
        <f ca="1">IFERROR(__xludf.DUMMYFUNCTION("""COMPUTED_VALUE"""),"LW1FF7S-0001")</f>
        <v>LW1FF7S-0001</v>
      </c>
      <c r="L291" s="45">
        <f ca="1">IFERROR(__xludf.DUMMYFUNCTION("""COMPUTED_VALUE"""),5)</f>
        <v>5</v>
      </c>
      <c r="M291" s="45">
        <f ca="1">IFERROR(__xludf.DUMMYFUNCTION("""COMPUTED_VALUE"""),139)</f>
        <v>139</v>
      </c>
      <c r="N291" s="45">
        <f ca="1">IFERROR(__xludf.DUMMYFUNCTION("""COMPUTED_VALUE"""),21.39)</f>
        <v>21.39</v>
      </c>
      <c r="O291" s="45">
        <f ca="1">IFERROR(__xludf.DUMMYFUNCTION("""COMPUTED_VALUE"""),0.22)</f>
        <v>0.22</v>
      </c>
      <c r="P291" s="45" t="str">
        <f ca="1">IFERROR(__xludf.DUMMYFUNCTION("""COMPUTED_VALUE"""),"Colombo, LK")</f>
        <v>Colombo, LK</v>
      </c>
      <c r="Q291" s="45" t="str">
        <f ca="1">IFERROR(__xludf.DUMMYFUNCTION("""COMPUTED_VALUE"""),"New York, NY, US")</f>
        <v>New York, NY, US</v>
      </c>
      <c r="R291" s="44">
        <f ca="1">IFERROR(__xludf.DUMMYFUNCTION("""COMPUTED_VALUE"""),45824)</f>
        <v>45824</v>
      </c>
      <c r="S291" s="44">
        <f ca="1">IFERROR(__xludf.DUMMYFUNCTION("""COMPUTED_VALUE"""),45883)</f>
        <v>45883</v>
      </c>
      <c r="T291" s="45" t="str">
        <f ca="1">IFERROR(__xludf.DUMMYFUNCTION("""COMPUTED_VALUE"""),"Mississauga, ON, CA")</f>
        <v>Mississauga, ON, CA</v>
      </c>
      <c r="U291" s="45"/>
      <c r="V291" s="45"/>
      <c r="W291" s="45"/>
      <c r="X291" s="45"/>
      <c r="Y291" s="46">
        <f ca="1">IFERROR(__xludf.DUMMYFUNCTION("""COMPUTED_VALUE"""),45832)</f>
        <v>45832</v>
      </c>
      <c r="Z291" s="46">
        <f ca="1">IFERROR(__xludf.DUMMYFUNCTION("""COMPUTED_VALUE"""),45861)</f>
        <v>45861</v>
      </c>
      <c r="AA291" s="46">
        <f ca="1">IFERROR(__xludf.DUMMYFUNCTION("""COMPUTED_VALUE"""),45874)</f>
        <v>45874</v>
      </c>
      <c r="AB291" s="45" t="str">
        <f ca="1">IFERROR(__xludf.DUMMYFUNCTION("""COMPUTED_VALUE"""),"3500 Argentia Road")</f>
        <v>3500 Argentia Road</v>
      </c>
      <c r="AC291" s="45"/>
      <c r="AD291" s="45" t="str">
        <f ca="1">IFERROR(__xludf.DUMMYFUNCTION("""COMPUTED_VALUE"""),"OCEAN")</f>
        <v>OCEAN</v>
      </c>
      <c r="AE291" s="45" t="str">
        <f ca="1">IFERROR(__xludf.DUMMYFUNCTION("""COMPUTED_VALUE"""),"N")</f>
        <v>N</v>
      </c>
      <c r="AF291" s="45"/>
      <c r="AG291" s="49" t="str">
        <f ca="1">IFERROR(__xludf.DUMMYFUNCTION("IFNA(vlookup(H291,IMPORTRANGE(""1vUGwO1n0QQGx9kKbO0_M5gmuhXZ6-LaxQxgrmJnzgP0"",""'TP# look up'!A:C""),3,0),"""")"),"")</f>
        <v/>
      </c>
      <c r="AH291" s="49" t="str">
        <f t="shared" ca="1" si="4"/>
        <v>LW</v>
      </c>
    </row>
    <row r="292" spans="1:34" ht="12.75" hidden="1">
      <c r="A292" s="45" t="str">
        <f ca="1">IFERROR(__xludf.DUMMYFUNCTION("""COMPUTED_VALUE"""),"Colombo")</f>
        <v>Colombo</v>
      </c>
      <c r="B292" s="45"/>
      <c r="C292" s="45">
        <f ca="1">IFERROR(__xludf.DUMMYFUNCTION("""COMPUTED_VALUE"""),3254506)</f>
        <v>3254506</v>
      </c>
      <c r="D292" s="45"/>
      <c r="E292" s="45" t="str">
        <f ca="1">IFERROR(__xludf.DUMMYFUNCTION("""COMPUTED_VALUE"""),"CFS")</f>
        <v>CFS</v>
      </c>
      <c r="F292" s="45" t="str">
        <f ca="1">IFERROR(__xludf.DUMMYFUNCTION("""COMPUTED_VALUE"""),"Bodyline Trading (Private) Limited")</f>
        <v>Bodyline Trading (Private) Limited</v>
      </c>
      <c r="G292" s="45" t="str">
        <f ca="1">IFERROR(__xludf.DUMMYFUNCTION("""COMPUTED_VALUE"""),"Bodyline (Private) Limited")</f>
        <v>Bodyline (Private) Limited</v>
      </c>
      <c r="H292" s="43">
        <f ca="1">IFERROR(__xludf.DUMMYFUNCTION("""COMPUTED_VALUE"""),452714470923)</f>
        <v>452714470923</v>
      </c>
      <c r="I292" s="45">
        <f ca="1">IFERROR(__xludf.DUMMYFUNCTION("""COMPUTED_VALUE"""),19843810)</f>
        <v>19843810</v>
      </c>
      <c r="J292" s="45" t="str">
        <f ca="1">IFERROR(__xludf.DUMMYFUNCTION("""COMPUTED_VALUE"""),"LW1FF7S")</f>
        <v>LW1FF7S</v>
      </c>
      <c r="K292" s="45" t="str">
        <f ca="1">IFERROR(__xludf.DUMMYFUNCTION("""COMPUTED_VALUE"""),"LW1FF7S-0001")</f>
        <v>LW1FF7S-0001</v>
      </c>
      <c r="L292" s="45">
        <f ca="1">IFERROR(__xludf.DUMMYFUNCTION("""COMPUTED_VALUE"""),11)</f>
        <v>11</v>
      </c>
      <c r="M292" s="45">
        <f ca="1">IFERROR(__xludf.DUMMYFUNCTION("""COMPUTED_VALUE"""),386)</f>
        <v>386</v>
      </c>
      <c r="N292" s="45">
        <f ca="1">IFERROR(__xludf.DUMMYFUNCTION("""COMPUTED_VALUE"""),56.275)</f>
        <v>56.274999999999999</v>
      </c>
      <c r="O292" s="45">
        <f ca="1">IFERROR(__xludf.DUMMYFUNCTION("""COMPUTED_VALUE"""),0.483)</f>
        <v>0.48299999999999998</v>
      </c>
      <c r="P292" s="45" t="str">
        <f ca="1">IFERROR(__xludf.DUMMYFUNCTION("""COMPUTED_VALUE"""),"Colombo, LK")</f>
        <v>Colombo, LK</v>
      </c>
      <c r="Q292" s="45" t="str">
        <f ca="1">IFERROR(__xludf.DUMMYFUNCTION("""COMPUTED_VALUE"""),"New York, NY, US")</f>
        <v>New York, NY, US</v>
      </c>
      <c r="R292" s="44">
        <f ca="1">IFERROR(__xludf.DUMMYFUNCTION("""COMPUTED_VALUE"""),45824)</f>
        <v>45824</v>
      </c>
      <c r="S292" s="44">
        <f ca="1">IFERROR(__xludf.DUMMYFUNCTION("""COMPUTED_VALUE"""),45883)</f>
        <v>45883</v>
      </c>
      <c r="T292" s="45" t="str">
        <f ca="1">IFERROR(__xludf.DUMMYFUNCTION("""COMPUTED_VALUE"""),"Mississauga, ON, CA")</f>
        <v>Mississauga, ON, CA</v>
      </c>
      <c r="U292" s="45"/>
      <c r="V292" s="45"/>
      <c r="W292" s="45"/>
      <c r="X292" s="45"/>
      <c r="Y292" s="46">
        <f ca="1">IFERROR(__xludf.DUMMYFUNCTION("""COMPUTED_VALUE"""),45832)</f>
        <v>45832</v>
      </c>
      <c r="Z292" s="46">
        <f ca="1">IFERROR(__xludf.DUMMYFUNCTION("""COMPUTED_VALUE"""),45861)</f>
        <v>45861</v>
      </c>
      <c r="AA292" s="46">
        <f ca="1">IFERROR(__xludf.DUMMYFUNCTION("""COMPUTED_VALUE"""),45874)</f>
        <v>45874</v>
      </c>
      <c r="AB292" s="45" t="str">
        <f ca="1">IFERROR(__xludf.DUMMYFUNCTION("""COMPUTED_VALUE"""),"3500 Argentia Road")</f>
        <v>3500 Argentia Road</v>
      </c>
      <c r="AC292" s="45"/>
      <c r="AD292" s="45" t="str">
        <f ca="1">IFERROR(__xludf.DUMMYFUNCTION("""COMPUTED_VALUE"""),"OCEAN")</f>
        <v>OCEAN</v>
      </c>
      <c r="AE292" s="45" t="str">
        <f ca="1">IFERROR(__xludf.DUMMYFUNCTION("""COMPUTED_VALUE"""),"N")</f>
        <v>N</v>
      </c>
      <c r="AF292" s="45"/>
      <c r="AG292" s="49" t="str">
        <f ca="1">IFERROR(__xludf.DUMMYFUNCTION("IFNA(vlookup(H292,IMPORTRANGE(""1vUGwO1n0QQGx9kKbO0_M5gmuhXZ6-LaxQxgrmJnzgP0"",""'TP# look up'!A:C""),3,0),"""")"),"")</f>
        <v/>
      </c>
      <c r="AH292" s="49" t="str">
        <f t="shared" ca="1" si="4"/>
        <v>LW</v>
      </c>
    </row>
    <row r="293" spans="1:34" ht="12.75" hidden="1">
      <c r="A293" s="45" t="str">
        <f ca="1">IFERROR(__xludf.DUMMYFUNCTION("""COMPUTED_VALUE"""),"Colombo")</f>
        <v>Colombo</v>
      </c>
      <c r="B293" s="45"/>
      <c r="C293" s="45">
        <f ca="1">IFERROR(__xludf.DUMMYFUNCTION("""COMPUTED_VALUE"""),3254506)</f>
        <v>3254506</v>
      </c>
      <c r="D293" s="45"/>
      <c r="E293" s="45" t="str">
        <f ca="1">IFERROR(__xludf.DUMMYFUNCTION("""COMPUTED_VALUE"""),"CFS")</f>
        <v>CFS</v>
      </c>
      <c r="F293" s="45" t="str">
        <f ca="1">IFERROR(__xludf.DUMMYFUNCTION("""COMPUTED_VALUE"""),"Bodyline Trading (Private) Limited")</f>
        <v>Bodyline Trading (Private) Limited</v>
      </c>
      <c r="G293" s="45" t="str">
        <f ca="1">IFERROR(__xludf.DUMMYFUNCTION("""COMPUTED_VALUE"""),"Bodyline (Private) Limited")</f>
        <v>Bodyline (Private) Limited</v>
      </c>
      <c r="H293" s="43">
        <f ca="1">IFERROR(__xludf.DUMMYFUNCTION("""COMPUTED_VALUE"""),452715829365)</f>
        <v>452715829365</v>
      </c>
      <c r="I293" s="45">
        <f ca="1">IFERROR(__xludf.DUMMYFUNCTION("""COMPUTED_VALUE"""),19843733)</f>
        <v>19843733</v>
      </c>
      <c r="J293" s="45" t="str">
        <f ca="1">IFERROR(__xludf.DUMMYFUNCTION("""COMPUTED_VALUE"""),"LW1FF7S")</f>
        <v>LW1FF7S</v>
      </c>
      <c r="K293" s="45" t="str">
        <f ca="1">IFERROR(__xludf.DUMMYFUNCTION("""COMPUTED_VALUE"""),"LW1FF7S-033454")</f>
        <v>LW1FF7S-033454</v>
      </c>
      <c r="L293" s="45">
        <f ca="1">IFERROR(__xludf.DUMMYFUNCTION("""COMPUTED_VALUE"""),3)</f>
        <v>3</v>
      </c>
      <c r="M293" s="45">
        <f ca="1">IFERROR(__xludf.DUMMYFUNCTION("""COMPUTED_VALUE"""),80)</f>
        <v>80</v>
      </c>
      <c r="N293" s="45">
        <f ca="1">IFERROR(__xludf.DUMMYFUNCTION("""COMPUTED_VALUE"""),12.43)</f>
        <v>12.43</v>
      </c>
      <c r="O293" s="45">
        <f ca="1">IFERROR(__xludf.DUMMYFUNCTION("""COMPUTED_VALUE"""),0.132)</f>
        <v>0.13200000000000001</v>
      </c>
      <c r="P293" s="45" t="str">
        <f ca="1">IFERROR(__xludf.DUMMYFUNCTION("""COMPUTED_VALUE"""),"Colombo, LK")</f>
        <v>Colombo, LK</v>
      </c>
      <c r="Q293" s="45" t="str">
        <f ca="1">IFERROR(__xludf.DUMMYFUNCTION("""COMPUTED_VALUE"""),"New York, NY, US")</f>
        <v>New York, NY, US</v>
      </c>
      <c r="R293" s="44">
        <f ca="1">IFERROR(__xludf.DUMMYFUNCTION("""COMPUTED_VALUE"""),45824)</f>
        <v>45824</v>
      </c>
      <c r="S293" s="44">
        <f ca="1">IFERROR(__xludf.DUMMYFUNCTION("""COMPUTED_VALUE"""),45883)</f>
        <v>45883</v>
      </c>
      <c r="T293" s="45" t="str">
        <f ca="1">IFERROR(__xludf.DUMMYFUNCTION("""COMPUTED_VALUE"""),"Mississauga, ON, CA")</f>
        <v>Mississauga, ON, CA</v>
      </c>
      <c r="U293" s="45"/>
      <c r="V293" s="45"/>
      <c r="W293" s="45"/>
      <c r="X293" s="45"/>
      <c r="Y293" s="46">
        <f ca="1">IFERROR(__xludf.DUMMYFUNCTION("""COMPUTED_VALUE"""),45832)</f>
        <v>45832</v>
      </c>
      <c r="Z293" s="46">
        <f ca="1">IFERROR(__xludf.DUMMYFUNCTION("""COMPUTED_VALUE"""),45861)</f>
        <v>45861</v>
      </c>
      <c r="AA293" s="46">
        <f ca="1">IFERROR(__xludf.DUMMYFUNCTION("""COMPUTED_VALUE"""),45874)</f>
        <v>45874</v>
      </c>
      <c r="AB293" s="45" t="str">
        <f ca="1">IFERROR(__xludf.DUMMYFUNCTION("""COMPUTED_VALUE"""),"3500 Argentia Road")</f>
        <v>3500 Argentia Road</v>
      </c>
      <c r="AC293" s="45"/>
      <c r="AD293" s="45" t="str">
        <f ca="1">IFERROR(__xludf.DUMMYFUNCTION("""COMPUTED_VALUE"""),"OCEAN")</f>
        <v>OCEAN</v>
      </c>
      <c r="AE293" s="45" t="str">
        <f ca="1">IFERROR(__xludf.DUMMYFUNCTION("""COMPUTED_VALUE"""),"N")</f>
        <v>N</v>
      </c>
      <c r="AF293" s="45"/>
      <c r="AG293" s="49" t="str">
        <f ca="1">IFERROR(__xludf.DUMMYFUNCTION("IFNA(vlookup(H293,IMPORTRANGE(""1vUGwO1n0QQGx9kKbO0_M5gmuhXZ6-LaxQxgrmJnzgP0"",""'TP# look up'!A:C""),3,0),"""")"),"")</f>
        <v/>
      </c>
      <c r="AH293" s="49" t="str">
        <f t="shared" ca="1" si="4"/>
        <v>LW</v>
      </c>
    </row>
    <row r="294" spans="1:34" ht="12.75" hidden="1">
      <c r="A294" s="45" t="str">
        <f ca="1">IFERROR(__xludf.DUMMYFUNCTION("""COMPUTED_VALUE"""),"Colombo")</f>
        <v>Colombo</v>
      </c>
      <c r="B294" s="45"/>
      <c r="C294" s="45">
        <f ca="1">IFERROR(__xludf.DUMMYFUNCTION("""COMPUTED_VALUE"""),3254506)</f>
        <v>3254506</v>
      </c>
      <c r="D294" s="45"/>
      <c r="E294" s="45" t="str">
        <f ca="1">IFERROR(__xludf.DUMMYFUNCTION("""COMPUTED_VALUE"""),"CFS")</f>
        <v>CFS</v>
      </c>
      <c r="F294" s="45" t="str">
        <f ca="1">IFERROR(__xludf.DUMMYFUNCTION("""COMPUTED_VALUE"""),"Bodyline Trading (Private) Limited")</f>
        <v>Bodyline Trading (Private) Limited</v>
      </c>
      <c r="G294" s="45" t="str">
        <f ca="1">IFERROR(__xludf.DUMMYFUNCTION("""COMPUTED_VALUE"""),"Bodyline (Private) Limited")</f>
        <v>Bodyline (Private) Limited</v>
      </c>
      <c r="H294" s="43">
        <f ca="1">IFERROR(__xludf.DUMMYFUNCTION("""COMPUTED_VALUE"""),452716558693)</f>
        <v>452716558693</v>
      </c>
      <c r="I294" s="45">
        <f ca="1">IFERROR(__xludf.DUMMYFUNCTION("""COMPUTED_VALUE"""),19843826)</f>
        <v>19843826</v>
      </c>
      <c r="J294" s="45" t="str">
        <f ca="1">IFERROR(__xludf.DUMMYFUNCTION("""COMPUTED_VALUE"""),"LW1FF7S")</f>
        <v>LW1FF7S</v>
      </c>
      <c r="K294" s="45" t="str">
        <f ca="1">IFERROR(__xludf.DUMMYFUNCTION("""COMPUTED_VALUE"""),"LW1FF7S-033454")</f>
        <v>LW1FF7S-033454</v>
      </c>
      <c r="L294" s="45">
        <f ca="1">IFERROR(__xludf.DUMMYFUNCTION("""COMPUTED_VALUE"""),9)</f>
        <v>9</v>
      </c>
      <c r="M294" s="45">
        <f ca="1">IFERROR(__xludf.DUMMYFUNCTION("""COMPUTED_VALUE"""),301)</f>
        <v>301</v>
      </c>
      <c r="N294" s="45">
        <f ca="1">IFERROR(__xludf.DUMMYFUNCTION("""COMPUTED_VALUE"""),44.269)</f>
        <v>44.268999999999998</v>
      </c>
      <c r="O294" s="45">
        <f ca="1">IFERROR(__xludf.DUMMYFUNCTION("""COMPUTED_VALUE"""),0.395)</f>
        <v>0.39500000000000002</v>
      </c>
      <c r="P294" s="45" t="str">
        <f ca="1">IFERROR(__xludf.DUMMYFUNCTION("""COMPUTED_VALUE"""),"Colombo, LK")</f>
        <v>Colombo, LK</v>
      </c>
      <c r="Q294" s="45" t="str">
        <f ca="1">IFERROR(__xludf.DUMMYFUNCTION("""COMPUTED_VALUE"""),"New York, NY, US")</f>
        <v>New York, NY, US</v>
      </c>
      <c r="R294" s="44">
        <f ca="1">IFERROR(__xludf.DUMMYFUNCTION("""COMPUTED_VALUE"""),45824)</f>
        <v>45824</v>
      </c>
      <c r="S294" s="44">
        <f ca="1">IFERROR(__xludf.DUMMYFUNCTION("""COMPUTED_VALUE"""),45883)</f>
        <v>45883</v>
      </c>
      <c r="T294" s="45" t="str">
        <f ca="1">IFERROR(__xludf.DUMMYFUNCTION("""COMPUTED_VALUE"""),"Mississauga, ON, CA")</f>
        <v>Mississauga, ON, CA</v>
      </c>
      <c r="U294" s="45"/>
      <c r="V294" s="45"/>
      <c r="W294" s="45"/>
      <c r="X294" s="45"/>
      <c r="Y294" s="46">
        <f ca="1">IFERROR(__xludf.DUMMYFUNCTION("""COMPUTED_VALUE"""),45832)</f>
        <v>45832</v>
      </c>
      <c r="Z294" s="46">
        <f ca="1">IFERROR(__xludf.DUMMYFUNCTION("""COMPUTED_VALUE"""),45861)</f>
        <v>45861</v>
      </c>
      <c r="AA294" s="46">
        <f ca="1">IFERROR(__xludf.DUMMYFUNCTION("""COMPUTED_VALUE"""),45874)</f>
        <v>45874</v>
      </c>
      <c r="AB294" s="45" t="str">
        <f ca="1">IFERROR(__xludf.DUMMYFUNCTION("""COMPUTED_VALUE"""),"3500 Argentia Road")</f>
        <v>3500 Argentia Road</v>
      </c>
      <c r="AC294" s="45"/>
      <c r="AD294" s="45" t="str">
        <f ca="1">IFERROR(__xludf.DUMMYFUNCTION("""COMPUTED_VALUE"""),"OCEAN")</f>
        <v>OCEAN</v>
      </c>
      <c r="AE294" s="45" t="str">
        <f ca="1">IFERROR(__xludf.DUMMYFUNCTION("""COMPUTED_VALUE"""),"N")</f>
        <v>N</v>
      </c>
      <c r="AF294" s="45"/>
      <c r="AG294" s="49" t="str">
        <f ca="1">IFERROR(__xludf.DUMMYFUNCTION("IFNA(vlookup(H294,IMPORTRANGE(""1vUGwO1n0QQGx9kKbO0_M5gmuhXZ6-LaxQxgrmJnzgP0"",""'TP# look up'!A:C""),3,0),"""")"),"")</f>
        <v/>
      </c>
      <c r="AH294" s="49" t="str">
        <f t="shared" ca="1" si="4"/>
        <v>LW</v>
      </c>
    </row>
    <row r="295" spans="1:34" ht="12.75" hidden="1">
      <c r="A295" s="45" t="str">
        <f ca="1">IFERROR(__xludf.DUMMYFUNCTION("""COMPUTED_VALUE"""),"Colombo")</f>
        <v>Colombo</v>
      </c>
      <c r="B295" s="45"/>
      <c r="C295" s="45">
        <f ca="1">IFERROR(__xludf.DUMMYFUNCTION("""COMPUTED_VALUE"""),3254506)</f>
        <v>3254506</v>
      </c>
      <c r="D295" s="45"/>
      <c r="E295" s="45" t="str">
        <f ca="1">IFERROR(__xludf.DUMMYFUNCTION("""COMPUTED_VALUE"""),"CFS")</f>
        <v>CFS</v>
      </c>
      <c r="F295" s="45" t="str">
        <f ca="1">IFERROR(__xludf.DUMMYFUNCTION("""COMPUTED_VALUE"""),"Bodyline Trading (Private) Limited")</f>
        <v>Bodyline Trading (Private) Limited</v>
      </c>
      <c r="G295" s="45" t="str">
        <f ca="1">IFERROR(__xludf.DUMMYFUNCTION("""COMPUTED_VALUE"""),"Bodyline (Private) Limited")</f>
        <v>Bodyline (Private) Limited</v>
      </c>
      <c r="H295" s="43">
        <f ca="1">IFERROR(__xludf.DUMMYFUNCTION("""COMPUTED_VALUE"""),452716917986)</f>
        <v>452716917986</v>
      </c>
      <c r="I295" s="45">
        <f ca="1">IFERROR(__xludf.DUMMYFUNCTION("""COMPUTED_VALUE"""),19843754)</f>
        <v>19843754</v>
      </c>
      <c r="J295" s="45" t="str">
        <f ca="1">IFERROR(__xludf.DUMMYFUNCTION("""COMPUTED_VALUE"""),"LW1FM7S")</f>
        <v>LW1FM7S</v>
      </c>
      <c r="K295" s="45" t="str">
        <f ca="1">IFERROR(__xludf.DUMMYFUNCTION("""COMPUTED_VALUE"""),"LW1FM7S-033454")</f>
        <v>LW1FM7S-033454</v>
      </c>
      <c r="L295" s="45">
        <f ca="1">IFERROR(__xludf.DUMMYFUNCTION("""COMPUTED_VALUE"""),4)</f>
        <v>4</v>
      </c>
      <c r="M295" s="45">
        <f ca="1">IFERROR(__xludf.DUMMYFUNCTION("""COMPUTED_VALUE"""),161)</f>
        <v>161</v>
      </c>
      <c r="N295" s="45">
        <f ca="1">IFERROR(__xludf.DUMMYFUNCTION("""COMPUTED_VALUE"""),17.168)</f>
        <v>17.167999999999999</v>
      </c>
      <c r="O295" s="45">
        <f ca="1">IFERROR(__xludf.DUMMYFUNCTION("""COMPUTED_VALUE"""),0.176)</f>
        <v>0.17599999999999999</v>
      </c>
      <c r="P295" s="45" t="str">
        <f ca="1">IFERROR(__xludf.DUMMYFUNCTION("""COMPUTED_VALUE"""),"Colombo, LK")</f>
        <v>Colombo, LK</v>
      </c>
      <c r="Q295" s="45" t="str">
        <f ca="1">IFERROR(__xludf.DUMMYFUNCTION("""COMPUTED_VALUE"""),"New York, NY, US")</f>
        <v>New York, NY, US</v>
      </c>
      <c r="R295" s="44">
        <f ca="1">IFERROR(__xludf.DUMMYFUNCTION("""COMPUTED_VALUE"""),45824)</f>
        <v>45824</v>
      </c>
      <c r="S295" s="44">
        <f ca="1">IFERROR(__xludf.DUMMYFUNCTION("""COMPUTED_VALUE"""),45883)</f>
        <v>45883</v>
      </c>
      <c r="T295" s="45" t="str">
        <f ca="1">IFERROR(__xludf.DUMMYFUNCTION("""COMPUTED_VALUE"""),"Mississauga, ON, CA")</f>
        <v>Mississauga, ON, CA</v>
      </c>
      <c r="U295" s="45"/>
      <c r="V295" s="45"/>
      <c r="W295" s="45"/>
      <c r="X295" s="45"/>
      <c r="Y295" s="46">
        <f ca="1">IFERROR(__xludf.DUMMYFUNCTION("""COMPUTED_VALUE"""),45832)</f>
        <v>45832</v>
      </c>
      <c r="Z295" s="46">
        <f ca="1">IFERROR(__xludf.DUMMYFUNCTION("""COMPUTED_VALUE"""),45861)</f>
        <v>45861</v>
      </c>
      <c r="AA295" s="46">
        <f ca="1">IFERROR(__xludf.DUMMYFUNCTION("""COMPUTED_VALUE"""),45874)</f>
        <v>45874</v>
      </c>
      <c r="AB295" s="45" t="str">
        <f ca="1">IFERROR(__xludf.DUMMYFUNCTION("""COMPUTED_VALUE"""),"3500 Argentia Road")</f>
        <v>3500 Argentia Road</v>
      </c>
      <c r="AC295" s="45"/>
      <c r="AD295" s="45" t="str">
        <f ca="1">IFERROR(__xludf.DUMMYFUNCTION("""COMPUTED_VALUE"""),"OCEAN")</f>
        <v>OCEAN</v>
      </c>
      <c r="AE295" s="45" t="str">
        <f ca="1">IFERROR(__xludf.DUMMYFUNCTION("""COMPUTED_VALUE"""),"N")</f>
        <v>N</v>
      </c>
      <c r="AF295" s="45"/>
      <c r="AG295" s="49" t="str">
        <f ca="1">IFERROR(__xludf.DUMMYFUNCTION("IFNA(vlookup(H295,IMPORTRANGE(""1vUGwO1n0QQGx9kKbO0_M5gmuhXZ6-LaxQxgrmJnzgP0"",""'TP# look up'!A:C""),3,0),"""")"),"")</f>
        <v/>
      </c>
      <c r="AH295" s="49" t="str">
        <f t="shared" ca="1" si="4"/>
        <v>LW</v>
      </c>
    </row>
    <row r="296" spans="1:34" ht="12.75" hidden="1">
      <c r="A296" s="45" t="str">
        <f ca="1">IFERROR(__xludf.DUMMYFUNCTION("""COMPUTED_VALUE"""),"Colombo")</f>
        <v>Colombo</v>
      </c>
      <c r="B296" s="45"/>
      <c r="C296" s="45">
        <f ca="1">IFERROR(__xludf.DUMMYFUNCTION("""COMPUTED_VALUE"""),3254506)</f>
        <v>3254506</v>
      </c>
      <c r="D296" s="45"/>
      <c r="E296" s="45" t="str">
        <f ca="1">IFERROR(__xludf.DUMMYFUNCTION("""COMPUTED_VALUE"""),"CFS")</f>
        <v>CFS</v>
      </c>
      <c r="F296" s="45" t="str">
        <f ca="1">IFERROR(__xludf.DUMMYFUNCTION("""COMPUTED_VALUE"""),"Bodyline Trading (Private) Limited")</f>
        <v>Bodyline Trading (Private) Limited</v>
      </c>
      <c r="G296" s="45" t="str">
        <f ca="1">IFERROR(__xludf.DUMMYFUNCTION("""COMPUTED_VALUE"""),"Bodyline (Private) Limited")</f>
        <v>Bodyline (Private) Limited</v>
      </c>
      <c r="H296" s="43">
        <f ca="1">IFERROR(__xludf.DUMMYFUNCTION("""COMPUTED_VALUE"""),452717677611)</f>
        <v>452717677611</v>
      </c>
      <c r="I296" s="45">
        <f ca="1">IFERROR(__xludf.DUMMYFUNCTION("""COMPUTED_VALUE"""),19843863)</f>
        <v>19843863</v>
      </c>
      <c r="J296" s="45" t="str">
        <f ca="1">IFERROR(__xludf.DUMMYFUNCTION("""COMPUTED_VALUE"""),"LW1FM7S")</f>
        <v>LW1FM7S</v>
      </c>
      <c r="K296" s="45" t="str">
        <f ca="1">IFERROR(__xludf.DUMMYFUNCTION("""COMPUTED_VALUE"""),"LW1FM7S-033454")</f>
        <v>LW1FM7S-033454</v>
      </c>
      <c r="L296" s="45">
        <f ca="1">IFERROR(__xludf.DUMMYFUNCTION("""COMPUTED_VALUE"""),13)</f>
        <v>13</v>
      </c>
      <c r="M296" s="45">
        <f ca="1">IFERROR(__xludf.DUMMYFUNCTION("""COMPUTED_VALUE"""),734)</f>
        <v>734</v>
      </c>
      <c r="N296" s="45">
        <f ca="1">IFERROR(__xludf.DUMMYFUNCTION("""COMPUTED_VALUE"""),73.587)</f>
        <v>73.587000000000003</v>
      </c>
      <c r="O296" s="45">
        <f ca="1">IFERROR(__xludf.DUMMYFUNCTION("""COMPUTED_VALUE"""),0.571)</f>
        <v>0.57099999999999995</v>
      </c>
      <c r="P296" s="45" t="str">
        <f ca="1">IFERROR(__xludf.DUMMYFUNCTION("""COMPUTED_VALUE"""),"Colombo, LK")</f>
        <v>Colombo, LK</v>
      </c>
      <c r="Q296" s="45" t="str">
        <f ca="1">IFERROR(__xludf.DUMMYFUNCTION("""COMPUTED_VALUE"""),"New York, NY, US")</f>
        <v>New York, NY, US</v>
      </c>
      <c r="R296" s="44">
        <f ca="1">IFERROR(__xludf.DUMMYFUNCTION("""COMPUTED_VALUE"""),45824)</f>
        <v>45824</v>
      </c>
      <c r="S296" s="44">
        <f ca="1">IFERROR(__xludf.DUMMYFUNCTION("""COMPUTED_VALUE"""),45883)</f>
        <v>45883</v>
      </c>
      <c r="T296" s="45" t="str">
        <f ca="1">IFERROR(__xludf.DUMMYFUNCTION("""COMPUTED_VALUE"""),"Mississauga, ON, CA")</f>
        <v>Mississauga, ON, CA</v>
      </c>
      <c r="U296" s="45"/>
      <c r="V296" s="45"/>
      <c r="W296" s="45"/>
      <c r="X296" s="45"/>
      <c r="Y296" s="46">
        <f ca="1">IFERROR(__xludf.DUMMYFUNCTION("""COMPUTED_VALUE"""),45832)</f>
        <v>45832</v>
      </c>
      <c r="Z296" s="46">
        <f ca="1">IFERROR(__xludf.DUMMYFUNCTION("""COMPUTED_VALUE"""),45861)</f>
        <v>45861</v>
      </c>
      <c r="AA296" s="46">
        <f ca="1">IFERROR(__xludf.DUMMYFUNCTION("""COMPUTED_VALUE"""),45874)</f>
        <v>45874</v>
      </c>
      <c r="AB296" s="45" t="str">
        <f ca="1">IFERROR(__xludf.DUMMYFUNCTION("""COMPUTED_VALUE"""),"3500 Argentia Road")</f>
        <v>3500 Argentia Road</v>
      </c>
      <c r="AC296" s="45"/>
      <c r="AD296" s="45" t="str">
        <f ca="1">IFERROR(__xludf.DUMMYFUNCTION("""COMPUTED_VALUE"""),"OCEAN")</f>
        <v>OCEAN</v>
      </c>
      <c r="AE296" s="45" t="str">
        <f ca="1">IFERROR(__xludf.DUMMYFUNCTION("""COMPUTED_VALUE"""),"N")</f>
        <v>N</v>
      </c>
      <c r="AF296" s="45"/>
      <c r="AG296" s="49" t="str">
        <f ca="1">IFERROR(__xludf.DUMMYFUNCTION("IFNA(vlookup(H296,IMPORTRANGE(""1vUGwO1n0QQGx9kKbO0_M5gmuhXZ6-LaxQxgrmJnzgP0"",""'TP# look up'!A:C""),3,0),"""")"),"")</f>
        <v/>
      </c>
      <c r="AH296" s="49" t="str">
        <f t="shared" ca="1" si="4"/>
        <v>LW</v>
      </c>
    </row>
    <row r="297" spans="1:34" ht="12.75" hidden="1">
      <c r="A297" s="45" t="str">
        <f ca="1">IFERROR(__xludf.DUMMYFUNCTION("""COMPUTED_VALUE"""),"Colombo")</f>
        <v>Colombo</v>
      </c>
      <c r="B297" s="45"/>
      <c r="C297" s="45">
        <f ca="1">IFERROR(__xludf.DUMMYFUNCTION("""COMPUTED_VALUE"""),3254506)</f>
        <v>3254506</v>
      </c>
      <c r="D297" s="45"/>
      <c r="E297" s="45" t="str">
        <f ca="1">IFERROR(__xludf.DUMMYFUNCTION("""COMPUTED_VALUE"""),"CFS")</f>
        <v>CFS</v>
      </c>
      <c r="F297" s="45" t="str">
        <f ca="1">IFERROR(__xludf.DUMMYFUNCTION("""COMPUTED_VALUE"""),"Bodyline Trading (Private) Limited")</f>
        <v>Bodyline Trading (Private) Limited</v>
      </c>
      <c r="G297" s="45" t="str">
        <f ca="1">IFERROR(__xludf.DUMMYFUNCTION("""COMPUTED_VALUE"""),"Bodyline (Private) Limited")</f>
        <v>Bodyline (Private) Limited</v>
      </c>
      <c r="H297" s="43">
        <f ca="1">IFERROR(__xludf.DUMMYFUNCTION("""COMPUTED_VALUE"""),452718209567)</f>
        <v>452718209567</v>
      </c>
      <c r="I297" s="45">
        <f ca="1">IFERROR(__xludf.DUMMYFUNCTION("""COMPUTED_VALUE"""),19843867)</f>
        <v>19843867</v>
      </c>
      <c r="J297" s="45" t="str">
        <f ca="1">IFERROR(__xludf.DUMMYFUNCTION("""COMPUTED_VALUE"""),"LW1FM7S")</f>
        <v>LW1FM7S</v>
      </c>
      <c r="K297" s="45" t="str">
        <f ca="1">IFERROR(__xludf.DUMMYFUNCTION("""COMPUTED_VALUE"""),"LW1FM7S-033454")</f>
        <v>LW1FM7S-033454</v>
      </c>
      <c r="L297" s="45">
        <f ca="1">IFERROR(__xludf.DUMMYFUNCTION("""COMPUTED_VALUE"""),12)</f>
        <v>12</v>
      </c>
      <c r="M297" s="45">
        <f ca="1">IFERROR(__xludf.DUMMYFUNCTION("""COMPUTED_VALUE"""),706)</f>
        <v>706</v>
      </c>
      <c r="N297" s="45">
        <f ca="1">IFERROR(__xludf.DUMMYFUNCTION("""COMPUTED_VALUE"""),70.328)</f>
        <v>70.328000000000003</v>
      </c>
      <c r="O297" s="45">
        <f ca="1">IFERROR(__xludf.DUMMYFUNCTION("""COMPUTED_VALUE"""),0.527)</f>
        <v>0.52700000000000002</v>
      </c>
      <c r="P297" s="45" t="str">
        <f ca="1">IFERROR(__xludf.DUMMYFUNCTION("""COMPUTED_VALUE"""),"Colombo, LK")</f>
        <v>Colombo, LK</v>
      </c>
      <c r="Q297" s="45" t="str">
        <f ca="1">IFERROR(__xludf.DUMMYFUNCTION("""COMPUTED_VALUE"""),"New York, NY, US")</f>
        <v>New York, NY, US</v>
      </c>
      <c r="R297" s="44">
        <f ca="1">IFERROR(__xludf.DUMMYFUNCTION("""COMPUTED_VALUE"""),45824)</f>
        <v>45824</v>
      </c>
      <c r="S297" s="44">
        <f ca="1">IFERROR(__xludf.DUMMYFUNCTION("""COMPUTED_VALUE"""),45883)</f>
        <v>45883</v>
      </c>
      <c r="T297" s="45" t="str">
        <f ca="1">IFERROR(__xludf.DUMMYFUNCTION("""COMPUTED_VALUE"""),"Mississauga, ON, CA")</f>
        <v>Mississauga, ON, CA</v>
      </c>
      <c r="U297" s="45"/>
      <c r="V297" s="45"/>
      <c r="W297" s="45"/>
      <c r="X297" s="45"/>
      <c r="Y297" s="46">
        <f ca="1">IFERROR(__xludf.DUMMYFUNCTION("""COMPUTED_VALUE"""),45832)</f>
        <v>45832</v>
      </c>
      <c r="Z297" s="46">
        <f ca="1">IFERROR(__xludf.DUMMYFUNCTION("""COMPUTED_VALUE"""),45861)</f>
        <v>45861</v>
      </c>
      <c r="AA297" s="46">
        <f ca="1">IFERROR(__xludf.DUMMYFUNCTION("""COMPUTED_VALUE"""),45874)</f>
        <v>45874</v>
      </c>
      <c r="AB297" s="45" t="str">
        <f ca="1">IFERROR(__xludf.DUMMYFUNCTION("""COMPUTED_VALUE"""),"3500 Argentia Road")</f>
        <v>3500 Argentia Road</v>
      </c>
      <c r="AC297" s="45"/>
      <c r="AD297" s="45" t="str">
        <f ca="1">IFERROR(__xludf.DUMMYFUNCTION("""COMPUTED_VALUE"""),"OCEAN")</f>
        <v>OCEAN</v>
      </c>
      <c r="AE297" s="45" t="str">
        <f ca="1">IFERROR(__xludf.DUMMYFUNCTION("""COMPUTED_VALUE"""),"N")</f>
        <v>N</v>
      </c>
      <c r="AF297" s="45"/>
      <c r="AG297" s="49" t="str">
        <f ca="1">IFERROR(__xludf.DUMMYFUNCTION("IFNA(vlookup(H297,IMPORTRANGE(""1vUGwO1n0QQGx9kKbO0_M5gmuhXZ6-LaxQxgrmJnzgP0"",""'TP# look up'!A:C""),3,0),"""")"),"")</f>
        <v/>
      </c>
      <c r="AH297" s="49" t="str">
        <f t="shared" ca="1" si="4"/>
        <v>LW</v>
      </c>
    </row>
    <row r="298" spans="1:34" ht="12.75" hidden="1">
      <c r="A298" s="45" t="str">
        <f ca="1">IFERROR(__xludf.DUMMYFUNCTION("""COMPUTED_VALUE"""),"Colombo")</f>
        <v>Colombo</v>
      </c>
      <c r="B298" s="45"/>
      <c r="C298" s="45">
        <f ca="1">IFERROR(__xludf.DUMMYFUNCTION("""COMPUTED_VALUE"""),3254506)</f>
        <v>3254506</v>
      </c>
      <c r="D298" s="45"/>
      <c r="E298" s="45" t="str">
        <f ca="1">IFERROR(__xludf.DUMMYFUNCTION("""COMPUTED_VALUE"""),"CFS")</f>
        <v>CFS</v>
      </c>
      <c r="F298" s="45" t="str">
        <f ca="1">IFERROR(__xludf.DUMMYFUNCTION("""COMPUTED_VALUE"""),"Bodyline Trading (Private) Limited")</f>
        <v>Bodyline Trading (Private) Limited</v>
      </c>
      <c r="G298" s="45" t="str">
        <f ca="1">IFERROR(__xludf.DUMMYFUNCTION("""COMPUTED_VALUE"""),"Bodyline (Private) Limited")</f>
        <v>Bodyline (Private) Limited</v>
      </c>
      <c r="H298" s="43">
        <f ca="1">IFERROR(__xludf.DUMMYFUNCTION("""COMPUTED_VALUE"""),452719229489)</f>
        <v>452719229489</v>
      </c>
      <c r="I298" s="45">
        <f ca="1">IFERROR(__xludf.DUMMYFUNCTION("""COMPUTED_VALUE"""),19878633)</f>
        <v>19878633</v>
      </c>
      <c r="J298" s="45" t="str">
        <f ca="1">IFERROR(__xludf.DUMMYFUNCTION("""COMPUTED_VALUE"""),"LW2CRHS")</f>
        <v>LW2CRHS</v>
      </c>
      <c r="K298" s="45" t="str">
        <f ca="1">IFERROR(__xludf.DUMMYFUNCTION("""COMPUTED_VALUE"""),"LW2CRHS-068585")</f>
        <v>LW2CRHS-068585</v>
      </c>
      <c r="L298" s="45">
        <f ca="1">IFERROR(__xludf.DUMMYFUNCTION("""COMPUTED_VALUE"""),12)</f>
        <v>12</v>
      </c>
      <c r="M298" s="45">
        <f ca="1">IFERROR(__xludf.DUMMYFUNCTION("""COMPUTED_VALUE"""),679)</f>
        <v>679</v>
      </c>
      <c r="N298" s="45">
        <f ca="1">IFERROR(__xludf.DUMMYFUNCTION("""COMPUTED_VALUE"""),80.736)</f>
        <v>80.736000000000004</v>
      </c>
      <c r="O298" s="45">
        <f ca="1">IFERROR(__xludf.DUMMYFUNCTION("""COMPUTED_VALUE"""),0.93)</f>
        <v>0.93</v>
      </c>
      <c r="P298" s="45" t="str">
        <f ca="1">IFERROR(__xludf.DUMMYFUNCTION("""COMPUTED_VALUE"""),"Colombo, LK")</f>
        <v>Colombo, LK</v>
      </c>
      <c r="Q298" s="45" t="str">
        <f ca="1">IFERROR(__xludf.DUMMYFUNCTION("""COMPUTED_VALUE"""),"New York, NY, US")</f>
        <v>New York, NY, US</v>
      </c>
      <c r="R298" s="44">
        <f ca="1">IFERROR(__xludf.DUMMYFUNCTION("""COMPUTED_VALUE"""),45824)</f>
        <v>45824</v>
      </c>
      <c r="S298" s="44">
        <f ca="1">IFERROR(__xludf.DUMMYFUNCTION("""COMPUTED_VALUE"""),45883)</f>
        <v>45883</v>
      </c>
      <c r="T298" s="45" t="str">
        <f ca="1">IFERROR(__xludf.DUMMYFUNCTION("""COMPUTED_VALUE"""),"Mississauga, ON, CA")</f>
        <v>Mississauga, ON, CA</v>
      </c>
      <c r="U298" s="45"/>
      <c r="V298" s="45"/>
      <c r="W298" s="45"/>
      <c r="X298" s="45"/>
      <c r="Y298" s="46">
        <f ca="1">IFERROR(__xludf.DUMMYFUNCTION("""COMPUTED_VALUE"""),45832)</f>
        <v>45832</v>
      </c>
      <c r="Z298" s="46">
        <f ca="1">IFERROR(__xludf.DUMMYFUNCTION("""COMPUTED_VALUE"""),45861)</f>
        <v>45861</v>
      </c>
      <c r="AA298" s="46">
        <f ca="1">IFERROR(__xludf.DUMMYFUNCTION("""COMPUTED_VALUE"""),45874)</f>
        <v>45874</v>
      </c>
      <c r="AB298" s="45" t="str">
        <f ca="1">IFERROR(__xludf.DUMMYFUNCTION("""COMPUTED_VALUE"""),"3500 Argentia Road")</f>
        <v>3500 Argentia Road</v>
      </c>
      <c r="AC298" s="45"/>
      <c r="AD298" s="45" t="str">
        <f ca="1">IFERROR(__xludf.DUMMYFUNCTION("""COMPUTED_VALUE"""),"OCEAN")</f>
        <v>OCEAN</v>
      </c>
      <c r="AE298" s="45" t="str">
        <f ca="1">IFERROR(__xludf.DUMMYFUNCTION("""COMPUTED_VALUE"""),"N")</f>
        <v>N</v>
      </c>
      <c r="AF298" s="45"/>
      <c r="AG298" s="49" t="str">
        <f ca="1">IFERROR(__xludf.DUMMYFUNCTION("IFNA(vlookup(H298,IMPORTRANGE(""1vUGwO1n0QQGx9kKbO0_M5gmuhXZ6-LaxQxgrmJnzgP0"",""'TP# look up'!A:C""),3,0),"""")"),"")</f>
        <v/>
      </c>
      <c r="AH298" s="49" t="str">
        <f t="shared" ca="1" si="4"/>
        <v>LW</v>
      </c>
    </row>
    <row r="299" spans="1:34" ht="12.75" hidden="1">
      <c r="A299" s="45" t="str">
        <f ca="1">IFERROR(__xludf.DUMMYFUNCTION("""COMPUTED_VALUE"""),"Colombo")</f>
        <v>Colombo</v>
      </c>
      <c r="B299" s="45"/>
      <c r="C299" s="45">
        <f ca="1">IFERROR(__xludf.DUMMYFUNCTION("""COMPUTED_VALUE"""),3254506)</f>
        <v>3254506</v>
      </c>
      <c r="D299" s="45"/>
      <c r="E299" s="45" t="str">
        <f ca="1">IFERROR(__xludf.DUMMYFUNCTION("""COMPUTED_VALUE"""),"CFS")</f>
        <v>CFS</v>
      </c>
      <c r="F299" s="45" t="str">
        <f ca="1">IFERROR(__xludf.DUMMYFUNCTION("""COMPUTED_VALUE"""),"Bodyline Trading (Private) Limited")</f>
        <v>Bodyline Trading (Private) Limited</v>
      </c>
      <c r="G299" s="45" t="str">
        <f ca="1">IFERROR(__xludf.DUMMYFUNCTION("""COMPUTED_VALUE"""),"Bodyline (Private) Limited")</f>
        <v>Bodyline (Private) Limited</v>
      </c>
      <c r="H299" s="43">
        <f ca="1">IFERROR(__xludf.DUMMYFUNCTION("""COMPUTED_VALUE"""),452720877605)</f>
        <v>452720877605</v>
      </c>
      <c r="I299" s="45">
        <f ca="1">IFERROR(__xludf.DUMMYFUNCTION("""COMPUTED_VALUE"""),19878628)</f>
        <v>19878628</v>
      </c>
      <c r="J299" s="45" t="str">
        <f ca="1">IFERROR(__xludf.DUMMYFUNCTION("""COMPUTED_VALUE"""),"LW2DW4S")</f>
        <v>LW2DW4S</v>
      </c>
      <c r="K299" s="45" t="str">
        <f ca="1">IFERROR(__xludf.DUMMYFUNCTION("""COMPUTED_VALUE"""),"LW2DW4S-071189")</f>
        <v>LW2DW4S-071189</v>
      </c>
      <c r="L299" s="45">
        <f ca="1">IFERROR(__xludf.DUMMYFUNCTION("""COMPUTED_VALUE"""),1)</f>
        <v>1</v>
      </c>
      <c r="M299" s="45">
        <f ca="1">IFERROR(__xludf.DUMMYFUNCTION("""COMPUTED_VALUE"""),27)</f>
        <v>27</v>
      </c>
      <c r="N299" s="45">
        <f ca="1">IFERROR(__xludf.DUMMYFUNCTION("""COMPUTED_VALUE"""),3.757)</f>
        <v>3.7570000000000001</v>
      </c>
      <c r="O299" s="45">
        <f ca="1">IFERROR(__xludf.DUMMYFUNCTION("""COMPUTED_VALUE"""),0.044)</f>
        <v>4.3999999999999997E-2</v>
      </c>
      <c r="P299" s="45" t="str">
        <f ca="1">IFERROR(__xludf.DUMMYFUNCTION("""COMPUTED_VALUE"""),"Colombo, LK")</f>
        <v>Colombo, LK</v>
      </c>
      <c r="Q299" s="45" t="str">
        <f ca="1">IFERROR(__xludf.DUMMYFUNCTION("""COMPUTED_VALUE"""),"New York, NY, US")</f>
        <v>New York, NY, US</v>
      </c>
      <c r="R299" s="44">
        <f ca="1">IFERROR(__xludf.DUMMYFUNCTION("""COMPUTED_VALUE"""),45824)</f>
        <v>45824</v>
      </c>
      <c r="S299" s="44">
        <f ca="1">IFERROR(__xludf.DUMMYFUNCTION("""COMPUTED_VALUE"""),45883)</f>
        <v>45883</v>
      </c>
      <c r="T299" s="45" t="str">
        <f ca="1">IFERROR(__xludf.DUMMYFUNCTION("""COMPUTED_VALUE"""),"Mississauga, ON, CA")</f>
        <v>Mississauga, ON, CA</v>
      </c>
      <c r="U299" s="45"/>
      <c r="V299" s="45"/>
      <c r="W299" s="45"/>
      <c r="X299" s="45"/>
      <c r="Y299" s="46">
        <f ca="1">IFERROR(__xludf.DUMMYFUNCTION("""COMPUTED_VALUE"""),45825)</f>
        <v>45825</v>
      </c>
      <c r="Z299" s="46">
        <f ca="1">IFERROR(__xludf.DUMMYFUNCTION("""COMPUTED_VALUE"""),45861)</f>
        <v>45861</v>
      </c>
      <c r="AA299" s="46">
        <f ca="1">IFERROR(__xludf.DUMMYFUNCTION("""COMPUTED_VALUE"""),45874)</f>
        <v>45874</v>
      </c>
      <c r="AB299" s="45" t="str">
        <f ca="1">IFERROR(__xludf.DUMMYFUNCTION("""COMPUTED_VALUE"""),"3500 Argentia Road")</f>
        <v>3500 Argentia Road</v>
      </c>
      <c r="AC299" s="45"/>
      <c r="AD299" s="45" t="str">
        <f ca="1">IFERROR(__xludf.DUMMYFUNCTION("""COMPUTED_VALUE"""),"OCEAN")</f>
        <v>OCEAN</v>
      </c>
      <c r="AE299" s="45" t="str">
        <f ca="1">IFERROR(__xludf.DUMMYFUNCTION("""COMPUTED_VALUE"""),"N")</f>
        <v>N</v>
      </c>
      <c r="AF299" s="45"/>
      <c r="AG299" s="49" t="str">
        <f ca="1">IFERROR(__xludf.DUMMYFUNCTION("IFNA(vlookup(H299,IMPORTRANGE(""1vUGwO1n0QQGx9kKbO0_M5gmuhXZ6-LaxQxgrmJnzgP0"",""'TP# look up'!A:C""),3,0),"""")"),"")</f>
        <v/>
      </c>
      <c r="AH299" s="49" t="str">
        <f t="shared" ca="1" si="4"/>
        <v>LW</v>
      </c>
    </row>
    <row r="300" spans="1:34" ht="12.75" hidden="1">
      <c r="A300" s="45" t="str">
        <f ca="1">IFERROR(__xludf.DUMMYFUNCTION("""COMPUTED_VALUE"""),"Colombo")</f>
        <v>Colombo</v>
      </c>
      <c r="B300" s="45"/>
      <c r="C300" s="45">
        <f ca="1">IFERROR(__xludf.DUMMYFUNCTION("""COMPUTED_VALUE"""),3254506)</f>
        <v>3254506</v>
      </c>
      <c r="D300" s="45"/>
      <c r="E300" s="45" t="str">
        <f ca="1">IFERROR(__xludf.DUMMYFUNCTION("""COMPUTED_VALUE"""),"CFS")</f>
        <v>CFS</v>
      </c>
      <c r="F300" s="45" t="str">
        <f ca="1">IFERROR(__xludf.DUMMYFUNCTION("""COMPUTED_VALUE"""),"Bodyline Trading (Private) Limited")</f>
        <v>Bodyline Trading (Private) Limited</v>
      </c>
      <c r="G300" s="45" t="str">
        <f ca="1">IFERROR(__xludf.DUMMYFUNCTION("""COMPUTED_VALUE"""),"Bodyline (Private) Limited")</f>
        <v>Bodyline (Private) Limited</v>
      </c>
      <c r="H300" s="43">
        <f ca="1">IFERROR(__xludf.DUMMYFUNCTION("""COMPUTED_VALUE"""),452721772655)</f>
        <v>452721772655</v>
      </c>
      <c r="I300" s="45">
        <f ca="1">IFERROR(__xludf.DUMMYFUNCTION("""COMPUTED_VALUE"""),19911482)</f>
        <v>19911482</v>
      </c>
      <c r="J300" s="45" t="str">
        <f ca="1">IFERROR(__xludf.DUMMYFUNCTION("""COMPUTED_VALUE"""),"LW2ELMS")</f>
        <v>LW2ELMS</v>
      </c>
      <c r="K300" s="45" t="str">
        <f ca="1">IFERROR(__xludf.DUMMYFUNCTION("""COMPUTED_VALUE"""),"LW2ELMS-0001")</f>
        <v>LW2ELMS-0001</v>
      </c>
      <c r="L300" s="45">
        <f ca="1">IFERROR(__xludf.DUMMYFUNCTION("""COMPUTED_VALUE"""),3)</f>
        <v>3</v>
      </c>
      <c r="M300" s="45">
        <f ca="1">IFERROR(__xludf.DUMMYFUNCTION("""COMPUTED_VALUE"""),118)</f>
        <v>118</v>
      </c>
      <c r="N300" s="45">
        <f ca="1">IFERROR(__xludf.DUMMYFUNCTION("""COMPUTED_VALUE"""),21.852)</f>
        <v>21.852</v>
      </c>
      <c r="O300" s="45">
        <f ca="1">IFERROR(__xludf.DUMMYFUNCTION("""COMPUTED_VALUE"""),0.242)</f>
        <v>0.24199999999999999</v>
      </c>
      <c r="P300" s="45" t="str">
        <f ca="1">IFERROR(__xludf.DUMMYFUNCTION("""COMPUTED_VALUE"""),"Colombo, LK")</f>
        <v>Colombo, LK</v>
      </c>
      <c r="Q300" s="45" t="str">
        <f ca="1">IFERROR(__xludf.DUMMYFUNCTION("""COMPUTED_VALUE"""),"New York, NY, US")</f>
        <v>New York, NY, US</v>
      </c>
      <c r="R300" s="44">
        <f ca="1">IFERROR(__xludf.DUMMYFUNCTION("""COMPUTED_VALUE"""),45824)</f>
        <v>45824</v>
      </c>
      <c r="S300" s="44">
        <f ca="1">IFERROR(__xludf.DUMMYFUNCTION("""COMPUTED_VALUE"""),45883)</f>
        <v>45883</v>
      </c>
      <c r="T300" s="45" t="str">
        <f ca="1">IFERROR(__xludf.DUMMYFUNCTION("""COMPUTED_VALUE"""),"Mississauga, ON, CA")</f>
        <v>Mississauga, ON, CA</v>
      </c>
      <c r="U300" s="45"/>
      <c r="V300" s="45"/>
      <c r="W300" s="45"/>
      <c r="X300" s="45"/>
      <c r="Y300" s="46">
        <f ca="1">IFERROR(__xludf.DUMMYFUNCTION("""COMPUTED_VALUE"""),45825)</f>
        <v>45825</v>
      </c>
      <c r="Z300" s="46">
        <f ca="1">IFERROR(__xludf.DUMMYFUNCTION("""COMPUTED_VALUE"""),45861)</f>
        <v>45861</v>
      </c>
      <c r="AA300" s="46">
        <f ca="1">IFERROR(__xludf.DUMMYFUNCTION("""COMPUTED_VALUE"""),45874)</f>
        <v>45874</v>
      </c>
      <c r="AB300" s="45" t="str">
        <f ca="1">IFERROR(__xludf.DUMMYFUNCTION("""COMPUTED_VALUE"""),"3500 Argentia Road")</f>
        <v>3500 Argentia Road</v>
      </c>
      <c r="AC300" s="45"/>
      <c r="AD300" s="45" t="str">
        <f ca="1">IFERROR(__xludf.DUMMYFUNCTION("""COMPUTED_VALUE"""),"OCEAN")</f>
        <v>OCEAN</v>
      </c>
      <c r="AE300" s="45" t="str">
        <f ca="1">IFERROR(__xludf.DUMMYFUNCTION("""COMPUTED_VALUE"""),"N")</f>
        <v>N</v>
      </c>
      <c r="AF300" s="45"/>
      <c r="AG300" s="49" t="str">
        <f ca="1">IFERROR(__xludf.DUMMYFUNCTION("IFNA(vlookup(H300,IMPORTRANGE(""1vUGwO1n0QQGx9kKbO0_M5gmuhXZ6-LaxQxgrmJnzgP0"",""'TP# look up'!A:C""),3,0),"""")"),"")</f>
        <v/>
      </c>
      <c r="AH300" s="49" t="str">
        <f t="shared" ca="1" si="4"/>
        <v>LW</v>
      </c>
    </row>
    <row r="301" spans="1:34" ht="12.75" hidden="1">
      <c r="A301" s="45" t="str">
        <f ca="1">IFERROR(__xludf.DUMMYFUNCTION("""COMPUTED_VALUE"""),"Colombo")</f>
        <v>Colombo</v>
      </c>
      <c r="B301" s="45"/>
      <c r="C301" s="45">
        <f ca="1">IFERROR(__xludf.DUMMYFUNCTION("""COMPUTED_VALUE"""),3254506)</f>
        <v>3254506</v>
      </c>
      <c r="D301" s="45"/>
      <c r="E301" s="45" t="str">
        <f ca="1">IFERROR(__xludf.DUMMYFUNCTION("""COMPUTED_VALUE"""),"CFS")</f>
        <v>CFS</v>
      </c>
      <c r="F301" s="45" t="str">
        <f ca="1">IFERROR(__xludf.DUMMYFUNCTION("""COMPUTED_VALUE"""),"Bodyline Trading (Private) Limited")</f>
        <v>Bodyline Trading (Private) Limited</v>
      </c>
      <c r="G301" s="45" t="str">
        <f ca="1">IFERROR(__xludf.DUMMYFUNCTION("""COMPUTED_VALUE"""),"Bodyline (Private) Limited")</f>
        <v>Bodyline (Private) Limited</v>
      </c>
      <c r="H301" s="43">
        <f ca="1">IFERROR(__xludf.DUMMYFUNCTION("""COMPUTED_VALUE"""),452721779178)</f>
        <v>452721779178</v>
      </c>
      <c r="I301" s="45">
        <f ca="1">IFERROR(__xludf.DUMMYFUNCTION("""COMPUTED_VALUE"""),19931837)</f>
        <v>19931837</v>
      </c>
      <c r="J301" s="45" t="str">
        <f ca="1">IFERROR(__xludf.DUMMYFUNCTION("""COMPUTED_VALUE"""),"LW2ELMS")</f>
        <v>LW2ELMS</v>
      </c>
      <c r="K301" s="45" t="str">
        <f ca="1">IFERROR(__xludf.DUMMYFUNCTION("""COMPUTED_VALUE"""),"LW2ELMS-0001")</f>
        <v>LW2ELMS-0001</v>
      </c>
      <c r="L301" s="45">
        <f ca="1">IFERROR(__xludf.DUMMYFUNCTION("""COMPUTED_VALUE"""),6)</f>
        <v>6</v>
      </c>
      <c r="M301" s="45">
        <f ca="1">IFERROR(__xludf.DUMMYFUNCTION("""COMPUTED_VALUE"""),294)</f>
        <v>294</v>
      </c>
      <c r="N301" s="45">
        <f ca="1">IFERROR(__xludf.DUMMYFUNCTION("""COMPUTED_VALUE"""),52.708)</f>
        <v>52.707999999999998</v>
      </c>
      <c r="O301" s="45">
        <f ca="1">IFERROR(__xludf.DUMMYFUNCTION("""COMPUTED_VALUE"""),0.447)</f>
        <v>0.44700000000000001</v>
      </c>
      <c r="P301" s="45" t="str">
        <f ca="1">IFERROR(__xludf.DUMMYFUNCTION("""COMPUTED_VALUE"""),"Colombo, LK")</f>
        <v>Colombo, LK</v>
      </c>
      <c r="Q301" s="45" t="str">
        <f ca="1">IFERROR(__xludf.DUMMYFUNCTION("""COMPUTED_VALUE"""),"New York, NY, US")</f>
        <v>New York, NY, US</v>
      </c>
      <c r="R301" s="44">
        <f ca="1">IFERROR(__xludf.DUMMYFUNCTION("""COMPUTED_VALUE"""),45824)</f>
        <v>45824</v>
      </c>
      <c r="S301" s="44">
        <f ca="1">IFERROR(__xludf.DUMMYFUNCTION("""COMPUTED_VALUE"""),45883)</f>
        <v>45883</v>
      </c>
      <c r="T301" s="45" t="str">
        <f ca="1">IFERROR(__xludf.DUMMYFUNCTION("""COMPUTED_VALUE"""),"Mississauga, ON, CA")</f>
        <v>Mississauga, ON, CA</v>
      </c>
      <c r="U301" s="45"/>
      <c r="V301" s="45"/>
      <c r="W301" s="45"/>
      <c r="X301" s="45"/>
      <c r="Y301" s="46">
        <f ca="1">IFERROR(__xludf.DUMMYFUNCTION("""COMPUTED_VALUE"""),45825)</f>
        <v>45825</v>
      </c>
      <c r="Z301" s="46">
        <f ca="1">IFERROR(__xludf.DUMMYFUNCTION("""COMPUTED_VALUE"""),45861)</f>
        <v>45861</v>
      </c>
      <c r="AA301" s="46">
        <f ca="1">IFERROR(__xludf.DUMMYFUNCTION("""COMPUTED_VALUE"""),45874)</f>
        <v>45874</v>
      </c>
      <c r="AB301" s="45" t="str">
        <f ca="1">IFERROR(__xludf.DUMMYFUNCTION("""COMPUTED_VALUE"""),"3500 Argentia Road")</f>
        <v>3500 Argentia Road</v>
      </c>
      <c r="AC301" s="45"/>
      <c r="AD301" s="45" t="str">
        <f ca="1">IFERROR(__xludf.DUMMYFUNCTION("""COMPUTED_VALUE"""),"OCEAN")</f>
        <v>OCEAN</v>
      </c>
      <c r="AE301" s="45" t="str">
        <f ca="1">IFERROR(__xludf.DUMMYFUNCTION("""COMPUTED_VALUE"""),"N")</f>
        <v>N</v>
      </c>
      <c r="AF301" s="45"/>
      <c r="AG301" s="49" t="str">
        <f ca="1">IFERROR(__xludf.DUMMYFUNCTION("IFNA(vlookup(H301,IMPORTRANGE(""1vUGwO1n0QQGx9kKbO0_M5gmuhXZ6-LaxQxgrmJnzgP0"",""'TP# look up'!A:C""),3,0),"""")"),"")</f>
        <v/>
      </c>
      <c r="AH301" s="49" t="str">
        <f t="shared" ca="1" si="4"/>
        <v>LW</v>
      </c>
    </row>
    <row r="302" spans="1:34" ht="12.75" hidden="1">
      <c r="A302" s="45" t="str">
        <f ca="1">IFERROR(__xludf.DUMMYFUNCTION("""COMPUTED_VALUE"""),"Colombo")</f>
        <v>Colombo</v>
      </c>
      <c r="B302" s="45"/>
      <c r="C302" s="45">
        <f ca="1">IFERROR(__xludf.DUMMYFUNCTION("""COMPUTED_VALUE"""),3254506)</f>
        <v>3254506</v>
      </c>
      <c r="D302" s="45"/>
      <c r="E302" s="45" t="str">
        <f ca="1">IFERROR(__xludf.DUMMYFUNCTION("""COMPUTED_VALUE"""),"CFS")</f>
        <v>CFS</v>
      </c>
      <c r="F302" s="45" t="str">
        <f ca="1">IFERROR(__xludf.DUMMYFUNCTION("""COMPUTED_VALUE"""),"Bodyline Trading (Private) Limited")</f>
        <v>Bodyline Trading (Private) Limited</v>
      </c>
      <c r="G302" s="45" t="str">
        <f ca="1">IFERROR(__xludf.DUMMYFUNCTION("""COMPUTED_VALUE"""),"Bodyline (Private) Limited")</f>
        <v>Bodyline (Private) Limited</v>
      </c>
      <c r="H302" s="43">
        <f ca="1">IFERROR(__xludf.DUMMYFUNCTION("""COMPUTED_VALUE"""),452723321938)</f>
        <v>452723321938</v>
      </c>
      <c r="I302" s="45">
        <f ca="1">IFERROR(__xludf.DUMMYFUNCTION("""COMPUTED_VALUE"""),19878927)</f>
        <v>19878927</v>
      </c>
      <c r="J302" s="45" t="str">
        <f ca="1">IFERROR(__xludf.DUMMYFUNCTION("""COMPUTED_VALUE"""),"LW2EB8S")</f>
        <v>LW2EB8S</v>
      </c>
      <c r="K302" s="45" t="str">
        <f ca="1">IFERROR(__xludf.DUMMYFUNCTION("""COMPUTED_VALUE"""),"LW2EB8S-071150")</f>
        <v>LW2EB8S-071150</v>
      </c>
      <c r="L302" s="45">
        <f ca="1">IFERROR(__xludf.DUMMYFUNCTION("""COMPUTED_VALUE"""),8)</f>
        <v>8</v>
      </c>
      <c r="M302" s="45">
        <f ca="1">IFERROR(__xludf.DUMMYFUNCTION("""COMPUTED_VALUE"""),433)</f>
        <v>433</v>
      </c>
      <c r="N302" s="45">
        <f ca="1">IFERROR(__xludf.DUMMYFUNCTION("""COMPUTED_VALUE"""),65.287)</f>
        <v>65.287000000000006</v>
      </c>
      <c r="O302" s="45">
        <f ca="1">IFERROR(__xludf.DUMMYFUNCTION("""COMPUTED_VALUE"""),0.644)</f>
        <v>0.64400000000000002</v>
      </c>
      <c r="P302" s="45" t="str">
        <f ca="1">IFERROR(__xludf.DUMMYFUNCTION("""COMPUTED_VALUE"""),"Colombo, LK")</f>
        <v>Colombo, LK</v>
      </c>
      <c r="Q302" s="45" t="str">
        <f ca="1">IFERROR(__xludf.DUMMYFUNCTION("""COMPUTED_VALUE"""),"New York, NY, US")</f>
        <v>New York, NY, US</v>
      </c>
      <c r="R302" s="44">
        <f ca="1">IFERROR(__xludf.DUMMYFUNCTION("""COMPUTED_VALUE"""),45824)</f>
        <v>45824</v>
      </c>
      <c r="S302" s="44">
        <f ca="1">IFERROR(__xludf.DUMMYFUNCTION("""COMPUTED_VALUE"""),45883)</f>
        <v>45883</v>
      </c>
      <c r="T302" s="45" t="str">
        <f ca="1">IFERROR(__xludf.DUMMYFUNCTION("""COMPUTED_VALUE"""),"Mississauga, ON, CA")</f>
        <v>Mississauga, ON, CA</v>
      </c>
      <c r="U302" s="45"/>
      <c r="V302" s="45"/>
      <c r="W302" s="45"/>
      <c r="X302" s="45"/>
      <c r="Y302" s="46">
        <f ca="1">IFERROR(__xludf.DUMMYFUNCTION("""COMPUTED_VALUE"""),45825)</f>
        <v>45825</v>
      </c>
      <c r="Z302" s="46">
        <f ca="1">IFERROR(__xludf.DUMMYFUNCTION("""COMPUTED_VALUE"""),45861)</f>
        <v>45861</v>
      </c>
      <c r="AA302" s="46">
        <f ca="1">IFERROR(__xludf.DUMMYFUNCTION("""COMPUTED_VALUE"""),45874)</f>
        <v>45874</v>
      </c>
      <c r="AB302" s="45" t="str">
        <f ca="1">IFERROR(__xludf.DUMMYFUNCTION("""COMPUTED_VALUE"""),"3500 Argentia Road")</f>
        <v>3500 Argentia Road</v>
      </c>
      <c r="AC302" s="45"/>
      <c r="AD302" s="45" t="str">
        <f ca="1">IFERROR(__xludf.DUMMYFUNCTION("""COMPUTED_VALUE"""),"OCEAN")</f>
        <v>OCEAN</v>
      </c>
      <c r="AE302" s="45" t="str">
        <f ca="1">IFERROR(__xludf.DUMMYFUNCTION("""COMPUTED_VALUE"""),"N")</f>
        <v>N</v>
      </c>
      <c r="AF302" s="45"/>
      <c r="AG302" s="49" t="str">
        <f ca="1">IFERROR(__xludf.DUMMYFUNCTION("IFNA(vlookup(H302,IMPORTRANGE(""1vUGwO1n0QQGx9kKbO0_M5gmuhXZ6-LaxQxgrmJnzgP0"",""'TP# look up'!A:C""),3,0),"""")"),"")</f>
        <v/>
      </c>
      <c r="AH302" s="49" t="str">
        <f t="shared" ca="1" si="4"/>
        <v>LW</v>
      </c>
    </row>
    <row r="303" spans="1:34" ht="12.75" hidden="1">
      <c r="A303" s="45" t="str">
        <f ca="1">IFERROR(__xludf.DUMMYFUNCTION("""COMPUTED_VALUE"""),"Colombo")</f>
        <v>Colombo</v>
      </c>
      <c r="B303" s="45"/>
      <c r="C303" s="45">
        <f ca="1">IFERROR(__xludf.DUMMYFUNCTION("""COMPUTED_VALUE"""),3254506)</f>
        <v>3254506</v>
      </c>
      <c r="D303" s="45"/>
      <c r="E303" s="45" t="str">
        <f ca="1">IFERROR(__xludf.DUMMYFUNCTION("""COMPUTED_VALUE"""),"CFS")</f>
        <v>CFS</v>
      </c>
      <c r="F303" s="45" t="str">
        <f ca="1">IFERROR(__xludf.DUMMYFUNCTION("""COMPUTED_VALUE"""),"Bodyline Trading (Private) Limited")</f>
        <v>Bodyline Trading (Private) Limited</v>
      </c>
      <c r="G303" s="45" t="str">
        <f ca="1">IFERROR(__xludf.DUMMYFUNCTION("""COMPUTED_VALUE"""),"Bodyline (Private) Limited")</f>
        <v>Bodyline (Private) Limited</v>
      </c>
      <c r="H303" s="43">
        <f ca="1">IFERROR(__xludf.DUMMYFUNCTION("""COMPUTED_VALUE"""),452725636619)</f>
        <v>452725636619</v>
      </c>
      <c r="I303" s="45">
        <f ca="1">IFERROR(__xludf.DUMMYFUNCTION("""COMPUTED_VALUE"""),19877410)</f>
        <v>19877410</v>
      </c>
      <c r="J303" s="45" t="str">
        <f ca="1">IFERROR(__xludf.DUMMYFUNCTION("""COMPUTED_VALUE"""),"LW2ED2S")</f>
        <v>LW2ED2S</v>
      </c>
      <c r="K303" s="45" t="str">
        <f ca="1">IFERROR(__xludf.DUMMYFUNCTION("""COMPUTED_VALUE"""),"LW2ED2S-0002")</f>
        <v>LW2ED2S-0002</v>
      </c>
      <c r="L303" s="45">
        <f ca="1">IFERROR(__xludf.DUMMYFUNCTION("""COMPUTED_VALUE"""),1)</f>
        <v>1</v>
      </c>
      <c r="M303" s="45">
        <f ca="1">IFERROR(__xludf.DUMMYFUNCTION("""COMPUTED_VALUE"""),38)</f>
        <v>38</v>
      </c>
      <c r="N303" s="45">
        <f ca="1">IFERROR(__xludf.DUMMYFUNCTION("""COMPUTED_VALUE"""),7.174)</f>
        <v>7.1740000000000004</v>
      </c>
      <c r="O303" s="45">
        <f ca="1">IFERROR(__xludf.DUMMYFUNCTION("""COMPUTED_VALUE"""),0.081)</f>
        <v>8.1000000000000003E-2</v>
      </c>
      <c r="P303" s="45" t="str">
        <f ca="1">IFERROR(__xludf.DUMMYFUNCTION("""COMPUTED_VALUE"""),"Colombo, LK")</f>
        <v>Colombo, LK</v>
      </c>
      <c r="Q303" s="45" t="str">
        <f ca="1">IFERROR(__xludf.DUMMYFUNCTION("""COMPUTED_VALUE"""),"New York, NY, US")</f>
        <v>New York, NY, US</v>
      </c>
      <c r="R303" s="44">
        <f ca="1">IFERROR(__xludf.DUMMYFUNCTION("""COMPUTED_VALUE"""),45824)</f>
        <v>45824</v>
      </c>
      <c r="S303" s="44">
        <f ca="1">IFERROR(__xludf.DUMMYFUNCTION("""COMPUTED_VALUE"""),45883)</f>
        <v>45883</v>
      </c>
      <c r="T303" s="45" t="str">
        <f ca="1">IFERROR(__xludf.DUMMYFUNCTION("""COMPUTED_VALUE"""),"Mississauga, ON, CA")</f>
        <v>Mississauga, ON, CA</v>
      </c>
      <c r="U303" s="45"/>
      <c r="V303" s="45"/>
      <c r="W303" s="45"/>
      <c r="X303" s="45"/>
      <c r="Y303" s="46">
        <f ca="1">IFERROR(__xludf.DUMMYFUNCTION("""COMPUTED_VALUE"""),45825)</f>
        <v>45825</v>
      </c>
      <c r="Z303" s="46">
        <f ca="1">IFERROR(__xludf.DUMMYFUNCTION("""COMPUTED_VALUE"""),45861)</f>
        <v>45861</v>
      </c>
      <c r="AA303" s="46">
        <f ca="1">IFERROR(__xludf.DUMMYFUNCTION("""COMPUTED_VALUE"""),45874)</f>
        <v>45874</v>
      </c>
      <c r="AB303" s="45" t="str">
        <f ca="1">IFERROR(__xludf.DUMMYFUNCTION("""COMPUTED_VALUE"""),"3500 Argentia Road")</f>
        <v>3500 Argentia Road</v>
      </c>
      <c r="AC303" s="45"/>
      <c r="AD303" s="45" t="str">
        <f ca="1">IFERROR(__xludf.DUMMYFUNCTION("""COMPUTED_VALUE"""),"OCEAN")</f>
        <v>OCEAN</v>
      </c>
      <c r="AE303" s="45" t="str">
        <f ca="1">IFERROR(__xludf.DUMMYFUNCTION("""COMPUTED_VALUE"""),"N")</f>
        <v>N</v>
      </c>
      <c r="AF303" s="45"/>
      <c r="AG303" s="49" t="str">
        <f ca="1">IFERROR(__xludf.DUMMYFUNCTION("IFNA(vlookup(H303,IMPORTRANGE(""1vUGwO1n0QQGx9kKbO0_M5gmuhXZ6-LaxQxgrmJnzgP0"",""'TP# look up'!A:C""),3,0),"""")"),"")</f>
        <v/>
      </c>
      <c r="AH303" s="49" t="str">
        <f t="shared" ca="1" si="4"/>
        <v>LW</v>
      </c>
    </row>
    <row r="304" spans="1:34" ht="12.75" hidden="1">
      <c r="A304" s="45" t="str">
        <f ca="1">IFERROR(__xludf.DUMMYFUNCTION("""COMPUTED_VALUE"""),"Colombo")</f>
        <v>Colombo</v>
      </c>
      <c r="B304" s="45"/>
      <c r="C304" s="45">
        <f ca="1">IFERROR(__xludf.DUMMYFUNCTION("""COMPUTED_VALUE"""),3254506)</f>
        <v>3254506</v>
      </c>
      <c r="D304" s="45"/>
      <c r="E304" s="45" t="str">
        <f ca="1">IFERROR(__xludf.DUMMYFUNCTION("""COMPUTED_VALUE"""),"CFS")</f>
        <v>CFS</v>
      </c>
      <c r="F304" s="45" t="str">
        <f ca="1">IFERROR(__xludf.DUMMYFUNCTION("""COMPUTED_VALUE"""),"Bodyline Trading (Private) Limited")</f>
        <v>Bodyline Trading (Private) Limited</v>
      </c>
      <c r="G304" s="45" t="str">
        <f ca="1">IFERROR(__xludf.DUMMYFUNCTION("""COMPUTED_VALUE"""),"Bodyline (Private) Limited")</f>
        <v>Bodyline (Private) Limited</v>
      </c>
      <c r="H304" s="43">
        <f ca="1">IFERROR(__xludf.DUMMYFUNCTION("""COMPUTED_VALUE"""),452726113321)</f>
        <v>452726113321</v>
      </c>
      <c r="I304" s="45">
        <f ca="1">IFERROR(__xludf.DUMMYFUNCTION("""COMPUTED_VALUE"""),19878967)</f>
        <v>19878967</v>
      </c>
      <c r="J304" s="45" t="str">
        <f ca="1">IFERROR(__xludf.DUMMYFUNCTION("""COMPUTED_VALUE"""),"LW2ED2S")</f>
        <v>LW2ED2S</v>
      </c>
      <c r="K304" s="45" t="str">
        <f ca="1">IFERROR(__xludf.DUMMYFUNCTION("""COMPUTED_VALUE"""),"LW2ED2S-0002")</f>
        <v>LW2ED2S-0002</v>
      </c>
      <c r="L304" s="45">
        <f ca="1">IFERROR(__xludf.DUMMYFUNCTION("""COMPUTED_VALUE"""),3)</f>
        <v>3</v>
      </c>
      <c r="M304" s="45">
        <f ca="1">IFERROR(__xludf.DUMMYFUNCTION("""COMPUTED_VALUE"""),113)</f>
        <v>113</v>
      </c>
      <c r="N304" s="45">
        <f ca="1">IFERROR(__xludf.DUMMYFUNCTION("""COMPUTED_VALUE"""),21.286)</f>
        <v>21.286000000000001</v>
      </c>
      <c r="O304" s="45">
        <f ca="1">IFERROR(__xludf.DUMMYFUNCTION("""COMPUTED_VALUE"""),0.242)</f>
        <v>0.24199999999999999</v>
      </c>
      <c r="P304" s="45" t="str">
        <f ca="1">IFERROR(__xludf.DUMMYFUNCTION("""COMPUTED_VALUE"""),"Colombo, LK")</f>
        <v>Colombo, LK</v>
      </c>
      <c r="Q304" s="45" t="str">
        <f ca="1">IFERROR(__xludf.DUMMYFUNCTION("""COMPUTED_VALUE"""),"New York, NY, US")</f>
        <v>New York, NY, US</v>
      </c>
      <c r="R304" s="44">
        <f ca="1">IFERROR(__xludf.DUMMYFUNCTION("""COMPUTED_VALUE"""),45824)</f>
        <v>45824</v>
      </c>
      <c r="S304" s="44">
        <f ca="1">IFERROR(__xludf.DUMMYFUNCTION("""COMPUTED_VALUE"""),45883)</f>
        <v>45883</v>
      </c>
      <c r="T304" s="45" t="str">
        <f ca="1">IFERROR(__xludf.DUMMYFUNCTION("""COMPUTED_VALUE"""),"Mississauga, ON, CA")</f>
        <v>Mississauga, ON, CA</v>
      </c>
      <c r="U304" s="45"/>
      <c r="V304" s="45"/>
      <c r="W304" s="45"/>
      <c r="X304" s="45"/>
      <c r="Y304" s="46">
        <f ca="1">IFERROR(__xludf.DUMMYFUNCTION("""COMPUTED_VALUE"""),45825)</f>
        <v>45825</v>
      </c>
      <c r="Z304" s="46">
        <f ca="1">IFERROR(__xludf.DUMMYFUNCTION("""COMPUTED_VALUE"""),45861)</f>
        <v>45861</v>
      </c>
      <c r="AA304" s="46">
        <f ca="1">IFERROR(__xludf.DUMMYFUNCTION("""COMPUTED_VALUE"""),45874)</f>
        <v>45874</v>
      </c>
      <c r="AB304" s="45" t="str">
        <f ca="1">IFERROR(__xludf.DUMMYFUNCTION("""COMPUTED_VALUE"""),"3500 Argentia Road")</f>
        <v>3500 Argentia Road</v>
      </c>
      <c r="AC304" s="45"/>
      <c r="AD304" s="45" t="str">
        <f ca="1">IFERROR(__xludf.DUMMYFUNCTION("""COMPUTED_VALUE"""),"OCEAN")</f>
        <v>OCEAN</v>
      </c>
      <c r="AE304" s="45" t="str">
        <f ca="1">IFERROR(__xludf.DUMMYFUNCTION("""COMPUTED_VALUE"""),"N")</f>
        <v>N</v>
      </c>
      <c r="AF304" s="45"/>
      <c r="AG304" s="49" t="str">
        <f ca="1">IFERROR(__xludf.DUMMYFUNCTION("IFNA(vlookup(H304,IMPORTRANGE(""1vUGwO1n0QQGx9kKbO0_M5gmuhXZ6-LaxQxgrmJnzgP0"",""'TP# look up'!A:C""),3,0),"""")"),"")</f>
        <v/>
      </c>
      <c r="AH304" s="49" t="str">
        <f t="shared" ca="1" si="4"/>
        <v>LW</v>
      </c>
    </row>
    <row r="305" spans="1:34" ht="12.75" hidden="1">
      <c r="A305" s="45" t="str">
        <f ca="1">IFERROR(__xludf.DUMMYFUNCTION("""COMPUTED_VALUE"""),"Colombo")</f>
        <v>Colombo</v>
      </c>
      <c r="B305" s="45"/>
      <c r="C305" s="45">
        <f ca="1">IFERROR(__xludf.DUMMYFUNCTION("""COMPUTED_VALUE"""),3254506)</f>
        <v>3254506</v>
      </c>
      <c r="D305" s="45"/>
      <c r="E305" s="45" t="str">
        <f ca="1">IFERROR(__xludf.DUMMYFUNCTION("""COMPUTED_VALUE"""),"CFS")</f>
        <v>CFS</v>
      </c>
      <c r="F305" s="45" t="str">
        <f ca="1">IFERROR(__xludf.DUMMYFUNCTION("""COMPUTED_VALUE"""),"Bodyline Trading (Private) Limited")</f>
        <v>Bodyline Trading (Private) Limited</v>
      </c>
      <c r="G305" s="45" t="str">
        <f ca="1">IFERROR(__xludf.DUMMYFUNCTION("""COMPUTED_VALUE"""),"Bodyline (Private) Limited")</f>
        <v>Bodyline (Private) Limited</v>
      </c>
      <c r="H305" s="43">
        <f ca="1">IFERROR(__xludf.DUMMYFUNCTION("""COMPUTED_VALUE"""),452727167451)</f>
        <v>452727167451</v>
      </c>
      <c r="I305" s="45">
        <f ca="1">IFERROR(__xludf.DUMMYFUNCTION("""COMPUTED_VALUE"""),19843746)</f>
        <v>19843746</v>
      </c>
      <c r="J305" s="45" t="str">
        <f ca="1">IFERROR(__xludf.DUMMYFUNCTION("""COMPUTED_VALUE"""),"LW1FM7S")</f>
        <v>LW1FM7S</v>
      </c>
      <c r="K305" s="45" t="str">
        <f ca="1">IFERROR(__xludf.DUMMYFUNCTION("""COMPUTED_VALUE"""),"LW1FM7S-0001")</f>
        <v>LW1FM7S-0001</v>
      </c>
      <c r="L305" s="45">
        <f ca="1">IFERROR(__xludf.DUMMYFUNCTION("""COMPUTED_VALUE"""),6)</f>
        <v>6</v>
      </c>
      <c r="M305" s="45">
        <f ca="1">IFERROR(__xludf.DUMMYFUNCTION("""COMPUTED_VALUE"""),280)</f>
        <v>280</v>
      </c>
      <c r="N305" s="45">
        <f ca="1">IFERROR(__xludf.DUMMYFUNCTION("""COMPUTED_VALUE"""),28.996)</f>
        <v>28.995999999999999</v>
      </c>
      <c r="O305" s="45">
        <f ca="1">IFERROR(__xludf.DUMMYFUNCTION("""COMPUTED_VALUE"""),0.264)</f>
        <v>0.26400000000000001</v>
      </c>
      <c r="P305" s="45" t="str">
        <f ca="1">IFERROR(__xludf.DUMMYFUNCTION("""COMPUTED_VALUE"""),"Colombo, LK")</f>
        <v>Colombo, LK</v>
      </c>
      <c r="Q305" s="45" t="str">
        <f ca="1">IFERROR(__xludf.DUMMYFUNCTION("""COMPUTED_VALUE"""),"New York, NY, US")</f>
        <v>New York, NY, US</v>
      </c>
      <c r="R305" s="44">
        <f ca="1">IFERROR(__xludf.DUMMYFUNCTION("""COMPUTED_VALUE"""),45824)</f>
        <v>45824</v>
      </c>
      <c r="S305" s="44">
        <f ca="1">IFERROR(__xludf.DUMMYFUNCTION("""COMPUTED_VALUE"""),45883)</f>
        <v>45883</v>
      </c>
      <c r="T305" s="45" t="str">
        <f ca="1">IFERROR(__xludf.DUMMYFUNCTION("""COMPUTED_VALUE"""),"Mississauga, ON, CA")</f>
        <v>Mississauga, ON, CA</v>
      </c>
      <c r="U305" s="45"/>
      <c r="V305" s="45"/>
      <c r="W305" s="45"/>
      <c r="X305" s="45"/>
      <c r="Y305" s="46">
        <f ca="1">IFERROR(__xludf.DUMMYFUNCTION("""COMPUTED_VALUE"""),45825)</f>
        <v>45825</v>
      </c>
      <c r="Z305" s="46">
        <f ca="1">IFERROR(__xludf.DUMMYFUNCTION("""COMPUTED_VALUE"""),45861)</f>
        <v>45861</v>
      </c>
      <c r="AA305" s="46">
        <f ca="1">IFERROR(__xludf.DUMMYFUNCTION("""COMPUTED_VALUE"""),45874)</f>
        <v>45874</v>
      </c>
      <c r="AB305" s="45" t="str">
        <f ca="1">IFERROR(__xludf.DUMMYFUNCTION("""COMPUTED_VALUE"""),"3500 Argentia Road")</f>
        <v>3500 Argentia Road</v>
      </c>
      <c r="AC305" s="45"/>
      <c r="AD305" s="45" t="str">
        <f ca="1">IFERROR(__xludf.DUMMYFUNCTION("""COMPUTED_VALUE"""),"OCEAN")</f>
        <v>OCEAN</v>
      </c>
      <c r="AE305" s="45" t="str">
        <f ca="1">IFERROR(__xludf.DUMMYFUNCTION("""COMPUTED_VALUE"""),"N")</f>
        <v>N</v>
      </c>
      <c r="AF305" s="45"/>
      <c r="AG305" s="49" t="str">
        <f ca="1">IFERROR(__xludf.DUMMYFUNCTION("IFNA(vlookup(H305,IMPORTRANGE(""1vUGwO1n0QQGx9kKbO0_M5gmuhXZ6-LaxQxgrmJnzgP0"",""'TP# look up'!A:C""),3,0),"""")"),"")</f>
        <v/>
      </c>
      <c r="AH305" s="49" t="str">
        <f t="shared" ca="1" si="4"/>
        <v>LW</v>
      </c>
    </row>
    <row r="306" spans="1:34" ht="12.75" hidden="1">
      <c r="A306" s="45" t="str">
        <f ca="1">IFERROR(__xludf.DUMMYFUNCTION("""COMPUTED_VALUE"""),"Colombo")</f>
        <v>Colombo</v>
      </c>
      <c r="B306" s="45"/>
      <c r="C306" s="45">
        <f ca="1">IFERROR(__xludf.DUMMYFUNCTION("""COMPUTED_VALUE"""),3254506)</f>
        <v>3254506</v>
      </c>
      <c r="D306" s="45"/>
      <c r="E306" s="45" t="str">
        <f ca="1">IFERROR(__xludf.DUMMYFUNCTION("""COMPUTED_VALUE"""),"CFS")</f>
        <v>CFS</v>
      </c>
      <c r="F306" s="45" t="str">
        <f ca="1">IFERROR(__xludf.DUMMYFUNCTION("""COMPUTED_VALUE"""),"Bodyline Trading (Private) Limited")</f>
        <v>Bodyline Trading (Private) Limited</v>
      </c>
      <c r="G306" s="45" t="str">
        <f ca="1">IFERROR(__xludf.DUMMYFUNCTION("""COMPUTED_VALUE"""),"Bodyline (Private) Limited")</f>
        <v>Bodyline (Private) Limited</v>
      </c>
      <c r="H306" s="43">
        <f ca="1">IFERROR(__xludf.DUMMYFUNCTION("""COMPUTED_VALUE"""),452727371750)</f>
        <v>452727371750</v>
      </c>
      <c r="I306" s="45">
        <f ca="1">IFERROR(__xludf.DUMMYFUNCTION("""COMPUTED_VALUE"""),19843848)</f>
        <v>19843848</v>
      </c>
      <c r="J306" s="45" t="str">
        <f ca="1">IFERROR(__xludf.DUMMYFUNCTION("""COMPUTED_VALUE"""),"LW1FM7S")</f>
        <v>LW1FM7S</v>
      </c>
      <c r="K306" s="45" t="str">
        <f ca="1">IFERROR(__xludf.DUMMYFUNCTION("""COMPUTED_VALUE"""),"LW1FM7S-0001")</f>
        <v>LW1FM7S-0001</v>
      </c>
      <c r="L306" s="45">
        <f ca="1">IFERROR(__xludf.DUMMYFUNCTION("""COMPUTED_VALUE"""),18)</f>
        <v>18</v>
      </c>
      <c r="M306" s="45">
        <f ca="1">IFERROR(__xludf.DUMMYFUNCTION("""COMPUTED_VALUE"""),1056)</f>
        <v>1056</v>
      </c>
      <c r="N306" s="45">
        <f ca="1">IFERROR(__xludf.DUMMYFUNCTION("""COMPUTED_VALUE"""),105.247)</f>
        <v>105.247</v>
      </c>
      <c r="O306" s="45">
        <f ca="1">IFERROR(__xludf.DUMMYFUNCTION("""COMPUTED_VALUE"""),0.791)</f>
        <v>0.79100000000000004</v>
      </c>
      <c r="P306" s="45" t="str">
        <f ca="1">IFERROR(__xludf.DUMMYFUNCTION("""COMPUTED_VALUE"""),"Colombo, LK")</f>
        <v>Colombo, LK</v>
      </c>
      <c r="Q306" s="45" t="str">
        <f ca="1">IFERROR(__xludf.DUMMYFUNCTION("""COMPUTED_VALUE"""),"New York, NY, US")</f>
        <v>New York, NY, US</v>
      </c>
      <c r="R306" s="44">
        <f ca="1">IFERROR(__xludf.DUMMYFUNCTION("""COMPUTED_VALUE"""),45824)</f>
        <v>45824</v>
      </c>
      <c r="S306" s="44">
        <f ca="1">IFERROR(__xludf.DUMMYFUNCTION("""COMPUTED_VALUE"""),45883)</f>
        <v>45883</v>
      </c>
      <c r="T306" s="45" t="str">
        <f ca="1">IFERROR(__xludf.DUMMYFUNCTION("""COMPUTED_VALUE"""),"Mississauga, ON, CA")</f>
        <v>Mississauga, ON, CA</v>
      </c>
      <c r="U306" s="45"/>
      <c r="V306" s="45"/>
      <c r="W306" s="45"/>
      <c r="X306" s="45"/>
      <c r="Y306" s="46">
        <f ca="1">IFERROR(__xludf.DUMMYFUNCTION("""COMPUTED_VALUE"""),45825)</f>
        <v>45825</v>
      </c>
      <c r="Z306" s="46">
        <f ca="1">IFERROR(__xludf.DUMMYFUNCTION("""COMPUTED_VALUE"""),45861)</f>
        <v>45861</v>
      </c>
      <c r="AA306" s="46">
        <f ca="1">IFERROR(__xludf.DUMMYFUNCTION("""COMPUTED_VALUE"""),45874)</f>
        <v>45874</v>
      </c>
      <c r="AB306" s="45" t="str">
        <f ca="1">IFERROR(__xludf.DUMMYFUNCTION("""COMPUTED_VALUE"""),"3500 Argentia Road")</f>
        <v>3500 Argentia Road</v>
      </c>
      <c r="AC306" s="45"/>
      <c r="AD306" s="45" t="str">
        <f ca="1">IFERROR(__xludf.DUMMYFUNCTION("""COMPUTED_VALUE"""),"OCEAN")</f>
        <v>OCEAN</v>
      </c>
      <c r="AE306" s="45" t="str">
        <f ca="1">IFERROR(__xludf.DUMMYFUNCTION("""COMPUTED_VALUE"""),"N")</f>
        <v>N</v>
      </c>
      <c r="AF306" s="45"/>
      <c r="AG306" s="49" t="str">
        <f ca="1">IFERROR(__xludf.DUMMYFUNCTION("IFNA(vlookup(H306,IMPORTRANGE(""1vUGwO1n0QQGx9kKbO0_M5gmuhXZ6-LaxQxgrmJnzgP0"",""'TP# look up'!A:C""),3,0),"""")"),"")</f>
        <v/>
      </c>
      <c r="AH306" s="49" t="str">
        <f t="shared" ca="1" si="4"/>
        <v>LW</v>
      </c>
    </row>
    <row r="307" spans="1:34" ht="12.75" hidden="1">
      <c r="A307" s="45" t="str">
        <f ca="1">IFERROR(__xludf.DUMMYFUNCTION("""COMPUTED_VALUE"""),"Colombo")</f>
        <v>Colombo</v>
      </c>
      <c r="B307" s="45"/>
      <c r="C307" s="45">
        <f ca="1">IFERROR(__xludf.DUMMYFUNCTION("""COMPUTED_VALUE"""),3254506)</f>
        <v>3254506</v>
      </c>
      <c r="D307" s="45"/>
      <c r="E307" s="45" t="str">
        <f ca="1">IFERROR(__xludf.DUMMYFUNCTION("""COMPUTED_VALUE"""),"CFS")</f>
        <v>CFS</v>
      </c>
      <c r="F307" s="45" t="str">
        <f ca="1">IFERROR(__xludf.DUMMYFUNCTION("""COMPUTED_VALUE"""),"Bodyline Trading (Private) Limited")</f>
        <v>Bodyline Trading (Private) Limited</v>
      </c>
      <c r="G307" s="45" t="str">
        <f ca="1">IFERROR(__xludf.DUMMYFUNCTION("""COMPUTED_VALUE"""),"Bodyline (Private) Limited")</f>
        <v>Bodyline (Private) Limited</v>
      </c>
      <c r="H307" s="43">
        <f ca="1">IFERROR(__xludf.DUMMYFUNCTION("""COMPUTED_VALUE"""),452727619708)</f>
        <v>452727619708</v>
      </c>
      <c r="I307" s="45">
        <f ca="1">IFERROR(__xludf.DUMMYFUNCTION("""COMPUTED_VALUE"""),19843747)</f>
        <v>19843747</v>
      </c>
      <c r="J307" s="45" t="str">
        <f ca="1">IFERROR(__xludf.DUMMYFUNCTION("""COMPUTED_VALUE"""),"LW1FM7S")</f>
        <v>LW1FM7S</v>
      </c>
      <c r="K307" s="45" t="str">
        <f ca="1">IFERROR(__xludf.DUMMYFUNCTION("""COMPUTED_VALUE"""),"LW1FM7S-0001")</f>
        <v>LW1FM7S-0001</v>
      </c>
      <c r="L307" s="45">
        <f ca="1">IFERROR(__xludf.DUMMYFUNCTION("""COMPUTED_VALUE"""),7)</f>
        <v>7</v>
      </c>
      <c r="M307" s="45">
        <f ca="1">IFERROR(__xludf.DUMMYFUNCTION("""COMPUTED_VALUE"""),343)</f>
        <v>343</v>
      </c>
      <c r="N307" s="45">
        <f ca="1">IFERROR(__xludf.DUMMYFUNCTION("""COMPUTED_VALUE"""),35.226)</f>
        <v>35.225999999999999</v>
      </c>
      <c r="O307" s="45">
        <f ca="1">IFERROR(__xludf.DUMMYFUNCTION("""COMPUTED_VALUE"""),0.307)</f>
        <v>0.307</v>
      </c>
      <c r="P307" s="45" t="str">
        <f ca="1">IFERROR(__xludf.DUMMYFUNCTION("""COMPUTED_VALUE"""),"Colombo, LK")</f>
        <v>Colombo, LK</v>
      </c>
      <c r="Q307" s="45" t="str">
        <f ca="1">IFERROR(__xludf.DUMMYFUNCTION("""COMPUTED_VALUE"""),"New York, NY, US")</f>
        <v>New York, NY, US</v>
      </c>
      <c r="R307" s="44">
        <f ca="1">IFERROR(__xludf.DUMMYFUNCTION("""COMPUTED_VALUE"""),45824)</f>
        <v>45824</v>
      </c>
      <c r="S307" s="44">
        <f ca="1">IFERROR(__xludf.DUMMYFUNCTION("""COMPUTED_VALUE"""),45883)</f>
        <v>45883</v>
      </c>
      <c r="T307" s="45" t="str">
        <f ca="1">IFERROR(__xludf.DUMMYFUNCTION("""COMPUTED_VALUE"""),"Mississauga, ON, CA")</f>
        <v>Mississauga, ON, CA</v>
      </c>
      <c r="U307" s="45"/>
      <c r="V307" s="45"/>
      <c r="W307" s="45"/>
      <c r="X307" s="45"/>
      <c r="Y307" s="46">
        <f ca="1">IFERROR(__xludf.DUMMYFUNCTION("""COMPUTED_VALUE"""),45825)</f>
        <v>45825</v>
      </c>
      <c r="Z307" s="46">
        <f ca="1">IFERROR(__xludf.DUMMYFUNCTION("""COMPUTED_VALUE"""),45861)</f>
        <v>45861</v>
      </c>
      <c r="AA307" s="46">
        <f ca="1">IFERROR(__xludf.DUMMYFUNCTION("""COMPUTED_VALUE"""),45874)</f>
        <v>45874</v>
      </c>
      <c r="AB307" s="45" t="str">
        <f ca="1">IFERROR(__xludf.DUMMYFUNCTION("""COMPUTED_VALUE"""),"3500 Argentia Road")</f>
        <v>3500 Argentia Road</v>
      </c>
      <c r="AC307" s="45"/>
      <c r="AD307" s="45" t="str">
        <f ca="1">IFERROR(__xludf.DUMMYFUNCTION("""COMPUTED_VALUE"""),"OCEAN")</f>
        <v>OCEAN</v>
      </c>
      <c r="AE307" s="45" t="str">
        <f ca="1">IFERROR(__xludf.DUMMYFUNCTION("""COMPUTED_VALUE"""),"N")</f>
        <v>N</v>
      </c>
      <c r="AF307" s="45"/>
      <c r="AG307" s="49" t="str">
        <f ca="1">IFERROR(__xludf.DUMMYFUNCTION("IFNA(vlookup(H307,IMPORTRANGE(""1vUGwO1n0QQGx9kKbO0_M5gmuhXZ6-LaxQxgrmJnzgP0"",""'TP# look up'!A:C""),3,0),"""")"),"")</f>
        <v/>
      </c>
      <c r="AH307" s="49" t="str">
        <f t="shared" ca="1" si="4"/>
        <v>LW</v>
      </c>
    </row>
    <row r="308" spans="1:34" ht="12.75" hidden="1">
      <c r="A308" s="45" t="str">
        <f ca="1">IFERROR(__xludf.DUMMYFUNCTION("""COMPUTED_VALUE"""),"Colombo")</f>
        <v>Colombo</v>
      </c>
      <c r="B308" s="45"/>
      <c r="C308" s="45">
        <f ca="1">IFERROR(__xludf.DUMMYFUNCTION("""COMPUTED_VALUE"""),3254506)</f>
        <v>3254506</v>
      </c>
      <c r="D308" s="45"/>
      <c r="E308" s="45" t="str">
        <f ca="1">IFERROR(__xludf.DUMMYFUNCTION("""COMPUTED_VALUE"""),"CFS")</f>
        <v>CFS</v>
      </c>
      <c r="F308" s="45" t="str">
        <f ca="1">IFERROR(__xludf.DUMMYFUNCTION("""COMPUTED_VALUE"""),"Bodyline Trading (Private) Limited")</f>
        <v>Bodyline Trading (Private) Limited</v>
      </c>
      <c r="G308" s="45" t="str">
        <f ca="1">IFERROR(__xludf.DUMMYFUNCTION("""COMPUTED_VALUE"""),"Bodyline (Private) Limited")</f>
        <v>Bodyline (Private) Limited</v>
      </c>
      <c r="H308" s="43">
        <f ca="1">IFERROR(__xludf.DUMMYFUNCTION("""COMPUTED_VALUE"""),452729349357)</f>
        <v>452729349357</v>
      </c>
      <c r="I308" s="45">
        <f ca="1">IFERROR(__xludf.DUMMYFUNCTION("""COMPUTED_VALUE"""),19878340)</f>
        <v>19878340</v>
      </c>
      <c r="J308" s="45" t="str">
        <f ca="1">IFERROR(__xludf.DUMMYFUNCTION("""COMPUTED_VALUE"""),"LW2670S")</f>
        <v>LW2670S</v>
      </c>
      <c r="K308" s="45" t="str">
        <f ca="1">IFERROR(__xludf.DUMMYFUNCTION("""COMPUTED_VALUE"""),"LW2670S-0001")</f>
        <v>LW2670S-0001</v>
      </c>
      <c r="L308" s="45">
        <f ca="1">IFERROR(__xludf.DUMMYFUNCTION("""COMPUTED_VALUE"""),4)</f>
        <v>4</v>
      </c>
      <c r="M308" s="45">
        <f ca="1">IFERROR(__xludf.DUMMYFUNCTION("""COMPUTED_VALUE"""),136)</f>
        <v>136</v>
      </c>
      <c r="N308" s="45">
        <f ca="1">IFERROR(__xludf.DUMMYFUNCTION("""COMPUTED_VALUE"""),15.688)</f>
        <v>15.688000000000001</v>
      </c>
      <c r="O308" s="45">
        <f ca="1">IFERROR(__xludf.DUMMYFUNCTION("""COMPUTED_VALUE"""),0.322)</f>
        <v>0.32200000000000001</v>
      </c>
      <c r="P308" s="45" t="str">
        <f ca="1">IFERROR(__xludf.DUMMYFUNCTION("""COMPUTED_VALUE"""),"Colombo, LK")</f>
        <v>Colombo, LK</v>
      </c>
      <c r="Q308" s="45" t="str">
        <f ca="1">IFERROR(__xludf.DUMMYFUNCTION("""COMPUTED_VALUE"""),"New York, NY, US")</f>
        <v>New York, NY, US</v>
      </c>
      <c r="R308" s="44">
        <f ca="1">IFERROR(__xludf.DUMMYFUNCTION("""COMPUTED_VALUE"""),45824)</f>
        <v>45824</v>
      </c>
      <c r="S308" s="44">
        <f ca="1">IFERROR(__xludf.DUMMYFUNCTION("""COMPUTED_VALUE"""),45883)</f>
        <v>45883</v>
      </c>
      <c r="T308" s="45" t="str">
        <f ca="1">IFERROR(__xludf.DUMMYFUNCTION("""COMPUTED_VALUE"""),"Mississauga, ON, CA")</f>
        <v>Mississauga, ON, CA</v>
      </c>
      <c r="U308" s="45"/>
      <c r="V308" s="45"/>
      <c r="W308" s="45"/>
      <c r="X308" s="45"/>
      <c r="Y308" s="46">
        <f ca="1">IFERROR(__xludf.DUMMYFUNCTION("""COMPUTED_VALUE"""),45825)</f>
        <v>45825</v>
      </c>
      <c r="Z308" s="46">
        <f ca="1">IFERROR(__xludf.DUMMYFUNCTION("""COMPUTED_VALUE"""),45861)</f>
        <v>45861</v>
      </c>
      <c r="AA308" s="46">
        <f ca="1">IFERROR(__xludf.DUMMYFUNCTION("""COMPUTED_VALUE"""),45874)</f>
        <v>45874</v>
      </c>
      <c r="AB308" s="45" t="str">
        <f ca="1">IFERROR(__xludf.DUMMYFUNCTION("""COMPUTED_VALUE"""),"3500 Argentia Road")</f>
        <v>3500 Argentia Road</v>
      </c>
      <c r="AC308" s="45"/>
      <c r="AD308" s="45" t="str">
        <f ca="1">IFERROR(__xludf.DUMMYFUNCTION("""COMPUTED_VALUE"""),"OCEAN")</f>
        <v>OCEAN</v>
      </c>
      <c r="AE308" s="45" t="str">
        <f ca="1">IFERROR(__xludf.DUMMYFUNCTION("""COMPUTED_VALUE"""),"N")</f>
        <v>N</v>
      </c>
      <c r="AF308" s="45"/>
      <c r="AG308" s="49" t="str">
        <f ca="1">IFERROR(__xludf.DUMMYFUNCTION("IFNA(vlookup(H308,IMPORTRANGE(""1vUGwO1n0QQGx9kKbO0_M5gmuhXZ6-LaxQxgrmJnzgP0"",""'TP# look up'!A:C""),3,0),"""")"),"")</f>
        <v/>
      </c>
      <c r="AH308" s="49" t="str">
        <f t="shared" ca="1" si="4"/>
        <v>LW</v>
      </c>
    </row>
    <row r="309" spans="1:34" ht="12.75" hidden="1">
      <c r="A309" s="45" t="str">
        <f ca="1">IFERROR(__xludf.DUMMYFUNCTION("""COMPUTED_VALUE"""),"Colombo")</f>
        <v>Colombo</v>
      </c>
      <c r="B309" s="45"/>
      <c r="C309" s="45">
        <f ca="1">IFERROR(__xludf.DUMMYFUNCTION("""COMPUTED_VALUE"""),3254506)</f>
        <v>3254506</v>
      </c>
      <c r="D309" s="45"/>
      <c r="E309" s="45" t="str">
        <f ca="1">IFERROR(__xludf.DUMMYFUNCTION("""COMPUTED_VALUE"""),"CFS")</f>
        <v>CFS</v>
      </c>
      <c r="F309" s="45" t="str">
        <f ca="1">IFERROR(__xludf.DUMMYFUNCTION("""COMPUTED_VALUE"""),"Bodyline Trading (Private) Limited")</f>
        <v>Bodyline Trading (Private) Limited</v>
      </c>
      <c r="G309" s="45" t="str">
        <f ca="1">IFERROR(__xludf.DUMMYFUNCTION("""COMPUTED_VALUE"""),"Bodyline (Private) Limited")</f>
        <v>Bodyline (Private) Limited</v>
      </c>
      <c r="H309" s="43">
        <f ca="1">IFERROR(__xludf.DUMMYFUNCTION("""COMPUTED_VALUE"""),452733135781)</f>
        <v>452733135781</v>
      </c>
      <c r="I309" s="45">
        <f ca="1">IFERROR(__xludf.DUMMYFUNCTION("""COMPUTED_VALUE"""),19878355)</f>
        <v>19878355</v>
      </c>
      <c r="J309" s="45" t="str">
        <f ca="1">IFERROR(__xludf.DUMMYFUNCTION("""COMPUTED_VALUE"""),"LW2670S")</f>
        <v>LW2670S</v>
      </c>
      <c r="K309" s="45" t="str">
        <f ca="1">IFERROR(__xludf.DUMMYFUNCTION("""COMPUTED_VALUE"""),"LW2670S-071150")</f>
        <v>LW2670S-071150</v>
      </c>
      <c r="L309" s="45">
        <f ca="1">IFERROR(__xludf.DUMMYFUNCTION("""COMPUTED_VALUE"""),10)</f>
        <v>10</v>
      </c>
      <c r="M309" s="45">
        <f ca="1">IFERROR(__xludf.DUMMYFUNCTION("""COMPUTED_VALUE"""),579)</f>
        <v>579</v>
      </c>
      <c r="N309" s="45">
        <f ca="1">IFERROR(__xludf.DUMMYFUNCTION("""COMPUTED_VALUE"""),60.041)</f>
        <v>60.040999999999997</v>
      </c>
      <c r="O309" s="45">
        <f ca="1">IFERROR(__xludf.DUMMYFUNCTION("""COMPUTED_VALUE"""),0.805)</f>
        <v>0.80500000000000005</v>
      </c>
      <c r="P309" s="45" t="str">
        <f ca="1">IFERROR(__xludf.DUMMYFUNCTION("""COMPUTED_VALUE"""),"Colombo, LK")</f>
        <v>Colombo, LK</v>
      </c>
      <c r="Q309" s="45" t="str">
        <f ca="1">IFERROR(__xludf.DUMMYFUNCTION("""COMPUTED_VALUE"""),"New York, NY, US")</f>
        <v>New York, NY, US</v>
      </c>
      <c r="R309" s="44">
        <f ca="1">IFERROR(__xludf.DUMMYFUNCTION("""COMPUTED_VALUE"""),45824)</f>
        <v>45824</v>
      </c>
      <c r="S309" s="44">
        <f ca="1">IFERROR(__xludf.DUMMYFUNCTION("""COMPUTED_VALUE"""),45883)</f>
        <v>45883</v>
      </c>
      <c r="T309" s="45" t="str">
        <f ca="1">IFERROR(__xludf.DUMMYFUNCTION("""COMPUTED_VALUE"""),"Mississauga, ON, CA")</f>
        <v>Mississauga, ON, CA</v>
      </c>
      <c r="U309" s="45"/>
      <c r="V309" s="45"/>
      <c r="W309" s="45"/>
      <c r="X309" s="45"/>
      <c r="Y309" s="46">
        <f ca="1">IFERROR(__xludf.DUMMYFUNCTION("""COMPUTED_VALUE"""),45825)</f>
        <v>45825</v>
      </c>
      <c r="Z309" s="46">
        <f ca="1">IFERROR(__xludf.DUMMYFUNCTION("""COMPUTED_VALUE"""),45861)</f>
        <v>45861</v>
      </c>
      <c r="AA309" s="46">
        <f ca="1">IFERROR(__xludf.DUMMYFUNCTION("""COMPUTED_VALUE"""),45874)</f>
        <v>45874</v>
      </c>
      <c r="AB309" s="45" t="str">
        <f ca="1">IFERROR(__xludf.DUMMYFUNCTION("""COMPUTED_VALUE"""),"3500 Argentia Road")</f>
        <v>3500 Argentia Road</v>
      </c>
      <c r="AC309" s="45"/>
      <c r="AD309" s="45" t="str">
        <f ca="1">IFERROR(__xludf.DUMMYFUNCTION("""COMPUTED_VALUE"""),"OCEAN")</f>
        <v>OCEAN</v>
      </c>
      <c r="AE309" s="45" t="str">
        <f ca="1">IFERROR(__xludf.DUMMYFUNCTION("""COMPUTED_VALUE"""),"N")</f>
        <v>N</v>
      </c>
      <c r="AF309" s="45"/>
      <c r="AG309" s="49" t="str">
        <f ca="1">IFERROR(__xludf.DUMMYFUNCTION("IFNA(vlookup(H309,IMPORTRANGE(""1vUGwO1n0QQGx9kKbO0_M5gmuhXZ6-LaxQxgrmJnzgP0"",""'TP# look up'!A:C""),3,0),"""")"),"")</f>
        <v/>
      </c>
      <c r="AH309" s="49" t="str">
        <f t="shared" ca="1" si="4"/>
        <v>LW</v>
      </c>
    </row>
    <row r="310" spans="1:34" ht="12.75" hidden="1">
      <c r="A310" s="45" t="str">
        <f ca="1">IFERROR(__xludf.DUMMYFUNCTION("""COMPUTED_VALUE"""),"Colombo")</f>
        <v>Colombo</v>
      </c>
      <c r="B310" s="45"/>
      <c r="C310" s="45">
        <f ca="1">IFERROR(__xludf.DUMMYFUNCTION("""COMPUTED_VALUE"""),3254506)</f>
        <v>3254506</v>
      </c>
      <c r="D310" s="45"/>
      <c r="E310" s="45" t="str">
        <f ca="1">IFERROR(__xludf.DUMMYFUNCTION("""COMPUTED_VALUE"""),"CFS")</f>
        <v>CFS</v>
      </c>
      <c r="F310" s="45" t="str">
        <f ca="1">IFERROR(__xludf.DUMMYFUNCTION("""COMPUTED_VALUE"""),"Bodyline Trading (Private) Limited")</f>
        <v>Bodyline Trading (Private) Limited</v>
      </c>
      <c r="G310" s="45" t="str">
        <f ca="1">IFERROR(__xludf.DUMMYFUNCTION("""COMPUTED_VALUE"""),"Bodyline (Private) Limited")</f>
        <v>Bodyline (Private) Limited</v>
      </c>
      <c r="H310" s="43">
        <f ca="1">IFERROR(__xludf.DUMMYFUNCTION("""COMPUTED_VALUE"""),452734215822)</f>
        <v>452734215822</v>
      </c>
      <c r="I310" s="45">
        <f ca="1">IFERROR(__xludf.DUMMYFUNCTION("""COMPUTED_VALUE"""),19878571)</f>
        <v>19878571</v>
      </c>
      <c r="J310" s="45" t="str">
        <f ca="1">IFERROR(__xludf.DUMMYFUNCTION("""COMPUTED_VALUE"""),"LW2670S")</f>
        <v>LW2670S</v>
      </c>
      <c r="K310" s="45" t="str">
        <f ca="1">IFERROR(__xludf.DUMMYFUNCTION("""COMPUTED_VALUE"""),"LW2670S-071150")</f>
        <v>LW2670S-071150</v>
      </c>
      <c r="L310" s="45">
        <f ca="1">IFERROR(__xludf.DUMMYFUNCTION("""COMPUTED_VALUE"""),21)</f>
        <v>21</v>
      </c>
      <c r="M310" s="45">
        <f ca="1">IFERROR(__xludf.DUMMYFUNCTION("""COMPUTED_VALUE"""),1252)</f>
        <v>1252</v>
      </c>
      <c r="N310" s="45">
        <f ca="1">IFERROR(__xludf.DUMMYFUNCTION("""COMPUTED_VALUE"""),127.597)</f>
        <v>127.59699999999999</v>
      </c>
      <c r="O310" s="45">
        <f ca="1">IFERROR(__xludf.DUMMYFUNCTION("""COMPUTED_VALUE"""),1.691)</f>
        <v>1.6910000000000001</v>
      </c>
      <c r="P310" s="45" t="str">
        <f ca="1">IFERROR(__xludf.DUMMYFUNCTION("""COMPUTED_VALUE"""),"Colombo, LK")</f>
        <v>Colombo, LK</v>
      </c>
      <c r="Q310" s="45" t="str">
        <f ca="1">IFERROR(__xludf.DUMMYFUNCTION("""COMPUTED_VALUE"""),"New York, NY, US")</f>
        <v>New York, NY, US</v>
      </c>
      <c r="R310" s="44">
        <f ca="1">IFERROR(__xludf.DUMMYFUNCTION("""COMPUTED_VALUE"""),45824)</f>
        <v>45824</v>
      </c>
      <c r="S310" s="44">
        <f ca="1">IFERROR(__xludf.DUMMYFUNCTION("""COMPUTED_VALUE"""),45883)</f>
        <v>45883</v>
      </c>
      <c r="T310" s="45" t="str">
        <f ca="1">IFERROR(__xludf.DUMMYFUNCTION("""COMPUTED_VALUE"""),"Mississauga, ON, CA")</f>
        <v>Mississauga, ON, CA</v>
      </c>
      <c r="U310" s="45"/>
      <c r="V310" s="45"/>
      <c r="W310" s="45"/>
      <c r="X310" s="45"/>
      <c r="Y310" s="46">
        <f ca="1">IFERROR(__xludf.DUMMYFUNCTION("""COMPUTED_VALUE"""),45832)</f>
        <v>45832</v>
      </c>
      <c r="Z310" s="46">
        <f ca="1">IFERROR(__xludf.DUMMYFUNCTION("""COMPUTED_VALUE"""),45861)</f>
        <v>45861</v>
      </c>
      <c r="AA310" s="46">
        <f ca="1">IFERROR(__xludf.DUMMYFUNCTION("""COMPUTED_VALUE"""),45874)</f>
        <v>45874</v>
      </c>
      <c r="AB310" s="45" t="str">
        <f ca="1">IFERROR(__xludf.DUMMYFUNCTION("""COMPUTED_VALUE"""),"3500 Argentia Road")</f>
        <v>3500 Argentia Road</v>
      </c>
      <c r="AC310" s="45"/>
      <c r="AD310" s="45" t="str">
        <f ca="1">IFERROR(__xludf.DUMMYFUNCTION("""COMPUTED_VALUE"""),"OCEAN")</f>
        <v>OCEAN</v>
      </c>
      <c r="AE310" s="45" t="str">
        <f ca="1">IFERROR(__xludf.DUMMYFUNCTION("""COMPUTED_VALUE"""),"N")</f>
        <v>N</v>
      </c>
      <c r="AF310" s="45"/>
      <c r="AG310" s="49" t="str">
        <f ca="1">IFERROR(__xludf.DUMMYFUNCTION("IFNA(vlookup(H310,IMPORTRANGE(""1vUGwO1n0QQGx9kKbO0_M5gmuhXZ6-LaxQxgrmJnzgP0"",""'TP# look up'!A:C""),3,0),"""")"),"")</f>
        <v/>
      </c>
      <c r="AH310" s="49" t="str">
        <f t="shared" ca="1" si="4"/>
        <v>LW</v>
      </c>
    </row>
    <row r="311" spans="1:34" ht="12.75" hidden="1">
      <c r="A311" s="45" t="str">
        <f ca="1">IFERROR(__xludf.DUMMYFUNCTION("""COMPUTED_VALUE"""),"Colombo")</f>
        <v>Colombo</v>
      </c>
      <c r="B311" s="45"/>
      <c r="C311" s="45">
        <f ca="1">IFERROR(__xludf.DUMMYFUNCTION("""COMPUTED_VALUE"""),3254506)</f>
        <v>3254506</v>
      </c>
      <c r="D311" s="45"/>
      <c r="E311" s="45" t="str">
        <f ca="1">IFERROR(__xludf.DUMMYFUNCTION("""COMPUTED_VALUE"""),"CFS")</f>
        <v>CFS</v>
      </c>
      <c r="F311" s="45" t="str">
        <f ca="1">IFERROR(__xludf.DUMMYFUNCTION("""COMPUTED_VALUE"""),"Bodyline Trading (Private) Limited")</f>
        <v>Bodyline Trading (Private) Limited</v>
      </c>
      <c r="G311" s="45" t="str">
        <f ca="1">IFERROR(__xludf.DUMMYFUNCTION("""COMPUTED_VALUE"""),"Bodyline (Private) Limited")</f>
        <v>Bodyline (Private) Limited</v>
      </c>
      <c r="H311" s="43">
        <f ca="1">IFERROR(__xludf.DUMMYFUNCTION("""COMPUTED_VALUE"""),452734741401)</f>
        <v>452734741401</v>
      </c>
      <c r="I311" s="45">
        <f ca="1">IFERROR(__xludf.DUMMYFUNCTION("""COMPUTED_VALUE"""),19878560)</f>
        <v>19878560</v>
      </c>
      <c r="J311" s="45" t="str">
        <f ca="1">IFERROR(__xludf.DUMMYFUNCTION("""COMPUTED_VALUE"""),"LW2DQ0S")</f>
        <v>LW2DQ0S</v>
      </c>
      <c r="K311" s="45" t="str">
        <f ca="1">IFERROR(__xludf.DUMMYFUNCTION("""COMPUTED_VALUE"""),"LW2DQ0S-0001")</f>
        <v>LW2DQ0S-0001</v>
      </c>
      <c r="L311" s="45">
        <f ca="1">IFERROR(__xludf.DUMMYFUNCTION("""COMPUTED_VALUE"""),4)</f>
        <v>4</v>
      </c>
      <c r="M311" s="45">
        <f ca="1">IFERROR(__xludf.DUMMYFUNCTION("""COMPUTED_VALUE"""),150)</f>
        <v>150</v>
      </c>
      <c r="N311" s="45">
        <f ca="1">IFERROR(__xludf.DUMMYFUNCTION("""COMPUTED_VALUE"""),19.593)</f>
        <v>19.593</v>
      </c>
      <c r="O311" s="45">
        <f ca="1">IFERROR(__xludf.DUMMYFUNCTION("""COMPUTED_VALUE"""),0.285)</f>
        <v>0.28499999999999998</v>
      </c>
      <c r="P311" s="45" t="str">
        <f ca="1">IFERROR(__xludf.DUMMYFUNCTION("""COMPUTED_VALUE"""),"Colombo, LK")</f>
        <v>Colombo, LK</v>
      </c>
      <c r="Q311" s="45" t="str">
        <f ca="1">IFERROR(__xludf.DUMMYFUNCTION("""COMPUTED_VALUE"""),"New York, NY, US")</f>
        <v>New York, NY, US</v>
      </c>
      <c r="R311" s="44">
        <f ca="1">IFERROR(__xludf.DUMMYFUNCTION("""COMPUTED_VALUE"""),45824)</f>
        <v>45824</v>
      </c>
      <c r="S311" s="44">
        <f ca="1">IFERROR(__xludf.DUMMYFUNCTION("""COMPUTED_VALUE"""),45883)</f>
        <v>45883</v>
      </c>
      <c r="T311" s="45" t="str">
        <f ca="1">IFERROR(__xludf.DUMMYFUNCTION("""COMPUTED_VALUE"""),"Mississauga, ON, CA")</f>
        <v>Mississauga, ON, CA</v>
      </c>
      <c r="U311" s="45"/>
      <c r="V311" s="45"/>
      <c r="W311" s="45"/>
      <c r="X311" s="45"/>
      <c r="Y311" s="46">
        <f ca="1">IFERROR(__xludf.DUMMYFUNCTION("""COMPUTED_VALUE"""),45832)</f>
        <v>45832</v>
      </c>
      <c r="Z311" s="46">
        <f ca="1">IFERROR(__xludf.DUMMYFUNCTION("""COMPUTED_VALUE"""),45861)</f>
        <v>45861</v>
      </c>
      <c r="AA311" s="46">
        <f ca="1">IFERROR(__xludf.DUMMYFUNCTION("""COMPUTED_VALUE"""),45874)</f>
        <v>45874</v>
      </c>
      <c r="AB311" s="45" t="str">
        <f ca="1">IFERROR(__xludf.DUMMYFUNCTION("""COMPUTED_VALUE"""),"3500 Argentia Road")</f>
        <v>3500 Argentia Road</v>
      </c>
      <c r="AC311" s="45"/>
      <c r="AD311" s="45" t="str">
        <f ca="1">IFERROR(__xludf.DUMMYFUNCTION("""COMPUTED_VALUE"""),"OCEAN")</f>
        <v>OCEAN</v>
      </c>
      <c r="AE311" s="45" t="str">
        <f ca="1">IFERROR(__xludf.DUMMYFUNCTION("""COMPUTED_VALUE"""),"N")</f>
        <v>N</v>
      </c>
      <c r="AF311" s="45"/>
      <c r="AG311" s="49" t="str">
        <f ca="1">IFERROR(__xludf.DUMMYFUNCTION("IFNA(vlookup(H311,IMPORTRANGE(""1vUGwO1n0QQGx9kKbO0_M5gmuhXZ6-LaxQxgrmJnzgP0"",""'TP# look up'!A:C""),3,0),"""")"),"")</f>
        <v/>
      </c>
      <c r="AH311" s="49" t="str">
        <f t="shared" ca="1" si="4"/>
        <v>LW</v>
      </c>
    </row>
    <row r="312" spans="1:34" ht="12.75" hidden="1">
      <c r="A312" s="45" t="str">
        <f ca="1">IFERROR(__xludf.DUMMYFUNCTION("""COMPUTED_VALUE"""),"Colombo")</f>
        <v>Colombo</v>
      </c>
      <c r="B312" s="45"/>
      <c r="C312" s="45">
        <f ca="1">IFERROR(__xludf.DUMMYFUNCTION("""COMPUTED_VALUE"""),3254506)</f>
        <v>3254506</v>
      </c>
      <c r="D312" s="45"/>
      <c r="E312" s="45" t="str">
        <f ca="1">IFERROR(__xludf.DUMMYFUNCTION("""COMPUTED_VALUE"""),"CFS")</f>
        <v>CFS</v>
      </c>
      <c r="F312" s="45" t="str">
        <f ca="1">IFERROR(__xludf.DUMMYFUNCTION("""COMPUTED_VALUE"""),"Bodyline Trading (Private) Limited")</f>
        <v>Bodyline Trading (Private) Limited</v>
      </c>
      <c r="G312" s="45" t="str">
        <f ca="1">IFERROR(__xludf.DUMMYFUNCTION("""COMPUTED_VALUE"""),"Bodyline (Private) Limited")</f>
        <v>Bodyline (Private) Limited</v>
      </c>
      <c r="H312" s="43">
        <f ca="1">IFERROR(__xludf.DUMMYFUNCTION("""COMPUTED_VALUE"""),452735845068)</f>
        <v>452735845068</v>
      </c>
      <c r="I312" s="45">
        <f ca="1">IFERROR(__xludf.DUMMYFUNCTION("""COMPUTED_VALUE"""),19878580)</f>
        <v>19878580</v>
      </c>
      <c r="J312" s="45" t="str">
        <f ca="1">IFERROR(__xludf.DUMMYFUNCTION("""COMPUTED_VALUE"""),"LW2DQ0S")</f>
        <v>LW2DQ0S</v>
      </c>
      <c r="K312" s="45" t="str">
        <f ca="1">IFERROR(__xludf.DUMMYFUNCTION("""COMPUTED_VALUE"""),"LW2DQ0S-049106")</f>
        <v>LW2DQ0S-049106</v>
      </c>
      <c r="L312" s="45">
        <f ca="1">IFERROR(__xludf.DUMMYFUNCTION("""COMPUTED_VALUE"""),3)</f>
        <v>3</v>
      </c>
      <c r="M312" s="45">
        <f ca="1">IFERROR(__xludf.DUMMYFUNCTION("""COMPUTED_VALUE"""),104)</f>
        <v>104</v>
      </c>
      <c r="N312" s="45">
        <f ca="1">IFERROR(__xludf.DUMMYFUNCTION("""COMPUTED_VALUE"""),13.416)</f>
        <v>13.416</v>
      </c>
      <c r="O312" s="45">
        <f ca="1">IFERROR(__xludf.DUMMYFUNCTION("""COMPUTED_VALUE"""),0.205)</f>
        <v>0.20499999999999999</v>
      </c>
      <c r="P312" s="45" t="str">
        <f ca="1">IFERROR(__xludf.DUMMYFUNCTION("""COMPUTED_VALUE"""),"Colombo, LK")</f>
        <v>Colombo, LK</v>
      </c>
      <c r="Q312" s="45" t="str">
        <f ca="1">IFERROR(__xludf.DUMMYFUNCTION("""COMPUTED_VALUE"""),"New York, NY, US")</f>
        <v>New York, NY, US</v>
      </c>
      <c r="R312" s="44">
        <f ca="1">IFERROR(__xludf.DUMMYFUNCTION("""COMPUTED_VALUE"""),45824)</f>
        <v>45824</v>
      </c>
      <c r="S312" s="44">
        <f ca="1">IFERROR(__xludf.DUMMYFUNCTION("""COMPUTED_VALUE"""),45883)</f>
        <v>45883</v>
      </c>
      <c r="T312" s="45" t="str">
        <f ca="1">IFERROR(__xludf.DUMMYFUNCTION("""COMPUTED_VALUE"""),"Mississauga, ON, CA")</f>
        <v>Mississauga, ON, CA</v>
      </c>
      <c r="U312" s="45"/>
      <c r="V312" s="45"/>
      <c r="W312" s="45"/>
      <c r="X312" s="45"/>
      <c r="Y312" s="46">
        <f ca="1">IFERROR(__xludf.DUMMYFUNCTION("""COMPUTED_VALUE"""),45832)</f>
        <v>45832</v>
      </c>
      <c r="Z312" s="46">
        <f ca="1">IFERROR(__xludf.DUMMYFUNCTION("""COMPUTED_VALUE"""),45861)</f>
        <v>45861</v>
      </c>
      <c r="AA312" s="46">
        <f ca="1">IFERROR(__xludf.DUMMYFUNCTION("""COMPUTED_VALUE"""),45874)</f>
        <v>45874</v>
      </c>
      <c r="AB312" s="45" t="str">
        <f ca="1">IFERROR(__xludf.DUMMYFUNCTION("""COMPUTED_VALUE"""),"3500 Argentia Road")</f>
        <v>3500 Argentia Road</v>
      </c>
      <c r="AC312" s="45"/>
      <c r="AD312" s="45" t="str">
        <f ca="1">IFERROR(__xludf.DUMMYFUNCTION("""COMPUTED_VALUE"""),"OCEAN")</f>
        <v>OCEAN</v>
      </c>
      <c r="AE312" s="45" t="str">
        <f ca="1">IFERROR(__xludf.DUMMYFUNCTION("""COMPUTED_VALUE"""),"N")</f>
        <v>N</v>
      </c>
      <c r="AF312" s="45"/>
      <c r="AG312" s="49" t="str">
        <f ca="1">IFERROR(__xludf.DUMMYFUNCTION("IFNA(vlookup(H312,IMPORTRANGE(""1vUGwO1n0QQGx9kKbO0_M5gmuhXZ6-LaxQxgrmJnzgP0"",""'TP# look up'!A:C""),3,0),"""")"),"")</f>
        <v/>
      </c>
      <c r="AH312" s="49" t="str">
        <f t="shared" ca="1" si="4"/>
        <v>LW</v>
      </c>
    </row>
    <row r="313" spans="1:34" ht="12.75" hidden="1">
      <c r="A313" s="45" t="str">
        <f ca="1">IFERROR(__xludf.DUMMYFUNCTION("""COMPUTED_VALUE"""),"Colombo")</f>
        <v>Colombo</v>
      </c>
      <c r="B313" s="45"/>
      <c r="C313" s="45">
        <f ca="1">IFERROR(__xludf.DUMMYFUNCTION("""COMPUTED_VALUE"""),3254506)</f>
        <v>3254506</v>
      </c>
      <c r="D313" s="45"/>
      <c r="E313" s="45" t="str">
        <f ca="1">IFERROR(__xludf.DUMMYFUNCTION("""COMPUTED_VALUE"""),"CFS")</f>
        <v>CFS</v>
      </c>
      <c r="F313" s="45" t="str">
        <f ca="1">IFERROR(__xludf.DUMMYFUNCTION("""COMPUTED_VALUE"""),"Bodyline Trading (Private) Limited")</f>
        <v>Bodyline Trading (Private) Limited</v>
      </c>
      <c r="G313" s="45" t="str">
        <f ca="1">IFERROR(__xludf.DUMMYFUNCTION("""COMPUTED_VALUE"""),"Bodyline (Private) Limited")</f>
        <v>Bodyline (Private) Limited</v>
      </c>
      <c r="H313" s="43">
        <f ca="1">IFERROR(__xludf.DUMMYFUNCTION("""COMPUTED_VALUE"""),452736545832)</f>
        <v>452736545832</v>
      </c>
      <c r="I313" s="45">
        <f ca="1">IFERROR(__xludf.DUMMYFUNCTION("""COMPUTED_VALUE"""),19878576)</f>
        <v>19878576</v>
      </c>
      <c r="J313" s="45" t="str">
        <f ca="1">IFERROR(__xludf.DUMMYFUNCTION("""COMPUTED_VALUE"""),"LW2DQ0S")</f>
        <v>LW2DQ0S</v>
      </c>
      <c r="K313" s="45" t="str">
        <f ca="1">IFERROR(__xludf.DUMMYFUNCTION("""COMPUTED_VALUE"""),"LW2DQ0S-049106")</f>
        <v>LW2DQ0S-049106</v>
      </c>
      <c r="L313" s="45">
        <f ca="1">IFERROR(__xludf.DUMMYFUNCTION("""COMPUTED_VALUE"""),4)</f>
        <v>4</v>
      </c>
      <c r="M313" s="45">
        <f ca="1">IFERROR(__xludf.DUMMYFUNCTION("""COMPUTED_VALUE"""),191)</f>
        <v>191</v>
      </c>
      <c r="N313" s="45">
        <f ca="1">IFERROR(__xludf.DUMMYFUNCTION("""COMPUTED_VALUE"""),23.259)</f>
        <v>23.259</v>
      </c>
      <c r="O313" s="45">
        <f ca="1">IFERROR(__xludf.DUMMYFUNCTION("""COMPUTED_VALUE"""),0.322)</f>
        <v>0.32200000000000001</v>
      </c>
      <c r="P313" s="45" t="str">
        <f ca="1">IFERROR(__xludf.DUMMYFUNCTION("""COMPUTED_VALUE"""),"Colombo, LK")</f>
        <v>Colombo, LK</v>
      </c>
      <c r="Q313" s="45" t="str">
        <f ca="1">IFERROR(__xludf.DUMMYFUNCTION("""COMPUTED_VALUE"""),"New York, NY, US")</f>
        <v>New York, NY, US</v>
      </c>
      <c r="R313" s="44">
        <f ca="1">IFERROR(__xludf.DUMMYFUNCTION("""COMPUTED_VALUE"""),45824)</f>
        <v>45824</v>
      </c>
      <c r="S313" s="44">
        <f ca="1">IFERROR(__xludf.DUMMYFUNCTION("""COMPUTED_VALUE"""),45883)</f>
        <v>45883</v>
      </c>
      <c r="T313" s="45" t="str">
        <f ca="1">IFERROR(__xludf.DUMMYFUNCTION("""COMPUTED_VALUE"""),"Milton, ON, CA")</f>
        <v>Milton, ON, CA</v>
      </c>
      <c r="U313" s="45"/>
      <c r="V313" s="45"/>
      <c r="W313" s="45"/>
      <c r="X313" s="45"/>
      <c r="Y313" s="46">
        <f ca="1">IFERROR(__xludf.DUMMYFUNCTION("""COMPUTED_VALUE"""),45832)</f>
        <v>45832</v>
      </c>
      <c r="Z313" s="46">
        <f ca="1">IFERROR(__xludf.DUMMYFUNCTION("""COMPUTED_VALUE"""),45861)</f>
        <v>45861</v>
      </c>
      <c r="AA313" s="46">
        <f ca="1">IFERROR(__xludf.DUMMYFUNCTION("""COMPUTED_VALUE"""),45874)</f>
        <v>45874</v>
      </c>
      <c r="AB313" s="45" t="str">
        <f ca="1">IFERROR(__xludf.DUMMYFUNCTION("""COMPUTED_VALUE"""),"7211 Fifth Line")</f>
        <v>7211 Fifth Line</v>
      </c>
      <c r="AC313" s="45"/>
      <c r="AD313" s="45" t="str">
        <f ca="1">IFERROR(__xludf.DUMMYFUNCTION("""COMPUTED_VALUE"""),"OCEAN")</f>
        <v>OCEAN</v>
      </c>
      <c r="AE313" s="45" t="str">
        <f ca="1">IFERROR(__xludf.DUMMYFUNCTION("""COMPUTED_VALUE"""),"N")</f>
        <v>N</v>
      </c>
      <c r="AF313" s="45"/>
      <c r="AG313" s="49" t="str">
        <f ca="1">IFERROR(__xludf.DUMMYFUNCTION("IFNA(vlookup(H313,IMPORTRANGE(""1vUGwO1n0QQGx9kKbO0_M5gmuhXZ6-LaxQxgrmJnzgP0"",""'TP# look up'!A:C""),3,0),"""")"),"")</f>
        <v/>
      </c>
      <c r="AH313" s="49" t="str">
        <f t="shared" ca="1" si="4"/>
        <v>LW</v>
      </c>
    </row>
    <row r="314" spans="1:34" ht="12.75" hidden="1">
      <c r="A314" s="45" t="str">
        <f ca="1">IFERROR(__xludf.DUMMYFUNCTION("""COMPUTED_VALUE"""),"Colombo")</f>
        <v>Colombo</v>
      </c>
      <c r="B314" s="45"/>
      <c r="C314" s="45">
        <f ca="1">IFERROR(__xludf.DUMMYFUNCTION("""COMPUTED_VALUE"""),3254506)</f>
        <v>3254506</v>
      </c>
      <c r="D314" s="45"/>
      <c r="E314" s="45" t="str">
        <f ca="1">IFERROR(__xludf.DUMMYFUNCTION("""COMPUTED_VALUE"""),"CFS")</f>
        <v>CFS</v>
      </c>
      <c r="F314" s="45" t="str">
        <f ca="1">IFERROR(__xludf.DUMMYFUNCTION("""COMPUTED_VALUE"""),"Bodyline Trading (Private) Limited")</f>
        <v>Bodyline Trading (Private) Limited</v>
      </c>
      <c r="G314" s="45" t="str">
        <f ca="1">IFERROR(__xludf.DUMMYFUNCTION("""COMPUTED_VALUE"""),"Bodyline (Private) Limited")</f>
        <v>Bodyline (Private) Limited</v>
      </c>
      <c r="H314" s="43">
        <f ca="1">IFERROR(__xludf.DUMMYFUNCTION("""COMPUTED_VALUE"""),452736795357)</f>
        <v>452736795357</v>
      </c>
      <c r="I314" s="45">
        <f ca="1">IFERROR(__xludf.DUMMYFUNCTION("""COMPUTED_VALUE"""),19878808)</f>
        <v>19878808</v>
      </c>
      <c r="J314" s="45" t="str">
        <f ca="1">IFERROR(__xludf.DUMMYFUNCTION("""COMPUTED_VALUE"""),"LW2DQ0S")</f>
        <v>LW2DQ0S</v>
      </c>
      <c r="K314" s="45" t="str">
        <f ca="1">IFERROR(__xludf.DUMMYFUNCTION("""COMPUTED_VALUE"""),"LW2DQ0S-049106")</f>
        <v>LW2DQ0S-049106</v>
      </c>
      <c r="L314" s="45">
        <f ca="1">IFERROR(__xludf.DUMMYFUNCTION("""COMPUTED_VALUE"""),6)</f>
        <v>6</v>
      </c>
      <c r="M314" s="45">
        <f ca="1">IFERROR(__xludf.DUMMYFUNCTION("""COMPUTED_VALUE"""),272)</f>
        <v>272</v>
      </c>
      <c r="N314" s="45">
        <f ca="1">IFERROR(__xludf.DUMMYFUNCTION("""COMPUTED_VALUE"""),33.176)</f>
        <v>33.176000000000002</v>
      </c>
      <c r="O314" s="45">
        <f ca="1">IFERROR(__xludf.DUMMYFUNCTION("""COMPUTED_VALUE"""),0.447)</f>
        <v>0.44700000000000001</v>
      </c>
      <c r="P314" s="45" t="str">
        <f ca="1">IFERROR(__xludf.DUMMYFUNCTION("""COMPUTED_VALUE"""),"Colombo, LK")</f>
        <v>Colombo, LK</v>
      </c>
      <c r="Q314" s="45" t="str">
        <f ca="1">IFERROR(__xludf.DUMMYFUNCTION("""COMPUTED_VALUE"""),"New York, NY, US")</f>
        <v>New York, NY, US</v>
      </c>
      <c r="R314" s="44">
        <f ca="1">IFERROR(__xludf.DUMMYFUNCTION("""COMPUTED_VALUE"""),45824)</f>
        <v>45824</v>
      </c>
      <c r="S314" s="44">
        <f ca="1">IFERROR(__xludf.DUMMYFUNCTION("""COMPUTED_VALUE"""),45883)</f>
        <v>45883</v>
      </c>
      <c r="T314" s="45" t="str">
        <f ca="1">IFERROR(__xludf.DUMMYFUNCTION("""COMPUTED_VALUE"""),"Mississauga, ON, CA")</f>
        <v>Mississauga, ON, CA</v>
      </c>
      <c r="U314" s="45"/>
      <c r="V314" s="45"/>
      <c r="W314" s="45"/>
      <c r="X314" s="45"/>
      <c r="Y314" s="46">
        <f ca="1">IFERROR(__xludf.DUMMYFUNCTION("""COMPUTED_VALUE"""),45832)</f>
        <v>45832</v>
      </c>
      <c r="Z314" s="46">
        <f ca="1">IFERROR(__xludf.DUMMYFUNCTION("""COMPUTED_VALUE"""),45861)</f>
        <v>45861</v>
      </c>
      <c r="AA314" s="46">
        <f ca="1">IFERROR(__xludf.DUMMYFUNCTION("""COMPUTED_VALUE"""),45874)</f>
        <v>45874</v>
      </c>
      <c r="AB314" s="45" t="str">
        <f ca="1">IFERROR(__xludf.DUMMYFUNCTION("""COMPUTED_VALUE"""),"3500 Argentia Road")</f>
        <v>3500 Argentia Road</v>
      </c>
      <c r="AC314" s="45"/>
      <c r="AD314" s="45" t="str">
        <f ca="1">IFERROR(__xludf.DUMMYFUNCTION("""COMPUTED_VALUE"""),"OCEAN")</f>
        <v>OCEAN</v>
      </c>
      <c r="AE314" s="45" t="str">
        <f ca="1">IFERROR(__xludf.DUMMYFUNCTION("""COMPUTED_VALUE"""),"N")</f>
        <v>N</v>
      </c>
      <c r="AF314" s="45"/>
      <c r="AG314" s="49" t="str">
        <f ca="1">IFERROR(__xludf.DUMMYFUNCTION("IFNA(vlookup(H314,IMPORTRANGE(""1vUGwO1n0QQGx9kKbO0_M5gmuhXZ6-LaxQxgrmJnzgP0"",""'TP# look up'!A:C""),3,0),"""")"),"")</f>
        <v/>
      </c>
      <c r="AH314" s="49" t="str">
        <f t="shared" ca="1" si="4"/>
        <v>LW</v>
      </c>
    </row>
    <row r="315" spans="1:34" ht="12.75" hidden="1">
      <c r="A315" s="45" t="str">
        <f ca="1">IFERROR(__xludf.DUMMYFUNCTION("""COMPUTED_VALUE"""),"Colombo")</f>
        <v>Colombo</v>
      </c>
      <c r="B315" s="45"/>
      <c r="C315" s="45">
        <f ca="1">IFERROR(__xludf.DUMMYFUNCTION("""COMPUTED_VALUE"""),3254506)</f>
        <v>3254506</v>
      </c>
      <c r="D315" s="45"/>
      <c r="E315" s="45" t="str">
        <f ca="1">IFERROR(__xludf.DUMMYFUNCTION("""COMPUTED_VALUE"""),"CFS")</f>
        <v>CFS</v>
      </c>
      <c r="F315" s="45" t="str">
        <f ca="1">IFERROR(__xludf.DUMMYFUNCTION("""COMPUTED_VALUE"""),"Bodyline Trading (Private) Limited")</f>
        <v>Bodyline Trading (Private) Limited</v>
      </c>
      <c r="G315" s="45" t="str">
        <f ca="1">IFERROR(__xludf.DUMMYFUNCTION("""COMPUTED_VALUE"""),"Bodyline (Private) Limited")</f>
        <v>Bodyline (Private) Limited</v>
      </c>
      <c r="H315" s="43">
        <f ca="1">IFERROR(__xludf.DUMMYFUNCTION("""COMPUTED_VALUE"""),452737645478)</f>
        <v>452737645478</v>
      </c>
      <c r="I315" s="45">
        <f ca="1">IFERROR(__xludf.DUMMYFUNCTION("""COMPUTED_VALUE"""),19878588)</f>
        <v>19878588</v>
      </c>
      <c r="J315" s="45" t="str">
        <f ca="1">IFERROR(__xludf.DUMMYFUNCTION("""COMPUTED_VALUE"""),"LW2DQ0S")</f>
        <v>LW2DQ0S</v>
      </c>
      <c r="K315" s="45" t="str">
        <f ca="1">IFERROR(__xludf.DUMMYFUNCTION("""COMPUTED_VALUE"""),"LW2DQ0S-031382")</f>
        <v>LW2DQ0S-031382</v>
      </c>
      <c r="L315" s="45">
        <f ca="1">IFERROR(__xludf.DUMMYFUNCTION("""COMPUTED_VALUE"""),3)</f>
        <v>3</v>
      </c>
      <c r="M315" s="45">
        <f ca="1">IFERROR(__xludf.DUMMYFUNCTION("""COMPUTED_VALUE"""),118)</f>
        <v>118</v>
      </c>
      <c r="N315" s="45">
        <f ca="1">IFERROR(__xludf.DUMMYFUNCTION("""COMPUTED_VALUE"""),14.82)</f>
        <v>14.82</v>
      </c>
      <c r="O315" s="45">
        <f ca="1">IFERROR(__xludf.DUMMYFUNCTION("""COMPUTED_VALUE"""),0.205)</f>
        <v>0.20499999999999999</v>
      </c>
      <c r="P315" s="45" t="str">
        <f ca="1">IFERROR(__xludf.DUMMYFUNCTION("""COMPUTED_VALUE"""),"Colombo, LK")</f>
        <v>Colombo, LK</v>
      </c>
      <c r="Q315" s="45" t="str">
        <f ca="1">IFERROR(__xludf.DUMMYFUNCTION("""COMPUTED_VALUE"""),"New York, NY, US")</f>
        <v>New York, NY, US</v>
      </c>
      <c r="R315" s="44">
        <f ca="1">IFERROR(__xludf.DUMMYFUNCTION("""COMPUTED_VALUE"""),45824)</f>
        <v>45824</v>
      </c>
      <c r="S315" s="44">
        <f ca="1">IFERROR(__xludf.DUMMYFUNCTION("""COMPUTED_VALUE"""),45883)</f>
        <v>45883</v>
      </c>
      <c r="T315" s="45" t="str">
        <f ca="1">IFERROR(__xludf.DUMMYFUNCTION("""COMPUTED_VALUE"""),"Mississauga, ON, CA")</f>
        <v>Mississauga, ON, CA</v>
      </c>
      <c r="U315" s="45"/>
      <c r="V315" s="45"/>
      <c r="W315" s="45"/>
      <c r="X315" s="45"/>
      <c r="Y315" s="46">
        <f ca="1">IFERROR(__xludf.DUMMYFUNCTION("""COMPUTED_VALUE"""),45832)</f>
        <v>45832</v>
      </c>
      <c r="Z315" s="46">
        <f ca="1">IFERROR(__xludf.DUMMYFUNCTION("""COMPUTED_VALUE"""),45861)</f>
        <v>45861</v>
      </c>
      <c r="AA315" s="46">
        <f ca="1">IFERROR(__xludf.DUMMYFUNCTION("""COMPUTED_VALUE"""),45874)</f>
        <v>45874</v>
      </c>
      <c r="AB315" s="45" t="str">
        <f ca="1">IFERROR(__xludf.DUMMYFUNCTION("""COMPUTED_VALUE"""),"3500 Argentia Road")</f>
        <v>3500 Argentia Road</v>
      </c>
      <c r="AC315" s="45"/>
      <c r="AD315" s="45" t="str">
        <f ca="1">IFERROR(__xludf.DUMMYFUNCTION("""COMPUTED_VALUE"""),"OCEAN")</f>
        <v>OCEAN</v>
      </c>
      <c r="AE315" s="45" t="str">
        <f ca="1">IFERROR(__xludf.DUMMYFUNCTION("""COMPUTED_VALUE"""),"N")</f>
        <v>N</v>
      </c>
      <c r="AF315" s="45"/>
      <c r="AG315" s="49" t="str">
        <f ca="1">IFERROR(__xludf.DUMMYFUNCTION("IFNA(vlookup(H315,IMPORTRANGE(""1vUGwO1n0QQGx9kKbO0_M5gmuhXZ6-LaxQxgrmJnzgP0"",""'TP# look up'!A:C""),3,0),"""")"),"")</f>
        <v/>
      </c>
      <c r="AH315" s="49" t="str">
        <f t="shared" ca="1" si="4"/>
        <v>LW</v>
      </c>
    </row>
    <row r="316" spans="1:34" ht="12.75" hidden="1">
      <c r="A316" s="45" t="str">
        <f ca="1">IFERROR(__xludf.DUMMYFUNCTION("""COMPUTED_VALUE"""),"Colombo")</f>
        <v>Colombo</v>
      </c>
      <c r="B316" s="45"/>
      <c r="C316" s="45">
        <f ca="1">IFERROR(__xludf.DUMMYFUNCTION("""COMPUTED_VALUE"""),3254506)</f>
        <v>3254506</v>
      </c>
      <c r="D316" s="45"/>
      <c r="E316" s="45" t="str">
        <f ca="1">IFERROR(__xludf.DUMMYFUNCTION("""COMPUTED_VALUE"""),"CFS")</f>
        <v>CFS</v>
      </c>
      <c r="F316" s="45" t="str">
        <f ca="1">IFERROR(__xludf.DUMMYFUNCTION("""COMPUTED_VALUE"""),"Bodyline Trading (Private) Limited")</f>
        <v>Bodyline Trading (Private) Limited</v>
      </c>
      <c r="G316" s="45" t="str">
        <f ca="1">IFERROR(__xludf.DUMMYFUNCTION("""COMPUTED_VALUE"""),"Bodyline (Private) Limited")</f>
        <v>Bodyline (Private) Limited</v>
      </c>
      <c r="H316" s="43">
        <f ca="1">IFERROR(__xludf.DUMMYFUNCTION("""COMPUTED_VALUE"""),452738863860)</f>
        <v>452738863860</v>
      </c>
      <c r="I316" s="45">
        <f ca="1">IFERROR(__xludf.DUMMYFUNCTION("""COMPUTED_VALUE"""),19878816)</f>
        <v>19878816</v>
      </c>
      <c r="J316" s="45" t="str">
        <f ca="1">IFERROR(__xludf.DUMMYFUNCTION("""COMPUTED_VALUE"""),"LW2DQ0S")</f>
        <v>LW2DQ0S</v>
      </c>
      <c r="K316" s="45" t="str">
        <f ca="1">IFERROR(__xludf.DUMMYFUNCTION("""COMPUTED_VALUE"""),"LW2DQ0S-031382")</f>
        <v>LW2DQ0S-031382</v>
      </c>
      <c r="L316" s="45">
        <f ca="1">IFERROR(__xludf.DUMMYFUNCTION("""COMPUTED_VALUE"""),6)</f>
        <v>6</v>
      </c>
      <c r="M316" s="45">
        <f ca="1">IFERROR(__xludf.DUMMYFUNCTION("""COMPUTED_VALUE"""),247)</f>
        <v>247</v>
      </c>
      <c r="N316" s="45">
        <f ca="1">IFERROR(__xludf.DUMMYFUNCTION("""COMPUTED_VALUE"""),30.482)</f>
        <v>30.481999999999999</v>
      </c>
      <c r="O316" s="45">
        <f ca="1">IFERROR(__xludf.DUMMYFUNCTION("""COMPUTED_VALUE"""),0.41)</f>
        <v>0.41</v>
      </c>
      <c r="P316" s="45" t="str">
        <f ca="1">IFERROR(__xludf.DUMMYFUNCTION("""COMPUTED_VALUE"""),"Colombo, LK")</f>
        <v>Colombo, LK</v>
      </c>
      <c r="Q316" s="45" t="str">
        <f ca="1">IFERROR(__xludf.DUMMYFUNCTION("""COMPUTED_VALUE"""),"New York, NY, US")</f>
        <v>New York, NY, US</v>
      </c>
      <c r="R316" s="44">
        <f ca="1">IFERROR(__xludf.DUMMYFUNCTION("""COMPUTED_VALUE"""),45824)</f>
        <v>45824</v>
      </c>
      <c r="S316" s="44">
        <f ca="1">IFERROR(__xludf.DUMMYFUNCTION("""COMPUTED_VALUE"""),45883)</f>
        <v>45883</v>
      </c>
      <c r="T316" s="45" t="str">
        <f ca="1">IFERROR(__xludf.DUMMYFUNCTION("""COMPUTED_VALUE"""),"Mississauga, ON, CA")</f>
        <v>Mississauga, ON, CA</v>
      </c>
      <c r="U316" s="45"/>
      <c r="V316" s="45"/>
      <c r="W316" s="45"/>
      <c r="X316" s="45"/>
      <c r="Y316" s="46">
        <f ca="1">IFERROR(__xludf.DUMMYFUNCTION("""COMPUTED_VALUE"""),45832)</f>
        <v>45832</v>
      </c>
      <c r="Z316" s="46">
        <f ca="1">IFERROR(__xludf.DUMMYFUNCTION("""COMPUTED_VALUE"""),45861)</f>
        <v>45861</v>
      </c>
      <c r="AA316" s="46">
        <f ca="1">IFERROR(__xludf.DUMMYFUNCTION("""COMPUTED_VALUE"""),45874)</f>
        <v>45874</v>
      </c>
      <c r="AB316" s="45" t="str">
        <f ca="1">IFERROR(__xludf.DUMMYFUNCTION("""COMPUTED_VALUE"""),"3500 Argentia Road")</f>
        <v>3500 Argentia Road</v>
      </c>
      <c r="AC316" s="45"/>
      <c r="AD316" s="45" t="str">
        <f ca="1">IFERROR(__xludf.DUMMYFUNCTION("""COMPUTED_VALUE"""),"OCEAN")</f>
        <v>OCEAN</v>
      </c>
      <c r="AE316" s="45" t="str">
        <f ca="1">IFERROR(__xludf.DUMMYFUNCTION("""COMPUTED_VALUE"""),"N")</f>
        <v>N</v>
      </c>
      <c r="AF316" s="45"/>
      <c r="AG316" s="49" t="str">
        <f ca="1">IFERROR(__xludf.DUMMYFUNCTION("IFNA(vlookup(H316,IMPORTRANGE(""1vUGwO1n0QQGx9kKbO0_M5gmuhXZ6-LaxQxgrmJnzgP0"",""'TP# look up'!A:C""),3,0),"""")"),"")</f>
        <v/>
      </c>
      <c r="AH316" s="49" t="str">
        <f t="shared" ca="1" si="4"/>
        <v>LW</v>
      </c>
    </row>
    <row r="317" spans="1:34" ht="12.75" hidden="1">
      <c r="A317" s="45" t="str">
        <f ca="1">IFERROR(__xludf.DUMMYFUNCTION("""COMPUTED_VALUE"""),"Colombo")</f>
        <v>Colombo</v>
      </c>
      <c r="B317" s="45"/>
      <c r="C317" s="45">
        <f ca="1">IFERROR(__xludf.DUMMYFUNCTION("""COMPUTED_VALUE"""),3254506)</f>
        <v>3254506</v>
      </c>
      <c r="D317" s="45"/>
      <c r="E317" s="45" t="str">
        <f ca="1">IFERROR(__xludf.DUMMYFUNCTION("""COMPUTED_VALUE"""),"CFS")</f>
        <v>CFS</v>
      </c>
      <c r="F317" s="45" t="str">
        <f ca="1">IFERROR(__xludf.DUMMYFUNCTION("""COMPUTED_VALUE"""),"Bodyline Trading (Private) Limited")</f>
        <v>Bodyline Trading (Private) Limited</v>
      </c>
      <c r="G317" s="45" t="str">
        <f ca="1">IFERROR(__xludf.DUMMYFUNCTION("""COMPUTED_VALUE"""),"Bodyline (Private) Limited")</f>
        <v>Bodyline (Private) Limited</v>
      </c>
      <c r="H317" s="43">
        <f ca="1">IFERROR(__xludf.DUMMYFUNCTION("""COMPUTED_VALUE"""),452740193164)</f>
        <v>452740193164</v>
      </c>
      <c r="I317" s="45">
        <f ca="1">IFERROR(__xludf.DUMMYFUNCTION("""COMPUTED_VALUE"""),19878609)</f>
        <v>19878609</v>
      </c>
      <c r="J317" s="45" t="str">
        <f ca="1">IFERROR(__xludf.DUMMYFUNCTION("""COMPUTED_VALUE"""),"LW2DQ0S")</f>
        <v>LW2DQ0S</v>
      </c>
      <c r="K317" s="45" t="str">
        <f ca="1">IFERROR(__xludf.DUMMYFUNCTION("""COMPUTED_VALUE"""),"LW2DQ0S-041179")</f>
        <v>LW2DQ0S-041179</v>
      </c>
      <c r="L317" s="45">
        <f ca="1">IFERROR(__xludf.DUMMYFUNCTION("""COMPUTED_VALUE"""),4)</f>
        <v>4</v>
      </c>
      <c r="M317" s="45">
        <f ca="1">IFERROR(__xludf.DUMMYFUNCTION("""COMPUTED_VALUE"""),146)</f>
        <v>146</v>
      </c>
      <c r="N317" s="45">
        <f ca="1">IFERROR(__xludf.DUMMYFUNCTION("""COMPUTED_VALUE"""),18.641)</f>
        <v>18.640999999999998</v>
      </c>
      <c r="O317" s="45">
        <f ca="1">IFERROR(__xludf.DUMMYFUNCTION("""COMPUTED_VALUE"""),0.285)</f>
        <v>0.28499999999999998</v>
      </c>
      <c r="P317" s="45" t="str">
        <f ca="1">IFERROR(__xludf.DUMMYFUNCTION("""COMPUTED_VALUE"""),"Colombo, LK")</f>
        <v>Colombo, LK</v>
      </c>
      <c r="Q317" s="45" t="str">
        <f ca="1">IFERROR(__xludf.DUMMYFUNCTION("""COMPUTED_VALUE"""),"New York, NY, US")</f>
        <v>New York, NY, US</v>
      </c>
      <c r="R317" s="44">
        <f ca="1">IFERROR(__xludf.DUMMYFUNCTION("""COMPUTED_VALUE"""),45824)</f>
        <v>45824</v>
      </c>
      <c r="S317" s="44">
        <f ca="1">IFERROR(__xludf.DUMMYFUNCTION("""COMPUTED_VALUE"""),45883)</f>
        <v>45883</v>
      </c>
      <c r="T317" s="45" t="str">
        <f ca="1">IFERROR(__xludf.DUMMYFUNCTION("""COMPUTED_VALUE"""),"Mississauga, ON, CA")</f>
        <v>Mississauga, ON, CA</v>
      </c>
      <c r="U317" s="45"/>
      <c r="V317" s="45"/>
      <c r="W317" s="45"/>
      <c r="X317" s="45"/>
      <c r="Y317" s="46">
        <f ca="1">IFERROR(__xludf.DUMMYFUNCTION("""COMPUTED_VALUE"""),45832)</f>
        <v>45832</v>
      </c>
      <c r="Z317" s="46">
        <f ca="1">IFERROR(__xludf.DUMMYFUNCTION("""COMPUTED_VALUE"""),45861)</f>
        <v>45861</v>
      </c>
      <c r="AA317" s="46">
        <f ca="1">IFERROR(__xludf.DUMMYFUNCTION("""COMPUTED_VALUE"""),45874)</f>
        <v>45874</v>
      </c>
      <c r="AB317" s="45" t="str">
        <f ca="1">IFERROR(__xludf.DUMMYFUNCTION("""COMPUTED_VALUE"""),"3500 Argentia Road")</f>
        <v>3500 Argentia Road</v>
      </c>
      <c r="AC317" s="45"/>
      <c r="AD317" s="45" t="str">
        <f ca="1">IFERROR(__xludf.DUMMYFUNCTION("""COMPUTED_VALUE"""),"OCEAN")</f>
        <v>OCEAN</v>
      </c>
      <c r="AE317" s="45" t="str">
        <f ca="1">IFERROR(__xludf.DUMMYFUNCTION("""COMPUTED_VALUE"""),"N")</f>
        <v>N</v>
      </c>
      <c r="AF317" s="45"/>
      <c r="AG317" s="49" t="str">
        <f ca="1">IFERROR(__xludf.DUMMYFUNCTION("IFNA(vlookup(H317,IMPORTRANGE(""1vUGwO1n0QQGx9kKbO0_M5gmuhXZ6-LaxQxgrmJnzgP0"",""'TP# look up'!A:C""),3,0),"""")"),"")</f>
        <v/>
      </c>
      <c r="AH317" s="49" t="str">
        <f t="shared" ca="1" si="4"/>
        <v>LW</v>
      </c>
    </row>
    <row r="318" spans="1:34" ht="12.75" hidden="1">
      <c r="A318" s="45" t="str">
        <f ca="1">IFERROR(__xludf.DUMMYFUNCTION("""COMPUTED_VALUE"""),"Colombo")</f>
        <v>Colombo</v>
      </c>
      <c r="B318" s="45"/>
      <c r="C318" s="45">
        <f ca="1">IFERROR(__xludf.DUMMYFUNCTION("""COMPUTED_VALUE"""),3254506)</f>
        <v>3254506</v>
      </c>
      <c r="D318" s="45"/>
      <c r="E318" s="45" t="str">
        <f ca="1">IFERROR(__xludf.DUMMYFUNCTION("""COMPUTED_VALUE"""),"CFS")</f>
        <v>CFS</v>
      </c>
      <c r="F318" s="45" t="str">
        <f ca="1">IFERROR(__xludf.DUMMYFUNCTION("""COMPUTED_VALUE"""),"Bodyline Trading (Private) Limited")</f>
        <v>Bodyline Trading (Private) Limited</v>
      </c>
      <c r="G318" s="45" t="str">
        <f ca="1">IFERROR(__xludf.DUMMYFUNCTION("""COMPUTED_VALUE"""),"Bodyline (Private) Limited")</f>
        <v>Bodyline (Private) Limited</v>
      </c>
      <c r="H318" s="43">
        <f ca="1">IFERROR(__xludf.DUMMYFUNCTION("""COMPUTED_VALUE"""),452740193438)</f>
        <v>452740193438</v>
      </c>
      <c r="I318" s="45">
        <f ca="1">IFERROR(__xludf.DUMMYFUNCTION("""COMPUTED_VALUE"""),19878607)</f>
        <v>19878607</v>
      </c>
      <c r="J318" s="45" t="str">
        <f ca="1">IFERROR(__xludf.DUMMYFUNCTION("""COMPUTED_VALUE"""),"LW2DQ0S")</f>
        <v>LW2DQ0S</v>
      </c>
      <c r="K318" s="45" t="str">
        <f ca="1">IFERROR(__xludf.DUMMYFUNCTION("""COMPUTED_VALUE"""),"LW2DQ0S-041179")</f>
        <v>LW2DQ0S-041179</v>
      </c>
      <c r="L318" s="45">
        <f ca="1">IFERROR(__xludf.DUMMYFUNCTION("""COMPUTED_VALUE"""),11)</f>
        <v>11</v>
      </c>
      <c r="M318" s="45">
        <f ca="1">IFERROR(__xludf.DUMMYFUNCTION("""COMPUTED_VALUE"""),716)</f>
        <v>716</v>
      </c>
      <c r="N318" s="45">
        <f ca="1">IFERROR(__xludf.DUMMYFUNCTION("""COMPUTED_VALUE"""),83.268)</f>
        <v>83.268000000000001</v>
      </c>
      <c r="O318" s="45">
        <f ca="1">IFERROR(__xludf.DUMMYFUNCTION("""COMPUTED_VALUE"""),0.886)</f>
        <v>0.88600000000000001</v>
      </c>
      <c r="P318" s="45" t="str">
        <f ca="1">IFERROR(__xludf.DUMMYFUNCTION("""COMPUTED_VALUE"""),"Colombo, LK")</f>
        <v>Colombo, LK</v>
      </c>
      <c r="Q318" s="45" t="str">
        <f ca="1">IFERROR(__xludf.DUMMYFUNCTION("""COMPUTED_VALUE"""),"New York, NY, US")</f>
        <v>New York, NY, US</v>
      </c>
      <c r="R318" s="44">
        <f ca="1">IFERROR(__xludf.DUMMYFUNCTION("""COMPUTED_VALUE"""),45824)</f>
        <v>45824</v>
      </c>
      <c r="S318" s="44">
        <f ca="1">IFERROR(__xludf.DUMMYFUNCTION("""COMPUTED_VALUE"""),45883)</f>
        <v>45883</v>
      </c>
      <c r="T318" s="45" t="str">
        <f ca="1">IFERROR(__xludf.DUMMYFUNCTION("""COMPUTED_VALUE"""),"Milton, ON, CA")</f>
        <v>Milton, ON, CA</v>
      </c>
      <c r="U318" s="45"/>
      <c r="V318" s="45"/>
      <c r="W318" s="45"/>
      <c r="X318" s="45"/>
      <c r="Y318" s="46">
        <f ca="1">IFERROR(__xludf.DUMMYFUNCTION("""COMPUTED_VALUE"""),45832)</f>
        <v>45832</v>
      </c>
      <c r="Z318" s="46">
        <f ca="1">IFERROR(__xludf.DUMMYFUNCTION("""COMPUTED_VALUE"""),45861)</f>
        <v>45861</v>
      </c>
      <c r="AA318" s="46">
        <f ca="1">IFERROR(__xludf.DUMMYFUNCTION("""COMPUTED_VALUE"""),45874)</f>
        <v>45874</v>
      </c>
      <c r="AB318" s="45" t="str">
        <f ca="1">IFERROR(__xludf.DUMMYFUNCTION("""COMPUTED_VALUE"""),"7211 Fifth Line")</f>
        <v>7211 Fifth Line</v>
      </c>
      <c r="AC318" s="45"/>
      <c r="AD318" s="45" t="str">
        <f ca="1">IFERROR(__xludf.DUMMYFUNCTION("""COMPUTED_VALUE"""),"OCEAN")</f>
        <v>OCEAN</v>
      </c>
      <c r="AE318" s="45" t="str">
        <f ca="1">IFERROR(__xludf.DUMMYFUNCTION("""COMPUTED_VALUE"""),"N")</f>
        <v>N</v>
      </c>
      <c r="AF318" s="45"/>
      <c r="AG318" s="49" t="str">
        <f ca="1">IFERROR(__xludf.DUMMYFUNCTION("IFNA(vlookup(H318,IMPORTRANGE(""1vUGwO1n0QQGx9kKbO0_M5gmuhXZ6-LaxQxgrmJnzgP0"",""'TP# look up'!A:C""),3,0),"""")"),"")</f>
        <v/>
      </c>
      <c r="AH318" s="49" t="str">
        <f t="shared" ca="1" si="4"/>
        <v>LW</v>
      </c>
    </row>
    <row r="319" spans="1:34" ht="12.75" hidden="1">
      <c r="A319" s="45" t="str">
        <f ca="1">IFERROR(__xludf.DUMMYFUNCTION("""COMPUTED_VALUE"""),"Colombo")</f>
        <v>Colombo</v>
      </c>
      <c r="B319" s="45"/>
      <c r="C319" s="45">
        <f ca="1">IFERROR(__xludf.DUMMYFUNCTION("""COMPUTED_VALUE"""),3254506)</f>
        <v>3254506</v>
      </c>
      <c r="D319" s="45"/>
      <c r="E319" s="45" t="str">
        <f ca="1">IFERROR(__xludf.DUMMYFUNCTION("""COMPUTED_VALUE"""),"CFS")</f>
        <v>CFS</v>
      </c>
      <c r="F319" s="45" t="str">
        <f ca="1">IFERROR(__xludf.DUMMYFUNCTION("""COMPUTED_VALUE"""),"Bodyline Trading (Private) Limited")</f>
        <v>Bodyline Trading (Private) Limited</v>
      </c>
      <c r="G319" s="45" t="str">
        <f ca="1">IFERROR(__xludf.DUMMYFUNCTION("""COMPUTED_VALUE"""),"Bodyline (Private) Limited")</f>
        <v>Bodyline (Private) Limited</v>
      </c>
      <c r="H319" s="43">
        <f ca="1">IFERROR(__xludf.DUMMYFUNCTION("""COMPUTED_VALUE"""),452741267767)</f>
        <v>452741267767</v>
      </c>
      <c r="I319" s="45">
        <f ca="1">IFERROR(__xludf.DUMMYFUNCTION("""COMPUTED_VALUE"""),19878827)</f>
        <v>19878827</v>
      </c>
      <c r="J319" s="45" t="str">
        <f ca="1">IFERROR(__xludf.DUMMYFUNCTION("""COMPUTED_VALUE"""),"LW2DQ0S")</f>
        <v>LW2DQ0S</v>
      </c>
      <c r="K319" s="45" t="str">
        <f ca="1">IFERROR(__xludf.DUMMYFUNCTION("""COMPUTED_VALUE"""),"LW2DQ0S-041179")</f>
        <v>LW2DQ0S-041179</v>
      </c>
      <c r="L319" s="45">
        <f ca="1">IFERROR(__xludf.DUMMYFUNCTION("""COMPUTED_VALUE"""),6)</f>
        <v>6</v>
      </c>
      <c r="M319" s="45">
        <f ca="1">IFERROR(__xludf.DUMMYFUNCTION("""COMPUTED_VALUE"""),272)</f>
        <v>272</v>
      </c>
      <c r="N319" s="45">
        <f ca="1">IFERROR(__xludf.DUMMYFUNCTION("""COMPUTED_VALUE"""),33.188)</f>
        <v>33.188000000000002</v>
      </c>
      <c r="O319" s="45">
        <f ca="1">IFERROR(__xludf.DUMMYFUNCTION("""COMPUTED_VALUE"""),0.447)</f>
        <v>0.44700000000000001</v>
      </c>
      <c r="P319" s="45" t="str">
        <f ca="1">IFERROR(__xludf.DUMMYFUNCTION("""COMPUTED_VALUE"""),"Colombo, LK")</f>
        <v>Colombo, LK</v>
      </c>
      <c r="Q319" s="45" t="str">
        <f ca="1">IFERROR(__xludf.DUMMYFUNCTION("""COMPUTED_VALUE"""),"New York, NY, US")</f>
        <v>New York, NY, US</v>
      </c>
      <c r="R319" s="44">
        <f ca="1">IFERROR(__xludf.DUMMYFUNCTION("""COMPUTED_VALUE"""),45824)</f>
        <v>45824</v>
      </c>
      <c r="S319" s="44">
        <f ca="1">IFERROR(__xludf.DUMMYFUNCTION("""COMPUTED_VALUE"""),45883)</f>
        <v>45883</v>
      </c>
      <c r="T319" s="45" t="str">
        <f ca="1">IFERROR(__xludf.DUMMYFUNCTION("""COMPUTED_VALUE"""),"Mississauga, ON, CA")</f>
        <v>Mississauga, ON, CA</v>
      </c>
      <c r="U319" s="45"/>
      <c r="V319" s="45"/>
      <c r="W319" s="45"/>
      <c r="X319" s="45"/>
      <c r="Y319" s="46">
        <f ca="1">IFERROR(__xludf.DUMMYFUNCTION("""COMPUTED_VALUE"""),45832)</f>
        <v>45832</v>
      </c>
      <c r="Z319" s="46">
        <f ca="1">IFERROR(__xludf.DUMMYFUNCTION("""COMPUTED_VALUE"""),45861)</f>
        <v>45861</v>
      </c>
      <c r="AA319" s="46">
        <f ca="1">IFERROR(__xludf.DUMMYFUNCTION("""COMPUTED_VALUE"""),45874)</f>
        <v>45874</v>
      </c>
      <c r="AB319" s="45" t="str">
        <f ca="1">IFERROR(__xludf.DUMMYFUNCTION("""COMPUTED_VALUE"""),"3500 Argentia Road")</f>
        <v>3500 Argentia Road</v>
      </c>
      <c r="AC319" s="45"/>
      <c r="AD319" s="45" t="str">
        <f ca="1">IFERROR(__xludf.DUMMYFUNCTION("""COMPUTED_VALUE"""),"OCEAN")</f>
        <v>OCEAN</v>
      </c>
      <c r="AE319" s="45" t="str">
        <f ca="1">IFERROR(__xludf.DUMMYFUNCTION("""COMPUTED_VALUE"""),"N")</f>
        <v>N</v>
      </c>
      <c r="AF319" s="45"/>
      <c r="AG319" s="49" t="str">
        <f ca="1">IFERROR(__xludf.DUMMYFUNCTION("IFNA(vlookup(H319,IMPORTRANGE(""1vUGwO1n0QQGx9kKbO0_M5gmuhXZ6-LaxQxgrmJnzgP0"",""'TP# look up'!A:C""),3,0),"""")"),"")</f>
        <v/>
      </c>
      <c r="AH319" s="49" t="str">
        <f t="shared" ca="1" si="4"/>
        <v>LW</v>
      </c>
    </row>
    <row r="320" spans="1:34" ht="12.75" hidden="1">
      <c r="A320" s="45" t="str">
        <f ca="1">IFERROR(__xludf.DUMMYFUNCTION("""COMPUTED_VALUE"""),"Colombo")</f>
        <v>Colombo</v>
      </c>
      <c r="B320" s="45"/>
      <c r="C320" s="45">
        <f ca="1">IFERROR(__xludf.DUMMYFUNCTION("""COMPUTED_VALUE"""),3254506)</f>
        <v>3254506</v>
      </c>
      <c r="D320" s="45"/>
      <c r="E320" s="45" t="str">
        <f ca="1">IFERROR(__xludf.DUMMYFUNCTION("""COMPUTED_VALUE"""),"CFS")</f>
        <v>CFS</v>
      </c>
      <c r="F320" s="45" t="str">
        <f ca="1">IFERROR(__xludf.DUMMYFUNCTION("""COMPUTED_VALUE"""),"Bodyline Trading (Private) Limited")</f>
        <v>Bodyline Trading (Private) Limited</v>
      </c>
      <c r="G320" s="45" t="str">
        <f ca="1">IFERROR(__xludf.DUMMYFUNCTION("""COMPUTED_VALUE"""),"Bodyline (Private) Limited")</f>
        <v>Bodyline (Private) Limited</v>
      </c>
      <c r="H320" s="43">
        <f ca="1">IFERROR(__xludf.DUMMYFUNCTION("""COMPUTED_VALUE"""),452742081047)</f>
        <v>452742081047</v>
      </c>
      <c r="I320" s="45">
        <f ca="1">IFERROR(__xludf.DUMMYFUNCTION("""COMPUTED_VALUE"""),19878360)</f>
        <v>19878360</v>
      </c>
      <c r="J320" s="45" t="str">
        <f ca="1">IFERROR(__xludf.DUMMYFUNCTION("""COMPUTED_VALUE"""),"LW2731S")</f>
        <v>LW2731S</v>
      </c>
      <c r="K320" s="45" t="str">
        <f ca="1">IFERROR(__xludf.DUMMYFUNCTION("""COMPUTED_VALUE"""),"LW2731S-0002")</f>
        <v>LW2731S-0002</v>
      </c>
      <c r="L320" s="45">
        <f ca="1">IFERROR(__xludf.DUMMYFUNCTION("""COMPUTED_VALUE"""),4)</f>
        <v>4</v>
      </c>
      <c r="M320" s="45">
        <f ca="1">IFERROR(__xludf.DUMMYFUNCTION("""COMPUTED_VALUE"""),165)</f>
        <v>165</v>
      </c>
      <c r="N320" s="45">
        <f ca="1">IFERROR(__xludf.DUMMYFUNCTION("""COMPUTED_VALUE"""),18.219)</f>
        <v>18.219000000000001</v>
      </c>
      <c r="O320" s="45">
        <f ca="1">IFERROR(__xludf.DUMMYFUNCTION("""COMPUTED_VALUE"""),0.322)</f>
        <v>0.32200000000000001</v>
      </c>
      <c r="P320" s="45" t="str">
        <f ca="1">IFERROR(__xludf.DUMMYFUNCTION("""COMPUTED_VALUE"""),"Colombo, LK")</f>
        <v>Colombo, LK</v>
      </c>
      <c r="Q320" s="45" t="str">
        <f ca="1">IFERROR(__xludf.DUMMYFUNCTION("""COMPUTED_VALUE"""),"New York, NY, US")</f>
        <v>New York, NY, US</v>
      </c>
      <c r="R320" s="44">
        <f ca="1">IFERROR(__xludf.DUMMYFUNCTION("""COMPUTED_VALUE"""),45824)</f>
        <v>45824</v>
      </c>
      <c r="S320" s="44">
        <f ca="1">IFERROR(__xludf.DUMMYFUNCTION("""COMPUTED_VALUE"""),45883)</f>
        <v>45883</v>
      </c>
      <c r="T320" s="45" t="str">
        <f ca="1">IFERROR(__xludf.DUMMYFUNCTION("""COMPUTED_VALUE"""),"Mississauga, ON, CA")</f>
        <v>Mississauga, ON, CA</v>
      </c>
      <c r="U320" s="45"/>
      <c r="V320" s="45"/>
      <c r="W320" s="45"/>
      <c r="X320" s="45"/>
      <c r="Y320" s="46">
        <f ca="1">IFERROR(__xludf.DUMMYFUNCTION("""COMPUTED_VALUE"""),45832)</f>
        <v>45832</v>
      </c>
      <c r="Z320" s="46">
        <f ca="1">IFERROR(__xludf.DUMMYFUNCTION("""COMPUTED_VALUE"""),45861)</f>
        <v>45861</v>
      </c>
      <c r="AA320" s="46">
        <f ca="1">IFERROR(__xludf.DUMMYFUNCTION("""COMPUTED_VALUE"""),45874)</f>
        <v>45874</v>
      </c>
      <c r="AB320" s="45" t="str">
        <f ca="1">IFERROR(__xludf.DUMMYFUNCTION("""COMPUTED_VALUE"""),"3500 Argentia Road")</f>
        <v>3500 Argentia Road</v>
      </c>
      <c r="AC320" s="45"/>
      <c r="AD320" s="45" t="str">
        <f ca="1">IFERROR(__xludf.DUMMYFUNCTION("""COMPUTED_VALUE"""),"OCEAN")</f>
        <v>OCEAN</v>
      </c>
      <c r="AE320" s="45" t="str">
        <f ca="1">IFERROR(__xludf.DUMMYFUNCTION("""COMPUTED_VALUE"""),"N")</f>
        <v>N</v>
      </c>
      <c r="AF320" s="45"/>
      <c r="AG320" s="49" t="str">
        <f ca="1">IFERROR(__xludf.DUMMYFUNCTION("IFNA(vlookup(H320,IMPORTRANGE(""1vUGwO1n0QQGx9kKbO0_M5gmuhXZ6-LaxQxgrmJnzgP0"",""'TP# look up'!A:C""),3,0),"""")"),"")</f>
        <v/>
      </c>
      <c r="AH320" s="49" t="str">
        <f t="shared" ca="1" si="4"/>
        <v>LW</v>
      </c>
    </row>
    <row r="321" spans="1:34" ht="12.75" hidden="1">
      <c r="A321" s="45" t="str">
        <f ca="1">IFERROR(__xludf.DUMMYFUNCTION("""COMPUTED_VALUE"""),"Colombo")</f>
        <v>Colombo</v>
      </c>
      <c r="B321" s="45"/>
      <c r="C321" s="45">
        <f ca="1">IFERROR(__xludf.DUMMYFUNCTION("""COMPUTED_VALUE"""),3254506)</f>
        <v>3254506</v>
      </c>
      <c r="D321" s="45"/>
      <c r="E321" s="45" t="str">
        <f ca="1">IFERROR(__xludf.DUMMYFUNCTION("""COMPUTED_VALUE"""),"CFS")</f>
        <v>CFS</v>
      </c>
      <c r="F321" s="45" t="str">
        <f ca="1">IFERROR(__xludf.DUMMYFUNCTION("""COMPUTED_VALUE"""),"Bodyline Trading (Private) Limited")</f>
        <v>Bodyline Trading (Private) Limited</v>
      </c>
      <c r="G321" s="45" t="str">
        <f ca="1">IFERROR(__xludf.DUMMYFUNCTION("""COMPUTED_VALUE"""),"Bodyline (Private) Limited")</f>
        <v>Bodyline (Private) Limited</v>
      </c>
      <c r="H321" s="43">
        <f ca="1">IFERROR(__xludf.DUMMYFUNCTION("""COMPUTED_VALUE"""),452743736213)</f>
        <v>452743736213</v>
      </c>
      <c r="I321" s="45">
        <f ca="1">IFERROR(__xludf.DUMMYFUNCTION("""COMPUTED_VALUE"""),19877462)</f>
        <v>19877462</v>
      </c>
      <c r="J321" s="45" t="str">
        <f ca="1">IFERROR(__xludf.DUMMYFUNCTION("""COMPUTED_VALUE"""),"LW9DC3S")</f>
        <v>LW9DC3S</v>
      </c>
      <c r="K321" s="45" t="str">
        <f ca="1">IFERROR(__xludf.DUMMYFUNCTION("""COMPUTED_VALUE"""),"LW9DC3S-068971")</f>
        <v>LW9DC3S-068971</v>
      </c>
      <c r="L321" s="45">
        <f ca="1">IFERROR(__xludf.DUMMYFUNCTION("""COMPUTED_VALUE"""),3)</f>
        <v>3</v>
      </c>
      <c r="M321" s="45">
        <f ca="1">IFERROR(__xludf.DUMMYFUNCTION("""COMPUTED_VALUE"""),73)</f>
        <v>73</v>
      </c>
      <c r="N321" s="45">
        <f ca="1">IFERROR(__xludf.DUMMYFUNCTION("""COMPUTED_VALUE"""),7.123)</f>
        <v>7.1230000000000002</v>
      </c>
      <c r="O321" s="45">
        <f ca="1">IFERROR(__xludf.DUMMYFUNCTION("""COMPUTED_VALUE"""),0.132)</f>
        <v>0.13200000000000001</v>
      </c>
      <c r="P321" s="45" t="str">
        <f ca="1">IFERROR(__xludf.DUMMYFUNCTION("""COMPUTED_VALUE"""),"Colombo, LK")</f>
        <v>Colombo, LK</v>
      </c>
      <c r="Q321" s="45" t="str">
        <f ca="1">IFERROR(__xludf.DUMMYFUNCTION("""COMPUTED_VALUE"""),"New York, NY, US")</f>
        <v>New York, NY, US</v>
      </c>
      <c r="R321" s="44">
        <f ca="1">IFERROR(__xludf.DUMMYFUNCTION("""COMPUTED_VALUE"""),45824)</f>
        <v>45824</v>
      </c>
      <c r="S321" s="44">
        <f ca="1">IFERROR(__xludf.DUMMYFUNCTION("""COMPUTED_VALUE"""),45883)</f>
        <v>45883</v>
      </c>
      <c r="T321" s="45" t="str">
        <f ca="1">IFERROR(__xludf.DUMMYFUNCTION("""COMPUTED_VALUE"""),"Mississauga, ON, CA")</f>
        <v>Mississauga, ON, CA</v>
      </c>
      <c r="U321" s="45"/>
      <c r="V321" s="45"/>
      <c r="W321" s="45"/>
      <c r="X321" s="45"/>
      <c r="Y321" s="46">
        <f ca="1">IFERROR(__xludf.DUMMYFUNCTION("""COMPUTED_VALUE"""),45832)</f>
        <v>45832</v>
      </c>
      <c r="Z321" s="46">
        <f ca="1">IFERROR(__xludf.DUMMYFUNCTION("""COMPUTED_VALUE"""),45861)</f>
        <v>45861</v>
      </c>
      <c r="AA321" s="46">
        <f ca="1">IFERROR(__xludf.DUMMYFUNCTION("""COMPUTED_VALUE"""),45874)</f>
        <v>45874</v>
      </c>
      <c r="AB321" s="45" t="str">
        <f ca="1">IFERROR(__xludf.DUMMYFUNCTION("""COMPUTED_VALUE"""),"3500 Argentia Road")</f>
        <v>3500 Argentia Road</v>
      </c>
      <c r="AC321" s="45"/>
      <c r="AD321" s="45" t="str">
        <f ca="1">IFERROR(__xludf.DUMMYFUNCTION("""COMPUTED_VALUE"""),"OCEAN")</f>
        <v>OCEAN</v>
      </c>
      <c r="AE321" s="45" t="str">
        <f ca="1">IFERROR(__xludf.DUMMYFUNCTION("""COMPUTED_VALUE"""),"N")</f>
        <v>N</v>
      </c>
      <c r="AF321" s="45"/>
      <c r="AG321" s="49" t="str">
        <f ca="1">IFERROR(__xludf.DUMMYFUNCTION("IFNA(vlookup(H321,IMPORTRANGE(""1vUGwO1n0QQGx9kKbO0_M5gmuhXZ6-LaxQxgrmJnzgP0"",""'TP# look up'!A:C""),3,0),"""")"),"")</f>
        <v/>
      </c>
      <c r="AH321" s="49" t="str">
        <f t="shared" ca="1" si="4"/>
        <v>LW</v>
      </c>
    </row>
    <row r="322" spans="1:34" ht="12.75" hidden="1">
      <c r="A322" s="45" t="str">
        <f ca="1">IFERROR(__xludf.DUMMYFUNCTION("""COMPUTED_VALUE"""),"Colombo")</f>
        <v>Colombo</v>
      </c>
      <c r="B322" s="45"/>
      <c r="C322" s="45">
        <f ca="1">IFERROR(__xludf.DUMMYFUNCTION("""COMPUTED_VALUE"""),3254506)</f>
        <v>3254506</v>
      </c>
      <c r="D322" s="45"/>
      <c r="E322" s="45" t="str">
        <f ca="1">IFERROR(__xludf.DUMMYFUNCTION("""COMPUTED_VALUE"""),"CFS")</f>
        <v>CFS</v>
      </c>
      <c r="F322" s="45" t="str">
        <f ca="1">IFERROR(__xludf.DUMMYFUNCTION("""COMPUTED_VALUE"""),"Bodyline Trading (Private) Limited")</f>
        <v>Bodyline Trading (Private) Limited</v>
      </c>
      <c r="G322" s="45" t="str">
        <f ca="1">IFERROR(__xludf.DUMMYFUNCTION("""COMPUTED_VALUE"""),"Bodyline (Private) Limited")</f>
        <v>Bodyline (Private) Limited</v>
      </c>
      <c r="H322" s="43">
        <f ca="1">IFERROR(__xludf.DUMMYFUNCTION("""COMPUTED_VALUE"""),452744235914)</f>
        <v>452744235914</v>
      </c>
      <c r="I322" s="45">
        <f ca="1">IFERROR(__xludf.DUMMYFUNCTION("""COMPUTED_VALUE"""),19877730)</f>
        <v>19877730</v>
      </c>
      <c r="J322" s="45" t="str">
        <f ca="1">IFERROR(__xludf.DUMMYFUNCTION("""COMPUTED_VALUE"""),"LW9DC3S")</f>
        <v>LW9DC3S</v>
      </c>
      <c r="K322" s="45" t="str">
        <f ca="1">IFERROR(__xludf.DUMMYFUNCTION("""COMPUTED_VALUE"""),"LW9DC3S-068971")</f>
        <v>LW9DC3S-068971</v>
      </c>
      <c r="L322" s="45">
        <f ca="1">IFERROR(__xludf.DUMMYFUNCTION("""COMPUTED_VALUE"""),4)</f>
        <v>4</v>
      </c>
      <c r="M322" s="45">
        <f ca="1">IFERROR(__xludf.DUMMYFUNCTION("""COMPUTED_VALUE"""),184)</f>
        <v>184</v>
      </c>
      <c r="N322" s="45">
        <f ca="1">IFERROR(__xludf.DUMMYFUNCTION("""COMPUTED_VALUE"""),14.622)</f>
        <v>14.622</v>
      </c>
      <c r="O322" s="45">
        <f ca="1">IFERROR(__xludf.DUMMYFUNCTION("""COMPUTED_VALUE"""),0.176)</f>
        <v>0.17599999999999999</v>
      </c>
      <c r="P322" s="45" t="str">
        <f ca="1">IFERROR(__xludf.DUMMYFUNCTION("""COMPUTED_VALUE"""),"Colombo, LK")</f>
        <v>Colombo, LK</v>
      </c>
      <c r="Q322" s="45" t="str">
        <f ca="1">IFERROR(__xludf.DUMMYFUNCTION("""COMPUTED_VALUE"""),"New York, NY, US")</f>
        <v>New York, NY, US</v>
      </c>
      <c r="R322" s="44">
        <f ca="1">IFERROR(__xludf.DUMMYFUNCTION("""COMPUTED_VALUE"""),45824)</f>
        <v>45824</v>
      </c>
      <c r="S322" s="44">
        <f ca="1">IFERROR(__xludf.DUMMYFUNCTION("""COMPUTED_VALUE"""),45883)</f>
        <v>45883</v>
      </c>
      <c r="T322" s="45" t="str">
        <f ca="1">IFERROR(__xludf.DUMMYFUNCTION("""COMPUTED_VALUE"""),"Mississauga, ON, CA")</f>
        <v>Mississauga, ON, CA</v>
      </c>
      <c r="U322" s="45"/>
      <c r="V322" s="45"/>
      <c r="W322" s="45"/>
      <c r="X322" s="45"/>
      <c r="Y322" s="46">
        <f ca="1">IFERROR(__xludf.DUMMYFUNCTION("""COMPUTED_VALUE"""),45832)</f>
        <v>45832</v>
      </c>
      <c r="Z322" s="46">
        <f ca="1">IFERROR(__xludf.DUMMYFUNCTION("""COMPUTED_VALUE"""),45861)</f>
        <v>45861</v>
      </c>
      <c r="AA322" s="46">
        <f ca="1">IFERROR(__xludf.DUMMYFUNCTION("""COMPUTED_VALUE"""),45874)</f>
        <v>45874</v>
      </c>
      <c r="AB322" s="45" t="str">
        <f ca="1">IFERROR(__xludf.DUMMYFUNCTION("""COMPUTED_VALUE"""),"3500 Argentia Road")</f>
        <v>3500 Argentia Road</v>
      </c>
      <c r="AC322" s="45"/>
      <c r="AD322" s="45" t="str">
        <f ca="1">IFERROR(__xludf.DUMMYFUNCTION("""COMPUTED_VALUE"""),"OCEAN")</f>
        <v>OCEAN</v>
      </c>
      <c r="AE322" s="45" t="str">
        <f ca="1">IFERROR(__xludf.DUMMYFUNCTION("""COMPUTED_VALUE"""),"N")</f>
        <v>N</v>
      </c>
      <c r="AF322" s="45"/>
      <c r="AG322" s="49" t="str">
        <f ca="1">IFERROR(__xludf.DUMMYFUNCTION("IFNA(vlookup(H322,IMPORTRANGE(""1vUGwO1n0QQGx9kKbO0_M5gmuhXZ6-LaxQxgrmJnzgP0"",""'TP# look up'!A:C""),3,0),"""")"),"")</f>
        <v/>
      </c>
      <c r="AH322" s="49" t="str">
        <f t="shared" ref="AH322:AH385" ca="1" si="5">LEFT(J322,2)</f>
        <v>LW</v>
      </c>
    </row>
    <row r="323" spans="1:34" ht="12.75" hidden="1">
      <c r="A323" s="45" t="str">
        <f ca="1">IFERROR(__xludf.DUMMYFUNCTION("""COMPUTED_VALUE"""),"Colombo")</f>
        <v>Colombo</v>
      </c>
      <c r="B323" s="45"/>
      <c r="C323" s="45">
        <f ca="1">IFERROR(__xludf.DUMMYFUNCTION("""COMPUTED_VALUE"""),3254506)</f>
        <v>3254506</v>
      </c>
      <c r="D323" s="45"/>
      <c r="E323" s="45" t="str">
        <f ca="1">IFERROR(__xludf.DUMMYFUNCTION("""COMPUTED_VALUE"""),"CFS")</f>
        <v>CFS</v>
      </c>
      <c r="F323" s="45" t="str">
        <f ca="1">IFERROR(__xludf.DUMMYFUNCTION("""COMPUTED_VALUE"""),"Bodyline Trading (Private) Limited")</f>
        <v>Bodyline Trading (Private) Limited</v>
      </c>
      <c r="G323" s="45" t="str">
        <f ca="1">IFERROR(__xludf.DUMMYFUNCTION("""COMPUTED_VALUE"""),"Bodyline (Private) Limited")</f>
        <v>Bodyline (Private) Limited</v>
      </c>
      <c r="H323" s="43">
        <f ca="1">IFERROR(__xludf.DUMMYFUNCTION("""COMPUTED_VALUE"""),452744631950)</f>
        <v>452744631950</v>
      </c>
      <c r="I323" s="45">
        <f ca="1">IFERROR(__xludf.DUMMYFUNCTION("""COMPUTED_VALUE"""),19877438)</f>
        <v>19877438</v>
      </c>
      <c r="J323" s="45" t="str">
        <f ca="1">IFERROR(__xludf.DUMMYFUNCTION("""COMPUTED_VALUE"""),"LW9DC3S")</f>
        <v>LW9DC3S</v>
      </c>
      <c r="K323" s="45" t="str">
        <f ca="1">IFERROR(__xludf.DUMMYFUNCTION("""COMPUTED_VALUE"""),"LW9DC3S-068971")</f>
        <v>LW9DC3S-068971</v>
      </c>
      <c r="L323" s="45">
        <f ca="1">IFERROR(__xludf.DUMMYFUNCTION("""COMPUTED_VALUE"""),3)</f>
        <v>3</v>
      </c>
      <c r="M323" s="45">
        <f ca="1">IFERROR(__xludf.DUMMYFUNCTION("""COMPUTED_VALUE"""),177)</f>
        <v>177</v>
      </c>
      <c r="N323" s="45">
        <f ca="1">IFERROR(__xludf.DUMMYFUNCTION("""COMPUTED_VALUE"""),13.271)</f>
        <v>13.271000000000001</v>
      </c>
      <c r="O323" s="45">
        <f ca="1">IFERROR(__xludf.DUMMYFUNCTION("""COMPUTED_VALUE"""),0.132)</f>
        <v>0.13200000000000001</v>
      </c>
      <c r="P323" s="45" t="str">
        <f ca="1">IFERROR(__xludf.DUMMYFUNCTION("""COMPUTED_VALUE"""),"Colombo, LK")</f>
        <v>Colombo, LK</v>
      </c>
      <c r="Q323" s="45" t="str">
        <f ca="1">IFERROR(__xludf.DUMMYFUNCTION("""COMPUTED_VALUE"""),"New York, NY, US")</f>
        <v>New York, NY, US</v>
      </c>
      <c r="R323" s="44">
        <f ca="1">IFERROR(__xludf.DUMMYFUNCTION("""COMPUTED_VALUE"""),45824)</f>
        <v>45824</v>
      </c>
      <c r="S323" s="44">
        <f ca="1">IFERROR(__xludf.DUMMYFUNCTION("""COMPUTED_VALUE"""),45883)</f>
        <v>45883</v>
      </c>
      <c r="T323" s="45" t="str">
        <f ca="1">IFERROR(__xludf.DUMMYFUNCTION("""COMPUTED_VALUE"""),"Milton, ON, CA")</f>
        <v>Milton, ON, CA</v>
      </c>
      <c r="U323" s="45"/>
      <c r="V323" s="45"/>
      <c r="W323" s="45"/>
      <c r="X323" s="45"/>
      <c r="Y323" s="46">
        <f ca="1">IFERROR(__xludf.DUMMYFUNCTION("""COMPUTED_VALUE"""),45832)</f>
        <v>45832</v>
      </c>
      <c r="Z323" s="46">
        <f ca="1">IFERROR(__xludf.DUMMYFUNCTION("""COMPUTED_VALUE"""),45861)</f>
        <v>45861</v>
      </c>
      <c r="AA323" s="46">
        <f ca="1">IFERROR(__xludf.DUMMYFUNCTION("""COMPUTED_VALUE"""),45874)</f>
        <v>45874</v>
      </c>
      <c r="AB323" s="45" t="str">
        <f ca="1">IFERROR(__xludf.DUMMYFUNCTION("""COMPUTED_VALUE"""),"7211 Fifth Line")</f>
        <v>7211 Fifth Line</v>
      </c>
      <c r="AC323" s="45"/>
      <c r="AD323" s="45" t="str">
        <f ca="1">IFERROR(__xludf.DUMMYFUNCTION("""COMPUTED_VALUE"""),"OCEAN")</f>
        <v>OCEAN</v>
      </c>
      <c r="AE323" s="45" t="str">
        <f ca="1">IFERROR(__xludf.DUMMYFUNCTION("""COMPUTED_VALUE"""),"N")</f>
        <v>N</v>
      </c>
      <c r="AF323" s="45"/>
      <c r="AG323" s="49" t="str">
        <f ca="1">IFERROR(__xludf.DUMMYFUNCTION("IFNA(vlookup(H323,IMPORTRANGE(""1vUGwO1n0QQGx9kKbO0_M5gmuhXZ6-LaxQxgrmJnzgP0"",""'TP# look up'!A:C""),3,0),"""")"),"")</f>
        <v/>
      </c>
      <c r="AH323" s="49" t="str">
        <f t="shared" ca="1" si="5"/>
        <v>LW</v>
      </c>
    </row>
    <row r="324" spans="1:34" ht="12.75" hidden="1">
      <c r="A324" s="45" t="str">
        <f ca="1">IFERROR(__xludf.DUMMYFUNCTION("""COMPUTED_VALUE"""),"Colombo")</f>
        <v>Colombo</v>
      </c>
      <c r="B324" s="45"/>
      <c r="C324" s="45">
        <f ca="1">IFERROR(__xludf.DUMMYFUNCTION("""COMPUTED_VALUE"""),3254506)</f>
        <v>3254506</v>
      </c>
      <c r="D324" s="45"/>
      <c r="E324" s="45" t="str">
        <f ca="1">IFERROR(__xludf.DUMMYFUNCTION("""COMPUTED_VALUE"""),"CFS")</f>
        <v>CFS</v>
      </c>
      <c r="F324" s="45" t="str">
        <f ca="1">IFERROR(__xludf.DUMMYFUNCTION("""COMPUTED_VALUE"""),"Bodyline Trading (Private) Limited")</f>
        <v>Bodyline Trading (Private) Limited</v>
      </c>
      <c r="G324" s="45" t="str">
        <f ca="1">IFERROR(__xludf.DUMMYFUNCTION("""COMPUTED_VALUE"""),"Bodyline (Private) Limited")</f>
        <v>Bodyline (Private) Limited</v>
      </c>
      <c r="H324" s="43">
        <f ca="1">IFERROR(__xludf.DUMMYFUNCTION("""COMPUTED_VALUE"""),452745107166)</f>
        <v>452745107166</v>
      </c>
      <c r="I324" s="45">
        <f ca="1">IFERROR(__xludf.DUMMYFUNCTION("""COMPUTED_VALUE"""),19877398)</f>
        <v>19877398</v>
      </c>
      <c r="J324" s="45" t="str">
        <f ca="1">IFERROR(__xludf.DUMMYFUNCTION("""COMPUTED_VALUE"""),"LW9DC3S")</f>
        <v>LW9DC3S</v>
      </c>
      <c r="K324" s="45" t="str">
        <f ca="1">IFERROR(__xludf.DUMMYFUNCTION("""COMPUTED_VALUE"""),"LW9DC3S-073330")</f>
        <v>LW9DC3S-073330</v>
      </c>
      <c r="L324" s="45">
        <f ca="1">IFERROR(__xludf.DUMMYFUNCTION("""COMPUTED_VALUE"""),3)</f>
        <v>3</v>
      </c>
      <c r="M324" s="45">
        <f ca="1">IFERROR(__xludf.DUMMYFUNCTION("""COMPUTED_VALUE"""),173)</f>
        <v>173</v>
      </c>
      <c r="N324" s="45">
        <f ca="1">IFERROR(__xludf.DUMMYFUNCTION("""COMPUTED_VALUE"""),13.035)</f>
        <v>13.035</v>
      </c>
      <c r="O324" s="45">
        <f ca="1">IFERROR(__xludf.DUMMYFUNCTION("""COMPUTED_VALUE"""),0.132)</f>
        <v>0.13200000000000001</v>
      </c>
      <c r="P324" s="45" t="str">
        <f ca="1">IFERROR(__xludf.DUMMYFUNCTION("""COMPUTED_VALUE"""),"Colombo, LK")</f>
        <v>Colombo, LK</v>
      </c>
      <c r="Q324" s="45" t="str">
        <f ca="1">IFERROR(__xludf.DUMMYFUNCTION("""COMPUTED_VALUE"""),"New York, NY, US")</f>
        <v>New York, NY, US</v>
      </c>
      <c r="R324" s="44">
        <f ca="1">IFERROR(__xludf.DUMMYFUNCTION("""COMPUTED_VALUE"""),45824)</f>
        <v>45824</v>
      </c>
      <c r="S324" s="44">
        <f ca="1">IFERROR(__xludf.DUMMYFUNCTION("""COMPUTED_VALUE"""),45883)</f>
        <v>45883</v>
      </c>
      <c r="T324" s="45" t="str">
        <f ca="1">IFERROR(__xludf.DUMMYFUNCTION("""COMPUTED_VALUE"""),"Milton, ON, CA")</f>
        <v>Milton, ON, CA</v>
      </c>
      <c r="U324" s="45"/>
      <c r="V324" s="45"/>
      <c r="W324" s="45"/>
      <c r="X324" s="45"/>
      <c r="Y324" s="46">
        <f ca="1">IFERROR(__xludf.DUMMYFUNCTION("""COMPUTED_VALUE"""),45832)</f>
        <v>45832</v>
      </c>
      <c r="Z324" s="46">
        <f ca="1">IFERROR(__xludf.DUMMYFUNCTION("""COMPUTED_VALUE"""),45861)</f>
        <v>45861</v>
      </c>
      <c r="AA324" s="46">
        <f ca="1">IFERROR(__xludf.DUMMYFUNCTION("""COMPUTED_VALUE"""),45874)</f>
        <v>45874</v>
      </c>
      <c r="AB324" s="45" t="str">
        <f ca="1">IFERROR(__xludf.DUMMYFUNCTION("""COMPUTED_VALUE"""),"7211 Fifth Line")</f>
        <v>7211 Fifth Line</v>
      </c>
      <c r="AC324" s="45"/>
      <c r="AD324" s="45" t="str">
        <f ca="1">IFERROR(__xludf.DUMMYFUNCTION("""COMPUTED_VALUE"""),"OCEAN")</f>
        <v>OCEAN</v>
      </c>
      <c r="AE324" s="45" t="str">
        <f ca="1">IFERROR(__xludf.DUMMYFUNCTION("""COMPUTED_VALUE"""),"N")</f>
        <v>N</v>
      </c>
      <c r="AF324" s="45"/>
      <c r="AG324" s="49" t="str">
        <f ca="1">IFERROR(__xludf.DUMMYFUNCTION("IFNA(vlookup(H324,IMPORTRANGE(""1vUGwO1n0QQGx9kKbO0_M5gmuhXZ6-LaxQxgrmJnzgP0"",""'TP# look up'!A:C""),3,0),"""")"),"")</f>
        <v/>
      </c>
      <c r="AH324" s="49" t="str">
        <f t="shared" ca="1" si="5"/>
        <v>LW</v>
      </c>
    </row>
    <row r="325" spans="1:34" ht="12.75" hidden="1">
      <c r="A325" s="45" t="str">
        <f ca="1">IFERROR(__xludf.DUMMYFUNCTION("""COMPUTED_VALUE"""),"Colombo")</f>
        <v>Colombo</v>
      </c>
      <c r="B325" s="45"/>
      <c r="C325" s="45">
        <f ca="1">IFERROR(__xludf.DUMMYFUNCTION("""COMPUTED_VALUE"""),3254506)</f>
        <v>3254506</v>
      </c>
      <c r="D325" s="45"/>
      <c r="E325" s="45" t="str">
        <f ca="1">IFERROR(__xludf.DUMMYFUNCTION("""COMPUTED_VALUE"""),"CFS")</f>
        <v>CFS</v>
      </c>
      <c r="F325" s="45" t="str">
        <f ca="1">IFERROR(__xludf.DUMMYFUNCTION("""COMPUTED_VALUE"""),"Bodyline Trading (Private) Limited")</f>
        <v>Bodyline Trading (Private) Limited</v>
      </c>
      <c r="G325" s="45" t="str">
        <f ca="1">IFERROR(__xludf.DUMMYFUNCTION("""COMPUTED_VALUE"""),"Bodyline (Private) Limited")</f>
        <v>Bodyline (Private) Limited</v>
      </c>
      <c r="H325" s="43">
        <f ca="1">IFERROR(__xludf.DUMMYFUNCTION("""COMPUTED_VALUE"""),452746746441)</f>
        <v>452746746441</v>
      </c>
      <c r="I325" s="45">
        <f ca="1">IFERROR(__xludf.DUMMYFUNCTION("""COMPUTED_VALUE"""),19877700)</f>
        <v>19877700</v>
      </c>
      <c r="J325" s="45" t="str">
        <f ca="1">IFERROR(__xludf.DUMMYFUNCTION("""COMPUTED_VALUE"""),"LW9DC3S")</f>
        <v>LW9DC3S</v>
      </c>
      <c r="K325" s="45" t="str">
        <f ca="1">IFERROR(__xludf.DUMMYFUNCTION("""COMPUTED_VALUE"""),"LW9DC3S-073330")</f>
        <v>LW9DC3S-073330</v>
      </c>
      <c r="L325" s="45">
        <f ca="1">IFERROR(__xludf.DUMMYFUNCTION("""COMPUTED_VALUE"""),3)</f>
        <v>3</v>
      </c>
      <c r="M325" s="45">
        <f ca="1">IFERROR(__xludf.DUMMYFUNCTION("""COMPUTED_VALUE"""),110)</f>
        <v>110</v>
      </c>
      <c r="N325" s="45">
        <f ca="1">IFERROR(__xludf.DUMMYFUNCTION("""COMPUTED_VALUE"""),9.302)</f>
        <v>9.3019999999999996</v>
      </c>
      <c r="O325" s="45">
        <f ca="1">IFERROR(__xludf.DUMMYFUNCTION("""COMPUTED_VALUE"""),0.132)</f>
        <v>0.13200000000000001</v>
      </c>
      <c r="P325" s="45" t="str">
        <f ca="1">IFERROR(__xludf.DUMMYFUNCTION("""COMPUTED_VALUE"""),"Colombo, LK")</f>
        <v>Colombo, LK</v>
      </c>
      <c r="Q325" s="45" t="str">
        <f ca="1">IFERROR(__xludf.DUMMYFUNCTION("""COMPUTED_VALUE"""),"New York, NY, US")</f>
        <v>New York, NY, US</v>
      </c>
      <c r="R325" s="44">
        <f ca="1">IFERROR(__xludf.DUMMYFUNCTION("""COMPUTED_VALUE"""),45824)</f>
        <v>45824</v>
      </c>
      <c r="S325" s="44">
        <f ca="1">IFERROR(__xludf.DUMMYFUNCTION("""COMPUTED_VALUE"""),45883)</f>
        <v>45883</v>
      </c>
      <c r="T325" s="45" t="str">
        <f ca="1">IFERROR(__xludf.DUMMYFUNCTION("""COMPUTED_VALUE"""),"Mississauga, ON, CA")</f>
        <v>Mississauga, ON, CA</v>
      </c>
      <c r="U325" s="45"/>
      <c r="V325" s="45"/>
      <c r="W325" s="45"/>
      <c r="X325" s="45"/>
      <c r="Y325" s="46">
        <f ca="1">IFERROR(__xludf.DUMMYFUNCTION("""COMPUTED_VALUE"""),45832)</f>
        <v>45832</v>
      </c>
      <c r="Z325" s="46">
        <f ca="1">IFERROR(__xludf.DUMMYFUNCTION("""COMPUTED_VALUE"""),45861)</f>
        <v>45861</v>
      </c>
      <c r="AA325" s="46">
        <f ca="1">IFERROR(__xludf.DUMMYFUNCTION("""COMPUTED_VALUE"""),45874)</f>
        <v>45874</v>
      </c>
      <c r="AB325" s="45" t="str">
        <f ca="1">IFERROR(__xludf.DUMMYFUNCTION("""COMPUTED_VALUE"""),"3500 Argentia Road")</f>
        <v>3500 Argentia Road</v>
      </c>
      <c r="AC325" s="45"/>
      <c r="AD325" s="45" t="str">
        <f ca="1">IFERROR(__xludf.DUMMYFUNCTION("""COMPUTED_VALUE"""),"OCEAN")</f>
        <v>OCEAN</v>
      </c>
      <c r="AE325" s="45" t="str">
        <f ca="1">IFERROR(__xludf.DUMMYFUNCTION("""COMPUTED_VALUE"""),"N")</f>
        <v>N</v>
      </c>
      <c r="AF325" s="45"/>
      <c r="AG325" s="49" t="str">
        <f ca="1">IFERROR(__xludf.DUMMYFUNCTION("IFNA(vlookup(H325,IMPORTRANGE(""1vUGwO1n0QQGx9kKbO0_M5gmuhXZ6-LaxQxgrmJnzgP0"",""'TP# look up'!A:C""),3,0),"""")"),"")</f>
        <v/>
      </c>
      <c r="AH325" s="49" t="str">
        <f t="shared" ca="1" si="5"/>
        <v>LW</v>
      </c>
    </row>
    <row r="326" spans="1:34" ht="12.75" hidden="1">
      <c r="A326" s="45" t="str">
        <f ca="1">IFERROR(__xludf.DUMMYFUNCTION("""COMPUTED_VALUE"""),"Colombo")</f>
        <v>Colombo</v>
      </c>
      <c r="B326" s="45"/>
      <c r="C326" s="45">
        <f ca="1">IFERROR(__xludf.DUMMYFUNCTION("""COMPUTED_VALUE"""),3254506)</f>
        <v>3254506</v>
      </c>
      <c r="D326" s="45"/>
      <c r="E326" s="45" t="str">
        <f ca="1">IFERROR(__xludf.DUMMYFUNCTION("""COMPUTED_VALUE"""),"CFS")</f>
        <v>CFS</v>
      </c>
      <c r="F326" s="45" t="str">
        <f ca="1">IFERROR(__xludf.DUMMYFUNCTION("""COMPUTED_VALUE"""),"Bodyline Trading (Private) Limited")</f>
        <v>Bodyline Trading (Private) Limited</v>
      </c>
      <c r="G326" s="45" t="str">
        <f ca="1">IFERROR(__xludf.DUMMYFUNCTION("""COMPUTED_VALUE"""),"Bodyline (Private) Limited")</f>
        <v>Bodyline (Private) Limited</v>
      </c>
      <c r="H326" s="43">
        <f ca="1">IFERROR(__xludf.DUMMYFUNCTION("""COMPUTED_VALUE"""),452747570082)</f>
        <v>452747570082</v>
      </c>
      <c r="I326" s="45">
        <f ca="1">IFERROR(__xludf.DUMMYFUNCTION("""COMPUTED_VALUE"""),19877518)</f>
        <v>19877518</v>
      </c>
      <c r="J326" s="45" t="str">
        <f ca="1">IFERROR(__xludf.DUMMYFUNCTION("""COMPUTED_VALUE"""),"LW9DCIS")</f>
        <v>LW9DCIS</v>
      </c>
      <c r="K326" s="45" t="str">
        <f ca="1">IFERROR(__xludf.DUMMYFUNCTION("""COMPUTED_VALUE"""),"LW9DCIS-0001")</f>
        <v>LW9DCIS-0001</v>
      </c>
      <c r="L326" s="45">
        <f ca="1">IFERROR(__xludf.DUMMYFUNCTION("""COMPUTED_VALUE"""),2)</f>
        <v>2</v>
      </c>
      <c r="M326" s="45">
        <f ca="1">IFERROR(__xludf.DUMMYFUNCTION("""COMPUTED_VALUE"""),75)</f>
        <v>75</v>
      </c>
      <c r="N326" s="45">
        <f ca="1">IFERROR(__xludf.DUMMYFUNCTION("""COMPUTED_VALUE"""),7.436)</f>
        <v>7.4359999999999999</v>
      </c>
      <c r="O326" s="45">
        <f ca="1">IFERROR(__xludf.DUMMYFUNCTION("""COMPUTED_VALUE"""),0.088)</f>
        <v>8.7999999999999995E-2</v>
      </c>
      <c r="P326" s="45" t="str">
        <f ca="1">IFERROR(__xludf.DUMMYFUNCTION("""COMPUTED_VALUE"""),"Colombo, LK")</f>
        <v>Colombo, LK</v>
      </c>
      <c r="Q326" s="45" t="str">
        <f ca="1">IFERROR(__xludf.DUMMYFUNCTION("""COMPUTED_VALUE"""),"New York, NY, US")</f>
        <v>New York, NY, US</v>
      </c>
      <c r="R326" s="44">
        <f ca="1">IFERROR(__xludf.DUMMYFUNCTION("""COMPUTED_VALUE"""),45824)</f>
        <v>45824</v>
      </c>
      <c r="S326" s="44">
        <f ca="1">IFERROR(__xludf.DUMMYFUNCTION("""COMPUTED_VALUE"""),45883)</f>
        <v>45883</v>
      </c>
      <c r="T326" s="45" t="str">
        <f ca="1">IFERROR(__xludf.DUMMYFUNCTION("""COMPUTED_VALUE"""),"Mississauga, ON, CA")</f>
        <v>Mississauga, ON, CA</v>
      </c>
      <c r="U326" s="45"/>
      <c r="V326" s="45"/>
      <c r="W326" s="45"/>
      <c r="X326" s="45"/>
      <c r="Y326" s="46">
        <f ca="1">IFERROR(__xludf.DUMMYFUNCTION("""COMPUTED_VALUE"""),45832)</f>
        <v>45832</v>
      </c>
      <c r="Z326" s="46">
        <f ca="1">IFERROR(__xludf.DUMMYFUNCTION("""COMPUTED_VALUE"""),45861)</f>
        <v>45861</v>
      </c>
      <c r="AA326" s="46">
        <f ca="1">IFERROR(__xludf.DUMMYFUNCTION("""COMPUTED_VALUE"""),45874)</f>
        <v>45874</v>
      </c>
      <c r="AB326" s="45" t="str">
        <f ca="1">IFERROR(__xludf.DUMMYFUNCTION("""COMPUTED_VALUE"""),"3500 Argentia Road")</f>
        <v>3500 Argentia Road</v>
      </c>
      <c r="AC326" s="45"/>
      <c r="AD326" s="45" t="str">
        <f ca="1">IFERROR(__xludf.DUMMYFUNCTION("""COMPUTED_VALUE"""),"OCEAN")</f>
        <v>OCEAN</v>
      </c>
      <c r="AE326" s="45" t="str">
        <f ca="1">IFERROR(__xludf.DUMMYFUNCTION("""COMPUTED_VALUE"""),"N")</f>
        <v>N</v>
      </c>
      <c r="AF326" s="45"/>
      <c r="AG326" s="49" t="str">
        <f ca="1">IFERROR(__xludf.DUMMYFUNCTION("IFNA(vlookup(H326,IMPORTRANGE(""1vUGwO1n0QQGx9kKbO0_M5gmuhXZ6-LaxQxgrmJnzgP0"",""'TP# look up'!A:C""),3,0),"""")"),"")</f>
        <v/>
      </c>
      <c r="AH326" s="49" t="str">
        <f t="shared" ca="1" si="5"/>
        <v>LW</v>
      </c>
    </row>
    <row r="327" spans="1:34" ht="12.75" hidden="1">
      <c r="A327" s="45" t="str">
        <f ca="1">IFERROR(__xludf.DUMMYFUNCTION("""COMPUTED_VALUE"""),"Colombo")</f>
        <v>Colombo</v>
      </c>
      <c r="B327" s="45"/>
      <c r="C327" s="45">
        <f ca="1">IFERROR(__xludf.DUMMYFUNCTION("""COMPUTED_VALUE"""),3254506)</f>
        <v>3254506</v>
      </c>
      <c r="D327" s="45"/>
      <c r="E327" s="45" t="str">
        <f ca="1">IFERROR(__xludf.DUMMYFUNCTION("""COMPUTED_VALUE"""),"CFS")</f>
        <v>CFS</v>
      </c>
      <c r="F327" s="45" t="str">
        <f ca="1">IFERROR(__xludf.DUMMYFUNCTION("""COMPUTED_VALUE"""),"Bodyline Trading (Private) Limited")</f>
        <v>Bodyline Trading (Private) Limited</v>
      </c>
      <c r="G327" s="45" t="str">
        <f ca="1">IFERROR(__xludf.DUMMYFUNCTION("""COMPUTED_VALUE"""),"Bodyline (Private) Limited")</f>
        <v>Bodyline (Private) Limited</v>
      </c>
      <c r="H327" s="43">
        <f ca="1">IFERROR(__xludf.DUMMYFUNCTION("""COMPUTED_VALUE"""),452748628444)</f>
        <v>452748628444</v>
      </c>
      <c r="I327" s="45">
        <f ca="1">IFERROR(__xludf.DUMMYFUNCTION("""COMPUTED_VALUE"""),19877802)</f>
        <v>19877802</v>
      </c>
      <c r="J327" s="45" t="str">
        <f ca="1">IFERROR(__xludf.DUMMYFUNCTION("""COMPUTED_VALUE"""),"LW9DCIS")</f>
        <v>LW9DCIS</v>
      </c>
      <c r="K327" s="45" t="str">
        <f ca="1">IFERROR(__xludf.DUMMYFUNCTION("""COMPUTED_VALUE"""),"LW9DCIS-0001")</f>
        <v>LW9DCIS-0001</v>
      </c>
      <c r="L327" s="45">
        <f ca="1">IFERROR(__xludf.DUMMYFUNCTION("""COMPUTED_VALUE"""),4)</f>
        <v>4</v>
      </c>
      <c r="M327" s="45">
        <f ca="1">IFERROR(__xludf.DUMMYFUNCTION("""COMPUTED_VALUE"""),135)</f>
        <v>135</v>
      </c>
      <c r="N327" s="45">
        <f ca="1">IFERROR(__xludf.DUMMYFUNCTION("""COMPUTED_VALUE"""),13.729)</f>
        <v>13.728999999999999</v>
      </c>
      <c r="O327" s="45">
        <f ca="1">IFERROR(__xludf.DUMMYFUNCTION("""COMPUTED_VALUE"""),0.176)</f>
        <v>0.17599999999999999</v>
      </c>
      <c r="P327" s="45" t="str">
        <f ca="1">IFERROR(__xludf.DUMMYFUNCTION("""COMPUTED_VALUE"""),"Colombo, LK")</f>
        <v>Colombo, LK</v>
      </c>
      <c r="Q327" s="45" t="str">
        <f ca="1">IFERROR(__xludf.DUMMYFUNCTION("""COMPUTED_VALUE"""),"New York, NY, US")</f>
        <v>New York, NY, US</v>
      </c>
      <c r="R327" s="44">
        <f ca="1">IFERROR(__xludf.DUMMYFUNCTION("""COMPUTED_VALUE"""),45824)</f>
        <v>45824</v>
      </c>
      <c r="S327" s="44">
        <f ca="1">IFERROR(__xludf.DUMMYFUNCTION("""COMPUTED_VALUE"""),45883)</f>
        <v>45883</v>
      </c>
      <c r="T327" s="45" t="str">
        <f ca="1">IFERROR(__xludf.DUMMYFUNCTION("""COMPUTED_VALUE"""),"Mississauga, ON, CA")</f>
        <v>Mississauga, ON, CA</v>
      </c>
      <c r="U327" s="45"/>
      <c r="V327" s="45"/>
      <c r="W327" s="45"/>
      <c r="X327" s="45"/>
      <c r="Y327" s="46">
        <f ca="1">IFERROR(__xludf.DUMMYFUNCTION("""COMPUTED_VALUE"""),45832)</f>
        <v>45832</v>
      </c>
      <c r="Z327" s="46">
        <f ca="1">IFERROR(__xludf.DUMMYFUNCTION("""COMPUTED_VALUE"""),45861)</f>
        <v>45861</v>
      </c>
      <c r="AA327" s="46">
        <f ca="1">IFERROR(__xludf.DUMMYFUNCTION("""COMPUTED_VALUE"""),45874)</f>
        <v>45874</v>
      </c>
      <c r="AB327" s="45" t="str">
        <f ca="1">IFERROR(__xludf.DUMMYFUNCTION("""COMPUTED_VALUE"""),"3500 Argentia Road")</f>
        <v>3500 Argentia Road</v>
      </c>
      <c r="AC327" s="45"/>
      <c r="AD327" s="45" t="str">
        <f ca="1">IFERROR(__xludf.DUMMYFUNCTION("""COMPUTED_VALUE"""),"OCEAN")</f>
        <v>OCEAN</v>
      </c>
      <c r="AE327" s="45" t="str">
        <f ca="1">IFERROR(__xludf.DUMMYFUNCTION("""COMPUTED_VALUE"""),"N")</f>
        <v>N</v>
      </c>
      <c r="AF327" s="45"/>
      <c r="AG327" s="49" t="str">
        <f ca="1">IFERROR(__xludf.DUMMYFUNCTION("IFNA(vlookup(H327,IMPORTRANGE(""1vUGwO1n0QQGx9kKbO0_M5gmuhXZ6-LaxQxgrmJnzgP0"",""'TP# look up'!A:C""),3,0),"""")"),"")</f>
        <v/>
      </c>
      <c r="AH327" s="49" t="str">
        <f t="shared" ca="1" si="5"/>
        <v>LW</v>
      </c>
    </row>
    <row r="328" spans="1:34" ht="12.75" hidden="1">
      <c r="A328" s="45" t="str">
        <f ca="1">IFERROR(__xludf.DUMMYFUNCTION("""COMPUTED_VALUE"""),"Colombo")</f>
        <v>Colombo</v>
      </c>
      <c r="B328" s="45"/>
      <c r="C328" s="45">
        <f ca="1">IFERROR(__xludf.DUMMYFUNCTION("""COMPUTED_VALUE"""),3254506)</f>
        <v>3254506</v>
      </c>
      <c r="D328" s="45"/>
      <c r="E328" s="45" t="str">
        <f ca="1">IFERROR(__xludf.DUMMYFUNCTION("""COMPUTED_VALUE"""),"CFS")</f>
        <v>CFS</v>
      </c>
      <c r="F328" s="45" t="str">
        <f ca="1">IFERROR(__xludf.DUMMYFUNCTION("""COMPUTED_VALUE"""),"Bodyline Trading (Private) Limited")</f>
        <v>Bodyline Trading (Private) Limited</v>
      </c>
      <c r="G328" s="45" t="str">
        <f ca="1">IFERROR(__xludf.DUMMYFUNCTION("""COMPUTED_VALUE"""),"Bodyline (Private) Limited")</f>
        <v>Bodyline (Private) Limited</v>
      </c>
      <c r="H328" s="43">
        <f ca="1">IFERROR(__xludf.DUMMYFUNCTION("""COMPUTED_VALUE"""),452749289399)</f>
        <v>452749289399</v>
      </c>
      <c r="I328" s="45">
        <f ca="1">IFERROR(__xludf.DUMMYFUNCTION("""COMPUTED_VALUE"""),19877586)</f>
        <v>19877586</v>
      </c>
      <c r="J328" s="45" t="str">
        <f ca="1">IFERROR(__xludf.DUMMYFUNCTION("""COMPUTED_VALUE"""),"LW9DCIS")</f>
        <v>LW9DCIS</v>
      </c>
      <c r="K328" s="45" t="str">
        <f ca="1">IFERROR(__xludf.DUMMYFUNCTION("""COMPUTED_VALUE"""),"LW9DCIS-068971")</f>
        <v>LW9DCIS-068971</v>
      </c>
      <c r="L328" s="45">
        <f ca="1">IFERROR(__xludf.DUMMYFUNCTION("""COMPUTED_VALUE"""),2)</f>
        <v>2</v>
      </c>
      <c r="M328" s="45">
        <f ca="1">IFERROR(__xludf.DUMMYFUNCTION("""COMPUTED_VALUE"""),52)</f>
        <v>52</v>
      </c>
      <c r="N328" s="45">
        <f ca="1">IFERROR(__xludf.DUMMYFUNCTION("""COMPUTED_VALUE"""),5.714)</f>
        <v>5.7140000000000004</v>
      </c>
      <c r="O328" s="45">
        <f ca="1">IFERROR(__xludf.DUMMYFUNCTION("""COMPUTED_VALUE"""),0.088)</f>
        <v>8.7999999999999995E-2</v>
      </c>
      <c r="P328" s="45" t="str">
        <f ca="1">IFERROR(__xludf.DUMMYFUNCTION("""COMPUTED_VALUE"""),"Colombo, LK")</f>
        <v>Colombo, LK</v>
      </c>
      <c r="Q328" s="45" t="str">
        <f ca="1">IFERROR(__xludf.DUMMYFUNCTION("""COMPUTED_VALUE"""),"New York, NY, US")</f>
        <v>New York, NY, US</v>
      </c>
      <c r="R328" s="44">
        <f ca="1">IFERROR(__xludf.DUMMYFUNCTION("""COMPUTED_VALUE"""),45824)</f>
        <v>45824</v>
      </c>
      <c r="S328" s="44">
        <f ca="1">IFERROR(__xludf.DUMMYFUNCTION("""COMPUTED_VALUE"""),45883)</f>
        <v>45883</v>
      </c>
      <c r="T328" s="45" t="str">
        <f ca="1">IFERROR(__xludf.DUMMYFUNCTION("""COMPUTED_VALUE"""),"Mississauga, ON, CA")</f>
        <v>Mississauga, ON, CA</v>
      </c>
      <c r="U328" s="45"/>
      <c r="V328" s="45"/>
      <c r="W328" s="45"/>
      <c r="X328" s="45"/>
      <c r="Y328" s="46">
        <f ca="1">IFERROR(__xludf.DUMMYFUNCTION("""COMPUTED_VALUE"""),45832)</f>
        <v>45832</v>
      </c>
      <c r="Z328" s="46">
        <f ca="1">IFERROR(__xludf.DUMMYFUNCTION("""COMPUTED_VALUE"""),45861)</f>
        <v>45861</v>
      </c>
      <c r="AA328" s="46">
        <f ca="1">IFERROR(__xludf.DUMMYFUNCTION("""COMPUTED_VALUE"""),45874)</f>
        <v>45874</v>
      </c>
      <c r="AB328" s="45" t="str">
        <f ca="1">IFERROR(__xludf.DUMMYFUNCTION("""COMPUTED_VALUE"""),"3500 Argentia Road")</f>
        <v>3500 Argentia Road</v>
      </c>
      <c r="AC328" s="45"/>
      <c r="AD328" s="45" t="str">
        <f ca="1">IFERROR(__xludf.DUMMYFUNCTION("""COMPUTED_VALUE"""),"OCEAN")</f>
        <v>OCEAN</v>
      </c>
      <c r="AE328" s="45" t="str">
        <f ca="1">IFERROR(__xludf.DUMMYFUNCTION("""COMPUTED_VALUE"""),"N")</f>
        <v>N</v>
      </c>
      <c r="AF328" s="45"/>
      <c r="AG328" s="49" t="str">
        <f ca="1">IFERROR(__xludf.DUMMYFUNCTION("IFNA(vlookup(H328,IMPORTRANGE(""1vUGwO1n0QQGx9kKbO0_M5gmuhXZ6-LaxQxgrmJnzgP0"",""'TP# look up'!A:C""),3,0),"""")"),"")</f>
        <v/>
      </c>
      <c r="AH328" s="49" t="str">
        <f t="shared" ca="1" si="5"/>
        <v>LW</v>
      </c>
    </row>
    <row r="329" spans="1:34" ht="12.75" hidden="1">
      <c r="A329" s="45" t="str">
        <f ca="1">IFERROR(__xludf.DUMMYFUNCTION("""COMPUTED_VALUE"""),"Colombo")</f>
        <v>Colombo</v>
      </c>
      <c r="B329" s="45"/>
      <c r="C329" s="45">
        <f ca="1">IFERROR(__xludf.DUMMYFUNCTION("""COMPUTED_VALUE"""),3254506)</f>
        <v>3254506</v>
      </c>
      <c r="D329" s="45"/>
      <c r="E329" s="45" t="str">
        <f ca="1">IFERROR(__xludf.DUMMYFUNCTION("""COMPUTED_VALUE"""),"CFS")</f>
        <v>CFS</v>
      </c>
      <c r="F329" s="45" t="str">
        <f ca="1">IFERROR(__xludf.DUMMYFUNCTION("""COMPUTED_VALUE"""),"Bodyline Trading (Private) Limited")</f>
        <v>Bodyline Trading (Private) Limited</v>
      </c>
      <c r="G329" s="45" t="str">
        <f ca="1">IFERROR(__xludf.DUMMYFUNCTION("""COMPUTED_VALUE"""),"Bodyline (Private) Limited")</f>
        <v>Bodyline (Private) Limited</v>
      </c>
      <c r="H329" s="43">
        <f ca="1">IFERROR(__xludf.DUMMYFUNCTION("""COMPUTED_VALUE"""),452749827433)</f>
        <v>452749827433</v>
      </c>
      <c r="I329" s="45">
        <f ca="1">IFERROR(__xludf.DUMMYFUNCTION("""COMPUTED_VALUE"""),19877568)</f>
        <v>19877568</v>
      </c>
      <c r="J329" s="45" t="str">
        <f ca="1">IFERROR(__xludf.DUMMYFUNCTION("""COMPUTED_VALUE"""),"LW9DCIS")</f>
        <v>LW9DCIS</v>
      </c>
      <c r="K329" s="45" t="str">
        <f ca="1">IFERROR(__xludf.DUMMYFUNCTION("""COMPUTED_VALUE"""),"LW9DCIS-068971")</f>
        <v>LW9DCIS-068971</v>
      </c>
      <c r="L329" s="45">
        <f ca="1">IFERROR(__xludf.DUMMYFUNCTION("""COMPUTED_VALUE"""),2)</f>
        <v>2</v>
      </c>
      <c r="M329" s="45">
        <f ca="1">IFERROR(__xludf.DUMMYFUNCTION("""COMPUTED_VALUE"""),55)</f>
        <v>55</v>
      </c>
      <c r="N329" s="45">
        <f ca="1">IFERROR(__xludf.DUMMYFUNCTION("""COMPUTED_VALUE"""),5.834)</f>
        <v>5.8339999999999996</v>
      </c>
      <c r="O329" s="45">
        <f ca="1">IFERROR(__xludf.DUMMYFUNCTION("""COMPUTED_VALUE"""),0.088)</f>
        <v>8.7999999999999995E-2</v>
      </c>
      <c r="P329" s="45" t="str">
        <f ca="1">IFERROR(__xludf.DUMMYFUNCTION("""COMPUTED_VALUE"""),"Colombo, LK")</f>
        <v>Colombo, LK</v>
      </c>
      <c r="Q329" s="45" t="str">
        <f ca="1">IFERROR(__xludf.DUMMYFUNCTION("""COMPUTED_VALUE"""),"New York, NY, US")</f>
        <v>New York, NY, US</v>
      </c>
      <c r="R329" s="44">
        <f ca="1">IFERROR(__xludf.DUMMYFUNCTION("""COMPUTED_VALUE"""),45824)</f>
        <v>45824</v>
      </c>
      <c r="S329" s="44">
        <f ca="1">IFERROR(__xludf.DUMMYFUNCTION("""COMPUTED_VALUE"""),45883)</f>
        <v>45883</v>
      </c>
      <c r="T329" s="45" t="str">
        <f ca="1">IFERROR(__xludf.DUMMYFUNCTION("""COMPUTED_VALUE"""),"Milton, ON, CA")</f>
        <v>Milton, ON, CA</v>
      </c>
      <c r="U329" s="45"/>
      <c r="V329" s="45"/>
      <c r="W329" s="45"/>
      <c r="X329" s="45"/>
      <c r="Y329" s="46">
        <f ca="1">IFERROR(__xludf.DUMMYFUNCTION("""COMPUTED_VALUE"""),45832)</f>
        <v>45832</v>
      </c>
      <c r="Z329" s="46">
        <f ca="1">IFERROR(__xludf.DUMMYFUNCTION("""COMPUTED_VALUE"""),45861)</f>
        <v>45861</v>
      </c>
      <c r="AA329" s="46">
        <f ca="1">IFERROR(__xludf.DUMMYFUNCTION("""COMPUTED_VALUE"""),45874)</f>
        <v>45874</v>
      </c>
      <c r="AB329" s="45" t="str">
        <f ca="1">IFERROR(__xludf.DUMMYFUNCTION("""COMPUTED_VALUE"""),"7211 Fifth Line")</f>
        <v>7211 Fifth Line</v>
      </c>
      <c r="AC329" s="45"/>
      <c r="AD329" s="45" t="str">
        <f ca="1">IFERROR(__xludf.DUMMYFUNCTION("""COMPUTED_VALUE"""),"OCEAN")</f>
        <v>OCEAN</v>
      </c>
      <c r="AE329" s="45" t="str">
        <f ca="1">IFERROR(__xludf.DUMMYFUNCTION("""COMPUTED_VALUE"""),"N")</f>
        <v>N</v>
      </c>
      <c r="AF329" s="45"/>
      <c r="AG329" s="49" t="str">
        <f ca="1">IFERROR(__xludf.DUMMYFUNCTION("IFNA(vlookup(H329,IMPORTRANGE(""1vUGwO1n0QQGx9kKbO0_M5gmuhXZ6-LaxQxgrmJnzgP0"",""'TP# look up'!A:C""),3,0),"""")"),"")</f>
        <v/>
      </c>
      <c r="AH329" s="49" t="str">
        <f t="shared" ca="1" si="5"/>
        <v>LW</v>
      </c>
    </row>
    <row r="330" spans="1:34" ht="12.75" hidden="1">
      <c r="A330" s="45" t="str">
        <f ca="1">IFERROR(__xludf.DUMMYFUNCTION("""COMPUTED_VALUE"""),"Colombo")</f>
        <v>Colombo</v>
      </c>
      <c r="B330" s="45"/>
      <c r="C330" s="45">
        <f ca="1">IFERROR(__xludf.DUMMYFUNCTION("""COMPUTED_VALUE"""),3254506)</f>
        <v>3254506</v>
      </c>
      <c r="D330" s="45"/>
      <c r="E330" s="45" t="str">
        <f ca="1">IFERROR(__xludf.DUMMYFUNCTION("""COMPUTED_VALUE"""),"CFS")</f>
        <v>CFS</v>
      </c>
      <c r="F330" s="45" t="str">
        <f ca="1">IFERROR(__xludf.DUMMYFUNCTION("""COMPUTED_VALUE"""),"Bodyline Trading (Private) Limited")</f>
        <v>Bodyline Trading (Private) Limited</v>
      </c>
      <c r="G330" s="45" t="str">
        <f ca="1">IFERROR(__xludf.DUMMYFUNCTION("""COMPUTED_VALUE"""),"Bodyline (Private) Limited")</f>
        <v>Bodyline (Private) Limited</v>
      </c>
      <c r="H330" s="43">
        <f ca="1">IFERROR(__xludf.DUMMYFUNCTION("""COMPUTED_VALUE"""),452751542760)</f>
        <v>452751542760</v>
      </c>
      <c r="I330" s="45">
        <f ca="1">IFERROR(__xludf.DUMMYFUNCTION("""COMPUTED_VALUE"""),19878305)</f>
        <v>19878305</v>
      </c>
      <c r="J330" s="45" t="str">
        <f ca="1">IFERROR(__xludf.DUMMYFUNCTION("""COMPUTED_VALUE"""),"LW9DCIS")</f>
        <v>LW9DCIS</v>
      </c>
      <c r="K330" s="45" t="str">
        <f ca="1">IFERROR(__xludf.DUMMYFUNCTION("""COMPUTED_VALUE"""),"LW9DCIS-068971")</f>
        <v>LW9DCIS-068971</v>
      </c>
      <c r="L330" s="45">
        <f ca="1">IFERROR(__xludf.DUMMYFUNCTION("""COMPUTED_VALUE"""),3)</f>
        <v>3</v>
      </c>
      <c r="M330" s="45">
        <f ca="1">IFERROR(__xludf.DUMMYFUNCTION("""COMPUTED_VALUE"""),125)</f>
        <v>125</v>
      </c>
      <c r="N330" s="45">
        <f ca="1">IFERROR(__xludf.DUMMYFUNCTION("""COMPUTED_VALUE"""),11.942)</f>
        <v>11.942</v>
      </c>
      <c r="O330" s="45">
        <f ca="1">IFERROR(__xludf.DUMMYFUNCTION("""COMPUTED_VALUE"""),0.132)</f>
        <v>0.13200000000000001</v>
      </c>
      <c r="P330" s="45" t="str">
        <f ca="1">IFERROR(__xludf.DUMMYFUNCTION("""COMPUTED_VALUE"""),"Colombo, LK")</f>
        <v>Colombo, LK</v>
      </c>
      <c r="Q330" s="45" t="str">
        <f ca="1">IFERROR(__xludf.DUMMYFUNCTION("""COMPUTED_VALUE"""),"New York, NY, US")</f>
        <v>New York, NY, US</v>
      </c>
      <c r="R330" s="44">
        <f ca="1">IFERROR(__xludf.DUMMYFUNCTION("""COMPUTED_VALUE"""),45824)</f>
        <v>45824</v>
      </c>
      <c r="S330" s="44">
        <f ca="1">IFERROR(__xludf.DUMMYFUNCTION("""COMPUTED_VALUE"""),45883)</f>
        <v>45883</v>
      </c>
      <c r="T330" s="45" t="str">
        <f ca="1">IFERROR(__xludf.DUMMYFUNCTION("""COMPUTED_VALUE"""),"Mississauga, ON, CA")</f>
        <v>Mississauga, ON, CA</v>
      </c>
      <c r="U330" s="45"/>
      <c r="V330" s="45"/>
      <c r="W330" s="45"/>
      <c r="X330" s="45"/>
      <c r="Y330" s="46">
        <f ca="1">IFERROR(__xludf.DUMMYFUNCTION("""COMPUTED_VALUE"""),45832)</f>
        <v>45832</v>
      </c>
      <c r="Z330" s="46">
        <f ca="1">IFERROR(__xludf.DUMMYFUNCTION("""COMPUTED_VALUE"""),45861)</f>
        <v>45861</v>
      </c>
      <c r="AA330" s="46">
        <f ca="1">IFERROR(__xludf.DUMMYFUNCTION("""COMPUTED_VALUE"""),45874)</f>
        <v>45874</v>
      </c>
      <c r="AB330" s="45" t="str">
        <f ca="1">IFERROR(__xludf.DUMMYFUNCTION("""COMPUTED_VALUE"""),"3500 Argentia Road")</f>
        <v>3500 Argentia Road</v>
      </c>
      <c r="AC330" s="45"/>
      <c r="AD330" s="45" t="str">
        <f ca="1">IFERROR(__xludf.DUMMYFUNCTION("""COMPUTED_VALUE"""),"OCEAN")</f>
        <v>OCEAN</v>
      </c>
      <c r="AE330" s="45" t="str">
        <f ca="1">IFERROR(__xludf.DUMMYFUNCTION("""COMPUTED_VALUE"""),"N")</f>
        <v>N</v>
      </c>
      <c r="AF330" s="45"/>
      <c r="AG330" s="49" t="str">
        <f ca="1">IFERROR(__xludf.DUMMYFUNCTION("IFNA(vlookup(H330,IMPORTRANGE(""1vUGwO1n0QQGx9kKbO0_M5gmuhXZ6-LaxQxgrmJnzgP0"",""'TP# look up'!A:C""),3,0),"""")"),"")</f>
        <v/>
      </c>
      <c r="AH330" s="49" t="str">
        <f t="shared" ca="1" si="5"/>
        <v>LW</v>
      </c>
    </row>
    <row r="331" spans="1:34" ht="12.75" hidden="1">
      <c r="A331" s="45" t="str">
        <f ca="1">IFERROR(__xludf.DUMMYFUNCTION("""COMPUTED_VALUE"""),"Colombo")</f>
        <v>Colombo</v>
      </c>
      <c r="B331" s="45"/>
      <c r="C331" s="45">
        <f ca="1">IFERROR(__xludf.DUMMYFUNCTION("""COMPUTED_VALUE"""),3254506)</f>
        <v>3254506</v>
      </c>
      <c r="D331" s="45"/>
      <c r="E331" s="45" t="str">
        <f ca="1">IFERROR(__xludf.DUMMYFUNCTION("""COMPUTED_VALUE"""),"CFS")</f>
        <v>CFS</v>
      </c>
      <c r="F331" s="45" t="str">
        <f ca="1">IFERROR(__xludf.DUMMYFUNCTION("""COMPUTED_VALUE"""),"Bodyline Trading (Private) Limited")</f>
        <v>Bodyline Trading (Private) Limited</v>
      </c>
      <c r="G331" s="45" t="str">
        <f ca="1">IFERROR(__xludf.DUMMYFUNCTION("""COMPUTED_VALUE"""),"Bodyline (Private) Limited")</f>
        <v>Bodyline (Private) Limited</v>
      </c>
      <c r="H331" s="43">
        <f ca="1">IFERROR(__xludf.DUMMYFUNCTION("""COMPUTED_VALUE"""),452752403153)</f>
        <v>452752403153</v>
      </c>
      <c r="I331" s="45">
        <f ca="1">IFERROR(__xludf.DUMMYFUNCTION("""COMPUTED_VALUE"""),19877633)</f>
        <v>19877633</v>
      </c>
      <c r="J331" s="45" t="str">
        <f ca="1">IFERROR(__xludf.DUMMYFUNCTION("""COMPUTED_VALUE"""),"LW9DCLS")</f>
        <v>LW9DCLS</v>
      </c>
      <c r="K331" s="45" t="str">
        <f ca="1">IFERROR(__xludf.DUMMYFUNCTION("""COMPUTED_VALUE"""),"LW9DCLS-068971")</f>
        <v>LW9DCLS-068971</v>
      </c>
      <c r="L331" s="45">
        <f ca="1">IFERROR(__xludf.DUMMYFUNCTION("""COMPUTED_VALUE"""),2)</f>
        <v>2</v>
      </c>
      <c r="M331" s="45">
        <f ca="1">IFERROR(__xludf.DUMMYFUNCTION("""COMPUTED_VALUE"""),76)</f>
        <v>76</v>
      </c>
      <c r="N331" s="45">
        <f ca="1">IFERROR(__xludf.DUMMYFUNCTION("""COMPUTED_VALUE"""),9.157)</f>
        <v>9.157</v>
      </c>
      <c r="O331" s="45">
        <f ca="1">IFERROR(__xludf.DUMMYFUNCTION("""COMPUTED_VALUE"""),0.088)</f>
        <v>8.7999999999999995E-2</v>
      </c>
      <c r="P331" s="45" t="str">
        <f ca="1">IFERROR(__xludf.DUMMYFUNCTION("""COMPUTED_VALUE"""),"Colombo, LK")</f>
        <v>Colombo, LK</v>
      </c>
      <c r="Q331" s="45" t="str">
        <f ca="1">IFERROR(__xludf.DUMMYFUNCTION("""COMPUTED_VALUE"""),"New York, NY, US")</f>
        <v>New York, NY, US</v>
      </c>
      <c r="R331" s="44">
        <f ca="1">IFERROR(__xludf.DUMMYFUNCTION("""COMPUTED_VALUE"""),45824)</f>
        <v>45824</v>
      </c>
      <c r="S331" s="44">
        <f ca="1">IFERROR(__xludf.DUMMYFUNCTION("""COMPUTED_VALUE"""),45883)</f>
        <v>45883</v>
      </c>
      <c r="T331" s="45" t="str">
        <f ca="1">IFERROR(__xludf.DUMMYFUNCTION("""COMPUTED_VALUE"""),"Mississauga, ON, CA")</f>
        <v>Mississauga, ON, CA</v>
      </c>
      <c r="U331" s="45"/>
      <c r="V331" s="45"/>
      <c r="W331" s="45"/>
      <c r="X331" s="45"/>
      <c r="Y331" s="46">
        <f ca="1">IFERROR(__xludf.DUMMYFUNCTION("""COMPUTED_VALUE"""),45832)</f>
        <v>45832</v>
      </c>
      <c r="Z331" s="46">
        <f ca="1">IFERROR(__xludf.DUMMYFUNCTION("""COMPUTED_VALUE"""),45861)</f>
        <v>45861</v>
      </c>
      <c r="AA331" s="46">
        <f ca="1">IFERROR(__xludf.DUMMYFUNCTION("""COMPUTED_VALUE"""),45874)</f>
        <v>45874</v>
      </c>
      <c r="AB331" s="45" t="str">
        <f ca="1">IFERROR(__xludf.DUMMYFUNCTION("""COMPUTED_VALUE"""),"3500 Argentia Road")</f>
        <v>3500 Argentia Road</v>
      </c>
      <c r="AC331" s="45"/>
      <c r="AD331" s="45" t="str">
        <f ca="1">IFERROR(__xludf.DUMMYFUNCTION("""COMPUTED_VALUE"""),"OCEAN")</f>
        <v>OCEAN</v>
      </c>
      <c r="AE331" s="45" t="str">
        <f ca="1">IFERROR(__xludf.DUMMYFUNCTION("""COMPUTED_VALUE"""),"N")</f>
        <v>N</v>
      </c>
      <c r="AF331" s="45"/>
      <c r="AG331" s="49" t="str">
        <f ca="1">IFERROR(__xludf.DUMMYFUNCTION("IFNA(vlookup(H331,IMPORTRANGE(""1vUGwO1n0QQGx9kKbO0_M5gmuhXZ6-LaxQxgrmJnzgP0"",""'TP# look up'!A:C""),3,0),"""")"),"")</f>
        <v/>
      </c>
      <c r="AH331" s="49" t="str">
        <f t="shared" ca="1" si="5"/>
        <v>LW</v>
      </c>
    </row>
    <row r="332" spans="1:34" ht="12.75" hidden="1">
      <c r="A332" s="45" t="str">
        <f ca="1">IFERROR(__xludf.DUMMYFUNCTION("""COMPUTED_VALUE"""),"Colombo")</f>
        <v>Colombo</v>
      </c>
      <c r="B332" s="45"/>
      <c r="C332" s="45">
        <f ca="1">IFERROR(__xludf.DUMMYFUNCTION("""COMPUTED_VALUE"""),3254506)</f>
        <v>3254506</v>
      </c>
      <c r="D332" s="45"/>
      <c r="E332" s="45" t="str">
        <f ca="1">IFERROR(__xludf.DUMMYFUNCTION("""COMPUTED_VALUE"""),"CFS")</f>
        <v>CFS</v>
      </c>
      <c r="F332" s="45" t="str">
        <f ca="1">IFERROR(__xludf.DUMMYFUNCTION("""COMPUTED_VALUE"""),"Bodyline Trading (Private) Limited")</f>
        <v>Bodyline Trading (Private) Limited</v>
      </c>
      <c r="G332" s="45" t="str">
        <f ca="1">IFERROR(__xludf.DUMMYFUNCTION("""COMPUTED_VALUE"""),"Bodyline (Private) Limited")</f>
        <v>Bodyline (Private) Limited</v>
      </c>
      <c r="H332" s="43">
        <f ca="1">IFERROR(__xludf.DUMMYFUNCTION("""COMPUTED_VALUE"""),452752403390)</f>
        <v>452752403390</v>
      </c>
      <c r="I332" s="45">
        <f ca="1">IFERROR(__xludf.DUMMYFUNCTION("""COMPUTED_VALUE"""),19877621)</f>
        <v>19877621</v>
      </c>
      <c r="J332" s="45" t="str">
        <f ca="1">IFERROR(__xludf.DUMMYFUNCTION("""COMPUTED_VALUE"""),"LW9DCLS")</f>
        <v>LW9DCLS</v>
      </c>
      <c r="K332" s="45" t="str">
        <f ca="1">IFERROR(__xludf.DUMMYFUNCTION("""COMPUTED_VALUE"""),"LW9DCLS-068971")</f>
        <v>LW9DCLS-068971</v>
      </c>
      <c r="L332" s="45">
        <f ca="1">IFERROR(__xludf.DUMMYFUNCTION("""COMPUTED_VALUE"""),2)</f>
        <v>2</v>
      </c>
      <c r="M332" s="45">
        <f ca="1">IFERROR(__xludf.DUMMYFUNCTION("""COMPUTED_VALUE"""),63)</f>
        <v>63</v>
      </c>
      <c r="N332" s="45">
        <f ca="1">IFERROR(__xludf.DUMMYFUNCTION("""COMPUTED_VALUE"""),7.539)</f>
        <v>7.5389999999999997</v>
      </c>
      <c r="O332" s="45">
        <f ca="1">IFERROR(__xludf.DUMMYFUNCTION("""COMPUTED_VALUE"""),0.088)</f>
        <v>8.7999999999999995E-2</v>
      </c>
      <c r="P332" s="45" t="str">
        <f ca="1">IFERROR(__xludf.DUMMYFUNCTION("""COMPUTED_VALUE"""),"Colombo, LK")</f>
        <v>Colombo, LK</v>
      </c>
      <c r="Q332" s="45" t="str">
        <f ca="1">IFERROR(__xludf.DUMMYFUNCTION("""COMPUTED_VALUE"""),"New York, NY, US")</f>
        <v>New York, NY, US</v>
      </c>
      <c r="R332" s="44">
        <f ca="1">IFERROR(__xludf.DUMMYFUNCTION("""COMPUTED_VALUE"""),45824)</f>
        <v>45824</v>
      </c>
      <c r="S332" s="44">
        <f ca="1">IFERROR(__xludf.DUMMYFUNCTION("""COMPUTED_VALUE"""),45883)</f>
        <v>45883</v>
      </c>
      <c r="T332" s="45" t="str">
        <f ca="1">IFERROR(__xludf.DUMMYFUNCTION("""COMPUTED_VALUE"""),"Milton, ON, CA")</f>
        <v>Milton, ON, CA</v>
      </c>
      <c r="U332" s="45"/>
      <c r="V332" s="45"/>
      <c r="W332" s="45"/>
      <c r="X332" s="45"/>
      <c r="Y332" s="46">
        <f ca="1">IFERROR(__xludf.DUMMYFUNCTION("""COMPUTED_VALUE"""),45832)</f>
        <v>45832</v>
      </c>
      <c r="Z332" s="46">
        <f ca="1">IFERROR(__xludf.DUMMYFUNCTION("""COMPUTED_VALUE"""),45861)</f>
        <v>45861</v>
      </c>
      <c r="AA332" s="46">
        <f ca="1">IFERROR(__xludf.DUMMYFUNCTION("""COMPUTED_VALUE"""),45874)</f>
        <v>45874</v>
      </c>
      <c r="AB332" s="45" t="str">
        <f ca="1">IFERROR(__xludf.DUMMYFUNCTION("""COMPUTED_VALUE"""),"7211 Fifth Line")</f>
        <v>7211 Fifth Line</v>
      </c>
      <c r="AC332" s="45"/>
      <c r="AD332" s="45" t="str">
        <f ca="1">IFERROR(__xludf.DUMMYFUNCTION("""COMPUTED_VALUE"""),"OCEAN")</f>
        <v>OCEAN</v>
      </c>
      <c r="AE332" s="45" t="str">
        <f ca="1">IFERROR(__xludf.DUMMYFUNCTION("""COMPUTED_VALUE"""),"N")</f>
        <v>N</v>
      </c>
      <c r="AF332" s="45"/>
      <c r="AG332" s="49" t="str">
        <f ca="1">IFERROR(__xludf.DUMMYFUNCTION("IFNA(vlookup(H332,IMPORTRANGE(""1vUGwO1n0QQGx9kKbO0_M5gmuhXZ6-LaxQxgrmJnzgP0"",""'TP# look up'!A:C""),3,0),"""")"),"")</f>
        <v/>
      </c>
      <c r="AH332" s="49" t="str">
        <f t="shared" ca="1" si="5"/>
        <v>LW</v>
      </c>
    </row>
    <row r="333" spans="1:34" ht="12.75" hidden="1">
      <c r="A333" s="45" t="str">
        <f ca="1">IFERROR(__xludf.DUMMYFUNCTION("""COMPUTED_VALUE"""),"Colombo")</f>
        <v>Colombo</v>
      </c>
      <c r="B333" s="45"/>
      <c r="C333" s="45">
        <f ca="1">IFERROR(__xludf.DUMMYFUNCTION("""COMPUTED_VALUE"""),3254506)</f>
        <v>3254506</v>
      </c>
      <c r="D333" s="45"/>
      <c r="E333" s="45" t="str">
        <f ca="1">IFERROR(__xludf.DUMMYFUNCTION("""COMPUTED_VALUE"""),"CFS")</f>
        <v>CFS</v>
      </c>
      <c r="F333" s="45" t="str">
        <f ca="1">IFERROR(__xludf.DUMMYFUNCTION("""COMPUTED_VALUE"""),"Bodyline Trading (Private) Limited")</f>
        <v>Bodyline Trading (Private) Limited</v>
      </c>
      <c r="G333" s="45" t="str">
        <f ca="1">IFERROR(__xludf.DUMMYFUNCTION("""COMPUTED_VALUE"""),"Bodyline (Private) Limited")</f>
        <v>Bodyline (Private) Limited</v>
      </c>
      <c r="H333" s="43">
        <f ca="1">IFERROR(__xludf.DUMMYFUNCTION("""COMPUTED_VALUE"""),452757140834)</f>
        <v>452757140834</v>
      </c>
      <c r="I333" s="45">
        <f ca="1">IFERROR(__xludf.DUMMYFUNCTION("""COMPUTED_VALUE"""),19877610)</f>
        <v>19877610</v>
      </c>
      <c r="J333" s="45" t="str">
        <f ca="1">IFERROR(__xludf.DUMMYFUNCTION("""COMPUTED_VALUE"""),"LW9DCLS")</f>
        <v>LW9DCLS</v>
      </c>
      <c r="K333" s="45" t="str">
        <f ca="1">IFERROR(__xludf.DUMMYFUNCTION("""COMPUTED_VALUE"""),"LW9DCLS-073357")</f>
        <v>LW9DCLS-073357</v>
      </c>
      <c r="L333" s="45">
        <f ca="1">IFERROR(__xludf.DUMMYFUNCTION("""COMPUTED_VALUE"""),2)</f>
        <v>2</v>
      </c>
      <c r="M333" s="45">
        <f ca="1">IFERROR(__xludf.DUMMYFUNCTION("""COMPUTED_VALUE"""),84)</f>
        <v>84</v>
      </c>
      <c r="N333" s="45">
        <f ca="1">IFERROR(__xludf.DUMMYFUNCTION("""COMPUTED_VALUE"""),9.907)</f>
        <v>9.907</v>
      </c>
      <c r="O333" s="45">
        <f ca="1">IFERROR(__xludf.DUMMYFUNCTION("""COMPUTED_VALUE"""),0.088)</f>
        <v>8.7999999999999995E-2</v>
      </c>
      <c r="P333" s="45" t="str">
        <f ca="1">IFERROR(__xludf.DUMMYFUNCTION("""COMPUTED_VALUE"""),"Colombo, LK")</f>
        <v>Colombo, LK</v>
      </c>
      <c r="Q333" s="45" t="str">
        <f ca="1">IFERROR(__xludf.DUMMYFUNCTION("""COMPUTED_VALUE"""),"New York, NY, US")</f>
        <v>New York, NY, US</v>
      </c>
      <c r="R333" s="44">
        <f ca="1">IFERROR(__xludf.DUMMYFUNCTION("""COMPUTED_VALUE"""),45824)</f>
        <v>45824</v>
      </c>
      <c r="S333" s="44">
        <f ca="1">IFERROR(__xludf.DUMMYFUNCTION("""COMPUTED_VALUE"""),45883)</f>
        <v>45883</v>
      </c>
      <c r="T333" s="45" t="str">
        <f ca="1">IFERROR(__xludf.DUMMYFUNCTION("""COMPUTED_VALUE"""),"Mississauga, ON, CA")</f>
        <v>Mississauga, ON, CA</v>
      </c>
      <c r="U333" s="45"/>
      <c r="V333" s="45"/>
      <c r="W333" s="45"/>
      <c r="X333" s="45"/>
      <c r="Y333" s="46">
        <f ca="1">IFERROR(__xludf.DUMMYFUNCTION("""COMPUTED_VALUE"""),45832)</f>
        <v>45832</v>
      </c>
      <c r="Z333" s="46">
        <f ca="1">IFERROR(__xludf.DUMMYFUNCTION("""COMPUTED_VALUE"""),45861)</f>
        <v>45861</v>
      </c>
      <c r="AA333" s="46">
        <f ca="1">IFERROR(__xludf.DUMMYFUNCTION("""COMPUTED_VALUE"""),45874)</f>
        <v>45874</v>
      </c>
      <c r="AB333" s="45" t="str">
        <f ca="1">IFERROR(__xludf.DUMMYFUNCTION("""COMPUTED_VALUE"""),"3500 Argentia Road")</f>
        <v>3500 Argentia Road</v>
      </c>
      <c r="AC333" s="45"/>
      <c r="AD333" s="45" t="str">
        <f ca="1">IFERROR(__xludf.DUMMYFUNCTION("""COMPUTED_VALUE"""),"OCEAN")</f>
        <v>OCEAN</v>
      </c>
      <c r="AE333" s="45" t="str">
        <f ca="1">IFERROR(__xludf.DUMMYFUNCTION("""COMPUTED_VALUE"""),"N")</f>
        <v>N</v>
      </c>
      <c r="AF333" s="45"/>
      <c r="AG333" s="49" t="str">
        <f ca="1">IFERROR(__xludf.DUMMYFUNCTION("IFNA(vlookup(H333,IMPORTRANGE(""1vUGwO1n0QQGx9kKbO0_M5gmuhXZ6-LaxQxgrmJnzgP0"",""'TP# look up'!A:C""),3,0),"""")"),"")</f>
        <v/>
      </c>
      <c r="AH333" s="49" t="str">
        <f t="shared" ca="1" si="5"/>
        <v>LW</v>
      </c>
    </row>
    <row r="334" spans="1:34" ht="12.75" hidden="1">
      <c r="A334" s="45" t="str">
        <f ca="1">IFERROR(__xludf.DUMMYFUNCTION("""COMPUTED_VALUE"""),"Colombo")</f>
        <v>Colombo</v>
      </c>
      <c r="B334" s="45"/>
      <c r="C334" s="45">
        <f ca="1">IFERROR(__xludf.DUMMYFUNCTION("""COMPUTED_VALUE"""),3254506)</f>
        <v>3254506</v>
      </c>
      <c r="D334" s="45"/>
      <c r="E334" s="45" t="str">
        <f ca="1">IFERROR(__xludf.DUMMYFUNCTION("""COMPUTED_VALUE"""),"CFS")</f>
        <v>CFS</v>
      </c>
      <c r="F334" s="45" t="str">
        <f ca="1">IFERROR(__xludf.DUMMYFUNCTION("""COMPUTED_VALUE"""),"Bodyline Trading (Private) Limited")</f>
        <v>Bodyline Trading (Private) Limited</v>
      </c>
      <c r="G334" s="45" t="str">
        <f ca="1">IFERROR(__xludf.DUMMYFUNCTION("""COMPUTED_VALUE"""),"Bodyline (Private) Limited")</f>
        <v>Bodyline (Private) Limited</v>
      </c>
      <c r="H334" s="43">
        <f ca="1">IFERROR(__xludf.DUMMYFUNCTION("""COMPUTED_VALUE"""),452757659944)</f>
        <v>452757659944</v>
      </c>
      <c r="I334" s="45">
        <f ca="1">IFERROR(__xludf.DUMMYFUNCTION("""COMPUTED_VALUE"""),19878331)</f>
        <v>19878331</v>
      </c>
      <c r="J334" s="45" t="str">
        <f ca="1">IFERROR(__xludf.DUMMYFUNCTION("""COMPUTED_VALUE"""),"LW9DCLS")</f>
        <v>LW9DCLS</v>
      </c>
      <c r="K334" s="45" t="str">
        <f ca="1">IFERROR(__xludf.DUMMYFUNCTION("""COMPUTED_VALUE"""),"LW9DCLS-073357")</f>
        <v>LW9DCLS-073357</v>
      </c>
      <c r="L334" s="45">
        <f ca="1">IFERROR(__xludf.DUMMYFUNCTION("""COMPUTED_VALUE"""),3)</f>
        <v>3</v>
      </c>
      <c r="M334" s="45">
        <f ca="1">IFERROR(__xludf.DUMMYFUNCTION("""COMPUTED_VALUE"""),109)</f>
        <v>109</v>
      </c>
      <c r="N334" s="45">
        <f ca="1">IFERROR(__xludf.DUMMYFUNCTION("""COMPUTED_VALUE"""),12.848)</f>
        <v>12.848000000000001</v>
      </c>
      <c r="O334" s="45">
        <f ca="1">IFERROR(__xludf.DUMMYFUNCTION("""COMPUTED_VALUE"""),0.132)</f>
        <v>0.13200000000000001</v>
      </c>
      <c r="P334" s="45" t="str">
        <f ca="1">IFERROR(__xludf.DUMMYFUNCTION("""COMPUTED_VALUE"""),"Colombo, LK")</f>
        <v>Colombo, LK</v>
      </c>
      <c r="Q334" s="45" t="str">
        <f ca="1">IFERROR(__xludf.DUMMYFUNCTION("""COMPUTED_VALUE"""),"New York, NY, US")</f>
        <v>New York, NY, US</v>
      </c>
      <c r="R334" s="44">
        <f ca="1">IFERROR(__xludf.DUMMYFUNCTION("""COMPUTED_VALUE"""),45824)</f>
        <v>45824</v>
      </c>
      <c r="S334" s="44">
        <f ca="1">IFERROR(__xludf.DUMMYFUNCTION("""COMPUTED_VALUE"""),45883)</f>
        <v>45883</v>
      </c>
      <c r="T334" s="45" t="str">
        <f ca="1">IFERROR(__xludf.DUMMYFUNCTION("""COMPUTED_VALUE"""),"Mississauga, ON, CA")</f>
        <v>Mississauga, ON, CA</v>
      </c>
      <c r="U334" s="45"/>
      <c r="V334" s="45"/>
      <c r="W334" s="45"/>
      <c r="X334" s="45"/>
      <c r="Y334" s="46">
        <f ca="1">IFERROR(__xludf.DUMMYFUNCTION("""COMPUTED_VALUE"""),45832)</f>
        <v>45832</v>
      </c>
      <c r="Z334" s="46">
        <f ca="1">IFERROR(__xludf.DUMMYFUNCTION("""COMPUTED_VALUE"""),45861)</f>
        <v>45861</v>
      </c>
      <c r="AA334" s="46">
        <f ca="1">IFERROR(__xludf.DUMMYFUNCTION("""COMPUTED_VALUE"""),45874)</f>
        <v>45874</v>
      </c>
      <c r="AB334" s="45" t="str">
        <f ca="1">IFERROR(__xludf.DUMMYFUNCTION("""COMPUTED_VALUE"""),"3500 Argentia Road")</f>
        <v>3500 Argentia Road</v>
      </c>
      <c r="AC334" s="45"/>
      <c r="AD334" s="45" t="str">
        <f ca="1">IFERROR(__xludf.DUMMYFUNCTION("""COMPUTED_VALUE"""),"OCEAN")</f>
        <v>OCEAN</v>
      </c>
      <c r="AE334" s="45" t="str">
        <f ca="1">IFERROR(__xludf.DUMMYFUNCTION("""COMPUTED_VALUE"""),"N")</f>
        <v>N</v>
      </c>
      <c r="AF334" s="45"/>
      <c r="AG334" s="49" t="str">
        <f ca="1">IFERROR(__xludf.DUMMYFUNCTION("IFNA(vlookup(H334,IMPORTRANGE(""1vUGwO1n0QQGx9kKbO0_M5gmuhXZ6-LaxQxgrmJnzgP0"",""'TP# look up'!A:C""),3,0),"""")"),"")</f>
        <v/>
      </c>
      <c r="AH334" s="49" t="str">
        <f t="shared" ca="1" si="5"/>
        <v>LW</v>
      </c>
    </row>
    <row r="335" spans="1:34" ht="12.75" hidden="1">
      <c r="A335" s="45" t="str">
        <f ca="1">IFERROR(__xludf.DUMMYFUNCTION("""COMPUTED_VALUE"""),"Colombo")</f>
        <v>Colombo</v>
      </c>
      <c r="B335" s="45"/>
      <c r="C335" s="45">
        <f ca="1">IFERROR(__xludf.DUMMYFUNCTION("""COMPUTED_VALUE"""),3254506)</f>
        <v>3254506</v>
      </c>
      <c r="D335" s="45"/>
      <c r="E335" s="45" t="str">
        <f ca="1">IFERROR(__xludf.DUMMYFUNCTION("""COMPUTED_VALUE"""),"CFS")</f>
        <v>CFS</v>
      </c>
      <c r="F335" s="45" t="str">
        <f ca="1">IFERROR(__xludf.DUMMYFUNCTION("""COMPUTED_VALUE"""),"Bodyline Trading (Private) Limited")</f>
        <v>Bodyline Trading (Private) Limited</v>
      </c>
      <c r="G335" s="45" t="str">
        <f ca="1">IFERROR(__xludf.DUMMYFUNCTION("""COMPUTED_VALUE"""),"Bodyline (Private) Limited")</f>
        <v>Bodyline (Private) Limited</v>
      </c>
      <c r="H335" s="43">
        <f ca="1">IFERROR(__xludf.DUMMYFUNCTION("""COMPUTED_VALUE"""),452757662388)</f>
        <v>452757662388</v>
      </c>
      <c r="I335" s="45">
        <f ca="1">IFERROR(__xludf.DUMMYFUNCTION("""COMPUTED_VALUE"""),19877767)</f>
        <v>19877767</v>
      </c>
      <c r="J335" s="45" t="str">
        <f ca="1">IFERROR(__xludf.DUMMYFUNCTION("""COMPUTED_VALUE"""),"LW9DTYS")</f>
        <v>LW9DTYS</v>
      </c>
      <c r="K335" s="45" t="str">
        <f ca="1">IFERROR(__xludf.DUMMYFUNCTION("""COMPUTED_VALUE"""),"LW9DTYS-071140")</f>
        <v>LW9DTYS-071140</v>
      </c>
      <c r="L335" s="45">
        <f ca="1">IFERROR(__xludf.DUMMYFUNCTION("""COMPUTED_VALUE"""),1)</f>
        <v>1</v>
      </c>
      <c r="M335" s="45">
        <f ca="1">IFERROR(__xludf.DUMMYFUNCTION("""COMPUTED_VALUE"""),39)</f>
        <v>39</v>
      </c>
      <c r="N335" s="45">
        <f ca="1">IFERROR(__xludf.DUMMYFUNCTION("""COMPUTED_VALUE"""),4.169)</f>
        <v>4.1689999999999996</v>
      </c>
      <c r="O335" s="45">
        <f ca="1">IFERROR(__xludf.DUMMYFUNCTION("""COMPUTED_VALUE"""),0.044)</f>
        <v>4.3999999999999997E-2</v>
      </c>
      <c r="P335" s="45" t="str">
        <f ca="1">IFERROR(__xludf.DUMMYFUNCTION("""COMPUTED_VALUE"""),"Colombo, LK")</f>
        <v>Colombo, LK</v>
      </c>
      <c r="Q335" s="45" t="str">
        <f ca="1">IFERROR(__xludf.DUMMYFUNCTION("""COMPUTED_VALUE"""),"New York, NY, US")</f>
        <v>New York, NY, US</v>
      </c>
      <c r="R335" s="44">
        <f ca="1">IFERROR(__xludf.DUMMYFUNCTION("""COMPUTED_VALUE"""),45824)</f>
        <v>45824</v>
      </c>
      <c r="S335" s="44">
        <f ca="1">IFERROR(__xludf.DUMMYFUNCTION("""COMPUTED_VALUE"""),45883)</f>
        <v>45883</v>
      </c>
      <c r="T335" s="45" t="str">
        <f ca="1">IFERROR(__xludf.DUMMYFUNCTION("""COMPUTED_VALUE"""),"Mississauga, ON, CA")</f>
        <v>Mississauga, ON, CA</v>
      </c>
      <c r="U335" s="45"/>
      <c r="V335" s="45"/>
      <c r="W335" s="45"/>
      <c r="X335" s="45"/>
      <c r="Y335" s="46">
        <f ca="1">IFERROR(__xludf.DUMMYFUNCTION("""COMPUTED_VALUE"""),45832)</f>
        <v>45832</v>
      </c>
      <c r="Z335" s="46">
        <f ca="1">IFERROR(__xludf.DUMMYFUNCTION("""COMPUTED_VALUE"""),45861)</f>
        <v>45861</v>
      </c>
      <c r="AA335" s="46">
        <f ca="1">IFERROR(__xludf.DUMMYFUNCTION("""COMPUTED_VALUE"""),45874)</f>
        <v>45874</v>
      </c>
      <c r="AB335" s="45" t="str">
        <f ca="1">IFERROR(__xludf.DUMMYFUNCTION("""COMPUTED_VALUE"""),"3500 Argentia Road")</f>
        <v>3500 Argentia Road</v>
      </c>
      <c r="AC335" s="45"/>
      <c r="AD335" s="45" t="str">
        <f ca="1">IFERROR(__xludf.DUMMYFUNCTION("""COMPUTED_VALUE"""),"OCEAN")</f>
        <v>OCEAN</v>
      </c>
      <c r="AE335" s="45" t="str">
        <f ca="1">IFERROR(__xludf.DUMMYFUNCTION("""COMPUTED_VALUE"""),"N")</f>
        <v>N</v>
      </c>
      <c r="AF335" s="45"/>
      <c r="AG335" s="49" t="str">
        <f ca="1">IFERROR(__xludf.DUMMYFUNCTION("IFNA(vlookup(H335,IMPORTRANGE(""1vUGwO1n0QQGx9kKbO0_M5gmuhXZ6-LaxQxgrmJnzgP0"",""'TP# look up'!A:C""),3,0),"""")"),"")</f>
        <v/>
      </c>
      <c r="AH335" s="49" t="str">
        <f t="shared" ca="1" si="5"/>
        <v>LW</v>
      </c>
    </row>
    <row r="336" spans="1:34" ht="12.75" hidden="1">
      <c r="A336" s="45" t="str">
        <f ca="1">IFERROR(__xludf.DUMMYFUNCTION("""COMPUTED_VALUE"""),"Colombo")</f>
        <v>Colombo</v>
      </c>
      <c r="B336" s="45"/>
      <c r="C336" s="45">
        <f ca="1">IFERROR(__xludf.DUMMYFUNCTION("""COMPUTED_VALUE"""),3254506)</f>
        <v>3254506</v>
      </c>
      <c r="D336" s="45"/>
      <c r="E336" s="45" t="str">
        <f ca="1">IFERROR(__xludf.DUMMYFUNCTION("""COMPUTED_VALUE"""),"CFS")</f>
        <v>CFS</v>
      </c>
      <c r="F336" s="45" t="str">
        <f ca="1">IFERROR(__xludf.DUMMYFUNCTION("""COMPUTED_VALUE"""),"Bodyline Trading (Private) Limited")</f>
        <v>Bodyline Trading (Private) Limited</v>
      </c>
      <c r="G336" s="45" t="str">
        <f ca="1">IFERROR(__xludf.DUMMYFUNCTION("""COMPUTED_VALUE"""),"Bodyline (Private) Limited")</f>
        <v>Bodyline (Private) Limited</v>
      </c>
      <c r="H336" s="43">
        <f ca="1">IFERROR(__xludf.DUMMYFUNCTION("""COMPUTED_VALUE"""),452759324840)</f>
        <v>452759324840</v>
      </c>
      <c r="I336" s="45">
        <f ca="1">IFERROR(__xludf.DUMMYFUNCTION("""COMPUTED_VALUE"""),19877743)</f>
        <v>19877743</v>
      </c>
      <c r="J336" s="45" t="str">
        <f ca="1">IFERROR(__xludf.DUMMYFUNCTION("""COMPUTED_VALUE"""),"LW9DTYS")</f>
        <v>LW9DTYS</v>
      </c>
      <c r="K336" s="45" t="str">
        <f ca="1">IFERROR(__xludf.DUMMYFUNCTION("""COMPUTED_VALUE"""),"LW9DTYS-071140")</f>
        <v>LW9DTYS-071140</v>
      </c>
      <c r="L336" s="45">
        <f ca="1">IFERROR(__xludf.DUMMYFUNCTION("""COMPUTED_VALUE"""),2)</f>
        <v>2</v>
      </c>
      <c r="M336" s="45">
        <f ca="1">IFERROR(__xludf.DUMMYFUNCTION("""COMPUTED_VALUE"""),85)</f>
        <v>85</v>
      </c>
      <c r="N336" s="45">
        <f ca="1">IFERROR(__xludf.DUMMYFUNCTION("""COMPUTED_VALUE"""),8.556)</f>
        <v>8.5559999999999992</v>
      </c>
      <c r="O336" s="45">
        <f ca="1">IFERROR(__xludf.DUMMYFUNCTION("""COMPUTED_VALUE"""),0.088)</f>
        <v>8.7999999999999995E-2</v>
      </c>
      <c r="P336" s="45" t="str">
        <f ca="1">IFERROR(__xludf.DUMMYFUNCTION("""COMPUTED_VALUE"""),"Colombo, LK")</f>
        <v>Colombo, LK</v>
      </c>
      <c r="Q336" s="45" t="str">
        <f ca="1">IFERROR(__xludf.DUMMYFUNCTION("""COMPUTED_VALUE"""),"New York, NY, US")</f>
        <v>New York, NY, US</v>
      </c>
      <c r="R336" s="44">
        <f ca="1">IFERROR(__xludf.DUMMYFUNCTION("""COMPUTED_VALUE"""),45824)</f>
        <v>45824</v>
      </c>
      <c r="S336" s="44">
        <f ca="1">IFERROR(__xludf.DUMMYFUNCTION("""COMPUTED_VALUE"""),45883)</f>
        <v>45883</v>
      </c>
      <c r="T336" s="45" t="str">
        <f ca="1">IFERROR(__xludf.DUMMYFUNCTION("""COMPUTED_VALUE"""),"Milton, ON, CA")</f>
        <v>Milton, ON, CA</v>
      </c>
      <c r="U336" s="45"/>
      <c r="V336" s="45"/>
      <c r="W336" s="45"/>
      <c r="X336" s="45"/>
      <c r="Y336" s="46">
        <f ca="1">IFERROR(__xludf.DUMMYFUNCTION("""COMPUTED_VALUE"""),45832)</f>
        <v>45832</v>
      </c>
      <c r="Z336" s="46">
        <f ca="1">IFERROR(__xludf.DUMMYFUNCTION("""COMPUTED_VALUE"""),45861)</f>
        <v>45861</v>
      </c>
      <c r="AA336" s="46">
        <f ca="1">IFERROR(__xludf.DUMMYFUNCTION("""COMPUTED_VALUE"""),45874)</f>
        <v>45874</v>
      </c>
      <c r="AB336" s="45" t="str">
        <f ca="1">IFERROR(__xludf.DUMMYFUNCTION("""COMPUTED_VALUE"""),"7211 Fifth Line")</f>
        <v>7211 Fifth Line</v>
      </c>
      <c r="AC336" s="45"/>
      <c r="AD336" s="45" t="str">
        <f ca="1">IFERROR(__xludf.DUMMYFUNCTION("""COMPUTED_VALUE"""),"OCEAN")</f>
        <v>OCEAN</v>
      </c>
      <c r="AE336" s="45" t="str">
        <f ca="1">IFERROR(__xludf.DUMMYFUNCTION("""COMPUTED_VALUE"""),"N")</f>
        <v>N</v>
      </c>
      <c r="AF336" s="45"/>
      <c r="AG336" s="49" t="str">
        <f ca="1">IFERROR(__xludf.DUMMYFUNCTION("IFNA(vlookup(H336,IMPORTRANGE(""1vUGwO1n0QQGx9kKbO0_M5gmuhXZ6-LaxQxgrmJnzgP0"",""'TP# look up'!A:C""),3,0),"""")"),"")</f>
        <v/>
      </c>
      <c r="AH336" s="49" t="str">
        <f t="shared" ca="1" si="5"/>
        <v>LW</v>
      </c>
    </row>
    <row r="337" spans="1:34" ht="12.75" hidden="1">
      <c r="A337" s="45" t="str">
        <f ca="1">IFERROR(__xludf.DUMMYFUNCTION("""COMPUTED_VALUE"""),"Colombo")</f>
        <v>Colombo</v>
      </c>
      <c r="B337" s="45"/>
      <c r="C337" s="45">
        <f ca="1">IFERROR(__xludf.DUMMYFUNCTION("""COMPUTED_VALUE"""),3254506)</f>
        <v>3254506</v>
      </c>
      <c r="D337" s="45"/>
      <c r="E337" s="45" t="str">
        <f ca="1">IFERROR(__xludf.DUMMYFUNCTION("""COMPUTED_VALUE"""),"CFS")</f>
        <v>CFS</v>
      </c>
      <c r="F337" s="45" t="str">
        <f ca="1">IFERROR(__xludf.DUMMYFUNCTION("""COMPUTED_VALUE"""),"Bodyline Trading (Private) Limited")</f>
        <v>Bodyline Trading (Private) Limited</v>
      </c>
      <c r="G337" s="45" t="str">
        <f ca="1">IFERROR(__xludf.DUMMYFUNCTION("""COMPUTED_VALUE"""),"Bodyline (Private) Limited")</f>
        <v>Bodyline (Private) Limited</v>
      </c>
      <c r="H337" s="43">
        <f ca="1">IFERROR(__xludf.DUMMYFUNCTION("""COMPUTED_VALUE"""),452760763325)</f>
        <v>452760763325</v>
      </c>
      <c r="I337" s="45">
        <f ca="1">IFERROR(__xludf.DUMMYFUNCTION("""COMPUTED_VALUE"""),19878470)</f>
        <v>19878470</v>
      </c>
      <c r="J337" s="45" t="str">
        <f ca="1">IFERROR(__xludf.DUMMYFUNCTION("""COMPUTED_VALUE"""),"LW9DTYS")</f>
        <v>LW9DTYS</v>
      </c>
      <c r="K337" s="45" t="str">
        <f ca="1">IFERROR(__xludf.DUMMYFUNCTION("""COMPUTED_VALUE"""),"LW9DTYS-071140")</f>
        <v>LW9DTYS-071140</v>
      </c>
      <c r="L337" s="45">
        <f ca="1">IFERROR(__xludf.DUMMYFUNCTION("""COMPUTED_VALUE"""),2)</f>
        <v>2</v>
      </c>
      <c r="M337" s="45">
        <f ca="1">IFERROR(__xludf.DUMMYFUNCTION("""COMPUTED_VALUE"""),66)</f>
        <v>66</v>
      </c>
      <c r="N337" s="45">
        <f ca="1">IFERROR(__xludf.DUMMYFUNCTION("""COMPUTED_VALUE"""),7.22)</f>
        <v>7.22</v>
      </c>
      <c r="O337" s="45">
        <f ca="1">IFERROR(__xludf.DUMMYFUNCTION("""COMPUTED_VALUE"""),0.088)</f>
        <v>8.7999999999999995E-2</v>
      </c>
      <c r="P337" s="45" t="str">
        <f ca="1">IFERROR(__xludf.DUMMYFUNCTION("""COMPUTED_VALUE"""),"Colombo, LK")</f>
        <v>Colombo, LK</v>
      </c>
      <c r="Q337" s="45" t="str">
        <f ca="1">IFERROR(__xludf.DUMMYFUNCTION("""COMPUTED_VALUE"""),"New York, NY, US")</f>
        <v>New York, NY, US</v>
      </c>
      <c r="R337" s="44">
        <f ca="1">IFERROR(__xludf.DUMMYFUNCTION("""COMPUTED_VALUE"""),45824)</f>
        <v>45824</v>
      </c>
      <c r="S337" s="44">
        <f ca="1">IFERROR(__xludf.DUMMYFUNCTION("""COMPUTED_VALUE"""),45883)</f>
        <v>45883</v>
      </c>
      <c r="T337" s="45" t="str">
        <f ca="1">IFERROR(__xludf.DUMMYFUNCTION("""COMPUTED_VALUE"""),"Mississauga, ON, CA")</f>
        <v>Mississauga, ON, CA</v>
      </c>
      <c r="U337" s="45"/>
      <c r="V337" s="45"/>
      <c r="W337" s="45"/>
      <c r="X337" s="45"/>
      <c r="Y337" s="46">
        <f ca="1">IFERROR(__xludf.DUMMYFUNCTION("""COMPUTED_VALUE"""),45832)</f>
        <v>45832</v>
      </c>
      <c r="Z337" s="46">
        <f ca="1">IFERROR(__xludf.DUMMYFUNCTION("""COMPUTED_VALUE"""),45861)</f>
        <v>45861</v>
      </c>
      <c r="AA337" s="46">
        <f ca="1">IFERROR(__xludf.DUMMYFUNCTION("""COMPUTED_VALUE"""),45874)</f>
        <v>45874</v>
      </c>
      <c r="AB337" s="45" t="str">
        <f ca="1">IFERROR(__xludf.DUMMYFUNCTION("""COMPUTED_VALUE"""),"3500 Argentia Road")</f>
        <v>3500 Argentia Road</v>
      </c>
      <c r="AC337" s="45"/>
      <c r="AD337" s="45" t="str">
        <f ca="1">IFERROR(__xludf.DUMMYFUNCTION("""COMPUTED_VALUE"""),"OCEAN")</f>
        <v>OCEAN</v>
      </c>
      <c r="AE337" s="45" t="str">
        <f ca="1">IFERROR(__xludf.DUMMYFUNCTION("""COMPUTED_VALUE"""),"N")</f>
        <v>N</v>
      </c>
      <c r="AF337" s="45"/>
      <c r="AG337" s="49" t="str">
        <f ca="1">IFERROR(__xludf.DUMMYFUNCTION("IFNA(vlookup(H337,IMPORTRANGE(""1vUGwO1n0QQGx9kKbO0_M5gmuhXZ6-LaxQxgrmJnzgP0"",""'TP# look up'!A:C""),3,0),"""")"),"")</f>
        <v/>
      </c>
      <c r="AH337" s="49" t="str">
        <f t="shared" ca="1" si="5"/>
        <v>LW</v>
      </c>
    </row>
    <row r="338" spans="1:34" ht="12.75" hidden="1">
      <c r="A338" s="45" t="str">
        <f ca="1">IFERROR(__xludf.DUMMYFUNCTION("""COMPUTED_VALUE"""),"Colombo")</f>
        <v>Colombo</v>
      </c>
      <c r="B338" s="45"/>
      <c r="C338" s="45">
        <f ca="1">IFERROR(__xludf.DUMMYFUNCTION("""COMPUTED_VALUE"""),3254506)</f>
        <v>3254506</v>
      </c>
      <c r="D338" s="45"/>
      <c r="E338" s="45" t="str">
        <f ca="1">IFERROR(__xludf.DUMMYFUNCTION("""COMPUTED_VALUE"""),"CFS")</f>
        <v>CFS</v>
      </c>
      <c r="F338" s="45" t="str">
        <f ca="1">IFERROR(__xludf.DUMMYFUNCTION("""COMPUTED_VALUE"""),"Bodyline Trading (Private) Limited")</f>
        <v>Bodyline Trading (Private) Limited</v>
      </c>
      <c r="G338" s="45" t="str">
        <f ca="1">IFERROR(__xludf.DUMMYFUNCTION("""COMPUTED_VALUE"""),"Bodyline (Private) Limited")</f>
        <v>Bodyline (Private) Limited</v>
      </c>
      <c r="H338" s="43">
        <f ca="1">IFERROR(__xludf.DUMMYFUNCTION("""COMPUTED_VALUE"""),452761326073)</f>
        <v>452761326073</v>
      </c>
      <c r="I338" s="45">
        <f ca="1">IFERROR(__xludf.DUMMYFUNCTION("""COMPUTED_VALUE"""),19877811)</f>
        <v>19877811</v>
      </c>
      <c r="J338" s="45" t="str">
        <f ca="1">IFERROR(__xludf.DUMMYFUNCTION("""COMPUTED_VALUE"""),"LW9DTZS")</f>
        <v>LW9DTZS</v>
      </c>
      <c r="K338" s="45" t="str">
        <f ca="1">IFERROR(__xludf.DUMMYFUNCTION("""COMPUTED_VALUE"""),"LW9DTZS-071140")</f>
        <v>LW9DTZS-071140</v>
      </c>
      <c r="L338" s="45">
        <f ca="1">IFERROR(__xludf.DUMMYFUNCTION("""COMPUTED_VALUE"""),2)</f>
        <v>2</v>
      </c>
      <c r="M338" s="45">
        <f ca="1">IFERROR(__xludf.DUMMYFUNCTION("""COMPUTED_VALUE"""),58)</f>
        <v>58</v>
      </c>
      <c r="N338" s="45">
        <f ca="1">IFERROR(__xludf.DUMMYFUNCTION("""COMPUTED_VALUE"""),7.555)</f>
        <v>7.5549999999999997</v>
      </c>
      <c r="O338" s="45">
        <f ca="1">IFERROR(__xludf.DUMMYFUNCTION("""COMPUTED_VALUE"""),0.088)</f>
        <v>8.7999999999999995E-2</v>
      </c>
      <c r="P338" s="45" t="str">
        <f ca="1">IFERROR(__xludf.DUMMYFUNCTION("""COMPUTED_VALUE"""),"Colombo, LK")</f>
        <v>Colombo, LK</v>
      </c>
      <c r="Q338" s="45" t="str">
        <f ca="1">IFERROR(__xludf.DUMMYFUNCTION("""COMPUTED_VALUE"""),"New York, NY, US")</f>
        <v>New York, NY, US</v>
      </c>
      <c r="R338" s="44">
        <f ca="1">IFERROR(__xludf.DUMMYFUNCTION("""COMPUTED_VALUE"""),45824)</f>
        <v>45824</v>
      </c>
      <c r="S338" s="44">
        <f ca="1">IFERROR(__xludf.DUMMYFUNCTION("""COMPUTED_VALUE"""),45883)</f>
        <v>45883</v>
      </c>
      <c r="T338" s="45" t="str">
        <f ca="1">IFERROR(__xludf.DUMMYFUNCTION("""COMPUTED_VALUE"""),"Mississauga, ON, CA")</f>
        <v>Mississauga, ON, CA</v>
      </c>
      <c r="U338" s="45"/>
      <c r="V338" s="45"/>
      <c r="W338" s="45"/>
      <c r="X338" s="45"/>
      <c r="Y338" s="46">
        <f ca="1">IFERROR(__xludf.DUMMYFUNCTION("""COMPUTED_VALUE"""),45832)</f>
        <v>45832</v>
      </c>
      <c r="Z338" s="46">
        <f ca="1">IFERROR(__xludf.DUMMYFUNCTION("""COMPUTED_VALUE"""),45861)</f>
        <v>45861</v>
      </c>
      <c r="AA338" s="46">
        <f ca="1">IFERROR(__xludf.DUMMYFUNCTION("""COMPUTED_VALUE"""),45874)</f>
        <v>45874</v>
      </c>
      <c r="AB338" s="45" t="str">
        <f ca="1">IFERROR(__xludf.DUMMYFUNCTION("""COMPUTED_VALUE"""),"3500 Argentia Road")</f>
        <v>3500 Argentia Road</v>
      </c>
      <c r="AC338" s="45"/>
      <c r="AD338" s="45" t="str">
        <f ca="1">IFERROR(__xludf.DUMMYFUNCTION("""COMPUTED_VALUE"""),"OCEAN")</f>
        <v>OCEAN</v>
      </c>
      <c r="AE338" s="45" t="str">
        <f ca="1">IFERROR(__xludf.DUMMYFUNCTION("""COMPUTED_VALUE"""),"N")</f>
        <v>N</v>
      </c>
      <c r="AF338" s="45"/>
      <c r="AG338" s="49" t="str">
        <f ca="1">IFERROR(__xludf.DUMMYFUNCTION("IFNA(vlookup(H338,IMPORTRANGE(""1vUGwO1n0QQGx9kKbO0_M5gmuhXZ6-LaxQxgrmJnzgP0"",""'TP# look up'!A:C""),3,0),"""")"),"")</f>
        <v/>
      </c>
      <c r="AH338" s="49" t="str">
        <f t="shared" ca="1" si="5"/>
        <v>LW</v>
      </c>
    </row>
    <row r="339" spans="1:34" ht="12.75" hidden="1">
      <c r="A339" s="45" t="str">
        <f ca="1">IFERROR(__xludf.DUMMYFUNCTION("""COMPUTED_VALUE"""),"Colombo")</f>
        <v>Colombo</v>
      </c>
      <c r="B339" s="45"/>
      <c r="C339" s="45">
        <f ca="1">IFERROR(__xludf.DUMMYFUNCTION("""COMPUTED_VALUE"""),3254506)</f>
        <v>3254506</v>
      </c>
      <c r="D339" s="45"/>
      <c r="E339" s="45" t="str">
        <f ca="1">IFERROR(__xludf.DUMMYFUNCTION("""COMPUTED_VALUE"""),"CFS")</f>
        <v>CFS</v>
      </c>
      <c r="F339" s="45" t="str">
        <f ca="1">IFERROR(__xludf.DUMMYFUNCTION("""COMPUTED_VALUE"""),"Bodyline Trading (Private) Limited")</f>
        <v>Bodyline Trading (Private) Limited</v>
      </c>
      <c r="G339" s="45" t="str">
        <f ca="1">IFERROR(__xludf.DUMMYFUNCTION("""COMPUTED_VALUE"""),"Bodyline (Private) Limited")</f>
        <v>Bodyline (Private) Limited</v>
      </c>
      <c r="H339" s="43">
        <f ca="1">IFERROR(__xludf.DUMMYFUNCTION("""COMPUTED_VALUE"""),452762125413)</f>
        <v>452762125413</v>
      </c>
      <c r="I339" s="45">
        <f ca="1">IFERROR(__xludf.DUMMYFUNCTION("""COMPUTED_VALUE"""),19878445)</f>
        <v>19878445</v>
      </c>
      <c r="J339" s="45" t="str">
        <f ca="1">IFERROR(__xludf.DUMMYFUNCTION("""COMPUTED_VALUE"""),"LW9DTYS")</f>
        <v>LW9DTYS</v>
      </c>
      <c r="K339" s="45" t="str">
        <f ca="1">IFERROR(__xludf.DUMMYFUNCTION("""COMPUTED_VALUE"""),"LW9DTYS-0001")</f>
        <v>LW9DTYS-0001</v>
      </c>
      <c r="L339" s="45">
        <f ca="1">IFERROR(__xludf.DUMMYFUNCTION("""COMPUTED_VALUE"""),2)</f>
        <v>2</v>
      </c>
      <c r="M339" s="45">
        <f ca="1">IFERROR(__xludf.DUMMYFUNCTION("""COMPUTED_VALUE"""),122)</f>
        <v>122</v>
      </c>
      <c r="N339" s="45">
        <f ca="1">IFERROR(__xludf.DUMMYFUNCTION("""COMPUTED_VALUE"""),11.348)</f>
        <v>11.348000000000001</v>
      </c>
      <c r="O339" s="45">
        <f ca="1">IFERROR(__xludf.DUMMYFUNCTION("""COMPUTED_VALUE"""),0.088)</f>
        <v>8.7999999999999995E-2</v>
      </c>
      <c r="P339" s="45" t="str">
        <f ca="1">IFERROR(__xludf.DUMMYFUNCTION("""COMPUTED_VALUE"""),"Colombo, LK")</f>
        <v>Colombo, LK</v>
      </c>
      <c r="Q339" s="45" t="str">
        <f ca="1">IFERROR(__xludf.DUMMYFUNCTION("""COMPUTED_VALUE"""),"New York, NY, US")</f>
        <v>New York, NY, US</v>
      </c>
      <c r="R339" s="44">
        <f ca="1">IFERROR(__xludf.DUMMYFUNCTION("""COMPUTED_VALUE"""),45824)</f>
        <v>45824</v>
      </c>
      <c r="S339" s="44">
        <f ca="1">IFERROR(__xludf.DUMMYFUNCTION("""COMPUTED_VALUE"""),45883)</f>
        <v>45883</v>
      </c>
      <c r="T339" s="45" t="str">
        <f ca="1">IFERROR(__xludf.DUMMYFUNCTION("""COMPUTED_VALUE"""),"Mississauga, ON, CA")</f>
        <v>Mississauga, ON, CA</v>
      </c>
      <c r="U339" s="45"/>
      <c r="V339" s="45"/>
      <c r="W339" s="45"/>
      <c r="X339" s="45"/>
      <c r="Y339" s="46">
        <f ca="1">IFERROR(__xludf.DUMMYFUNCTION("""COMPUTED_VALUE"""),45832)</f>
        <v>45832</v>
      </c>
      <c r="Z339" s="46">
        <f ca="1">IFERROR(__xludf.DUMMYFUNCTION("""COMPUTED_VALUE"""),45861)</f>
        <v>45861</v>
      </c>
      <c r="AA339" s="46">
        <f ca="1">IFERROR(__xludf.DUMMYFUNCTION("""COMPUTED_VALUE"""),45874)</f>
        <v>45874</v>
      </c>
      <c r="AB339" s="45" t="str">
        <f ca="1">IFERROR(__xludf.DUMMYFUNCTION("""COMPUTED_VALUE"""),"3500 Argentia Road")</f>
        <v>3500 Argentia Road</v>
      </c>
      <c r="AC339" s="45"/>
      <c r="AD339" s="45" t="str">
        <f ca="1">IFERROR(__xludf.DUMMYFUNCTION("""COMPUTED_VALUE"""),"OCEAN")</f>
        <v>OCEAN</v>
      </c>
      <c r="AE339" s="45" t="str">
        <f ca="1">IFERROR(__xludf.DUMMYFUNCTION("""COMPUTED_VALUE"""),"N")</f>
        <v>N</v>
      </c>
      <c r="AF339" s="45"/>
      <c r="AG339" s="49" t="str">
        <f ca="1">IFERROR(__xludf.DUMMYFUNCTION("IFNA(vlookup(H339,IMPORTRANGE(""1vUGwO1n0QQGx9kKbO0_M5gmuhXZ6-LaxQxgrmJnzgP0"",""'TP# look up'!A:C""),3,0),"""")"),"")</f>
        <v/>
      </c>
      <c r="AH339" s="49" t="str">
        <f t="shared" ca="1" si="5"/>
        <v>LW</v>
      </c>
    </row>
    <row r="340" spans="1:34" ht="12.75" hidden="1">
      <c r="A340" s="45" t="str">
        <f ca="1">IFERROR(__xludf.DUMMYFUNCTION("""COMPUTED_VALUE"""),"Colombo")</f>
        <v>Colombo</v>
      </c>
      <c r="B340" s="45"/>
      <c r="C340" s="45">
        <f ca="1">IFERROR(__xludf.DUMMYFUNCTION("""COMPUTED_VALUE"""),3254506)</f>
        <v>3254506</v>
      </c>
      <c r="D340" s="45"/>
      <c r="E340" s="45" t="str">
        <f ca="1">IFERROR(__xludf.DUMMYFUNCTION("""COMPUTED_VALUE"""),"CFS")</f>
        <v>CFS</v>
      </c>
      <c r="F340" s="45" t="str">
        <f ca="1">IFERROR(__xludf.DUMMYFUNCTION("""COMPUTED_VALUE"""),"Bodyline Trading (Private) Limited")</f>
        <v>Bodyline Trading (Private) Limited</v>
      </c>
      <c r="G340" s="45" t="str">
        <f ca="1">IFERROR(__xludf.DUMMYFUNCTION("""COMPUTED_VALUE"""),"Bodyline (Private) Limited")</f>
        <v>Bodyline (Private) Limited</v>
      </c>
      <c r="H340" s="43">
        <f ca="1">IFERROR(__xludf.DUMMYFUNCTION("""COMPUTED_VALUE"""),452765721497)</f>
        <v>452765721497</v>
      </c>
      <c r="I340" s="45">
        <f ca="1">IFERROR(__xludf.DUMMYFUNCTION("""COMPUTED_VALUE"""),19878489)</f>
        <v>19878489</v>
      </c>
      <c r="J340" s="45" t="str">
        <f ca="1">IFERROR(__xludf.DUMMYFUNCTION("""COMPUTED_VALUE"""),"LW9DTZS")</f>
        <v>LW9DTZS</v>
      </c>
      <c r="K340" s="45" t="str">
        <f ca="1">IFERROR(__xludf.DUMMYFUNCTION("""COMPUTED_VALUE"""),"LW9DTZS-071140")</f>
        <v>LW9DTZS-071140</v>
      </c>
      <c r="L340" s="45">
        <f ca="1">IFERROR(__xludf.DUMMYFUNCTION("""COMPUTED_VALUE"""),3)</f>
        <v>3</v>
      </c>
      <c r="M340" s="45">
        <f ca="1">IFERROR(__xludf.DUMMYFUNCTION("""COMPUTED_VALUE"""),107)</f>
        <v>107</v>
      </c>
      <c r="N340" s="45">
        <f ca="1">IFERROR(__xludf.DUMMYFUNCTION("""COMPUTED_VALUE"""),13.285)</f>
        <v>13.285</v>
      </c>
      <c r="O340" s="45">
        <f ca="1">IFERROR(__xludf.DUMMYFUNCTION("""COMPUTED_VALUE"""),0.132)</f>
        <v>0.13200000000000001</v>
      </c>
      <c r="P340" s="45" t="str">
        <f ca="1">IFERROR(__xludf.DUMMYFUNCTION("""COMPUTED_VALUE"""),"Colombo, LK")</f>
        <v>Colombo, LK</v>
      </c>
      <c r="Q340" s="45" t="str">
        <f ca="1">IFERROR(__xludf.DUMMYFUNCTION("""COMPUTED_VALUE"""),"New York, NY, US")</f>
        <v>New York, NY, US</v>
      </c>
      <c r="R340" s="44">
        <f ca="1">IFERROR(__xludf.DUMMYFUNCTION("""COMPUTED_VALUE"""),45824)</f>
        <v>45824</v>
      </c>
      <c r="S340" s="44">
        <f ca="1">IFERROR(__xludf.DUMMYFUNCTION("""COMPUTED_VALUE"""),45883)</f>
        <v>45883</v>
      </c>
      <c r="T340" s="45" t="str">
        <f ca="1">IFERROR(__xludf.DUMMYFUNCTION("""COMPUTED_VALUE"""),"Mississauga, ON, CA")</f>
        <v>Mississauga, ON, CA</v>
      </c>
      <c r="U340" s="45"/>
      <c r="V340" s="45"/>
      <c r="W340" s="45"/>
      <c r="X340" s="45"/>
      <c r="Y340" s="46">
        <f ca="1">IFERROR(__xludf.DUMMYFUNCTION("""COMPUTED_VALUE"""),45832)</f>
        <v>45832</v>
      </c>
      <c r="Z340" s="46">
        <f ca="1">IFERROR(__xludf.DUMMYFUNCTION("""COMPUTED_VALUE"""),45861)</f>
        <v>45861</v>
      </c>
      <c r="AA340" s="46">
        <f ca="1">IFERROR(__xludf.DUMMYFUNCTION("""COMPUTED_VALUE"""),45874)</f>
        <v>45874</v>
      </c>
      <c r="AB340" s="45" t="str">
        <f ca="1">IFERROR(__xludf.DUMMYFUNCTION("""COMPUTED_VALUE"""),"3500 Argentia Road")</f>
        <v>3500 Argentia Road</v>
      </c>
      <c r="AC340" s="45"/>
      <c r="AD340" s="45" t="str">
        <f ca="1">IFERROR(__xludf.DUMMYFUNCTION("""COMPUTED_VALUE"""),"OCEAN")</f>
        <v>OCEAN</v>
      </c>
      <c r="AE340" s="45" t="str">
        <f ca="1">IFERROR(__xludf.DUMMYFUNCTION("""COMPUTED_VALUE"""),"N")</f>
        <v>N</v>
      </c>
      <c r="AF340" s="45"/>
      <c r="AG340" s="49" t="str">
        <f ca="1">IFERROR(__xludf.DUMMYFUNCTION("IFNA(vlookup(H340,IMPORTRANGE(""1vUGwO1n0QQGx9kKbO0_M5gmuhXZ6-LaxQxgrmJnzgP0"",""'TP# look up'!A:C""),3,0),"""")"),"")</f>
        <v/>
      </c>
      <c r="AH340" s="49" t="str">
        <f t="shared" ca="1" si="5"/>
        <v>LW</v>
      </c>
    </row>
    <row r="341" spans="1:34" ht="12.75" hidden="1">
      <c r="A341" s="45" t="str">
        <f ca="1">IFERROR(__xludf.DUMMYFUNCTION("""COMPUTED_VALUE"""),"Colombo")</f>
        <v>Colombo</v>
      </c>
      <c r="B341" s="45"/>
      <c r="C341" s="45">
        <f ca="1">IFERROR(__xludf.DUMMYFUNCTION("""COMPUTED_VALUE"""),3254506)</f>
        <v>3254506</v>
      </c>
      <c r="D341" s="45"/>
      <c r="E341" s="45" t="str">
        <f ca="1">IFERROR(__xludf.DUMMYFUNCTION("""COMPUTED_VALUE"""),"CFS")</f>
        <v>CFS</v>
      </c>
      <c r="F341" s="45" t="str">
        <f ca="1">IFERROR(__xludf.DUMMYFUNCTION("""COMPUTED_VALUE"""),"Bodyline Trading (Private) Limited")</f>
        <v>Bodyline Trading (Private) Limited</v>
      </c>
      <c r="G341" s="45" t="str">
        <f ca="1">IFERROR(__xludf.DUMMYFUNCTION("""COMPUTED_VALUE"""),"Bodyline (Private) Limited")</f>
        <v>Bodyline (Private) Limited</v>
      </c>
      <c r="H341" s="43">
        <f ca="1">IFERROR(__xludf.DUMMYFUNCTION("""COMPUTED_VALUE"""),452765724226)</f>
        <v>452765724226</v>
      </c>
      <c r="I341" s="45">
        <f ca="1">IFERROR(__xludf.DUMMYFUNCTION("""COMPUTED_VALUE"""),19877496)</f>
        <v>19877496</v>
      </c>
      <c r="J341" s="45" t="str">
        <f ca="1">IFERROR(__xludf.DUMMYFUNCTION("""COMPUTED_VALUE"""),"LW9DC4S")</f>
        <v>LW9DC4S</v>
      </c>
      <c r="K341" s="45" t="str">
        <f ca="1">IFERROR(__xludf.DUMMYFUNCTION("""COMPUTED_VALUE"""),"LW9DC4S-068971")</f>
        <v>LW9DC4S-068971</v>
      </c>
      <c r="L341" s="45">
        <f ca="1">IFERROR(__xludf.DUMMYFUNCTION("""COMPUTED_VALUE"""),2)</f>
        <v>2</v>
      </c>
      <c r="M341" s="45">
        <f ca="1">IFERROR(__xludf.DUMMYFUNCTION("""COMPUTED_VALUE"""),84)</f>
        <v>84</v>
      </c>
      <c r="N341" s="45">
        <f ca="1">IFERROR(__xludf.DUMMYFUNCTION("""COMPUTED_VALUE"""),8.481)</f>
        <v>8.4809999999999999</v>
      </c>
      <c r="O341" s="45">
        <f ca="1">IFERROR(__xludf.DUMMYFUNCTION("""COMPUTED_VALUE"""),0.088)</f>
        <v>8.7999999999999995E-2</v>
      </c>
      <c r="P341" s="45" t="str">
        <f ca="1">IFERROR(__xludf.DUMMYFUNCTION("""COMPUTED_VALUE"""),"Colombo, LK")</f>
        <v>Colombo, LK</v>
      </c>
      <c r="Q341" s="45" t="str">
        <f ca="1">IFERROR(__xludf.DUMMYFUNCTION("""COMPUTED_VALUE"""),"New York, NY, US")</f>
        <v>New York, NY, US</v>
      </c>
      <c r="R341" s="44">
        <f ca="1">IFERROR(__xludf.DUMMYFUNCTION("""COMPUTED_VALUE"""),45824)</f>
        <v>45824</v>
      </c>
      <c r="S341" s="44">
        <f ca="1">IFERROR(__xludf.DUMMYFUNCTION("""COMPUTED_VALUE"""),45883)</f>
        <v>45883</v>
      </c>
      <c r="T341" s="45" t="str">
        <f ca="1">IFERROR(__xludf.DUMMYFUNCTION("""COMPUTED_VALUE"""),"Mississauga, ON, CA")</f>
        <v>Mississauga, ON, CA</v>
      </c>
      <c r="U341" s="45"/>
      <c r="V341" s="45"/>
      <c r="W341" s="45"/>
      <c r="X341" s="45"/>
      <c r="Y341" s="46">
        <f ca="1">IFERROR(__xludf.DUMMYFUNCTION("""COMPUTED_VALUE"""),45832)</f>
        <v>45832</v>
      </c>
      <c r="Z341" s="46">
        <f ca="1">IFERROR(__xludf.DUMMYFUNCTION("""COMPUTED_VALUE"""),45861)</f>
        <v>45861</v>
      </c>
      <c r="AA341" s="46">
        <f ca="1">IFERROR(__xludf.DUMMYFUNCTION("""COMPUTED_VALUE"""),45874)</f>
        <v>45874</v>
      </c>
      <c r="AB341" s="45" t="str">
        <f ca="1">IFERROR(__xludf.DUMMYFUNCTION("""COMPUTED_VALUE"""),"3500 Argentia Road")</f>
        <v>3500 Argentia Road</v>
      </c>
      <c r="AC341" s="45"/>
      <c r="AD341" s="45" t="str">
        <f ca="1">IFERROR(__xludf.DUMMYFUNCTION("""COMPUTED_VALUE"""),"OCEAN")</f>
        <v>OCEAN</v>
      </c>
      <c r="AE341" s="45" t="str">
        <f ca="1">IFERROR(__xludf.DUMMYFUNCTION("""COMPUTED_VALUE"""),"N")</f>
        <v>N</v>
      </c>
      <c r="AF341" s="45"/>
      <c r="AG341" s="49" t="str">
        <f ca="1">IFERROR(__xludf.DUMMYFUNCTION("IFNA(vlookup(H341,IMPORTRANGE(""1vUGwO1n0QQGx9kKbO0_M5gmuhXZ6-LaxQxgrmJnzgP0"",""'TP# look up'!A:C""),3,0),"""")"),"")</f>
        <v/>
      </c>
      <c r="AH341" s="49" t="str">
        <f t="shared" ca="1" si="5"/>
        <v>LW</v>
      </c>
    </row>
    <row r="342" spans="1:34" ht="12.75" hidden="1">
      <c r="A342" s="45" t="str">
        <f ca="1">IFERROR(__xludf.DUMMYFUNCTION("""COMPUTED_VALUE"""),"Colombo")</f>
        <v>Colombo</v>
      </c>
      <c r="B342" s="45"/>
      <c r="C342" s="45">
        <f ca="1">IFERROR(__xludf.DUMMYFUNCTION("""COMPUTED_VALUE"""),3254506)</f>
        <v>3254506</v>
      </c>
      <c r="D342" s="45"/>
      <c r="E342" s="45" t="str">
        <f ca="1">IFERROR(__xludf.DUMMYFUNCTION("""COMPUTED_VALUE"""),"CFS")</f>
        <v>CFS</v>
      </c>
      <c r="F342" s="45" t="str">
        <f ca="1">IFERROR(__xludf.DUMMYFUNCTION("""COMPUTED_VALUE"""),"Bodyline Trading (Private) Limited")</f>
        <v>Bodyline Trading (Private) Limited</v>
      </c>
      <c r="G342" s="45" t="str">
        <f ca="1">IFERROR(__xludf.DUMMYFUNCTION("""COMPUTED_VALUE"""),"Bodyline (Private) Limited")</f>
        <v>Bodyline (Private) Limited</v>
      </c>
      <c r="H342" s="43">
        <f ca="1">IFERROR(__xludf.DUMMYFUNCTION("""COMPUTED_VALUE"""),452767134024)</f>
        <v>452767134024</v>
      </c>
      <c r="I342" s="45">
        <f ca="1">IFERROR(__xludf.DUMMYFUNCTION("""COMPUTED_VALUE"""),19877486)</f>
        <v>19877486</v>
      </c>
      <c r="J342" s="45" t="str">
        <f ca="1">IFERROR(__xludf.DUMMYFUNCTION("""COMPUTED_VALUE"""),"LW9DC4S")</f>
        <v>LW9DC4S</v>
      </c>
      <c r="K342" s="45" t="str">
        <f ca="1">IFERROR(__xludf.DUMMYFUNCTION("""COMPUTED_VALUE"""),"LW9DC4S-068971")</f>
        <v>LW9DC4S-068971</v>
      </c>
      <c r="L342" s="45">
        <f ca="1">IFERROR(__xludf.DUMMYFUNCTION("""COMPUTED_VALUE"""),3)</f>
        <v>3</v>
      </c>
      <c r="M342" s="45">
        <f ca="1">IFERROR(__xludf.DUMMYFUNCTION("""COMPUTED_VALUE"""),167)</f>
        <v>167</v>
      </c>
      <c r="N342" s="45">
        <f ca="1">IFERROR(__xludf.DUMMYFUNCTION("""COMPUTED_VALUE"""),15.645)</f>
        <v>15.645</v>
      </c>
      <c r="O342" s="45">
        <f ca="1">IFERROR(__xludf.DUMMYFUNCTION("""COMPUTED_VALUE"""),0.132)</f>
        <v>0.13200000000000001</v>
      </c>
      <c r="P342" s="45" t="str">
        <f ca="1">IFERROR(__xludf.DUMMYFUNCTION("""COMPUTED_VALUE"""),"Colombo, LK")</f>
        <v>Colombo, LK</v>
      </c>
      <c r="Q342" s="45" t="str">
        <f ca="1">IFERROR(__xludf.DUMMYFUNCTION("""COMPUTED_VALUE"""),"New York, NY, US")</f>
        <v>New York, NY, US</v>
      </c>
      <c r="R342" s="44">
        <f ca="1">IFERROR(__xludf.DUMMYFUNCTION("""COMPUTED_VALUE"""),45824)</f>
        <v>45824</v>
      </c>
      <c r="S342" s="44">
        <f ca="1">IFERROR(__xludf.DUMMYFUNCTION("""COMPUTED_VALUE"""),45883)</f>
        <v>45883</v>
      </c>
      <c r="T342" s="45" t="str">
        <f ca="1">IFERROR(__xludf.DUMMYFUNCTION("""COMPUTED_VALUE"""),"Milton, ON, CA")</f>
        <v>Milton, ON, CA</v>
      </c>
      <c r="U342" s="45"/>
      <c r="V342" s="45"/>
      <c r="W342" s="45"/>
      <c r="X342" s="45"/>
      <c r="Y342" s="46">
        <f ca="1">IFERROR(__xludf.DUMMYFUNCTION("""COMPUTED_VALUE"""),45819)</f>
        <v>45819</v>
      </c>
      <c r="Z342" s="46">
        <f ca="1">IFERROR(__xludf.DUMMYFUNCTION("""COMPUTED_VALUE"""),45861)</f>
        <v>45861</v>
      </c>
      <c r="AA342" s="46">
        <f ca="1">IFERROR(__xludf.DUMMYFUNCTION("""COMPUTED_VALUE"""),45874)</f>
        <v>45874</v>
      </c>
      <c r="AB342" s="45" t="str">
        <f ca="1">IFERROR(__xludf.DUMMYFUNCTION("""COMPUTED_VALUE"""),"7211 Fifth Line")</f>
        <v>7211 Fifth Line</v>
      </c>
      <c r="AC342" s="45"/>
      <c r="AD342" s="45" t="str">
        <f ca="1">IFERROR(__xludf.DUMMYFUNCTION("""COMPUTED_VALUE"""),"OCEAN")</f>
        <v>OCEAN</v>
      </c>
      <c r="AE342" s="45" t="str">
        <f ca="1">IFERROR(__xludf.DUMMYFUNCTION("""COMPUTED_VALUE"""),"N")</f>
        <v>N</v>
      </c>
      <c r="AF342" s="45"/>
      <c r="AG342" s="49" t="str">
        <f ca="1">IFERROR(__xludf.DUMMYFUNCTION("IFNA(vlookup(H342,IMPORTRANGE(""1vUGwO1n0QQGx9kKbO0_M5gmuhXZ6-LaxQxgrmJnzgP0"",""'TP# look up'!A:C""),3,0),"""")"),"")</f>
        <v/>
      </c>
      <c r="AH342" s="49" t="str">
        <f t="shared" ca="1" si="5"/>
        <v>LW</v>
      </c>
    </row>
    <row r="343" spans="1:34" ht="12.75" hidden="1">
      <c r="A343" s="45" t="str">
        <f ca="1">IFERROR(__xludf.DUMMYFUNCTION("""COMPUTED_VALUE"""),"Colombo")</f>
        <v>Colombo</v>
      </c>
      <c r="B343" s="45"/>
      <c r="C343" s="45">
        <f ca="1">IFERROR(__xludf.DUMMYFUNCTION("""COMPUTED_VALUE"""),3254506)</f>
        <v>3254506</v>
      </c>
      <c r="D343" s="45"/>
      <c r="E343" s="45" t="str">
        <f ca="1">IFERROR(__xludf.DUMMYFUNCTION("""COMPUTED_VALUE"""),"CFS")</f>
        <v>CFS</v>
      </c>
      <c r="F343" s="45" t="str">
        <f ca="1">IFERROR(__xludf.DUMMYFUNCTION("""COMPUTED_VALUE"""),"Bodyline Trading (Private) Limited")</f>
        <v>Bodyline Trading (Private) Limited</v>
      </c>
      <c r="G343" s="45" t="str">
        <f ca="1">IFERROR(__xludf.DUMMYFUNCTION("""COMPUTED_VALUE"""),"Bodyline (Private) Limited")</f>
        <v>Bodyline (Private) Limited</v>
      </c>
      <c r="H343" s="43">
        <f ca="1">IFERROR(__xludf.DUMMYFUNCTION("""COMPUTED_VALUE"""),452773631837)</f>
        <v>452773631837</v>
      </c>
      <c r="I343" s="45">
        <f ca="1">IFERROR(__xludf.DUMMYFUNCTION("""COMPUTED_VALUE"""),19878318)</f>
        <v>19878318</v>
      </c>
      <c r="J343" s="45" t="str">
        <f ca="1">IFERROR(__xludf.DUMMYFUNCTION("""COMPUTED_VALUE"""),"LW9DCLS")</f>
        <v>LW9DCLS</v>
      </c>
      <c r="K343" s="45" t="str">
        <f ca="1">IFERROR(__xludf.DUMMYFUNCTION("""COMPUTED_VALUE"""),"LW9DCLS-0001")</f>
        <v>LW9DCLS-0001</v>
      </c>
      <c r="L343" s="45">
        <f ca="1">IFERROR(__xludf.DUMMYFUNCTION("""COMPUTED_VALUE"""),2)</f>
        <v>2</v>
      </c>
      <c r="M343" s="45">
        <f ca="1">IFERROR(__xludf.DUMMYFUNCTION("""COMPUTED_VALUE"""),114)</f>
        <v>114</v>
      </c>
      <c r="N343" s="45">
        <f ca="1">IFERROR(__xludf.DUMMYFUNCTION("""COMPUTED_VALUE"""),14.053)</f>
        <v>14.053000000000001</v>
      </c>
      <c r="O343" s="45">
        <f ca="1">IFERROR(__xludf.DUMMYFUNCTION("""COMPUTED_VALUE"""),0.088)</f>
        <v>8.7999999999999995E-2</v>
      </c>
      <c r="P343" s="45" t="str">
        <f ca="1">IFERROR(__xludf.DUMMYFUNCTION("""COMPUTED_VALUE"""),"Colombo, LK")</f>
        <v>Colombo, LK</v>
      </c>
      <c r="Q343" s="45" t="str">
        <f ca="1">IFERROR(__xludf.DUMMYFUNCTION("""COMPUTED_VALUE"""),"New York, NY, US")</f>
        <v>New York, NY, US</v>
      </c>
      <c r="R343" s="44">
        <f ca="1">IFERROR(__xludf.DUMMYFUNCTION("""COMPUTED_VALUE"""),45824)</f>
        <v>45824</v>
      </c>
      <c r="S343" s="44">
        <f ca="1">IFERROR(__xludf.DUMMYFUNCTION("""COMPUTED_VALUE"""),45883)</f>
        <v>45883</v>
      </c>
      <c r="T343" s="45" t="str">
        <f ca="1">IFERROR(__xludf.DUMMYFUNCTION("""COMPUTED_VALUE"""),"Mississauga, ON, CA")</f>
        <v>Mississauga, ON, CA</v>
      </c>
      <c r="U343" s="45"/>
      <c r="V343" s="45"/>
      <c r="W343" s="45"/>
      <c r="X343" s="45"/>
      <c r="Y343" s="46">
        <f ca="1">IFERROR(__xludf.DUMMYFUNCTION("""COMPUTED_VALUE"""),45832)</f>
        <v>45832</v>
      </c>
      <c r="Z343" s="46">
        <f ca="1">IFERROR(__xludf.DUMMYFUNCTION("""COMPUTED_VALUE"""),45861)</f>
        <v>45861</v>
      </c>
      <c r="AA343" s="46">
        <f ca="1">IFERROR(__xludf.DUMMYFUNCTION("""COMPUTED_VALUE"""),45874)</f>
        <v>45874</v>
      </c>
      <c r="AB343" s="45" t="str">
        <f ca="1">IFERROR(__xludf.DUMMYFUNCTION("""COMPUTED_VALUE"""),"3500 Argentia Road")</f>
        <v>3500 Argentia Road</v>
      </c>
      <c r="AC343" s="45"/>
      <c r="AD343" s="45" t="str">
        <f ca="1">IFERROR(__xludf.DUMMYFUNCTION("""COMPUTED_VALUE"""),"OCEAN")</f>
        <v>OCEAN</v>
      </c>
      <c r="AE343" s="45" t="str">
        <f ca="1">IFERROR(__xludf.DUMMYFUNCTION("""COMPUTED_VALUE"""),"N")</f>
        <v>N</v>
      </c>
      <c r="AF343" s="45"/>
      <c r="AG343" s="49" t="str">
        <f ca="1">IFERROR(__xludf.DUMMYFUNCTION("IFNA(vlookup(H343,IMPORTRANGE(""1vUGwO1n0QQGx9kKbO0_M5gmuhXZ6-LaxQxgrmJnzgP0"",""'TP# look up'!A:C""),3,0),"""")"),"")</f>
        <v/>
      </c>
      <c r="AH343" s="49" t="str">
        <f t="shared" ca="1" si="5"/>
        <v>LW</v>
      </c>
    </row>
    <row r="344" spans="1:34" ht="12.75" hidden="1">
      <c r="A344" s="45" t="str">
        <f ca="1">IFERROR(__xludf.DUMMYFUNCTION("""COMPUTED_VALUE"""),"Colombo")</f>
        <v>Colombo</v>
      </c>
      <c r="B344" s="45"/>
      <c r="C344" s="45">
        <f ca="1">IFERROR(__xludf.DUMMYFUNCTION("""COMPUTED_VALUE"""),3254506)</f>
        <v>3254506</v>
      </c>
      <c r="D344" s="45"/>
      <c r="E344" s="45" t="str">
        <f ca="1">IFERROR(__xludf.DUMMYFUNCTION("""COMPUTED_VALUE"""),"CFS")</f>
        <v>CFS</v>
      </c>
      <c r="F344" s="45" t="str">
        <f ca="1">IFERROR(__xludf.DUMMYFUNCTION("""COMPUTED_VALUE"""),"Bodyline Trading (Private) Limited")</f>
        <v>Bodyline Trading (Private) Limited</v>
      </c>
      <c r="G344" s="45" t="str">
        <f ca="1">IFERROR(__xludf.DUMMYFUNCTION("""COMPUTED_VALUE"""),"Bodyline (Private) Limited")</f>
        <v>Bodyline (Private) Limited</v>
      </c>
      <c r="H344" s="43">
        <f ca="1">IFERROR(__xludf.DUMMYFUNCTION("""COMPUTED_VALUE"""),452774647331)</f>
        <v>452774647331</v>
      </c>
      <c r="I344" s="45">
        <f ca="1">IFERROR(__xludf.DUMMYFUNCTION("""COMPUTED_VALUE"""),19877661)</f>
        <v>19877661</v>
      </c>
      <c r="J344" s="45" t="str">
        <f ca="1">IFERROR(__xludf.DUMMYFUNCTION("""COMPUTED_VALUE"""),"LW9DE9S")</f>
        <v>LW9DE9S</v>
      </c>
      <c r="K344" s="45" t="str">
        <f ca="1">IFERROR(__xludf.DUMMYFUNCTION("""COMPUTED_VALUE"""),"LW9DE9S-070623")</f>
        <v>LW9DE9S-070623</v>
      </c>
      <c r="L344" s="45">
        <f ca="1">IFERROR(__xludf.DUMMYFUNCTION("""COMPUTED_VALUE"""),4)</f>
        <v>4</v>
      </c>
      <c r="M344" s="45">
        <f ca="1">IFERROR(__xludf.DUMMYFUNCTION("""COMPUTED_VALUE"""),74)</f>
        <v>74</v>
      </c>
      <c r="N344" s="45">
        <f ca="1">IFERROR(__xludf.DUMMYFUNCTION("""COMPUTED_VALUE"""),12.536)</f>
        <v>12.536</v>
      </c>
      <c r="O344" s="45">
        <f ca="1">IFERROR(__xludf.DUMMYFUNCTION("""COMPUTED_VALUE"""),0.176)</f>
        <v>0.17599999999999999</v>
      </c>
      <c r="P344" s="45" t="str">
        <f ca="1">IFERROR(__xludf.DUMMYFUNCTION("""COMPUTED_VALUE"""),"Colombo, LK")</f>
        <v>Colombo, LK</v>
      </c>
      <c r="Q344" s="45" t="str">
        <f ca="1">IFERROR(__xludf.DUMMYFUNCTION("""COMPUTED_VALUE"""),"New York, NY, US")</f>
        <v>New York, NY, US</v>
      </c>
      <c r="R344" s="44">
        <f ca="1">IFERROR(__xludf.DUMMYFUNCTION("""COMPUTED_VALUE"""),45824)</f>
        <v>45824</v>
      </c>
      <c r="S344" s="44">
        <f ca="1">IFERROR(__xludf.DUMMYFUNCTION("""COMPUTED_VALUE"""),45883)</f>
        <v>45883</v>
      </c>
      <c r="T344" s="45" t="str">
        <f ca="1">IFERROR(__xludf.DUMMYFUNCTION("""COMPUTED_VALUE"""),"Mississauga, ON, CA")</f>
        <v>Mississauga, ON, CA</v>
      </c>
      <c r="U344" s="45"/>
      <c r="V344" s="45"/>
      <c r="W344" s="45"/>
      <c r="X344" s="45"/>
      <c r="Y344" s="46">
        <f ca="1">IFERROR(__xludf.DUMMYFUNCTION("""COMPUTED_VALUE"""),45832)</f>
        <v>45832</v>
      </c>
      <c r="Z344" s="46">
        <f ca="1">IFERROR(__xludf.DUMMYFUNCTION("""COMPUTED_VALUE"""),45861)</f>
        <v>45861</v>
      </c>
      <c r="AA344" s="46">
        <f ca="1">IFERROR(__xludf.DUMMYFUNCTION("""COMPUTED_VALUE"""),45874)</f>
        <v>45874</v>
      </c>
      <c r="AB344" s="45" t="str">
        <f ca="1">IFERROR(__xludf.DUMMYFUNCTION("""COMPUTED_VALUE"""),"3500 Argentia Road")</f>
        <v>3500 Argentia Road</v>
      </c>
      <c r="AC344" s="45"/>
      <c r="AD344" s="45" t="str">
        <f ca="1">IFERROR(__xludf.DUMMYFUNCTION("""COMPUTED_VALUE"""),"OCEAN")</f>
        <v>OCEAN</v>
      </c>
      <c r="AE344" s="45" t="str">
        <f ca="1">IFERROR(__xludf.DUMMYFUNCTION("""COMPUTED_VALUE"""),"N")</f>
        <v>N</v>
      </c>
      <c r="AF344" s="45"/>
      <c r="AG344" s="49" t="str">
        <f ca="1">IFERROR(__xludf.DUMMYFUNCTION("IFNA(vlookup(H344,IMPORTRANGE(""1vUGwO1n0QQGx9kKbO0_M5gmuhXZ6-LaxQxgrmJnzgP0"",""'TP# look up'!A:C""),3,0),"""")"),"")</f>
        <v/>
      </c>
      <c r="AH344" s="49" t="str">
        <f t="shared" ca="1" si="5"/>
        <v>LW</v>
      </c>
    </row>
    <row r="345" spans="1:34" ht="12.75" hidden="1">
      <c r="A345" s="45" t="str">
        <f ca="1">IFERROR(__xludf.DUMMYFUNCTION("""COMPUTED_VALUE"""),"Colombo")</f>
        <v>Colombo</v>
      </c>
      <c r="B345" s="45"/>
      <c r="C345" s="45">
        <f ca="1">IFERROR(__xludf.DUMMYFUNCTION("""COMPUTED_VALUE"""),3254506)</f>
        <v>3254506</v>
      </c>
      <c r="D345" s="45"/>
      <c r="E345" s="45" t="str">
        <f ca="1">IFERROR(__xludf.DUMMYFUNCTION("""COMPUTED_VALUE"""),"CFS")</f>
        <v>CFS</v>
      </c>
      <c r="F345" s="45" t="str">
        <f ca="1">IFERROR(__xludf.DUMMYFUNCTION("""COMPUTED_VALUE"""),"Bodyline Trading (Private) Limited")</f>
        <v>Bodyline Trading (Private) Limited</v>
      </c>
      <c r="G345" s="45" t="str">
        <f ca="1">IFERROR(__xludf.DUMMYFUNCTION("""COMPUTED_VALUE"""),"Bodyline (Private) Limited")</f>
        <v>Bodyline (Private) Limited</v>
      </c>
      <c r="H345" s="43">
        <f ca="1">IFERROR(__xludf.DUMMYFUNCTION("""COMPUTED_VALUE"""),452775582660)</f>
        <v>452775582660</v>
      </c>
      <c r="I345" s="45">
        <f ca="1">IFERROR(__xludf.DUMMYFUNCTION("""COMPUTED_VALUE"""),19877643)</f>
        <v>19877643</v>
      </c>
      <c r="J345" s="45" t="str">
        <f ca="1">IFERROR(__xludf.DUMMYFUNCTION("""COMPUTED_VALUE"""),"LW9DE9S")</f>
        <v>LW9DE9S</v>
      </c>
      <c r="K345" s="45" t="str">
        <f ca="1">IFERROR(__xludf.DUMMYFUNCTION("""COMPUTED_VALUE"""),"LW9DE9S-070623")</f>
        <v>LW9DE9S-070623</v>
      </c>
      <c r="L345" s="45">
        <f ca="1">IFERROR(__xludf.DUMMYFUNCTION("""COMPUTED_VALUE"""),3)</f>
        <v>3</v>
      </c>
      <c r="M345" s="45">
        <f ca="1">IFERROR(__xludf.DUMMYFUNCTION("""COMPUTED_VALUE"""),43)</f>
        <v>43</v>
      </c>
      <c r="N345" s="45">
        <f ca="1">IFERROR(__xludf.DUMMYFUNCTION("""COMPUTED_VALUE"""),7.695)</f>
        <v>7.6950000000000003</v>
      </c>
      <c r="O345" s="45">
        <f ca="1">IFERROR(__xludf.DUMMYFUNCTION("""COMPUTED_VALUE"""),0.132)</f>
        <v>0.13200000000000001</v>
      </c>
      <c r="P345" s="45" t="str">
        <f ca="1">IFERROR(__xludf.DUMMYFUNCTION("""COMPUTED_VALUE"""),"Colombo, LK")</f>
        <v>Colombo, LK</v>
      </c>
      <c r="Q345" s="45" t="str">
        <f ca="1">IFERROR(__xludf.DUMMYFUNCTION("""COMPUTED_VALUE"""),"New York, NY, US")</f>
        <v>New York, NY, US</v>
      </c>
      <c r="R345" s="44">
        <f ca="1">IFERROR(__xludf.DUMMYFUNCTION("""COMPUTED_VALUE"""),45824)</f>
        <v>45824</v>
      </c>
      <c r="S345" s="44">
        <f ca="1">IFERROR(__xludf.DUMMYFUNCTION("""COMPUTED_VALUE"""),45883)</f>
        <v>45883</v>
      </c>
      <c r="T345" s="45" t="str">
        <f ca="1">IFERROR(__xludf.DUMMYFUNCTION("""COMPUTED_VALUE"""),"Milton, ON, CA")</f>
        <v>Milton, ON, CA</v>
      </c>
      <c r="U345" s="45"/>
      <c r="V345" s="45"/>
      <c r="W345" s="45"/>
      <c r="X345" s="45"/>
      <c r="Y345" s="46">
        <f ca="1">IFERROR(__xludf.DUMMYFUNCTION("""COMPUTED_VALUE"""),45832)</f>
        <v>45832</v>
      </c>
      <c r="Z345" s="46">
        <f ca="1">IFERROR(__xludf.DUMMYFUNCTION("""COMPUTED_VALUE"""),45861)</f>
        <v>45861</v>
      </c>
      <c r="AA345" s="46">
        <f ca="1">IFERROR(__xludf.DUMMYFUNCTION("""COMPUTED_VALUE"""),45874)</f>
        <v>45874</v>
      </c>
      <c r="AB345" s="45" t="str">
        <f ca="1">IFERROR(__xludf.DUMMYFUNCTION("""COMPUTED_VALUE"""),"7211 Fifth Line")</f>
        <v>7211 Fifth Line</v>
      </c>
      <c r="AC345" s="45"/>
      <c r="AD345" s="45" t="str">
        <f ca="1">IFERROR(__xludf.DUMMYFUNCTION("""COMPUTED_VALUE"""),"OCEAN")</f>
        <v>OCEAN</v>
      </c>
      <c r="AE345" s="45" t="str">
        <f ca="1">IFERROR(__xludf.DUMMYFUNCTION("""COMPUTED_VALUE"""),"N")</f>
        <v>N</v>
      </c>
      <c r="AF345" s="45"/>
      <c r="AG345" s="49" t="str">
        <f ca="1">IFERROR(__xludf.DUMMYFUNCTION("IFNA(vlookup(H345,IMPORTRANGE(""1vUGwO1n0QQGx9kKbO0_M5gmuhXZ6-LaxQxgrmJnzgP0"",""'TP# look up'!A:C""),3,0),"""")"),"")</f>
        <v/>
      </c>
      <c r="AH345" s="49" t="str">
        <f t="shared" ca="1" si="5"/>
        <v>LW</v>
      </c>
    </row>
    <row r="346" spans="1:34" ht="12.75" hidden="1">
      <c r="A346" s="45" t="str">
        <f ca="1">IFERROR(__xludf.DUMMYFUNCTION("""COMPUTED_VALUE"""),"Colombo")</f>
        <v>Colombo</v>
      </c>
      <c r="B346" s="45"/>
      <c r="C346" s="45">
        <f ca="1">IFERROR(__xludf.DUMMYFUNCTION("""COMPUTED_VALUE"""),3254506)</f>
        <v>3254506</v>
      </c>
      <c r="D346" s="45"/>
      <c r="E346" s="45" t="str">
        <f ca="1">IFERROR(__xludf.DUMMYFUNCTION("""COMPUTED_VALUE"""),"CFS")</f>
        <v>CFS</v>
      </c>
      <c r="F346" s="45" t="str">
        <f ca="1">IFERROR(__xludf.DUMMYFUNCTION("""COMPUTED_VALUE"""),"Bodyline Trading (Private) Limited")</f>
        <v>Bodyline Trading (Private) Limited</v>
      </c>
      <c r="G346" s="45" t="str">
        <f ca="1">IFERROR(__xludf.DUMMYFUNCTION("""COMPUTED_VALUE"""),"Bodyline (Private) Limited")</f>
        <v>Bodyline (Private) Limited</v>
      </c>
      <c r="H346" s="43">
        <f ca="1">IFERROR(__xludf.DUMMYFUNCTION("""COMPUTED_VALUE"""),452775881517)</f>
        <v>452775881517</v>
      </c>
      <c r="I346" s="45">
        <f ca="1">IFERROR(__xludf.DUMMYFUNCTION("""COMPUTED_VALUE"""),19878367)</f>
        <v>19878367</v>
      </c>
      <c r="J346" s="45" t="str">
        <f ca="1">IFERROR(__xludf.DUMMYFUNCTION("""COMPUTED_VALUE"""),"LW9DE9S")</f>
        <v>LW9DE9S</v>
      </c>
      <c r="K346" s="45" t="str">
        <f ca="1">IFERROR(__xludf.DUMMYFUNCTION("""COMPUTED_VALUE"""),"LW9DE9S-070623")</f>
        <v>LW9DE9S-070623</v>
      </c>
      <c r="L346" s="45">
        <f ca="1">IFERROR(__xludf.DUMMYFUNCTION("""COMPUTED_VALUE"""),6)</f>
        <v>6</v>
      </c>
      <c r="M346" s="45">
        <f ca="1">IFERROR(__xludf.DUMMYFUNCTION("""COMPUTED_VALUE"""),132)</f>
        <v>132</v>
      </c>
      <c r="N346" s="45">
        <f ca="1">IFERROR(__xludf.DUMMYFUNCTION("""COMPUTED_VALUE"""),21.001)</f>
        <v>21.001000000000001</v>
      </c>
      <c r="O346" s="45">
        <f ca="1">IFERROR(__xludf.DUMMYFUNCTION("""COMPUTED_VALUE"""),0.264)</f>
        <v>0.26400000000000001</v>
      </c>
      <c r="P346" s="45" t="str">
        <f ca="1">IFERROR(__xludf.DUMMYFUNCTION("""COMPUTED_VALUE"""),"Colombo, LK")</f>
        <v>Colombo, LK</v>
      </c>
      <c r="Q346" s="45" t="str">
        <f ca="1">IFERROR(__xludf.DUMMYFUNCTION("""COMPUTED_VALUE"""),"New York, NY, US")</f>
        <v>New York, NY, US</v>
      </c>
      <c r="R346" s="44">
        <f ca="1">IFERROR(__xludf.DUMMYFUNCTION("""COMPUTED_VALUE"""),45824)</f>
        <v>45824</v>
      </c>
      <c r="S346" s="44">
        <f ca="1">IFERROR(__xludf.DUMMYFUNCTION("""COMPUTED_VALUE"""),45883)</f>
        <v>45883</v>
      </c>
      <c r="T346" s="45" t="str">
        <f ca="1">IFERROR(__xludf.DUMMYFUNCTION("""COMPUTED_VALUE"""),"Mississauga, ON, CA")</f>
        <v>Mississauga, ON, CA</v>
      </c>
      <c r="U346" s="45"/>
      <c r="V346" s="45"/>
      <c r="W346" s="45"/>
      <c r="X346" s="45"/>
      <c r="Y346" s="46">
        <f ca="1">IFERROR(__xludf.DUMMYFUNCTION("""COMPUTED_VALUE"""),45832)</f>
        <v>45832</v>
      </c>
      <c r="Z346" s="46">
        <f ca="1">IFERROR(__xludf.DUMMYFUNCTION("""COMPUTED_VALUE"""),45861)</f>
        <v>45861</v>
      </c>
      <c r="AA346" s="46">
        <f ca="1">IFERROR(__xludf.DUMMYFUNCTION("""COMPUTED_VALUE"""),45874)</f>
        <v>45874</v>
      </c>
      <c r="AB346" s="45" t="str">
        <f ca="1">IFERROR(__xludf.DUMMYFUNCTION("""COMPUTED_VALUE"""),"3500 Argentia Road")</f>
        <v>3500 Argentia Road</v>
      </c>
      <c r="AC346" s="45"/>
      <c r="AD346" s="45" t="str">
        <f ca="1">IFERROR(__xludf.DUMMYFUNCTION("""COMPUTED_VALUE"""),"OCEAN")</f>
        <v>OCEAN</v>
      </c>
      <c r="AE346" s="45" t="str">
        <f ca="1">IFERROR(__xludf.DUMMYFUNCTION("""COMPUTED_VALUE"""),"N")</f>
        <v>N</v>
      </c>
      <c r="AF346" s="45"/>
      <c r="AG346" s="49" t="str">
        <f ca="1">IFERROR(__xludf.DUMMYFUNCTION("IFNA(vlookup(H346,IMPORTRANGE(""1vUGwO1n0QQGx9kKbO0_M5gmuhXZ6-LaxQxgrmJnzgP0"",""'TP# look up'!A:C""),3,0),"""")"),"")</f>
        <v/>
      </c>
      <c r="AH346" s="49" t="str">
        <f t="shared" ca="1" si="5"/>
        <v>LW</v>
      </c>
    </row>
    <row r="347" spans="1:34" ht="12.75" hidden="1">
      <c r="A347" s="45" t="str">
        <f ca="1">IFERROR(__xludf.DUMMYFUNCTION("""COMPUTED_VALUE"""),"Colombo")</f>
        <v>Colombo</v>
      </c>
      <c r="B347" s="45"/>
      <c r="C347" s="45">
        <f ca="1">IFERROR(__xludf.DUMMYFUNCTION("""COMPUTED_VALUE"""),3254506)</f>
        <v>3254506</v>
      </c>
      <c r="D347" s="45"/>
      <c r="E347" s="45" t="str">
        <f ca="1">IFERROR(__xludf.DUMMYFUNCTION("""COMPUTED_VALUE"""),"CFS")</f>
        <v>CFS</v>
      </c>
      <c r="F347" s="45" t="str">
        <f ca="1">IFERROR(__xludf.DUMMYFUNCTION("""COMPUTED_VALUE"""),"Bodyline Trading (Private) Limited")</f>
        <v>Bodyline Trading (Private) Limited</v>
      </c>
      <c r="G347" s="45" t="str">
        <f ca="1">IFERROR(__xludf.DUMMYFUNCTION("""COMPUTED_VALUE"""),"Bodyline (Private) Limited")</f>
        <v>Bodyline (Private) Limited</v>
      </c>
      <c r="H347" s="43">
        <f ca="1">IFERROR(__xludf.DUMMYFUNCTION("""COMPUTED_VALUE"""),452776356218)</f>
        <v>452776356218</v>
      </c>
      <c r="I347" s="45">
        <f ca="1">IFERROR(__xludf.DUMMYFUNCTION("""COMPUTED_VALUE"""),19877671)</f>
        <v>19877671</v>
      </c>
      <c r="J347" s="45" t="str">
        <f ca="1">IFERROR(__xludf.DUMMYFUNCTION("""COMPUTED_VALUE"""),"LW9DEAS")</f>
        <v>LW9DEAS</v>
      </c>
      <c r="K347" s="45" t="str">
        <f ca="1">IFERROR(__xludf.DUMMYFUNCTION("""COMPUTED_VALUE"""),"LW9DEAS-070623")</f>
        <v>LW9DEAS-070623</v>
      </c>
      <c r="L347" s="45">
        <f ca="1">IFERROR(__xludf.DUMMYFUNCTION("""COMPUTED_VALUE"""),4)</f>
        <v>4</v>
      </c>
      <c r="M347" s="45">
        <f ca="1">IFERROR(__xludf.DUMMYFUNCTION("""COMPUTED_VALUE"""),92)</f>
        <v>92</v>
      </c>
      <c r="N347" s="45">
        <f ca="1">IFERROR(__xludf.DUMMYFUNCTION("""COMPUTED_VALUE"""),12.264)</f>
        <v>12.263999999999999</v>
      </c>
      <c r="O347" s="45">
        <f ca="1">IFERROR(__xludf.DUMMYFUNCTION("""COMPUTED_VALUE"""),0.176)</f>
        <v>0.17599999999999999</v>
      </c>
      <c r="P347" s="45" t="str">
        <f ca="1">IFERROR(__xludf.DUMMYFUNCTION("""COMPUTED_VALUE"""),"Colombo, LK")</f>
        <v>Colombo, LK</v>
      </c>
      <c r="Q347" s="45" t="str">
        <f ca="1">IFERROR(__xludf.DUMMYFUNCTION("""COMPUTED_VALUE"""),"New York, NY, US")</f>
        <v>New York, NY, US</v>
      </c>
      <c r="R347" s="44">
        <f ca="1">IFERROR(__xludf.DUMMYFUNCTION("""COMPUTED_VALUE"""),45824)</f>
        <v>45824</v>
      </c>
      <c r="S347" s="44">
        <f ca="1">IFERROR(__xludf.DUMMYFUNCTION("""COMPUTED_VALUE"""),45883)</f>
        <v>45883</v>
      </c>
      <c r="T347" s="45" t="str">
        <f ca="1">IFERROR(__xludf.DUMMYFUNCTION("""COMPUTED_VALUE"""),"Mississauga, ON, CA")</f>
        <v>Mississauga, ON, CA</v>
      </c>
      <c r="U347" s="45"/>
      <c r="V347" s="45"/>
      <c r="W347" s="45"/>
      <c r="X347" s="45"/>
      <c r="Y347" s="46">
        <f ca="1">IFERROR(__xludf.DUMMYFUNCTION("""COMPUTED_VALUE"""),45832)</f>
        <v>45832</v>
      </c>
      <c r="Z347" s="46">
        <f ca="1">IFERROR(__xludf.DUMMYFUNCTION("""COMPUTED_VALUE"""),45861)</f>
        <v>45861</v>
      </c>
      <c r="AA347" s="46">
        <f ca="1">IFERROR(__xludf.DUMMYFUNCTION("""COMPUTED_VALUE"""),45874)</f>
        <v>45874</v>
      </c>
      <c r="AB347" s="45" t="str">
        <f ca="1">IFERROR(__xludf.DUMMYFUNCTION("""COMPUTED_VALUE"""),"3500 Argentia Road")</f>
        <v>3500 Argentia Road</v>
      </c>
      <c r="AC347" s="45"/>
      <c r="AD347" s="45" t="str">
        <f ca="1">IFERROR(__xludf.DUMMYFUNCTION("""COMPUTED_VALUE"""),"OCEAN")</f>
        <v>OCEAN</v>
      </c>
      <c r="AE347" s="45" t="str">
        <f ca="1">IFERROR(__xludf.DUMMYFUNCTION("""COMPUTED_VALUE"""),"N")</f>
        <v>N</v>
      </c>
      <c r="AF347" s="45"/>
      <c r="AG347" s="49" t="str">
        <f ca="1">IFERROR(__xludf.DUMMYFUNCTION("IFNA(vlookup(H347,IMPORTRANGE(""1vUGwO1n0QQGx9kKbO0_M5gmuhXZ6-LaxQxgrmJnzgP0"",""'TP# look up'!A:C""),3,0),"""")"),"")</f>
        <v/>
      </c>
      <c r="AH347" s="49" t="str">
        <f t="shared" ca="1" si="5"/>
        <v>LW</v>
      </c>
    </row>
    <row r="348" spans="1:34" ht="12.75" hidden="1">
      <c r="A348" s="45" t="str">
        <f ca="1">IFERROR(__xludf.DUMMYFUNCTION("""COMPUTED_VALUE"""),"Colombo")</f>
        <v>Colombo</v>
      </c>
      <c r="B348" s="45"/>
      <c r="C348" s="45">
        <f ca="1">IFERROR(__xludf.DUMMYFUNCTION("""COMPUTED_VALUE"""),3254506)</f>
        <v>3254506</v>
      </c>
      <c r="D348" s="45"/>
      <c r="E348" s="45" t="str">
        <f ca="1">IFERROR(__xludf.DUMMYFUNCTION("""COMPUTED_VALUE"""),"CFS")</f>
        <v>CFS</v>
      </c>
      <c r="F348" s="45" t="str">
        <f ca="1">IFERROR(__xludf.DUMMYFUNCTION("""COMPUTED_VALUE"""),"Bodyline Trading (Private) Limited")</f>
        <v>Bodyline Trading (Private) Limited</v>
      </c>
      <c r="G348" s="45" t="str">
        <f ca="1">IFERROR(__xludf.DUMMYFUNCTION("""COMPUTED_VALUE"""),"Bodyline (Private) Limited")</f>
        <v>Bodyline (Private) Limited</v>
      </c>
      <c r="H348" s="43">
        <f ca="1">IFERROR(__xludf.DUMMYFUNCTION("""COMPUTED_VALUE"""),452777186932)</f>
        <v>452777186932</v>
      </c>
      <c r="I348" s="45">
        <f ca="1">IFERROR(__xludf.DUMMYFUNCTION("""COMPUTED_VALUE"""),19877689)</f>
        <v>19877689</v>
      </c>
      <c r="J348" s="45" t="str">
        <f ca="1">IFERROR(__xludf.DUMMYFUNCTION("""COMPUTED_VALUE"""),"LW9DEKS")</f>
        <v>LW9DEKS</v>
      </c>
      <c r="K348" s="45" t="str">
        <f ca="1">IFERROR(__xludf.DUMMYFUNCTION("""COMPUTED_VALUE"""),"LW9DEKS-070623")</f>
        <v>LW9DEKS-070623</v>
      </c>
      <c r="L348" s="45">
        <f ca="1">IFERROR(__xludf.DUMMYFUNCTION("""COMPUTED_VALUE"""),4)</f>
        <v>4</v>
      </c>
      <c r="M348" s="45">
        <f ca="1">IFERROR(__xludf.DUMMYFUNCTION("""COMPUTED_VALUE"""),85)</f>
        <v>85</v>
      </c>
      <c r="N348" s="45">
        <f ca="1">IFERROR(__xludf.DUMMYFUNCTION("""COMPUTED_VALUE"""),17.351)</f>
        <v>17.350999999999999</v>
      </c>
      <c r="O348" s="45">
        <f ca="1">IFERROR(__xludf.DUMMYFUNCTION("""COMPUTED_VALUE"""),0.176)</f>
        <v>0.17599999999999999</v>
      </c>
      <c r="P348" s="45" t="str">
        <f ca="1">IFERROR(__xludf.DUMMYFUNCTION("""COMPUTED_VALUE"""),"Colombo, LK")</f>
        <v>Colombo, LK</v>
      </c>
      <c r="Q348" s="45" t="str">
        <f ca="1">IFERROR(__xludf.DUMMYFUNCTION("""COMPUTED_VALUE"""),"New York, NY, US")</f>
        <v>New York, NY, US</v>
      </c>
      <c r="R348" s="44">
        <f ca="1">IFERROR(__xludf.DUMMYFUNCTION("""COMPUTED_VALUE"""),45824)</f>
        <v>45824</v>
      </c>
      <c r="S348" s="44">
        <f ca="1">IFERROR(__xludf.DUMMYFUNCTION("""COMPUTED_VALUE"""),45883)</f>
        <v>45883</v>
      </c>
      <c r="T348" s="45" t="str">
        <f ca="1">IFERROR(__xludf.DUMMYFUNCTION("""COMPUTED_VALUE"""),"Mississauga, ON, CA")</f>
        <v>Mississauga, ON, CA</v>
      </c>
      <c r="U348" s="45"/>
      <c r="V348" s="45"/>
      <c r="W348" s="45"/>
      <c r="X348" s="45"/>
      <c r="Y348" s="46">
        <f ca="1">IFERROR(__xludf.DUMMYFUNCTION("""COMPUTED_VALUE"""),45832)</f>
        <v>45832</v>
      </c>
      <c r="Z348" s="46">
        <f ca="1">IFERROR(__xludf.DUMMYFUNCTION("""COMPUTED_VALUE"""),45861)</f>
        <v>45861</v>
      </c>
      <c r="AA348" s="46">
        <f ca="1">IFERROR(__xludf.DUMMYFUNCTION("""COMPUTED_VALUE"""),45874)</f>
        <v>45874</v>
      </c>
      <c r="AB348" s="45" t="str">
        <f ca="1">IFERROR(__xludf.DUMMYFUNCTION("""COMPUTED_VALUE"""),"3500 Argentia Road")</f>
        <v>3500 Argentia Road</v>
      </c>
      <c r="AC348" s="45"/>
      <c r="AD348" s="45" t="str">
        <f ca="1">IFERROR(__xludf.DUMMYFUNCTION("""COMPUTED_VALUE"""),"OCEAN")</f>
        <v>OCEAN</v>
      </c>
      <c r="AE348" s="45" t="str">
        <f ca="1">IFERROR(__xludf.DUMMYFUNCTION("""COMPUTED_VALUE"""),"N")</f>
        <v>N</v>
      </c>
      <c r="AF348" s="45"/>
      <c r="AG348" s="49" t="str">
        <f ca="1">IFERROR(__xludf.DUMMYFUNCTION("IFNA(vlookup(H348,IMPORTRANGE(""1vUGwO1n0QQGx9kKbO0_M5gmuhXZ6-LaxQxgrmJnzgP0"",""'TP# look up'!A:C""),3,0),"""")"),"")</f>
        <v/>
      </c>
      <c r="AH348" s="49" t="str">
        <f t="shared" ca="1" si="5"/>
        <v>LW</v>
      </c>
    </row>
    <row r="349" spans="1:34" ht="12.75" hidden="1">
      <c r="A349" s="45" t="str">
        <f ca="1">IFERROR(__xludf.DUMMYFUNCTION("""COMPUTED_VALUE"""),"Colombo")</f>
        <v>Colombo</v>
      </c>
      <c r="B349" s="45"/>
      <c r="C349" s="45">
        <f ca="1">IFERROR(__xludf.DUMMYFUNCTION("""COMPUTED_VALUE"""),3254506)</f>
        <v>3254506</v>
      </c>
      <c r="D349" s="45"/>
      <c r="E349" s="45" t="str">
        <f ca="1">IFERROR(__xludf.DUMMYFUNCTION("""COMPUTED_VALUE"""),"CFS")</f>
        <v>CFS</v>
      </c>
      <c r="F349" s="45" t="str">
        <f ca="1">IFERROR(__xludf.DUMMYFUNCTION("""COMPUTED_VALUE"""),"Bodyline Trading (Private) Limited")</f>
        <v>Bodyline Trading (Private) Limited</v>
      </c>
      <c r="G349" s="45" t="str">
        <f ca="1">IFERROR(__xludf.DUMMYFUNCTION("""COMPUTED_VALUE"""),"Bodyline (Private) Limited")</f>
        <v>Bodyline (Private) Limited</v>
      </c>
      <c r="H349" s="43">
        <f ca="1">IFERROR(__xludf.DUMMYFUNCTION("""COMPUTED_VALUE"""),452778136068)</f>
        <v>452778136068</v>
      </c>
      <c r="I349" s="45">
        <f ca="1">IFERROR(__xludf.DUMMYFUNCTION("""COMPUTED_VALUE"""),19878403)</f>
        <v>19878403</v>
      </c>
      <c r="J349" s="45" t="str">
        <f ca="1">IFERROR(__xludf.DUMMYFUNCTION("""COMPUTED_VALUE"""),"LW9DEKS")</f>
        <v>LW9DEKS</v>
      </c>
      <c r="K349" s="45" t="str">
        <f ca="1">IFERROR(__xludf.DUMMYFUNCTION("""COMPUTED_VALUE"""),"LW9DEKS-070623")</f>
        <v>LW9DEKS-070623</v>
      </c>
      <c r="L349" s="45">
        <f ca="1">IFERROR(__xludf.DUMMYFUNCTION("""COMPUTED_VALUE"""),6)</f>
        <v>6</v>
      </c>
      <c r="M349" s="45">
        <f ca="1">IFERROR(__xludf.DUMMYFUNCTION("""COMPUTED_VALUE"""),151)</f>
        <v>151</v>
      </c>
      <c r="N349" s="45">
        <f ca="1">IFERROR(__xludf.DUMMYFUNCTION("""COMPUTED_VALUE"""),29.095)</f>
        <v>29.094999999999999</v>
      </c>
      <c r="O349" s="45">
        <f ca="1">IFERROR(__xludf.DUMMYFUNCTION("""COMPUTED_VALUE"""),0.264)</f>
        <v>0.26400000000000001</v>
      </c>
      <c r="P349" s="45" t="str">
        <f ca="1">IFERROR(__xludf.DUMMYFUNCTION("""COMPUTED_VALUE"""),"Colombo, LK")</f>
        <v>Colombo, LK</v>
      </c>
      <c r="Q349" s="45" t="str">
        <f ca="1">IFERROR(__xludf.DUMMYFUNCTION("""COMPUTED_VALUE"""),"New York, NY, US")</f>
        <v>New York, NY, US</v>
      </c>
      <c r="R349" s="44">
        <f ca="1">IFERROR(__xludf.DUMMYFUNCTION("""COMPUTED_VALUE"""),45824)</f>
        <v>45824</v>
      </c>
      <c r="S349" s="44">
        <f ca="1">IFERROR(__xludf.DUMMYFUNCTION("""COMPUTED_VALUE"""),45883)</f>
        <v>45883</v>
      </c>
      <c r="T349" s="45" t="str">
        <f ca="1">IFERROR(__xludf.DUMMYFUNCTION("""COMPUTED_VALUE"""),"Mississauga, ON, CA")</f>
        <v>Mississauga, ON, CA</v>
      </c>
      <c r="U349" s="45"/>
      <c r="V349" s="45"/>
      <c r="W349" s="45"/>
      <c r="X349" s="45"/>
      <c r="Y349" s="46">
        <f ca="1">IFERROR(__xludf.DUMMYFUNCTION("""COMPUTED_VALUE"""),45832)</f>
        <v>45832</v>
      </c>
      <c r="Z349" s="46">
        <f ca="1">IFERROR(__xludf.DUMMYFUNCTION("""COMPUTED_VALUE"""),45861)</f>
        <v>45861</v>
      </c>
      <c r="AA349" s="46">
        <f ca="1">IFERROR(__xludf.DUMMYFUNCTION("""COMPUTED_VALUE"""),45874)</f>
        <v>45874</v>
      </c>
      <c r="AB349" s="45" t="str">
        <f ca="1">IFERROR(__xludf.DUMMYFUNCTION("""COMPUTED_VALUE"""),"3500 Argentia Road")</f>
        <v>3500 Argentia Road</v>
      </c>
      <c r="AC349" s="45"/>
      <c r="AD349" s="45" t="str">
        <f ca="1">IFERROR(__xludf.DUMMYFUNCTION("""COMPUTED_VALUE"""),"OCEAN")</f>
        <v>OCEAN</v>
      </c>
      <c r="AE349" s="45" t="str">
        <f ca="1">IFERROR(__xludf.DUMMYFUNCTION("""COMPUTED_VALUE"""),"N")</f>
        <v>N</v>
      </c>
      <c r="AF349" s="45"/>
      <c r="AG349" s="49" t="str">
        <f ca="1">IFERROR(__xludf.DUMMYFUNCTION("IFNA(vlookup(H349,IMPORTRANGE(""1vUGwO1n0QQGx9kKbO0_M5gmuhXZ6-LaxQxgrmJnzgP0"",""'TP# look up'!A:C""),3,0),"""")"),"")</f>
        <v/>
      </c>
      <c r="AH349" s="49" t="str">
        <f t="shared" ca="1" si="5"/>
        <v>LW</v>
      </c>
    </row>
    <row r="350" spans="1:34" ht="12.75" hidden="1">
      <c r="A350" s="45" t="str">
        <f ca="1">IFERROR(__xludf.DUMMYFUNCTION("""COMPUTED_VALUE"""),"Colombo")</f>
        <v>Colombo</v>
      </c>
      <c r="B350" s="45"/>
      <c r="C350" s="45">
        <f ca="1">IFERROR(__xludf.DUMMYFUNCTION("""COMPUTED_VALUE"""),3254506)</f>
        <v>3254506</v>
      </c>
      <c r="D350" s="45"/>
      <c r="E350" s="45" t="str">
        <f ca="1">IFERROR(__xludf.DUMMYFUNCTION("""COMPUTED_VALUE"""),"CFS")</f>
        <v>CFS</v>
      </c>
      <c r="F350" s="45" t="str">
        <f ca="1">IFERROR(__xludf.DUMMYFUNCTION("""COMPUTED_VALUE"""),"Bodyline Trading (Private) Limited")</f>
        <v>Bodyline Trading (Private) Limited</v>
      </c>
      <c r="G350" s="45" t="str">
        <f ca="1">IFERROR(__xludf.DUMMYFUNCTION("""COMPUTED_VALUE"""),"Bodyline (Private) Limited")</f>
        <v>Bodyline (Private) Limited</v>
      </c>
      <c r="H350" s="43">
        <f ca="1">IFERROR(__xludf.DUMMYFUNCTION("""COMPUTED_VALUE"""),452778356716)</f>
        <v>452778356716</v>
      </c>
      <c r="I350" s="45">
        <f ca="1">IFERROR(__xludf.DUMMYFUNCTION("""COMPUTED_VALUE"""),19878421)</f>
        <v>19878421</v>
      </c>
      <c r="J350" s="45" t="str">
        <f ca="1">IFERROR(__xludf.DUMMYFUNCTION("""COMPUTED_VALUE"""),"LW9DEOS")</f>
        <v>LW9DEOS</v>
      </c>
      <c r="K350" s="45" t="str">
        <f ca="1">IFERROR(__xludf.DUMMYFUNCTION("""COMPUTED_VALUE"""),"LW9DEOS-070623")</f>
        <v>LW9DEOS-070623</v>
      </c>
      <c r="L350" s="45">
        <f ca="1">IFERROR(__xludf.DUMMYFUNCTION("""COMPUTED_VALUE"""),7)</f>
        <v>7</v>
      </c>
      <c r="M350" s="45">
        <f ca="1">IFERROR(__xludf.DUMMYFUNCTION("""COMPUTED_VALUE"""),242)</f>
        <v>242</v>
      </c>
      <c r="N350" s="45">
        <f ca="1">IFERROR(__xludf.DUMMYFUNCTION("""COMPUTED_VALUE"""),38.019)</f>
        <v>38.018999999999998</v>
      </c>
      <c r="O350" s="45">
        <f ca="1">IFERROR(__xludf.DUMMYFUNCTION("""COMPUTED_VALUE"""),0.307)</f>
        <v>0.307</v>
      </c>
      <c r="P350" s="45" t="str">
        <f ca="1">IFERROR(__xludf.DUMMYFUNCTION("""COMPUTED_VALUE"""),"Colombo, LK")</f>
        <v>Colombo, LK</v>
      </c>
      <c r="Q350" s="45" t="str">
        <f ca="1">IFERROR(__xludf.DUMMYFUNCTION("""COMPUTED_VALUE"""),"New York, NY, US")</f>
        <v>New York, NY, US</v>
      </c>
      <c r="R350" s="44">
        <f ca="1">IFERROR(__xludf.DUMMYFUNCTION("""COMPUTED_VALUE"""),45824)</f>
        <v>45824</v>
      </c>
      <c r="S350" s="44">
        <f ca="1">IFERROR(__xludf.DUMMYFUNCTION("""COMPUTED_VALUE"""),45883)</f>
        <v>45883</v>
      </c>
      <c r="T350" s="45" t="str">
        <f ca="1">IFERROR(__xludf.DUMMYFUNCTION("""COMPUTED_VALUE"""),"Mississauga, ON, CA")</f>
        <v>Mississauga, ON, CA</v>
      </c>
      <c r="U350" s="45"/>
      <c r="V350" s="45"/>
      <c r="W350" s="45"/>
      <c r="X350" s="45"/>
      <c r="Y350" s="46">
        <f ca="1">IFERROR(__xludf.DUMMYFUNCTION("""COMPUTED_VALUE"""),45832)</f>
        <v>45832</v>
      </c>
      <c r="Z350" s="46">
        <f ca="1">IFERROR(__xludf.DUMMYFUNCTION("""COMPUTED_VALUE"""),45861)</f>
        <v>45861</v>
      </c>
      <c r="AA350" s="46">
        <f ca="1">IFERROR(__xludf.DUMMYFUNCTION("""COMPUTED_VALUE"""),45874)</f>
        <v>45874</v>
      </c>
      <c r="AB350" s="45" t="str">
        <f ca="1">IFERROR(__xludf.DUMMYFUNCTION("""COMPUTED_VALUE"""),"3500 Argentia Road")</f>
        <v>3500 Argentia Road</v>
      </c>
      <c r="AC350" s="45"/>
      <c r="AD350" s="45" t="str">
        <f ca="1">IFERROR(__xludf.DUMMYFUNCTION("""COMPUTED_VALUE"""),"OCEAN")</f>
        <v>OCEAN</v>
      </c>
      <c r="AE350" s="45" t="str">
        <f ca="1">IFERROR(__xludf.DUMMYFUNCTION("""COMPUTED_VALUE"""),"N")</f>
        <v>N</v>
      </c>
      <c r="AF350" s="45"/>
      <c r="AG350" s="49" t="str">
        <f ca="1">IFERROR(__xludf.DUMMYFUNCTION("IFNA(vlookup(H350,IMPORTRANGE(""1vUGwO1n0QQGx9kKbO0_M5gmuhXZ6-LaxQxgrmJnzgP0"",""'TP# look up'!A:C""),3,0),"""")"),"")</f>
        <v/>
      </c>
      <c r="AH350" s="49" t="str">
        <f t="shared" ca="1" si="5"/>
        <v>LW</v>
      </c>
    </row>
    <row r="351" spans="1:34" ht="12.75" hidden="1">
      <c r="A351" s="45" t="str">
        <f ca="1">IFERROR(__xludf.DUMMYFUNCTION("""COMPUTED_VALUE"""),"Colombo")</f>
        <v>Colombo</v>
      </c>
      <c r="B351" s="45"/>
      <c r="C351" s="45">
        <f ca="1">IFERROR(__xludf.DUMMYFUNCTION("""COMPUTED_VALUE"""),3254506)</f>
        <v>3254506</v>
      </c>
      <c r="D351" s="45"/>
      <c r="E351" s="45" t="str">
        <f ca="1">IFERROR(__xludf.DUMMYFUNCTION("""COMPUTED_VALUE"""),"CFS")</f>
        <v>CFS</v>
      </c>
      <c r="F351" s="45" t="str">
        <f ca="1">IFERROR(__xludf.DUMMYFUNCTION("""COMPUTED_VALUE"""),"Bodyline Trading (Private) Limited")</f>
        <v>Bodyline Trading (Private) Limited</v>
      </c>
      <c r="G351" s="45" t="str">
        <f ca="1">IFERROR(__xludf.DUMMYFUNCTION("""COMPUTED_VALUE"""),"Bodyline (Private) Limited")</f>
        <v>Bodyline (Private) Limited</v>
      </c>
      <c r="H351" s="43">
        <f ca="1">IFERROR(__xludf.DUMMYFUNCTION("""COMPUTED_VALUE"""),452778857948)</f>
        <v>452778857948</v>
      </c>
      <c r="I351" s="45">
        <f ca="1">IFERROR(__xludf.DUMMYFUNCTION("""COMPUTED_VALUE"""),19877709)</f>
        <v>19877709</v>
      </c>
      <c r="J351" s="45" t="str">
        <f ca="1">IFERROR(__xludf.DUMMYFUNCTION("""COMPUTED_VALUE"""),"LW9DEOS")</f>
        <v>LW9DEOS</v>
      </c>
      <c r="K351" s="45" t="str">
        <f ca="1">IFERROR(__xludf.DUMMYFUNCTION("""COMPUTED_VALUE"""),"LW9DEOS-070623")</f>
        <v>LW9DEOS-070623</v>
      </c>
      <c r="L351" s="45">
        <f ca="1">IFERROR(__xludf.DUMMYFUNCTION("""COMPUTED_VALUE"""),4)</f>
        <v>4</v>
      </c>
      <c r="M351" s="45">
        <f ca="1">IFERROR(__xludf.DUMMYFUNCTION("""COMPUTED_VALUE"""),136)</f>
        <v>136</v>
      </c>
      <c r="N351" s="45">
        <f ca="1">IFERROR(__xludf.DUMMYFUNCTION("""COMPUTED_VALUE"""),21.761)</f>
        <v>21.760999999999999</v>
      </c>
      <c r="O351" s="45">
        <f ca="1">IFERROR(__xludf.DUMMYFUNCTION("""COMPUTED_VALUE"""),0.176)</f>
        <v>0.17599999999999999</v>
      </c>
      <c r="P351" s="45" t="str">
        <f ca="1">IFERROR(__xludf.DUMMYFUNCTION("""COMPUTED_VALUE"""),"Colombo, LK")</f>
        <v>Colombo, LK</v>
      </c>
      <c r="Q351" s="45" t="str">
        <f ca="1">IFERROR(__xludf.DUMMYFUNCTION("""COMPUTED_VALUE"""),"New York, NY, US")</f>
        <v>New York, NY, US</v>
      </c>
      <c r="R351" s="44">
        <f ca="1">IFERROR(__xludf.DUMMYFUNCTION("""COMPUTED_VALUE"""),45824)</f>
        <v>45824</v>
      </c>
      <c r="S351" s="44">
        <f ca="1">IFERROR(__xludf.DUMMYFUNCTION("""COMPUTED_VALUE"""),45883)</f>
        <v>45883</v>
      </c>
      <c r="T351" s="45" t="str">
        <f ca="1">IFERROR(__xludf.DUMMYFUNCTION("""COMPUTED_VALUE"""),"Mississauga, ON, CA")</f>
        <v>Mississauga, ON, CA</v>
      </c>
      <c r="U351" s="45"/>
      <c r="V351" s="45"/>
      <c r="W351" s="45"/>
      <c r="X351" s="45"/>
      <c r="Y351" s="46">
        <f ca="1">IFERROR(__xludf.DUMMYFUNCTION("""COMPUTED_VALUE"""),45832)</f>
        <v>45832</v>
      </c>
      <c r="Z351" s="46">
        <f ca="1">IFERROR(__xludf.DUMMYFUNCTION("""COMPUTED_VALUE"""),45861)</f>
        <v>45861</v>
      </c>
      <c r="AA351" s="46">
        <f ca="1">IFERROR(__xludf.DUMMYFUNCTION("""COMPUTED_VALUE"""),45874)</f>
        <v>45874</v>
      </c>
      <c r="AB351" s="45" t="str">
        <f ca="1">IFERROR(__xludf.DUMMYFUNCTION("""COMPUTED_VALUE"""),"3500 Argentia Road")</f>
        <v>3500 Argentia Road</v>
      </c>
      <c r="AC351" s="45"/>
      <c r="AD351" s="45" t="str">
        <f ca="1">IFERROR(__xludf.DUMMYFUNCTION("""COMPUTED_VALUE"""),"OCEAN")</f>
        <v>OCEAN</v>
      </c>
      <c r="AE351" s="45" t="str">
        <f ca="1">IFERROR(__xludf.DUMMYFUNCTION("""COMPUTED_VALUE"""),"N")</f>
        <v>N</v>
      </c>
      <c r="AF351" s="45"/>
      <c r="AG351" s="49" t="str">
        <f ca="1">IFERROR(__xludf.DUMMYFUNCTION("IFNA(vlookup(H351,IMPORTRANGE(""1vUGwO1n0QQGx9kKbO0_M5gmuhXZ6-LaxQxgrmJnzgP0"",""'TP# look up'!A:C""),3,0),"""")"),"")</f>
        <v/>
      </c>
      <c r="AH351" s="49" t="str">
        <f t="shared" ca="1" si="5"/>
        <v>LW</v>
      </c>
    </row>
    <row r="352" spans="1:34" ht="12.75" hidden="1">
      <c r="A352" s="45" t="str">
        <f ca="1">IFERROR(__xludf.DUMMYFUNCTION("""COMPUTED_VALUE"""),"Colombo")</f>
        <v>Colombo</v>
      </c>
      <c r="B352" s="45"/>
      <c r="C352" s="45">
        <f ca="1">IFERROR(__xludf.DUMMYFUNCTION("""COMPUTED_VALUE"""),3254506)</f>
        <v>3254506</v>
      </c>
      <c r="D352" s="45"/>
      <c r="E352" s="45" t="str">
        <f ca="1">IFERROR(__xludf.DUMMYFUNCTION("""COMPUTED_VALUE"""),"CFS")</f>
        <v>CFS</v>
      </c>
      <c r="F352" s="45" t="str">
        <f ca="1">IFERROR(__xludf.DUMMYFUNCTION("""COMPUTED_VALUE"""),"Bodyline Trading (Private) Limited")</f>
        <v>Bodyline Trading (Private) Limited</v>
      </c>
      <c r="G352" s="45" t="str">
        <f ca="1">IFERROR(__xludf.DUMMYFUNCTION("""COMPUTED_VALUE"""),"Bodyline (Private) Limited")</f>
        <v>Bodyline (Private) Limited</v>
      </c>
      <c r="H352" s="43">
        <f ca="1">IFERROR(__xludf.DUMMYFUNCTION("""COMPUTED_VALUE"""),452782663921)</f>
        <v>452782663921</v>
      </c>
      <c r="I352" s="45">
        <f ca="1">IFERROR(__xludf.DUMMYFUNCTION("""COMPUTED_VALUE"""),19843755)</f>
        <v>19843755</v>
      </c>
      <c r="J352" s="45" t="str">
        <f ca="1">IFERROR(__xludf.DUMMYFUNCTION("""COMPUTED_VALUE"""),"LW1FM7S")</f>
        <v>LW1FM7S</v>
      </c>
      <c r="K352" s="45" t="str">
        <f ca="1">IFERROR(__xludf.DUMMYFUNCTION("""COMPUTED_VALUE"""),"LW1FM7S-033454")</f>
        <v>LW1FM7S-033454</v>
      </c>
      <c r="L352" s="45">
        <f ca="1">IFERROR(__xludf.DUMMYFUNCTION("""COMPUTED_VALUE"""),4)</f>
        <v>4</v>
      </c>
      <c r="M352" s="45">
        <f ca="1">IFERROR(__xludf.DUMMYFUNCTION("""COMPUTED_VALUE"""),189)</f>
        <v>189</v>
      </c>
      <c r="N352" s="45">
        <f ca="1">IFERROR(__xludf.DUMMYFUNCTION("""COMPUTED_VALUE"""),19.554)</f>
        <v>19.553999999999998</v>
      </c>
      <c r="O352" s="45">
        <f ca="1">IFERROR(__xludf.DUMMYFUNCTION("""COMPUTED_VALUE"""),0.176)</f>
        <v>0.17599999999999999</v>
      </c>
      <c r="P352" s="45" t="str">
        <f ca="1">IFERROR(__xludf.DUMMYFUNCTION("""COMPUTED_VALUE"""),"Colombo, LK")</f>
        <v>Colombo, LK</v>
      </c>
      <c r="Q352" s="45" t="str">
        <f ca="1">IFERROR(__xludf.DUMMYFUNCTION("""COMPUTED_VALUE"""),"New York, NY, US")</f>
        <v>New York, NY, US</v>
      </c>
      <c r="R352" s="44">
        <f ca="1">IFERROR(__xludf.DUMMYFUNCTION("""COMPUTED_VALUE"""),45824)</f>
        <v>45824</v>
      </c>
      <c r="S352" s="44">
        <f ca="1">IFERROR(__xludf.DUMMYFUNCTION("""COMPUTED_VALUE"""),45883)</f>
        <v>45883</v>
      </c>
      <c r="T352" s="45" t="str">
        <f ca="1">IFERROR(__xludf.DUMMYFUNCTION("""COMPUTED_VALUE"""),"Mississauga, ON, CA")</f>
        <v>Mississauga, ON, CA</v>
      </c>
      <c r="U352" s="45"/>
      <c r="V352" s="45"/>
      <c r="W352" s="45"/>
      <c r="X352" s="45"/>
      <c r="Y352" s="46">
        <f ca="1">IFERROR(__xludf.DUMMYFUNCTION("""COMPUTED_VALUE"""),45832)</f>
        <v>45832</v>
      </c>
      <c r="Z352" s="46">
        <f ca="1">IFERROR(__xludf.DUMMYFUNCTION("""COMPUTED_VALUE"""),45861)</f>
        <v>45861</v>
      </c>
      <c r="AA352" s="46">
        <f ca="1">IFERROR(__xludf.DUMMYFUNCTION("""COMPUTED_VALUE"""),45874)</f>
        <v>45874</v>
      </c>
      <c r="AB352" s="45" t="str">
        <f ca="1">IFERROR(__xludf.DUMMYFUNCTION("""COMPUTED_VALUE"""),"3500 Argentia Road")</f>
        <v>3500 Argentia Road</v>
      </c>
      <c r="AC352" s="45"/>
      <c r="AD352" s="45" t="str">
        <f ca="1">IFERROR(__xludf.DUMMYFUNCTION("""COMPUTED_VALUE"""),"OCEAN")</f>
        <v>OCEAN</v>
      </c>
      <c r="AE352" s="45" t="str">
        <f ca="1">IFERROR(__xludf.DUMMYFUNCTION("""COMPUTED_VALUE"""),"N")</f>
        <v>N</v>
      </c>
      <c r="AF352" s="45"/>
      <c r="AG352" s="49" t="str">
        <f ca="1">IFERROR(__xludf.DUMMYFUNCTION("IFNA(vlookup(H352,IMPORTRANGE(""1vUGwO1n0QQGx9kKbO0_M5gmuhXZ6-LaxQxgrmJnzgP0"",""'TP# look up'!A:C""),3,0),"""")"),"")</f>
        <v/>
      </c>
      <c r="AH352" s="49" t="str">
        <f t="shared" ca="1" si="5"/>
        <v>LW</v>
      </c>
    </row>
    <row r="353" spans="1:34" ht="12.75" hidden="1">
      <c r="A353" s="45" t="str">
        <f ca="1">IFERROR(__xludf.DUMMYFUNCTION("""COMPUTED_VALUE"""),"Colombo")</f>
        <v>Colombo</v>
      </c>
      <c r="B353" s="45"/>
      <c r="C353" s="45">
        <f ca="1">IFERROR(__xludf.DUMMYFUNCTION("""COMPUTED_VALUE"""),3254506)</f>
        <v>3254506</v>
      </c>
      <c r="D353" s="45"/>
      <c r="E353" s="45" t="str">
        <f ca="1">IFERROR(__xludf.DUMMYFUNCTION("""COMPUTED_VALUE"""),"CFS")</f>
        <v>CFS</v>
      </c>
      <c r="F353" s="45" t="str">
        <f ca="1">IFERROR(__xludf.DUMMYFUNCTION("""COMPUTED_VALUE"""),"Bodyline Trading (Private) Limited")</f>
        <v>Bodyline Trading (Private) Limited</v>
      </c>
      <c r="G353" s="45" t="str">
        <f ca="1">IFERROR(__xludf.DUMMYFUNCTION("""COMPUTED_VALUE"""),"Bodyline (Private) Limited")</f>
        <v>Bodyline (Private) Limited</v>
      </c>
      <c r="H353" s="43">
        <f ca="1">IFERROR(__xludf.DUMMYFUNCTION("""COMPUTED_VALUE"""),452848070482)</f>
        <v>452848070482</v>
      </c>
      <c r="I353" s="45">
        <f ca="1">IFERROR(__xludf.DUMMYFUNCTION("""COMPUTED_VALUE"""),19843852)</f>
        <v>19843852</v>
      </c>
      <c r="J353" s="45" t="str">
        <f ca="1">IFERROR(__xludf.DUMMYFUNCTION("""COMPUTED_VALUE"""),"LW1FM7S")</f>
        <v>LW1FM7S</v>
      </c>
      <c r="K353" s="45" t="str">
        <f ca="1">IFERROR(__xludf.DUMMYFUNCTION("""COMPUTED_VALUE"""),"LW1FM7S-0001")</f>
        <v>LW1FM7S-0001</v>
      </c>
      <c r="L353" s="45">
        <f ca="1">IFERROR(__xludf.DUMMYFUNCTION("""COMPUTED_VALUE"""),16)</f>
        <v>16</v>
      </c>
      <c r="M353" s="45">
        <f ca="1">IFERROR(__xludf.DUMMYFUNCTION("""COMPUTED_VALUE"""),986)</f>
        <v>986</v>
      </c>
      <c r="N353" s="45">
        <f ca="1">IFERROR(__xludf.DUMMYFUNCTION("""COMPUTED_VALUE"""),97.519)</f>
        <v>97.519000000000005</v>
      </c>
      <c r="O353" s="45">
        <f ca="1">IFERROR(__xludf.DUMMYFUNCTION("""COMPUTED_VALUE"""),0.703)</f>
        <v>0.70299999999999996</v>
      </c>
      <c r="P353" s="45" t="str">
        <f ca="1">IFERROR(__xludf.DUMMYFUNCTION("""COMPUTED_VALUE"""),"Colombo, LK")</f>
        <v>Colombo, LK</v>
      </c>
      <c r="Q353" s="45" t="str">
        <f ca="1">IFERROR(__xludf.DUMMYFUNCTION("""COMPUTED_VALUE"""),"New York, NY, US")</f>
        <v>New York, NY, US</v>
      </c>
      <c r="R353" s="44">
        <f ca="1">IFERROR(__xludf.DUMMYFUNCTION("""COMPUTED_VALUE"""),45824)</f>
        <v>45824</v>
      </c>
      <c r="S353" s="44">
        <f ca="1">IFERROR(__xludf.DUMMYFUNCTION("""COMPUTED_VALUE"""),45883)</f>
        <v>45883</v>
      </c>
      <c r="T353" s="45" t="str">
        <f ca="1">IFERROR(__xludf.DUMMYFUNCTION("""COMPUTED_VALUE"""),"Mississauga, ON, CA")</f>
        <v>Mississauga, ON, CA</v>
      </c>
      <c r="U353" s="45"/>
      <c r="V353" s="45"/>
      <c r="W353" s="45"/>
      <c r="X353" s="45"/>
      <c r="Y353" s="46">
        <f ca="1">IFERROR(__xludf.DUMMYFUNCTION("""COMPUTED_VALUE"""),45832)</f>
        <v>45832</v>
      </c>
      <c r="Z353" s="46">
        <f ca="1">IFERROR(__xludf.DUMMYFUNCTION("""COMPUTED_VALUE"""),45861)</f>
        <v>45861</v>
      </c>
      <c r="AA353" s="46">
        <f ca="1">IFERROR(__xludf.DUMMYFUNCTION("""COMPUTED_VALUE"""),45874)</f>
        <v>45874</v>
      </c>
      <c r="AB353" s="45" t="str">
        <f ca="1">IFERROR(__xludf.DUMMYFUNCTION("""COMPUTED_VALUE"""),"3500 Argentia Road")</f>
        <v>3500 Argentia Road</v>
      </c>
      <c r="AC353" s="45"/>
      <c r="AD353" s="45" t="str">
        <f ca="1">IFERROR(__xludf.DUMMYFUNCTION("""COMPUTED_VALUE"""),"OCEAN")</f>
        <v>OCEAN</v>
      </c>
      <c r="AE353" s="45" t="str">
        <f ca="1">IFERROR(__xludf.DUMMYFUNCTION("""COMPUTED_VALUE"""),"N")</f>
        <v>N</v>
      </c>
      <c r="AF353" s="45"/>
      <c r="AG353" s="49" t="str">
        <f ca="1">IFERROR(__xludf.DUMMYFUNCTION("IFNA(vlookup(H353,IMPORTRANGE(""1vUGwO1n0QQGx9kKbO0_M5gmuhXZ6-LaxQxgrmJnzgP0"",""'TP# look up'!A:C""),3,0),"""")"),"")</f>
        <v/>
      </c>
      <c r="AH353" s="49" t="str">
        <f t="shared" ca="1" si="5"/>
        <v>LW</v>
      </c>
    </row>
    <row r="354" spans="1:34" ht="12.75" hidden="1">
      <c r="A354" s="45" t="str">
        <f ca="1">IFERROR(__xludf.DUMMYFUNCTION("""COMPUTED_VALUE"""),"Colombo")</f>
        <v>Colombo</v>
      </c>
      <c r="B354" s="45"/>
      <c r="C354" s="45">
        <f ca="1">IFERROR(__xludf.DUMMYFUNCTION("""COMPUTED_VALUE"""),3254506)</f>
        <v>3254506</v>
      </c>
      <c r="D354" s="45"/>
      <c r="E354" s="45" t="str">
        <f ca="1">IFERROR(__xludf.DUMMYFUNCTION("""COMPUTED_VALUE"""),"CFS")</f>
        <v>CFS</v>
      </c>
      <c r="F354" s="45" t="str">
        <f ca="1">IFERROR(__xludf.DUMMYFUNCTION("""COMPUTED_VALUE"""),"Bodyline Trading (Private) Limited")</f>
        <v>Bodyline Trading (Private) Limited</v>
      </c>
      <c r="G354" s="45" t="str">
        <f ca="1">IFERROR(__xludf.DUMMYFUNCTION("""COMPUTED_VALUE"""),"Bodyline (Private) Limited")</f>
        <v>Bodyline (Private) Limited</v>
      </c>
      <c r="H354" s="43">
        <f ca="1">IFERROR(__xludf.DUMMYFUNCTION("""COMPUTED_VALUE"""),452848241196)</f>
        <v>452848241196</v>
      </c>
      <c r="I354" s="45">
        <f ca="1">IFERROR(__xludf.DUMMYFUNCTION("""COMPUTED_VALUE"""),19878851)</f>
        <v>19878851</v>
      </c>
      <c r="J354" s="45" t="str">
        <f ca="1">IFERROR(__xludf.DUMMYFUNCTION("""COMPUTED_VALUE"""),"LW2DW4S")</f>
        <v>LW2DW4S</v>
      </c>
      <c r="K354" s="45" t="str">
        <f ca="1">IFERROR(__xludf.DUMMYFUNCTION("""COMPUTED_VALUE"""),"LW2DW4S-071189")</f>
        <v>LW2DW4S-071189</v>
      </c>
      <c r="L354" s="45">
        <f ca="1">IFERROR(__xludf.DUMMYFUNCTION("""COMPUTED_VALUE"""),1)</f>
        <v>1</v>
      </c>
      <c r="M354" s="45">
        <f ca="1">IFERROR(__xludf.DUMMYFUNCTION("""COMPUTED_VALUE"""),69)</f>
        <v>69</v>
      </c>
      <c r="N354" s="45">
        <f ca="1">IFERROR(__xludf.DUMMYFUNCTION("""COMPUTED_VALUE"""),8.368)</f>
        <v>8.3680000000000003</v>
      </c>
      <c r="O354" s="45">
        <f ca="1">IFERROR(__xludf.DUMMYFUNCTION("""COMPUTED_VALUE"""),0.081)</f>
        <v>8.1000000000000003E-2</v>
      </c>
      <c r="P354" s="45" t="str">
        <f ca="1">IFERROR(__xludf.DUMMYFUNCTION("""COMPUTED_VALUE"""),"Colombo, LK")</f>
        <v>Colombo, LK</v>
      </c>
      <c r="Q354" s="45" t="str">
        <f ca="1">IFERROR(__xludf.DUMMYFUNCTION("""COMPUTED_VALUE"""),"New York, NY, US")</f>
        <v>New York, NY, US</v>
      </c>
      <c r="R354" s="44">
        <f ca="1">IFERROR(__xludf.DUMMYFUNCTION("""COMPUTED_VALUE"""),45824)</f>
        <v>45824</v>
      </c>
      <c r="S354" s="44">
        <f ca="1">IFERROR(__xludf.DUMMYFUNCTION("""COMPUTED_VALUE"""),45883)</f>
        <v>45883</v>
      </c>
      <c r="T354" s="45" t="str">
        <f ca="1">IFERROR(__xludf.DUMMYFUNCTION("""COMPUTED_VALUE"""),"Mississauga, ON, CA")</f>
        <v>Mississauga, ON, CA</v>
      </c>
      <c r="U354" s="45"/>
      <c r="V354" s="45"/>
      <c r="W354" s="45"/>
      <c r="X354" s="45"/>
      <c r="Y354" s="46">
        <f ca="1">IFERROR(__xludf.DUMMYFUNCTION("""COMPUTED_VALUE"""),45832)</f>
        <v>45832</v>
      </c>
      <c r="Z354" s="46">
        <f ca="1">IFERROR(__xludf.DUMMYFUNCTION("""COMPUTED_VALUE"""),45861)</f>
        <v>45861</v>
      </c>
      <c r="AA354" s="46">
        <f ca="1">IFERROR(__xludf.DUMMYFUNCTION("""COMPUTED_VALUE"""),45874)</f>
        <v>45874</v>
      </c>
      <c r="AB354" s="45" t="str">
        <f ca="1">IFERROR(__xludf.DUMMYFUNCTION("""COMPUTED_VALUE"""),"3500 Argentia Road")</f>
        <v>3500 Argentia Road</v>
      </c>
      <c r="AC354" s="45"/>
      <c r="AD354" s="45" t="str">
        <f ca="1">IFERROR(__xludf.DUMMYFUNCTION("""COMPUTED_VALUE"""),"OCEAN")</f>
        <v>OCEAN</v>
      </c>
      <c r="AE354" s="45" t="str">
        <f ca="1">IFERROR(__xludf.DUMMYFUNCTION("""COMPUTED_VALUE"""),"N")</f>
        <v>N</v>
      </c>
      <c r="AF354" s="45"/>
      <c r="AG354" s="49" t="str">
        <f ca="1">IFERROR(__xludf.DUMMYFUNCTION("IFNA(vlookup(H354,IMPORTRANGE(""1vUGwO1n0QQGx9kKbO0_M5gmuhXZ6-LaxQxgrmJnzgP0"",""'TP# look up'!A:C""),3,0),"""")"),"")</f>
        <v/>
      </c>
      <c r="AH354" s="49" t="str">
        <f t="shared" ca="1" si="5"/>
        <v>LW</v>
      </c>
    </row>
    <row r="355" spans="1:34" ht="12.75" hidden="1">
      <c r="A355" s="45" t="str">
        <f ca="1">IFERROR(__xludf.DUMMYFUNCTION("""COMPUTED_VALUE"""),"Colombo")</f>
        <v>Colombo</v>
      </c>
      <c r="B355" s="45"/>
      <c r="C355" s="45">
        <f ca="1">IFERROR(__xludf.DUMMYFUNCTION("""COMPUTED_VALUE"""),3254506)</f>
        <v>3254506</v>
      </c>
      <c r="D355" s="45"/>
      <c r="E355" s="45" t="str">
        <f ca="1">IFERROR(__xludf.DUMMYFUNCTION("""COMPUTED_VALUE"""),"CFS")</f>
        <v>CFS</v>
      </c>
      <c r="F355" s="45" t="str">
        <f ca="1">IFERROR(__xludf.DUMMYFUNCTION("""COMPUTED_VALUE"""),"Bodyline Trading (Private) Limited")</f>
        <v>Bodyline Trading (Private) Limited</v>
      </c>
      <c r="G355" s="45" t="str">
        <f ca="1">IFERROR(__xludf.DUMMYFUNCTION("""COMPUTED_VALUE"""),"Bodyline (Private) Limited")</f>
        <v>Bodyline (Private) Limited</v>
      </c>
      <c r="H355" s="43">
        <f ca="1">IFERROR(__xludf.DUMMYFUNCTION("""COMPUTED_VALUE"""),452849279925)</f>
        <v>452849279925</v>
      </c>
      <c r="I355" s="45">
        <f ca="1">IFERROR(__xludf.DUMMYFUNCTION("""COMPUTED_VALUE"""),19877550)</f>
        <v>19877550</v>
      </c>
      <c r="J355" s="45" t="str">
        <f ca="1">IFERROR(__xludf.DUMMYFUNCTION("""COMPUTED_VALUE"""),"LW9DCIS")</f>
        <v>LW9DCIS</v>
      </c>
      <c r="K355" s="45" t="str">
        <f ca="1">IFERROR(__xludf.DUMMYFUNCTION("""COMPUTED_VALUE"""),"LW9DCIS-073357")</f>
        <v>LW9DCIS-073357</v>
      </c>
      <c r="L355" s="45">
        <f ca="1">IFERROR(__xludf.DUMMYFUNCTION("""COMPUTED_VALUE"""),3)</f>
        <v>3</v>
      </c>
      <c r="M355" s="45">
        <f ca="1">IFERROR(__xludf.DUMMYFUNCTION("""COMPUTED_VALUE"""),75)</f>
        <v>75</v>
      </c>
      <c r="N355" s="45">
        <f ca="1">IFERROR(__xludf.DUMMYFUNCTION("""COMPUTED_VALUE"""),8.36)</f>
        <v>8.36</v>
      </c>
      <c r="O355" s="45">
        <f ca="1">IFERROR(__xludf.DUMMYFUNCTION("""COMPUTED_VALUE"""),0.132)</f>
        <v>0.13200000000000001</v>
      </c>
      <c r="P355" s="45" t="str">
        <f ca="1">IFERROR(__xludf.DUMMYFUNCTION("""COMPUTED_VALUE"""),"Colombo, LK")</f>
        <v>Colombo, LK</v>
      </c>
      <c r="Q355" s="45" t="str">
        <f ca="1">IFERROR(__xludf.DUMMYFUNCTION("""COMPUTED_VALUE"""),"New York, NY, US")</f>
        <v>New York, NY, US</v>
      </c>
      <c r="R355" s="44">
        <f ca="1">IFERROR(__xludf.DUMMYFUNCTION("""COMPUTED_VALUE"""),45824)</f>
        <v>45824</v>
      </c>
      <c r="S355" s="44">
        <f ca="1">IFERROR(__xludf.DUMMYFUNCTION("""COMPUTED_VALUE"""),45883)</f>
        <v>45883</v>
      </c>
      <c r="T355" s="45" t="str">
        <f ca="1">IFERROR(__xludf.DUMMYFUNCTION("""COMPUTED_VALUE"""),"Mississauga, ON, CA")</f>
        <v>Mississauga, ON, CA</v>
      </c>
      <c r="U355" s="45"/>
      <c r="V355" s="45"/>
      <c r="W355" s="45"/>
      <c r="X355" s="45"/>
      <c r="Y355" s="46">
        <f ca="1">IFERROR(__xludf.DUMMYFUNCTION("""COMPUTED_VALUE"""),45832)</f>
        <v>45832</v>
      </c>
      <c r="Z355" s="46">
        <f ca="1">IFERROR(__xludf.DUMMYFUNCTION("""COMPUTED_VALUE"""),45861)</f>
        <v>45861</v>
      </c>
      <c r="AA355" s="46">
        <f ca="1">IFERROR(__xludf.DUMMYFUNCTION("""COMPUTED_VALUE"""),45874)</f>
        <v>45874</v>
      </c>
      <c r="AB355" s="45" t="str">
        <f ca="1">IFERROR(__xludf.DUMMYFUNCTION("""COMPUTED_VALUE"""),"3500 Argentia Road")</f>
        <v>3500 Argentia Road</v>
      </c>
      <c r="AC355" s="45"/>
      <c r="AD355" s="45" t="str">
        <f ca="1">IFERROR(__xludf.DUMMYFUNCTION("""COMPUTED_VALUE"""),"OCEAN")</f>
        <v>OCEAN</v>
      </c>
      <c r="AE355" s="45" t="str">
        <f ca="1">IFERROR(__xludf.DUMMYFUNCTION("""COMPUTED_VALUE"""),"N")</f>
        <v>N</v>
      </c>
      <c r="AF355" s="45"/>
      <c r="AG355" s="49" t="str">
        <f ca="1">IFERROR(__xludf.DUMMYFUNCTION("IFNA(vlookup(H355,IMPORTRANGE(""1vUGwO1n0QQGx9kKbO0_M5gmuhXZ6-LaxQxgrmJnzgP0"",""'TP# look up'!A:C""),3,0),"""")"),"")</f>
        <v/>
      </c>
      <c r="AH355" s="49" t="str">
        <f t="shared" ca="1" si="5"/>
        <v>LW</v>
      </c>
    </row>
    <row r="356" spans="1:34" ht="12.75" hidden="1">
      <c r="A356" s="45" t="str">
        <f ca="1">IFERROR(__xludf.DUMMYFUNCTION("""COMPUTED_VALUE"""),"Colombo")</f>
        <v>Colombo</v>
      </c>
      <c r="B356" s="45"/>
      <c r="C356" s="45">
        <f ca="1">IFERROR(__xludf.DUMMYFUNCTION("""COMPUTED_VALUE"""),3254506)</f>
        <v>3254506</v>
      </c>
      <c r="D356" s="45"/>
      <c r="E356" s="45" t="str">
        <f ca="1">IFERROR(__xludf.DUMMYFUNCTION("""COMPUTED_VALUE"""),"CFS")</f>
        <v>CFS</v>
      </c>
      <c r="F356" s="45" t="str">
        <f ca="1">IFERROR(__xludf.DUMMYFUNCTION("""COMPUTED_VALUE"""),"Bodyline Trading (Private) Limited")</f>
        <v>Bodyline Trading (Private) Limited</v>
      </c>
      <c r="G356" s="45" t="str">
        <f ca="1">IFERROR(__xludf.DUMMYFUNCTION("""COMPUTED_VALUE"""),"Bodyline (Private) Limited")</f>
        <v>Bodyline (Private) Limited</v>
      </c>
      <c r="H356" s="43">
        <f ca="1">IFERROR(__xludf.DUMMYFUNCTION("""COMPUTED_VALUE"""),452850338711)</f>
        <v>452850338711</v>
      </c>
      <c r="I356" s="45">
        <f ca="1">IFERROR(__xludf.DUMMYFUNCTION("""COMPUTED_VALUE"""),19878347)</f>
        <v>19878347</v>
      </c>
      <c r="J356" s="45" t="str">
        <f ca="1">IFERROR(__xludf.DUMMYFUNCTION("""COMPUTED_VALUE"""),"LW9DCLS")</f>
        <v>LW9DCLS</v>
      </c>
      <c r="K356" s="45" t="str">
        <f ca="1">IFERROR(__xludf.DUMMYFUNCTION("""COMPUTED_VALUE"""),"LW9DCLS-068971")</f>
        <v>LW9DCLS-068971</v>
      </c>
      <c r="L356" s="45">
        <f ca="1">IFERROR(__xludf.DUMMYFUNCTION("""COMPUTED_VALUE"""),4)</f>
        <v>4</v>
      </c>
      <c r="M356" s="45">
        <f ca="1">IFERROR(__xludf.DUMMYFUNCTION("""COMPUTED_VALUE"""),183)</f>
        <v>183</v>
      </c>
      <c r="N356" s="45">
        <f ca="1">IFERROR(__xludf.DUMMYFUNCTION("""COMPUTED_VALUE"""),20.668)</f>
        <v>20.667999999999999</v>
      </c>
      <c r="O356" s="45">
        <f ca="1">IFERROR(__xludf.DUMMYFUNCTION("""COMPUTED_VALUE"""),0.176)</f>
        <v>0.17599999999999999</v>
      </c>
      <c r="P356" s="45" t="str">
        <f ca="1">IFERROR(__xludf.DUMMYFUNCTION("""COMPUTED_VALUE"""),"Colombo, LK")</f>
        <v>Colombo, LK</v>
      </c>
      <c r="Q356" s="45" t="str">
        <f ca="1">IFERROR(__xludf.DUMMYFUNCTION("""COMPUTED_VALUE"""),"New York, NY, US")</f>
        <v>New York, NY, US</v>
      </c>
      <c r="R356" s="44">
        <f ca="1">IFERROR(__xludf.DUMMYFUNCTION("""COMPUTED_VALUE"""),45824)</f>
        <v>45824</v>
      </c>
      <c r="S356" s="44">
        <f ca="1">IFERROR(__xludf.DUMMYFUNCTION("""COMPUTED_VALUE"""),45883)</f>
        <v>45883</v>
      </c>
      <c r="T356" s="45" t="str">
        <f ca="1">IFERROR(__xludf.DUMMYFUNCTION("""COMPUTED_VALUE"""),"Mississauga, ON, CA")</f>
        <v>Mississauga, ON, CA</v>
      </c>
      <c r="U356" s="45"/>
      <c r="V356" s="45"/>
      <c r="W356" s="45"/>
      <c r="X356" s="45"/>
      <c r="Y356" s="46">
        <f ca="1">IFERROR(__xludf.DUMMYFUNCTION("""COMPUTED_VALUE"""),45832)</f>
        <v>45832</v>
      </c>
      <c r="Z356" s="46">
        <f ca="1">IFERROR(__xludf.DUMMYFUNCTION("""COMPUTED_VALUE"""),45861)</f>
        <v>45861</v>
      </c>
      <c r="AA356" s="46">
        <f ca="1">IFERROR(__xludf.DUMMYFUNCTION("""COMPUTED_VALUE"""),45874)</f>
        <v>45874</v>
      </c>
      <c r="AB356" s="45" t="str">
        <f ca="1">IFERROR(__xludf.DUMMYFUNCTION("""COMPUTED_VALUE"""),"3500 Argentia Road")</f>
        <v>3500 Argentia Road</v>
      </c>
      <c r="AC356" s="45"/>
      <c r="AD356" s="45" t="str">
        <f ca="1">IFERROR(__xludf.DUMMYFUNCTION("""COMPUTED_VALUE"""),"OCEAN")</f>
        <v>OCEAN</v>
      </c>
      <c r="AE356" s="45" t="str">
        <f ca="1">IFERROR(__xludf.DUMMYFUNCTION("""COMPUTED_VALUE"""),"N")</f>
        <v>N</v>
      </c>
      <c r="AF356" s="45"/>
      <c r="AG356" s="49" t="str">
        <f ca="1">IFERROR(__xludf.DUMMYFUNCTION("IFNA(vlookup(H356,IMPORTRANGE(""1vUGwO1n0QQGx9kKbO0_M5gmuhXZ6-LaxQxgrmJnzgP0"",""'TP# look up'!A:C""),3,0),"""")"),"")</f>
        <v/>
      </c>
      <c r="AH356" s="49" t="str">
        <f t="shared" ca="1" si="5"/>
        <v>LW</v>
      </c>
    </row>
    <row r="357" spans="1:34" ht="12.75" hidden="1">
      <c r="A357" s="45" t="str">
        <f ca="1">IFERROR(__xludf.DUMMYFUNCTION("""COMPUTED_VALUE"""),"Colombo")</f>
        <v>Colombo</v>
      </c>
      <c r="B357" s="45"/>
      <c r="C357" s="45">
        <f ca="1">IFERROR(__xludf.DUMMYFUNCTION("""COMPUTED_VALUE"""),3254506)</f>
        <v>3254506</v>
      </c>
      <c r="D357" s="45"/>
      <c r="E357" s="45" t="str">
        <f ca="1">IFERROR(__xludf.DUMMYFUNCTION("""COMPUTED_VALUE"""),"CFS")</f>
        <v>CFS</v>
      </c>
      <c r="F357" s="45" t="str">
        <f ca="1">IFERROR(__xludf.DUMMYFUNCTION("""COMPUTED_VALUE"""),"Bodyline Trading (Private) Limited")</f>
        <v>Bodyline Trading (Private) Limited</v>
      </c>
      <c r="G357" s="45" t="str">
        <f ca="1">IFERROR(__xludf.DUMMYFUNCTION("""COMPUTED_VALUE"""),"Bodyline (Private) Limited")</f>
        <v>Bodyline (Private) Limited</v>
      </c>
      <c r="H357" s="43">
        <f ca="1">IFERROR(__xludf.DUMMYFUNCTION("""COMPUTED_VALUE"""),452850728949)</f>
        <v>452850728949</v>
      </c>
      <c r="I357" s="45">
        <f ca="1">IFERROR(__xludf.DUMMYFUNCTION("""COMPUTED_VALUE"""),19877788)</f>
        <v>19877788</v>
      </c>
      <c r="J357" s="45" t="str">
        <f ca="1">IFERROR(__xludf.DUMMYFUNCTION("""COMPUTED_VALUE"""),"LW9DTZS")</f>
        <v>LW9DTZS</v>
      </c>
      <c r="K357" s="45" t="str">
        <f ca="1">IFERROR(__xludf.DUMMYFUNCTION("""COMPUTED_VALUE"""),"LW9DTZS-071140")</f>
        <v>LW9DTZS-071140</v>
      </c>
      <c r="L357" s="45">
        <f ca="1">IFERROR(__xludf.DUMMYFUNCTION("""COMPUTED_VALUE"""),3)</f>
        <v>3</v>
      </c>
      <c r="M357" s="45">
        <f ca="1">IFERROR(__xludf.DUMMYFUNCTION("""COMPUTED_VALUE"""),110)</f>
        <v>110</v>
      </c>
      <c r="N357" s="45">
        <f ca="1">IFERROR(__xludf.DUMMYFUNCTION("""COMPUTED_VALUE"""),13.548)</f>
        <v>13.548</v>
      </c>
      <c r="O357" s="45">
        <f ca="1">IFERROR(__xludf.DUMMYFUNCTION("""COMPUTED_VALUE"""),0.132)</f>
        <v>0.13200000000000001</v>
      </c>
      <c r="P357" s="45" t="str">
        <f ca="1">IFERROR(__xludf.DUMMYFUNCTION("""COMPUTED_VALUE"""),"Colombo, LK")</f>
        <v>Colombo, LK</v>
      </c>
      <c r="Q357" s="45" t="str">
        <f ca="1">IFERROR(__xludf.DUMMYFUNCTION("""COMPUTED_VALUE"""),"New York, NY, US")</f>
        <v>New York, NY, US</v>
      </c>
      <c r="R357" s="44">
        <f ca="1">IFERROR(__xludf.DUMMYFUNCTION("""COMPUTED_VALUE"""),45824)</f>
        <v>45824</v>
      </c>
      <c r="S357" s="44">
        <f ca="1">IFERROR(__xludf.DUMMYFUNCTION("""COMPUTED_VALUE"""),45883)</f>
        <v>45883</v>
      </c>
      <c r="T357" s="45" t="str">
        <f ca="1">IFERROR(__xludf.DUMMYFUNCTION("""COMPUTED_VALUE"""),"Milton, ON, CA")</f>
        <v>Milton, ON, CA</v>
      </c>
      <c r="U357" s="45"/>
      <c r="V357" s="45"/>
      <c r="W357" s="45"/>
      <c r="X357" s="45"/>
      <c r="Y357" s="46">
        <f ca="1">IFERROR(__xludf.DUMMYFUNCTION("""COMPUTED_VALUE"""),45832)</f>
        <v>45832</v>
      </c>
      <c r="Z357" s="46">
        <f ca="1">IFERROR(__xludf.DUMMYFUNCTION("""COMPUTED_VALUE"""),45861)</f>
        <v>45861</v>
      </c>
      <c r="AA357" s="46">
        <f ca="1">IFERROR(__xludf.DUMMYFUNCTION("""COMPUTED_VALUE"""),45874)</f>
        <v>45874</v>
      </c>
      <c r="AB357" s="45" t="str">
        <f ca="1">IFERROR(__xludf.DUMMYFUNCTION("""COMPUTED_VALUE"""),"7211 Fifth Line")</f>
        <v>7211 Fifth Line</v>
      </c>
      <c r="AC357" s="45"/>
      <c r="AD357" s="45" t="str">
        <f ca="1">IFERROR(__xludf.DUMMYFUNCTION("""COMPUTED_VALUE"""),"OCEAN")</f>
        <v>OCEAN</v>
      </c>
      <c r="AE357" s="45" t="str">
        <f ca="1">IFERROR(__xludf.DUMMYFUNCTION("""COMPUTED_VALUE"""),"N")</f>
        <v>N</v>
      </c>
      <c r="AF357" s="45"/>
      <c r="AG357" s="49" t="str">
        <f ca="1">IFERROR(__xludf.DUMMYFUNCTION("IFNA(vlookup(H357,IMPORTRANGE(""1vUGwO1n0QQGx9kKbO0_M5gmuhXZ6-LaxQxgrmJnzgP0"",""'TP# look up'!A:C""),3,0),"""")"),"")</f>
        <v/>
      </c>
      <c r="AH357" s="49" t="str">
        <f t="shared" ca="1" si="5"/>
        <v>LW</v>
      </c>
    </row>
    <row r="358" spans="1:34" ht="12.75" hidden="1">
      <c r="A358" s="45" t="str">
        <f ca="1">IFERROR(__xludf.DUMMYFUNCTION("""COMPUTED_VALUE"""),"Colombo")</f>
        <v>Colombo</v>
      </c>
      <c r="B358" s="45"/>
      <c r="C358" s="45">
        <f ca="1">IFERROR(__xludf.DUMMYFUNCTION("""COMPUTED_VALUE"""),3254506)</f>
        <v>3254506</v>
      </c>
      <c r="D358" s="45"/>
      <c r="E358" s="45" t="str">
        <f ca="1">IFERROR(__xludf.DUMMYFUNCTION("""COMPUTED_VALUE"""),"CFS")</f>
        <v>CFS</v>
      </c>
      <c r="F358" s="45" t="str">
        <f ca="1">IFERROR(__xludf.DUMMYFUNCTION("""COMPUTED_VALUE"""),"Bodyline Trading (Private) Limited")</f>
        <v>Bodyline Trading (Private) Limited</v>
      </c>
      <c r="G358" s="45" t="str">
        <f ca="1">IFERROR(__xludf.DUMMYFUNCTION("""COMPUTED_VALUE"""),"Bodyline (Private) Limited")</f>
        <v>Bodyline (Private) Limited</v>
      </c>
      <c r="H358" s="43">
        <f ca="1">IFERROR(__xludf.DUMMYFUNCTION("""COMPUTED_VALUE"""),452851676008)</f>
        <v>452851676008</v>
      </c>
      <c r="I358" s="45">
        <f ca="1">IFERROR(__xludf.DUMMYFUNCTION("""COMPUTED_VALUE"""),19877758)</f>
        <v>19877758</v>
      </c>
      <c r="J358" s="45" t="str">
        <f ca="1">IFERROR(__xludf.DUMMYFUNCTION("""COMPUTED_VALUE"""),"LW9DC4S")</f>
        <v>LW9DC4S</v>
      </c>
      <c r="K358" s="45" t="str">
        <f ca="1">IFERROR(__xludf.DUMMYFUNCTION("""COMPUTED_VALUE"""),"LW9DC4S-068971")</f>
        <v>LW9DC4S-068971</v>
      </c>
      <c r="L358" s="45">
        <f ca="1">IFERROR(__xludf.DUMMYFUNCTION("""COMPUTED_VALUE"""),4)</f>
        <v>4</v>
      </c>
      <c r="M358" s="45">
        <f ca="1">IFERROR(__xludf.DUMMYFUNCTION("""COMPUTED_VALUE"""),206)</f>
        <v>206</v>
      </c>
      <c r="N358" s="45">
        <f ca="1">IFERROR(__xludf.DUMMYFUNCTION("""COMPUTED_VALUE"""),19.691)</f>
        <v>19.690999999999999</v>
      </c>
      <c r="O358" s="45">
        <f ca="1">IFERROR(__xludf.DUMMYFUNCTION("""COMPUTED_VALUE"""),0.176)</f>
        <v>0.17599999999999999</v>
      </c>
      <c r="P358" s="45" t="str">
        <f ca="1">IFERROR(__xludf.DUMMYFUNCTION("""COMPUTED_VALUE"""),"Colombo, LK")</f>
        <v>Colombo, LK</v>
      </c>
      <c r="Q358" s="45" t="str">
        <f ca="1">IFERROR(__xludf.DUMMYFUNCTION("""COMPUTED_VALUE"""),"New York, NY, US")</f>
        <v>New York, NY, US</v>
      </c>
      <c r="R358" s="44">
        <f ca="1">IFERROR(__xludf.DUMMYFUNCTION("""COMPUTED_VALUE"""),45824)</f>
        <v>45824</v>
      </c>
      <c r="S358" s="44">
        <f ca="1">IFERROR(__xludf.DUMMYFUNCTION("""COMPUTED_VALUE"""),45883)</f>
        <v>45883</v>
      </c>
      <c r="T358" s="45" t="str">
        <f ca="1">IFERROR(__xludf.DUMMYFUNCTION("""COMPUTED_VALUE"""),"Mississauga, ON, CA")</f>
        <v>Mississauga, ON, CA</v>
      </c>
      <c r="U358" s="45"/>
      <c r="V358" s="45"/>
      <c r="W358" s="45"/>
      <c r="X358" s="45"/>
      <c r="Y358" s="46">
        <f ca="1">IFERROR(__xludf.DUMMYFUNCTION("""COMPUTED_VALUE"""),45832)</f>
        <v>45832</v>
      </c>
      <c r="Z358" s="46">
        <f ca="1">IFERROR(__xludf.DUMMYFUNCTION("""COMPUTED_VALUE"""),45861)</f>
        <v>45861</v>
      </c>
      <c r="AA358" s="46">
        <f ca="1">IFERROR(__xludf.DUMMYFUNCTION("""COMPUTED_VALUE"""),45874)</f>
        <v>45874</v>
      </c>
      <c r="AB358" s="45" t="str">
        <f ca="1">IFERROR(__xludf.DUMMYFUNCTION("""COMPUTED_VALUE"""),"3500 Argentia Road")</f>
        <v>3500 Argentia Road</v>
      </c>
      <c r="AC358" s="45"/>
      <c r="AD358" s="45" t="str">
        <f ca="1">IFERROR(__xludf.DUMMYFUNCTION("""COMPUTED_VALUE"""),"OCEAN")</f>
        <v>OCEAN</v>
      </c>
      <c r="AE358" s="45" t="str">
        <f ca="1">IFERROR(__xludf.DUMMYFUNCTION("""COMPUTED_VALUE"""),"N")</f>
        <v>N</v>
      </c>
      <c r="AF358" s="45"/>
      <c r="AG358" s="49" t="str">
        <f ca="1">IFERROR(__xludf.DUMMYFUNCTION("IFNA(vlookup(H358,IMPORTRANGE(""1vUGwO1n0QQGx9kKbO0_M5gmuhXZ6-LaxQxgrmJnzgP0"",""'TP# look up'!A:C""),3,0),"""")"),"")</f>
        <v/>
      </c>
      <c r="AH358" s="49" t="str">
        <f t="shared" ca="1" si="5"/>
        <v>LW</v>
      </c>
    </row>
    <row r="359" spans="1:34" ht="12.75" hidden="1">
      <c r="A359" s="45" t="str">
        <f ca="1">IFERROR(__xludf.DUMMYFUNCTION("""COMPUTED_VALUE"""),"Colombo")</f>
        <v>Colombo</v>
      </c>
      <c r="B359" s="45"/>
      <c r="C359" s="45">
        <f ca="1">IFERROR(__xludf.DUMMYFUNCTION("""COMPUTED_VALUE"""),3254506)</f>
        <v>3254506</v>
      </c>
      <c r="D359" s="45"/>
      <c r="E359" s="45" t="str">
        <f ca="1">IFERROR(__xludf.DUMMYFUNCTION("""COMPUTED_VALUE"""),"CFS")</f>
        <v>CFS</v>
      </c>
      <c r="F359" s="45" t="str">
        <f ca="1">IFERROR(__xludf.DUMMYFUNCTION("""COMPUTED_VALUE"""),"Inqube Global (PVT) Ltd")</f>
        <v>Inqube Global (PVT) Ltd</v>
      </c>
      <c r="G359" s="45" t="str">
        <f ca="1">IFERROR(__xludf.DUMMYFUNCTION("""COMPUTED_VALUE"""),"BRANDIX APPAREL SOLUTION LTD - GIRITALE")</f>
        <v>BRANDIX APPAREL SOLUTION LTD - GIRITALE</v>
      </c>
      <c r="H359" s="43">
        <f ca="1">IFERROR(__xludf.DUMMYFUNCTION("""COMPUTED_VALUE"""),452665810522)</f>
        <v>452665810522</v>
      </c>
      <c r="I359" s="45">
        <f ca="1">IFERROR(__xludf.DUMMYFUNCTION("""COMPUTED_VALUE"""),19856043)</f>
        <v>19856043</v>
      </c>
      <c r="J359" s="45" t="str">
        <f ca="1">IFERROR(__xludf.DUMMYFUNCTION("""COMPUTED_VALUE"""),"LM5AQMT")</f>
        <v>LM5AQMT</v>
      </c>
      <c r="K359" s="45" t="str">
        <f ca="1">IFERROR(__xludf.DUMMYFUNCTION("""COMPUTED_VALUE"""),"LM5AQMT-033123")</f>
        <v>LM5AQMT-033123</v>
      </c>
      <c r="L359" s="45">
        <f ca="1">IFERROR(__xludf.DUMMYFUNCTION("""COMPUTED_VALUE"""),4)</f>
        <v>4</v>
      </c>
      <c r="M359" s="45">
        <f ca="1">IFERROR(__xludf.DUMMYFUNCTION("""COMPUTED_VALUE"""),82)</f>
        <v>82</v>
      </c>
      <c r="N359" s="45">
        <f ca="1">IFERROR(__xludf.DUMMYFUNCTION("""COMPUTED_VALUE"""),42.82)</f>
        <v>42.82</v>
      </c>
      <c r="O359" s="45">
        <f ca="1">IFERROR(__xludf.DUMMYFUNCTION("""COMPUTED_VALUE"""),0.21)</f>
        <v>0.21</v>
      </c>
      <c r="P359" s="45" t="str">
        <f ca="1">IFERROR(__xludf.DUMMYFUNCTION("""COMPUTED_VALUE"""),"Colombo, LK")</f>
        <v>Colombo, LK</v>
      </c>
      <c r="Q359" s="45" t="str">
        <f ca="1">IFERROR(__xludf.DUMMYFUNCTION("""COMPUTED_VALUE"""),"New York, NY, US")</f>
        <v>New York, NY, US</v>
      </c>
      <c r="R359" s="44">
        <f ca="1">IFERROR(__xludf.DUMMYFUNCTION("""COMPUTED_VALUE"""),45824)</f>
        <v>45824</v>
      </c>
      <c r="S359" s="44">
        <f ca="1">IFERROR(__xludf.DUMMYFUNCTION("""COMPUTED_VALUE"""),45883)</f>
        <v>45883</v>
      </c>
      <c r="T359" s="45" t="str">
        <f ca="1">IFERROR(__xludf.DUMMYFUNCTION("""COMPUTED_VALUE"""),"Mississauga, ON, CA")</f>
        <v>Mississauga, ON, CA</v>
      </c>
      <c r="U359" s="45"/>
      <c r="V359" s="45"/>
      <c r="W359" s="45"/>
      <c r="X359" s="45"/>
      <c r="Y359" s="46">
        <f ca="1">IFERROR(__xludf.DUMMYFUNCTION("""COMPUTED_VALUE"""),45832)</f>
        <v>45832</v>
      </c>
      <c r="Z359" s="46">
        <f ca="1">IFERROR(__xludf.DUMMYFUNCTION("""COMPUTED_VALUE"""),45861)</f>
        <v>45861</v>
      </c>
      <c r="AA359" s="46">
        <f ca="1">IFERROR(__xludf.DUMMYFUNCTION("""COMPUTED_VALUE"""),45874)</f>
        <v>45874</v>
      </c>
      <c r="AB359" s="45" t="str">
        <f ca="1">IFERROR(__xludf.DUMMYFUNCTION("""COMPUTED_VALUE"""),"3500 Argentia Road")</f>
        <v>3500 Argentia Road</v>
      </c>
      <c r="AC359" s="45"/>
      <c r="AD359" s="45" t="str">
        <f ca="1">IFERROR(__xludf.DUMMYFUNCTION("""COMPUTED_VALUE"""),"OCEAN")</f>
        <v>OCEAN</v>
      </c>
      <c r="AE359" s="45" t="str">
        <f ca="1">IFERROR(__xludf.DUMMYFUNCTION("""COMPUTED_VALUE"""),"N")</f>
        <v>N</v>
      </c>
      <c r="AF359" s="45"/>
      <c r="AG359" s="49" t="str">
        <f ca="1">IFERROR(__xludf.DUMMYFUNCTION("IFNA(vlookup(H359,IMPORTRANGE(""1vUGwO1n0QQGx9kKbO0_M5gmuhXZ6-LaxQxgrmJnzgP0"",""'TP# look up'!A:C""),3,0),"""")"),"")</f>
        <v/>
      </c>
      <c r="AH359" s="49" t="str">
        <f t="shared" ca="1" si="5"/>
        <v>LM</v>
      </c>
    </row>
    <row r="360" spans="1:34" ht="12.75" hidden="1">
      <c r="A360" s="45" t="str">
        <f ca="1">IFERROR(__xludf.DUMMYFUNCTION("""COMPUTED_VALUE"""),"Colombo")</f>
        <v>Colombo</v>
      </c>
      <c r="B360" s="45"/>
      <c r="C360" s="45">
        <f ca="1">IFERROR(__xludf.DUMMYFUNCTION("""COMPUTED_VALUE"""),3254506)</f>
        <v>3254506</v>
      </c>
      <c r="D360" s="45"/>
      <c r="E360" s="45" t="str">
        <f ca="1">IFERROR(__xludf.DUMMYFUNCTION("""COMPUTED_VALUE"""),"CFS")</f>
        <v>CFS</v>
      </c>
      <c r="F360" s="45" t="str">
        <f ca="1">IFERROR(__xludf.DUMMYFUNCTION("""COMPUTED_VALUE"""),"Inqube Global (PVT) Ltd")</f>
        <v>Inqube Global (PVT) Ltd</v>
      </c>
      <c r="G360" s="45" t="str">
        <f ca="1">IFERROR(__xludf.DUMMYFUNCTION("""COMPUTED_VALUE"""),"BRANDIX APPAREL SOLUTION LTD - GIRITALE")</f>
        <v>BRANDIX APPAREL SOLUTION LTD - GIRITALE</v>
      </c>
      <c r="H360" s="43">
        <f ca="1">IFERROR(__xludf.DUMMYFUNCTION("""COMPUTED_VALUE"""),452666085643)</f>
        <v>452666085643</v>
      </c>
      <c r="I360" s="45">
        <f ca="1">IFERROR(__xludf.DUMMYFUNCTION("""COMPUTED_VALUE"""),19856610)</f>
        <v>19856610</v>
      </c>
      <c r="J360" s="45" t="str">
        <f ca="1">IFERROR(__xludf.DUMMYFUNCTION("""COMPUTED_VALUE"""),"LM7BSOS")</f>
        <v>LM7BSOS</v>
      </c>
      <c r="K360" s="45" t="str">
        <f ca="1">IFERROR(__xludf.DUMMYFUNCTION("""COMPUTED_VALUE"""),"LM7BSOS-045739")</f>
        <v>LM7BSOS-045739</v>
      </c>
      <c r="L360" s="45">
        <f ca="1">IFERROR(__xludf.DUMMYFUNCTION("""COMPUTED_VALUE"""),2)</f>
        <v>2</v>
      </c>
      <c r="M360" s="45">
        <f ca="1">IFERROR(__xludf.DUMMYFUNCTION("""COMPUTED_VALUE"""),46)</f>
        <v>46</v>
      </c>
      <c r="N360" s="45">
        <f ca="1">IFERROR(__xludf.DUMMYFUNCTION("""COMPUTED_VALUE"""),17.85)</f>
        <v>17.850000000000001</v>
      </c>
      <c r="O360" s="45">
        <f ca="1">IFERROR(__xludf.DUMMYFUNCTION("""COMPUTED_VALUE"""),0.125)</f>
        <v>0.125</v>
      </c>
      <c r="P360" s="45" t="str">
        <f ca="1">IFERROR(__xludf.DUMMYFUNCTION("""COMPUTED_VALUE"""),"Colombo, LK")</f>
        <v>Colombo, LK</v>
      </c>
      <c r="Q360" s="45" t="str">
        <f ca="1">IFERROR(__xludf.DUMMYFUNCTION("""COMPUTED_VALUE"""),"New York, NY, US")</f>
        <v>New York, NY, US</v>
      </c>
      <c r="R360" s="44">
        <f ca="1">IFERROR(__xludf.DUMMYFUNCTION("""COMPUTED_VALUE"""),45824)</f>
        <v>45824</v>
      </c>
      <c r="S360" s="44">
        <f ca="1">IFERROR(__xludf.DUMMYFUNCTION("""COMPUTED_VALUE"""),45883)</f>
        <v>45883</v>
      </c>
      <c r="T360" s="45" t="str">
        <f ca="1">IFERROR(__xludf.DUMMYFUNCTION("""COMPUTED_VALUE"""),"Mississauga, ON, CA")</f>
        <v>Mississauga, ON, CA</v>
      </c>
      <c r="U360" s="45"/>
      <c r="V360" s="45"/>
      <c r="W360" s="45"/>
      <c r="X360" s="45"/>
      <c r="Y360" s="46">
        <f ca="1">IFERROR(__xludf.DUMMYFUNCTION("""COMPUTED_VALUE"""),45832)</f>
        <v>45832</v>
      </c>
      <c r="Z360" s="46">
        <f ca="1">IFERROR(__xludf.DUMMYFUNCTION("""COMPUTED_VALUE"""),45861)</f>
        <v>45861</v>
      </c>
      <c r="AA360" s="46">
        <f ca="1">IFERROR(__xludf.DUMMYFUNCTION("""COMPUTED_VALUE"""),45874)</f>
        <v>45874</v>
      </c>
      <c r="AB360" s="45" t="str">
        <f ca="1">IFERROR(__xludf.DUMMYFUNCTION("""COMPUTED_VALUE"""),"3500 Argentia Road")</f>
        <v>3500 Argentia Road</v>
      </c>
      <c r="AC360" s="45"/>
      <c r="AD360" s="45" t="str">
        <f ca="1">IFERROR(__xludf.DUMMYFUNCTION("""COMPUTED_VALUE"""),"OCEAN")</f>
        <v>OCEAN</v>
      </c>
      <c r="AE360" s="45" t="str">
        <f ca="1">IFERROR(__xludf.DUMMYFUNCTION("""COMPUTED_VALUE"""),"N")</f>
        <v>N</v>
      </c>
      <c r="AF360" s="45"/>
      <c r="AG360" s="49" t="str">
        <f ca="1">IFERROR(__xludf.DUMMYFUNCTION("IFNA(vlookup(H360,IMPORTRANGE(""1vUGwO1n0QQGx9kKbO0_M5gmuhXZ6-LaxQxgrmJnzgP0"",""'TP# look up'!A:C""),3,0),"""")"),"")</f>
        <v/>
      </c>
      <c r="AH360" s="49" t="str">
        <f t="shared" ca="1" si="5"/>
        <v>LM</v>
      </c>
    </row>
    <row r="361" spans="1:34" ht="12.75" hidden="1">
      <c r="A361" s="45" t="str">
        <f ca="1">IFERROR(__xludf.DUMMYFUNCTION("""COMPUTED_VALUE"""),"Colombo")</f>
        <v>Colombo</v>
      </c>
      <c r="B361" s="45"/>
      <c r="C361" s="45">
        <f ca="1">IFERROR(__xludf.DUMMYFUNCTION("""COMPUTED_VALUE"""),3254506)</f>
        <v>3254506</v>
      </c>
      <c r="D361" s="45"/>
      <c r="E361" s="45" t="str">
        <f ca="1">IFERROR(__xludf.DUMMYFUNCTION("""COMPUTED_VALUE"""),"CFS")</f>
        <v>CFS</v>
      </c>
      <c r="F361" s="45" t="str">
        <f ca="1">IFERROR(__xludf.DUMMYFUNCTION("""COMPUTED_VALUE"""),"MAS AMITY PTE LTD")</f>
        <v>MAS AMITY PTE LTD</v>
      </c>
      <c r="G361" s="45" t="str">
        <f ca="1">IFERROR(__xludf.DUMMYFUNCTION("""COMPUTED_VALUE"""),"MAS Active (Pvt) Ltd – Shadowline")</f>
        <v>MAS Active (Pvt) Ltd – Shadowline</v>
      </c>
      <c r="H361" s="43">
        <f ca="1">IFERROR(__xludf.DUMMYFUNCTION("""COMPUTED_VALUE"""),452924604893)</f>
        <v>452924604893</v>
      </c>
      <c r="I361" s="45">
        <f ca="1">IFERROR(__xludf.DUMMYFUNCTION("""COMPUTED_VALUE"""),19899969)</f>
        <v>19899969</v>
      </c>
      <c r="J361" s="45" t="str">
        <f ca="1">IFERROR(__xludf.DUMMYFUNCTION("""COMPUTED_VALUE"""),"LW5FLOS")</f>
        <v>LW5FLOS</v>
      </c>
      <c r="K361" s="45" t="str">
        <f ca="1">IFERROR(__xludf.DUMMYFUNCTION("""COMPUTED_VALUE"""),"LW5FLOS-041179")</f>
        <v>LW5FLOS-041179</v>
      </c>
      <c r="L361" s="45">
        <f ca="1">IFERROR(__xludf.DUMMYFUNCTION("""COMPUTED_VALUE"""),2)</f>
        <v>2</v>
      </c>
      <c r="M361" s="45">
        <f ca="1">IFERROR(__xludf.DUMMYFUNCTION("""COMPUTED_VALUE"""),43)</f>
        <v>43</v>
      </c>
      <c r="N361" s="45">
        <f ca="1">IFERROR(__xludf.DUMMYFUNCTION("""COMPUTED_VALUE"""),10.402)</f>
        <v>10.401999999999999</v>
      </c>
      <c r="O361" s="45">
        <f ca="1">IFERROR(__xludf.DUMMYFUNCTION("""COMPUTED_VALUE"""),0.118)</f>
        <v>0.11799999999999999</v>
      </c>
      <c r="P361" s="45" t="str">
        <f ca="1">IFERROR(__xludf.DUMMYFUNCTION("""COMPUTED_VALUE"""),"Colombo, LK")</f>
        <v>Colombo, LK</v>
      </c>
      <c r="Q361" s="45" t="str">
        <f ca="1">IFERROR(__xludf.DUMMYFUNCTION("""COMPUTED_VALUE"""),"New York, NY, US")</f>
        <v>New York, NY, US</v>
      </c>
      <c r="R361" s="44">
        <f ca="1">IFERROR(__xludf.DUMMYFUNCTION("""COMPUTED_VALUE"""),45824)</f>
        <v>45824</v>
      </c>
      <c r="S361" s="44">
        <f ca="1">IFERROR(__xludf.DUMMYFUNCTION("""COMPUTED_VALUE"""),45883)</f>
        <v>45883</v>
      </c>
      <c r="T361" s="45" t="str">
        <f ca="1">IFERROR(__xludf.DUMMYFUNCTION("""COMPUTED_VALUE"""),"Milton, ON, CA")</f>
        <v>Milton, ON, CA</v>
      </c>
      <c r="U361" s="45"/>
      <c r="V361" s="45"/>
      <c r="W361" s="45"/>
      <c r="X361" s="45"/>
      <c r="Y361" s="46">
        <f ca="1">IFERROR(__xludf.DUMMYFUNCTION("""COMPUTED_VALUE"""),45832)</f>
        <v>45832</v>
      </c>
      <c r="Z361" s="46">
        <f ca="1">IFERROR(__xludf.DUMMYFUNCTION("""COMPUTED_VALUE"""),45861)</f>
        <v>45861</v>
      </c>
      <c r="AA361" s="46">
        <f ca="1">IFERROR(__xludf.DUMMYFUNCTION("""COMPUTED_VALUE"""),45874)</f>
        <v>45874</v>
      </c>
      <c r="AB361" s="45" t="str">
        <f ca="1">IFERROR(__xludf.DUMMYFUNCTION("""COMPUTED_VALUE"""),"7211 Fifth Line")</f>
        <v>7211 Fifth Line</v>
      </c>
      <c r="AC361" s="45"/>
      <c r="AD361" s="45" t="str">
        <f ca="1">IFERROR(__xludf.DUMMYFUNCTION("""COMPUTED_VALUE"""),"OCEAN")</f>
        <v>OCEAN</v>
      </c>
      <c r="AE361" s="45" t="str">
        <f ca="1">IFERROR(__xludf.DUMMYFUNCTION("""COMPUTED_VALUE"""),"N")</f>
        <v>N</v>
      </c>
      <c r="AF361" s="45"/>
      <c r="AG361" s="49" t="str">
        <f ca="1">IFERROR(__xludf.DUMMYFUNCTION("IFNA(vlookup(H361,IMPORTRANGE(""1vUGwO1n0QQGx9kKbO0_M5gmuhXZ6-LaxQxgrmJnzgP0"",""'TP# look up'!A:C""),3,0),"""")"),"")</f>
        <v/>
      </c>
      <c r="AH361" s="49" t="str">
        <f t="shared" ca="1" si="5"/>
        <v>LW</v>
      </c>
    </row>
    <row r="362" spans="1:34" ht="12.75" hidden="1">
      <c r="A362" s="45" t="str">
        <f ca="1">IFERROR(__xludf.DUMMYFUNCTION("""COMPUTED_VALUE"""),"Colombo")</f>
        <v>Colombo</v>
      </c>
      <c r="B362" s="45"/>
      <c r="C362" s="45">
        <f ca="1">IFERROR(__xludf.DUMMYFUNCTION("""COMPUTED_VALUE"""),3254506)</f>
        <v>3254506</v>
      </c>
      <c r="D362" s="45"/>
      <c r="E362" s="45" t="str">
        <f ca="1">IFERROR(__xludf.DUMMYFUNCTION("""COMPUTED_VALUE"""),"CFS")</f>
        <v>CFS</v>
      </c>
      <c r="F362" s="45" t="str">
        <f ca="1">IFERROR(__xludf.DUMMYFUNCTION("""COMPUTED_VALUE"""),"MAS AMITY PTE LTD")</f>
        <v>MAS AMITY PTE LTD</v>
      </c>
      <c r="G362" s="45" t="str">
        <f ca="1">IFERROR(__xludf.DUMMYFUNCTION("""COMPUTED_VALUE"""),"MAS Active (Pvt) Ltd – Sleekline")</f>
        <v>MAS Active (Pvt) Ltd – Sleekline</v>
      </c>
      <c r="H362" s="43">
        <f ca="1">IFERROR(__xludf.DUMMYFUNCTION("""COMPUTED_VALUE"""),452834851376)</f>
        <v>452834851376</v>
      </c>
      <c r="I362" s="45">
        <f ca="1">IFERROR(__xludf.DUMMYFUNCTION("""COMPUTED_VALUE"""),19899418)</f>
        <v>19899418</v>
      </c>
      <c r="J362" s="45" t="str">
        <f ca="1">IFERROR(__xludf.DUMMYFUNCTION("""COMPUTED_VALUE"""),"LM9AMTS")</f>
        <v>LM9AMTS</v>
      </c>
      <c r="K362" s="45" t="str">
        <f ca="1">IFERROR(__xludf.DUMMYFUNCTION("""COMPUTED_VALUE"""),"LM9AMTS-072079")</f>
        <v>LM9AMTS-072079</v>
      </c>
      <c r="L362" s="45">
        <f ca="1">IFERROR(__xludf.DUMMYFUNCTION("""COMPUTED_VALUE"""),7)</f>
        <v>7</v>
      </c>
      <c r="M362" s="45">
        <f ca="1">IFERROR(__xludf.DUMMYFUNCTION("""COMPUTED_VALUE"""),347)</f>
        <v>347</v>
      </c>
      <c r="N362" s="45">
        <f ca="1">IFERROR(__xludf.DUMMYFUNCTION("""COMPUTED_VALUE"""),103.72)</f>
        <v>103.72</v>
      </c>
      <c r="O362" s="45">
        <f ca="1">IFERROR(__xludf.DUMMYFUNCTION("""COMPUTED_VALUE"""),0.555)</f>
        <v>0.55500000000000005</v>
      </c>
      <c r="P362" s="45" t="str">
        <f ca="1">IFERROR(__xludf.DUMMYFUNCTION("""COMPUTED_VALUE"""),"Colombo, LK")</f>
        <v>Colombo, LK</v>
      </c>
      <c r="Q362" s="45" t="str">
        <f ca="1">IFERROR(__xludf.DUMMYFUNCTION("""COMPUTED_VALUE"""),"New York, NY, US")</f>
        <v>New York, NY, US</v>
      </c>
      <c r="R362" s="44">
        <f ca="1">IFERROR(__xludf.DUMMYFUNCTION("""COMPUTED_VALUE"""),45824)</f>
        <v>45824</v>
      </c>
      <c r="S362" s="44">
        <f ca="1">IFERROR(__xludf.DUMMYFUNCTION("""COMPUTED_VALUE"""),45883)</f>
        <v>45883</v>
      </c>
      <c r="T362" s="45" t="str">
        <f ca="1">IFERROR(__xludf.DUMMYFUNCTION("""COMPUTED_VALUE"""),"Milton, ON, CA")</f>
        <v>Milton, ON, CA</v>
      </c>
      <c r="U362" s="45"/>
      <c r="V362" s="45"/>
      <c r="W362" s="45"/>
      <c r="X362" s="45"/>
      <c r="Y362" s="46">
        <f ca="1">IFERROR(__xludf.DUMMYFUNCTION("""COMPUTED_VALUE"""),45832)</f>
        <v>45832</v>
      </c>
      <c r="Z362" s="46">
        <f ca="1">IFERROR(__xludf.DUMMYFUNCTION("""COMPUTED_VALUE"""),45861)</f>
        <v>45861</v>
      </c>
      <c r="AA362" s="46">
        <f ca="1">IFERROR(__xludf.DUMMYFUNCTION("""COMPUTED_VALUE"""),45874)</f>
        <v>45874</v>
      </c>
      <c r="AB362" s="45" t="str">
        <f ca="1">IFERROR(__xludf.DUMMYFUNCTION("""COMPUTED_VALUE"""),"7211 Fifth Line")</f>
        <v>7211 Fifth Line</v>
      </c>
      <c r="AC362" s="45"/>
      <c r="AD362" s="45" t="str">
        <f ca="1">IFERROR(__xludf.DUMMYFUNCTION("""COMPUTED_VALUE"""),"OCEAN")</f>
        <v>OCEAN</v>
      </c>
      <c r="AE362" s="45" t="str">
        <f ca="1">IFERROR(__xludf.DUMMYFUNCTION("""COMPUTED_VALUE"""),"N")</f>
        <v>N</v>
      </c>
      <c r="AF362" s="45"/>
      <c r="AG362" s="49" t="str">
        <f ca="1">IFERROR(__xludf.DUMMYFUNCTION("IFNA(vlookup(H362,IMPORTRANGE(""1vUGwO1n0QQGx9kKbO0_M5gmuhXZ6-LaxQxgrmJnzgP0"",""'TP# look up'!A:C""),3,0),"""")"),"")</f>
        <v/>
      </c>
      <c r="AH362" s="49" t="str">
        <f t="shared" ca="1" si="5"/>
        <v>LM</v>
      </c>
    </row>
    <row r="363" spans="1:34" ht="12.75" hidden="1">
      <c r="A363" s="45" t="str">
        <f ca="1">IFERROR(__xludf.DUMMYFUNCTION("""COMPUTED_VALUE"""),"Colombo")</f>
        <v>Colombo</v>
      </c>
      <c r="B363" s="45"/>
      <c r="C363" s="45">
        <f ca="1">IFERROR(__xludf.DUMMYFUNCTION("""COMPUTED_VALUE"""),3254506)</f>
        <v>3254506</v>
      </c>
      <c r="D363" s="45"/>
      <c r="E363" s="45" t="str">
        <f ca="1">IFERROR(__xludf.DUMMYFUNCTION("""COMPUTED_VALUE"""),"CFS")</f>
        <v>CFS</v>
      </c>
      <c r="F363" s="45" t="str">
        <f ca="1">IFERROR(__xludf.DUMMYFUNCTION("""COMPUTED_VALUE"""),"MAS AMITY PTE LTD")</f>
        <v>MAS AMITY PTE LTD</v>
      </c>
      <c r="G363" s="45" t="str">
        <f ca="1">IFERROR(__xludf.DUMMYFUNCTION("""COMPUTED_VALUE"""),"MAS Active (Pvt) Ltd – Sleekline")</f>
        <v>MAS Active (Pvt) Ltd – Sleekline</v>
      </c>
      <c r="H363" s="43">
        <f ca="1">IFERROR(__xludf.DUMMYFUNCTION("""COMPUTED_VALUE"""),452835956203)</f>
        <v>452835956203</v>
      </c>
      <c r="I363" s="45">
        <f ca="1">IFERROR(__xludf.DUMMYFUNCTION("""COMPUTED_VALUE"""),19899456)</f>
        <v>19899456</v>
      </c>
      <c r="J363" s="45" t="str">
        <f ca="1">IFERROR(__xludf.DUMMYFUNCTION("""COMPUTED_VALUE"""),"LM9AMVS")</f>
        <v>LM9AMVS</v>
      </c>
      <c r="K363" s="45" t="str">
        <f ca="1">IFERROR(__xludf.DUMMYFUNCTION("""COMPUTED_VALUE"""),"LM9AMVS-072079")</f>
        <v>LM9AMVS-072079</v>
      </c>
      <c r="L363" s="45">
        <f ca="1">IFERROR(__xludf.DUMMYFUNCTION("""COMPUTED_VALUE"""),3)</f>
        <v>3</v>
      </c>
      <c r="M363" s="45">
        <f ca="1">IFERROR(__xludf.DUMMYFUNCTION("""COMPUTED_VALUE"""),108)</f>
        <v>108</v>
      </c>
      <c r="N363" s="45">
        <f ca="1">IFERROR(__xludf.DUMMYFUNCTION("""COMPUTED_VALUE"""),35.78)</f>
        <v>35.78</v>
      </c>
      <c r="O363" s="45">
        <f ca="1">IFERROR(__xludf.DUMMYFUNCTION("""COMPUTED_VALUE"""),0.238)</f>
        <v>0.23799999999999999</v>
      </c>
      <c r="P363" s="45" t="str">
        <f ca="1">IFERROR(__xludf.DUMMYFUNCTION("""COMPUTED_VALUE"""),"Colombo, LK")</f>
        <v>Colombo, LK</v>
      </c>
      <c r="Q363" s="45" t="str">
        <f ca="1">IFERROR(__xludf.DUMMYFUNCTION("""COMPUTED_VALUE"""),"New York, NY, US")</f>
        <v>New York, NY, US</v>
      </c>
      <c r="R363" s="44">
        <f ca="1">IFERROR(__xludf.DUMMYFUNCTION("""COMPUTED_VALUE"""),45824)</f>
        <v>45824</v>
      </c>
      <c r="S363" s="44">
        <f ca="1">IFERROR(__xludf.DUMMYFUNCTION("""COMPUTED_VALUE"""),45883)</f>
        <v>45883</v>
      </c>
      <c r="T363" s="45" t="str">
        <f ca="1">IFERROR(__xludf.DUMMYFUNCTION("""COMPUTED_VALUE"""),"Milton, ON, CA")</f>
        <v>Milton, ON, CA</v>
      </c>
      <c r="U363" s="45"/>
      <c r="V363" s="45"/>
      <c r="W363" s="45"/>
      <c r="X363" s="45"/>
      <c r="Y363" s="46">
        <f ca="1">IFERROR(__xludf.DUMMYFUNCTION("""COMPUTED_VALUE"""),45832)</f>
        <v>45832</v>
      </c>
      <c r="Z363" s="46">
        <f ca="1">IFERROR(__xludf.DUMMYFUNCTION("""COMPUTED_VALUE"""),45861)</f>
        <v>45861</v>
      </c>
      <c r="AA363" s="46">
        <f ca="1">IFERROR(__xludf.DUMMYFUNCTION("""COMPUTED_VALUE"""),45874)</f>
        <v>45874</v>
      </c>
      <c r="AB363" s="45" t="str">
        <f ca="1">IFERROR(__xludf.DUMMYFUNCTION("""COMPUTED_VALUE"""),"7211 Fifth Line")</f>
        <v>7211 Fifth Line</v>
      </c>
      <c r="AC363" s="45"/>
      <c r="AD363" s="45" t="str">
        <f ca="1">IFERROR(__xludf.DUMMYFUNCTION("""COMPUTED_VALUE"""),"OCEAN")</f>
        <v>OCEAN</v>
      </c>
      <c r="AE363" s="45" t="str">
        <f ca="1">IFERROR(__xludf.DUMMYFUNCTION("""COMPUTED_VALUE"""),"N")</f>
        <v>N</v>
      </c>
      <c r="AF363" s="45"/>
      <c r="AG363" s="49" t="str">
        <f ca="1">IFERROR(__xludf.DUMMYFUNCTION("IFNA(vlookup(H363,IMPORTRANGE(""1vUGwO1n0QQGx9kKbO0_M5gmuhXZ6-LaxQxgrmJnzgP0"",""'TP# look up'!A:C""),3,0),"""")"),"")</f>
        <v/>
      </c>
      <c r="AH363" s="49" t="str">
        <f t="shared" ca="1" si="5"/>
        <v>LM</v>
      </c>
    </row>
    <row r="364" spans="1:34" ht="12.75" hidden="1">
      <c r="A364" s="45" t="str">
        <f ca="1">IFERROR(__xludf.DUMMYFUNCTION("""COMPUTED_VALUE"""),"Colombo")</f>
        <v>Colombo</v>
      </c>
      <c r="B364" s="45"/>
      <c r="C364" s="45">
        <f ca="1">IFERROR(__xludf.DUMMYFUNCTION("""COMPUTED_VALUE"""),3254506)</f>
        <v>3254506</v>
      </c>
      <c r="D364" s="45"/>
      <c r="E364" s="45" t="str">
        <f ca="1">IFERROR(__xludf.DUMMYFUNCTION("""COMPUTED_VALUE"""),"CFS")</f>
        <v>CFS</v>
      </c>
      <c r="F364" s="45" t="str">
        <f ca="1">IFERROR(__xludf.DUMMYFUNCTION("""COMPUTED_VALUE"""),"MAS AMITY PTE LTD")</f>
        <v>MAS AMITY PTE LTD</v>
      </c>
      <c r="G364" s="45" t="str">
        <f ca="1">IFERROR(__xludf.DUMMYFUNCTION("""COMPUTED_VALUE"""),"MAS Active (Pvt) Ltd – Sleekline")</f>
        <v>MAS Active (Pvt) Ltd – Sleekline</v>
      </c>
      <c r="H364" s="43">
        <f ca="1">IFERROR(__xludf.DUMMYFUNCTION("""COMPUTED_VALUE"""),452835957463)</f>
        <v>452835957463</v>
      </c>
      <c r="I364" s="45">
        <f ca="1">IFERROR(__xludf.DUMMYFUNCTION("""COMPUTED_VALUE"""),19899496)</f>
        <v>19899496</v>
      </c>
      <c r="J364" s="45" t="str">
        <f ca="1">IFERROR(__xludf.DUMMYFUNCTION("""COMPUTED_VALUE"""),"LM9AY5S")</f>
        <v>LM9AY5S</v>
      </c>
      <c r="K364" s="45" t="str">
        <f ca="1">IFERROR(__xludf.DUMMYFUNCTION("""COMPUTED_VALUE"""),"LM9AY5S-031045")</f>
        <v>LM9AY5S-031045</v>
      </c>
      <c r="L364" s="45">
        <f ca="1">IFERROR(__xludf.DUMMYFUNCTION("""COMPUTED_VALUE"""),2)</f>
        <v>2</v>
      </c>
      <c r="M364" s="45">
        <f ca="1">IFERROR(__xludf.DUMMYFUNCTION("""COMPUTED_VALUE"""),141)</f>
        <v>141</v>
      </c>
      <c r="N364" s="45">
        <f ca="1">IFERROR(__xludf.DUMMYFUNCTION("""COMPUTED_VALUE"""),16.43)</f>
        <v>16.43</v>
      </c>
      <c r="O364" s="45">
        <f ca="1">IFERROR(__xludf.DUMMYFUNCTION("""COMPUTED_VALUE"""),0.119)</f>
        <v>0.11899999999999999</v>
      </c>
      <c r="P364" s="45" t="str">
        <f ca="1">IFERROR(__xludf.DUMMYFUNCTION("""COMPUTED_VALUE"""),"Colombo, LK")</f>
        <v>Colombo, LK</v>
      </c>
      <c r="Q364" s="45" t="str">
        <f ca="1">IFERROR(__xludf.DUMMYFUNCTION("""COMPUTED_VALUE"""),"New York, NY, US")</f>
        <v>New York, NY, US</v>
      </c>
      <c r="R364" s="44">
        <f ca="1">IFERROR(__xludf.DUMMYFUNCTION("""COMPUTED_VALUE"""),45824)</f>
        <v>45824</v>
      </c>
      <c r="S364" s="44">
        <f ca="1">IFERROR(__xludf.DUMMYFUNCTION("""COMPUTED_VALUE"""),45888)</f>
        <v>45888</v>
      </c>
      <c r="T364" s="45" t="str">
        <f ca="1">IFERROR(__xludf.DUMMYFUNCTION("""COMPUTED_VALUE"""),"Milton, ON, CA")</f>
        <v>Milton, ON, CA</v>
      </c>
      <c r="U364" s="45"/>
      <c r="V364" s="45"/>
      <c r="W364" s="45"/>
      <c r="X364" s="45"/>
      <c r="Y364" s="46">
        <f ca="1">IFERROR(__xludf.DUMMYFUNCTION("""COMPUTED_VALUE"""),45832)</f>
        <v>45832</v>
      </c>
      <c r="Z364" s="46">
        <f ca="1">IFERROR(__xludf.DUMMYFUNCTION("""COMPUTED_VALUE"""),45861)</f>
        <v>45861</v>
      </c>
      <c r="AA364" s="46">
        <f ca="1">IFERROR(__xludf.DUMMYFUNCTION("""COMPUTED_VALUE"""),45874)</f>
        <v>45874</v>
      </c>
      <c r="AB364" s="45" t="str">
        <f ca="1">IFERROR(__xludf.DUMMYFUNCTION("""COMPUTED_VALUE"""),"7211 Fifth Line")</f>
        <v>7211 Fifth Line</v>
      </c>
      <c r="AC364" s="45"/>
      <c r="AD364" s="45" t="str">
        <f ca="1">IFERROR(__xludf.DUMMYFUNCTION("""COMPUTED_VALUE"""),"OCEAN")</f>
        <v>OCEAN</v>
      </c>
      <c r="AE364" s="45" t="str">
        <f ca="1">IFERROR(__xludf.DUMMYFUNCTION("""COMPUTED_VALUE"""),"N")</f>
        <v>N</v>
      </c>
      <c r="AF364" s="45"/>
      <c r="AG364" s="49" t="str">
        <f ca="1">IFERROR(__xludf.DUMMYFUNCTION("IFNA(vlookup(H364,IMPORTRANGE(""1vUGwO1n0QQGx9kKbO0_M5gmuhXZ6-LaxQxgrmJnzgP0"",""'TP# look up'!A:C""),3,0),"""")"),"")</f>
        <v/>
      </c>
      <c r="AH364" s="49" t="str">
        <f t="shared" ca="1" si="5"/>
        <v>LM</v>
      </c>
    </row>
    <row r="365" spans="1:34" ht="12.75" hidden="1">
      <c r="A365" s="45" t="str">
        <f ca="1">IFERROR(__xludf.DUMMYFUNCTION("""COMPUTED_VALUE"""),"Colombo")</f>
        <v>Colombo</v>
      </c>
      <c r="B365" s="45"/>
      <c r="C365" s="45">
        <f ca="1">IFERROR(__xludf.DUMMYFUNCTION("""COMPUTED_VALUE"""),3254506)</f>
        <v>3254506</v>
      </c>
      <c r="D365" s="45"/>
      <c r="E365" s="45" t="str">
        <f ca="1">IFERROR(__xludf.DUMMYFUNCTION("""COMPUTED_VALUE"""),"CFS")</f>
        <v>CFS</v>
      </c>
      <c r="F365" s="45" t="str">
        <f ca="1">IFERROR(__xludf.DUMMYFUNCTION("""COMPUTED_VALUE"""),"MAS AMITY PTE LTD")</f>
        <v>MAS AMITY PTE LTD</v>
      </c>
      <c r="G365" s="45" t="str">
        <f ca="1">IFERROR(__xludf.DUMMYFUNCTION("""COMPUTED_VALUE"""),"MAS Active (Pvt) Ltd – Sleekline")</f>
        <v>MAS Active (Pvt) Ltd – Sleekline</v>
      </c>
      <c r="H365" s="43">
        <f ca="1">IFERROR(__xludf.DUMMYFUNCTION("""COMPUTED_VALUE"""),452837963387)</f>
        <v>452837963387</v>
      </c>
      <c r="I365" s="45">
        <f ca="1">IFERROR(__xludf.DUMMYFUNCTION("""COMPUTED_VALUE"""),19899504)</f>
        <v>19899504</v>
      </c>
      <c r="J365" s="45" t="str">
        <f ca="1">IFERROR(__xludf.DUMMYFUNCTION("""COMPUTED_VALUE"""),"LM9AY9S")</f>
        <v>LM9AY9S</v>
      </c>
      <c r="K365" s="45" t="str">
        <f ca="1">IFERROR(__xludf.DUMMYFUNCTION("""COMPUTED_VALUE"""),"LM9AY9S-042751")</f>
        <v>LM9AY9S-042751</v>
      </c>
      <c r="L365" s="45">
        <f ca="1">IFERROR(__xludf.DUMMYFUNCTION("""COMPUTED_VALUE"""),16)</f>
        <v>16</v>
      </c>
      <c r="M365" s="45">
        <f ca="1">IFERROR(__xludf.DUMMYFUNCTION("""COMPUTED_VALUE"""),793)</f>
        <v>793</v>
      </c>
      <c r="N365" s="45">
        <f ca="1">IFERROR(__xludf.DUMMYFUNCTION("""COMPUTED_VALUE"""),231.89)</f>
        <v>231.89</v>
      </c>
      <c r="O365" s="45">
        <f ca="1">IFERROR(__xludf.DUMMYFUNCTION("""COMPUTED_VALUE"""),1.269)</f>
        <v>1.2689999999999999</v>
      </c>
      <c r="P365" s="45" t="str">
        <f ca="1">IFERROR(__xludf.DUMMYFUNCTION("""COMPUTED_VALUE"""),"Colombo, LK")</f>
        <v>Colombo, LK</v>
      </c>
      <c r="Q365" s="45" t="str">
        <f ca="1">IFERROR(__xludf.DUMMYFUNCTION("""COMPUTED_VALUE"""),"New York, NY, US")</f>
        <v>New York, NY, US</v>
      </c>
      <c r="R365" s="44">
        <f ca="1">IFERROR(__xludf.DUMMYFUNCTION("""COMPUTED_VALUE"""),45824)</f>
        <v>45824</v>
      </c>
      <c r="S365" s="44">
        <f ca="1">IFERROR(__xludf.DUMMYFUNCTION("""COMPUTED_VALUE"""),45883)</f>
        <v>45883</v>
      </c>
      <c r="T365" s="45" t="str">
        <f ca="1">IFERROR(__xludf.DUMMYFUNCTION("""COMPUTED_VALUE"""),"Milton, ON, CA")</f>
        <v>Milton, ON, CA</v>
      </c>
      <c r="U365" s="45"/>
      <c r="V365" s="45"/>
      <c r="W365" s="45"/>
      <c r="X365" s="45"/>
      <c r="Y365" s="46">
        <f ca="1">IFERROR(__xludf.DUMMYFUNCTION("""COMPUTED_VALUE"""),45832)</f>
        <v>45832</v>
      </c>
      <c r="Z365" s="46">
        <f ca="1">IFERROR(__xludf.DUMMYFUNCTION("""COMPUTED_VALUE"""),45861)</f>
        <v>45861</v>
      </c>
      <c r="AA365" s="46">
        <f ca="1">IFERROR(__xludf.DUMMYFUNCTION("""COMPUTED_VALUE"""),45874)</f>
        <v>45874</v>
      </c>
      <c r="AB365" s="45" t="str">
        <f ca="1">IFERROR(__xludf.DUMMYFUNCTION("""COMPUTED_VALUE"""),"7211 Fifth Line")</f>
        <v>7211 Fifth Line</v>
      </c>
      <c r="AC365" s="45"/>
      <c r="AD365" s="45" t="str">
        <f ca="1">IFERROR(__xludf.DUMMYFUNCTION("""COMPUTED_VALUE"""),"OCEAN")</f>
        <v>OCEAN</v>
      </c>
      <c r="AE365" s="45" t="str">
        <f ca="1">IFERROR(__xludf.DUMMYFUNCTION("""COMPUTED_VALUE"""),"N")</f>
        <v>N</v>
      </c>
      <c r="AF365" s="45"/>
      <c r="AG365" s="49" t="str">
        <f ca="1">IFERROR(__xludf.DUMMYFUNCTION("IFNA(vlookup(H365,IMPORTRANGE(""1vUGwO1n0QQGx9kKbO0_M5gmuhXZ6-LaxQxgrmJnzgP0"",""'TP# look up'!A:C""),3,0),"""")"),"")</f>
        <v/>
      </c>
      <c r="AH365" s="49" t="str">
        <f t="shared" ca="1" si="5"/>
        <v>LM</v>
      </c>
    </row>
    <row r="366" spans="1:34" ht="12.75" hidden="1">
      <c r="A366" s="45" t="str">
        <f ca="1">IFERROR(__xludf.DUMMYFUNCTION("""COMPUTED_VALUE"""),"Colombo")</f>
        <v>Colombo</v>
      </c>
      <c r="B366" s="45"/>
      <c r="C366" s="45">
        <f ca="1">IFERROR(__xludf.DUMMYFUNCTION("""COMPUTED_VALUE"""),3254506)</f>
        <v>3254506</v>
      </c>
      <c r="D366" s="45"/>
      <c r="E366" s="45" t="str">
        <f ca="1">IFERROR(__xludf.DUMMYFUNCTION("""COMPUTED_VALUE"""),"CFS")</f>
        <v>CFS</v>
      </c>
      <c r="F366" s="45" t="str">
        <f ca="1">IFERROR(__xludf.DUMMYFUNCTION("""COMPUTED_VALUE"""),"MAS AMITY PTE LTD")</f>
        <v>MAS AMITY PTE LTD</v>
      </c>
      <c r="G366" s="45" t="str">
        <f ca="1">IFERROR(__xludf.DUMMYFUNCTION("""COMPUTED_VALUE"""),"MAS Active (Pvt) Ltd – Sleekline")</f>
        <v>MAS Active (Pvt) Ltd – Sleekline</v>
      </c>
      <c r="H366" s="43">
        <f ca="1">IFERROR(__xludf.DUMMYFUNCTION("""COMPUTED_VALUE"""),452837963878)</f>
        <v>452837963878</v>
      </c>
      <c r="I366" s="45">
        <f ca="1">IFERROR(__xludf.DUMMYFUNCTION("""COMPUTED_VALUE"""),19899505)</f>
        <v>19899505</v>
      </c>
      <c r="J366" s="45" t="str">
        <f ca="1">IFERROR(__xludf.DUMMYFUNCTION("""COMPUTED_VALUE"""),"LM9AY9S")</f>
        <v>LM9AY9S</v>
      </c>
      <c r="K366" s="45" t="str">
        <f ca="1">IFERROR(__xludf.DUMMYFUNCTION("""COMPUTED_VALUE"""),"LM9AY9S-042751")</f>
        <v>LM9AY9S-042751</v>
      </c>
      <c r="L366" s="45">
        <f ca="1">IFERROR(__xludf.DUMMYFUNCTION("""COMPUTED_VALUE"""),6)</f>
        <v>6</v>
      </c>
      <c r="M366" s="45">
        <f ca="1">IFERROR(__xludf.DUMMYFUNCTION("""COMPUTED_VALUE"""),287)</f>
        <v>287</v>
      </c>
      <c r="N366" s="45">
        <f ca="1">IFERROR(__xludf.DUMMYFUNCTION("""COMPUTED_VALUE"""),83.54)</f>
        <v>83.54</v>
      </c>
      <c r="O366" s="45">
        <f ca="1">IFERROR(__xludf.DUMMYFUNCTION("""COMPUTED_VALUE"""),0.476)</f>
        <v>0.47599999999999998</v>
      </c>
      <c r="P366" s="45" t="str">
        <f ca="1">IFERROR(__xludf.DUMMYFUNCTION("""COMPUTED_VALUE"""),"Colombo, LK")</f>
        <v>Colombo, LK</v>
      </c>
      <c r="Q366" s="45" t="str">
        <f ca="1">IFERROR(__xludf.DUMMYFUNCTION("""COMPUTED_VALUE"""),"New York, NY, US")</f>
        <v>New York, NY, US</v>
      </c>
      <c r="R366" s="44">
        <f ca="1">IFERROR(__xludf.DUMMYFUNCTION("""COMPUTED_VALUE"""),45824)</f>
        <v>45824</v>
      </c>
      <c r="S366" s="44">
        <f ca="1">IFERROR(__xludf.DUMMYFUNCTION("""COMPUTED_VALUE"""),45883)</f>
        <v>45883</v>
      </c>
      <c r="T366" s="45" t="str">
        <f ca="1">IFERROR(__xludf.DUMMYFUNCTION("""COMPUTED_VALUE"""),"Milton, ON, CA")</f>
        <v>Milton, ON, CA</v>
      </c>
      <c r="U366" s="45"/>
      <c r="V366" s="45"/>
      <c r="W366" s="45"/>
      <c r="X366" s="45"/>
      <c r="Y366" s="46">
        <f ca="1">IFERROR(__xludf.DUMMYFUNCTION("""COMPUTED_VALUE"""),45832)</f>
        <v>45832</v>
      </c>
      <c r="Z366" s="46">
        <f ca="1">IFERROR(__xludf.DUMMYFUNCTION("""COMPUTED_VALUE"""),45861)</f>
        <v>45861</v>
      </c>
      <c r="AA366" s="46">
        <f ca="1">IFERROR(__xludf.DUMMYFUNCTION("""COMPUTED_VALUE"""),45874)</f>
        <v>45874</v>
      </c>
      <c r="AB366" s="45" t="str">
        <f ca="1">IFERROR(__xludf.DUMMYFUNCTION("""COMPUTED_VALUE"""),"7211 Fifth Line")</f>
        <v>7211 Fifth Line</v>
      </c>
      <c r="AC366" s="45"/>
      <c r="AD366" s="45" t="str">
        <f ca="1">IFERROR(__xludf.DUMMYFUNCTION("""COMPUTED_VALUE"""),"OCEAN")</f>
        <v>OCEAN</v>
      </c>
      <c r="AE366" s="45" t="str">
        <f ca="1">IFERROR(__xludf.DUMMYFUNCTION("""COMPUTED_VALUE"""),"N")</f>
        <v>N</v>
      </c>
      <c r="AF366" s="45"/>
      <c r="AG366" s="49" t="str">
        <f ca="1">IFERROR(__xludf.DUMMYFUNCTION("IFNA(vlookup(H366,IMPORTRANGE(""1vUGwO1n0QQGx9kKbO0_M5gmuhXZ6-LaxQxgrmJnzgP0"",""'TP# look up'!A:C""),3,0),"""")"),"")</f>
        <v/>
      </c>
      <c r="AH366" s="49" t="str">
        <f t="shared" ca="1" si="5"/>
        <v>LM</v>
      </c>
    </row>
    <row r="367" spans="1:34" ht="12.75" hidden="1">
      <c r="A367" s="45" t="str">
        <f ca="1">IFERROR(__xludf.DUMMYFUNCTION("""COMPUTED_VALUE"""),"Colombo")</f>
        <v>Colombo</v>
      </c>
      <c r="B367" s="45"/>
      <c r="C367" s="45">
        <f ca="1">IFERROR(__xludf.DUMMYFUNCTION("""COMPUTED_VALUE"""),3254506)</f>
        <v>3254506</v>
      </c>
      <c r="D367" s="45"/>
      <c r="E367" s="45" t="str">
        <f ca="1">IFERROR(__xludf.DUMMYFUNCTION("""COMPUTED_VALUE"""),"CFS")</f>
        <v>CFS</v>
      </c>
      <c r="F367" s="45" t="str">
        <f ca="1">IFERROR(__xludf.DUMMYFUNCTION("""COMPUTED_VALUE"""),"MAS AMITY PTE LTD")</f>
        <v>MAS AMITY PTE LTD</v>
      </c>
      <c r="G367" s="45" t="str">
        <f ca="1">IFERROR(__xludf.DUMMYFUNCTION("""COMPUTED_VALUE"""),"MAS Active (Pvt) Ltd – Sleekline")</f>
        <v>MAS Active (Pvt) Ltd – Sleekline</v>
      </c>
      <c r="H367" s="43">
        <f ca="1">IFERROR(__xludf.DUMMYFUNCTION("""COMPUTED_VALUE"""),452839125735)</f>
        <v>452839125735</v>
      </c>
      <c r="I367" s="45">
        <f ca="1">IFERROR(__xludf.DUMMYFUNCTION("""COMPUTED_VALUE"""),19899516)</f>
        <v>19899516</v>
      </c>
      <c r="J367" s="45" t="str">
        <f ca="1">IFERROR(__xludf.DUMMYFUNCTION("""COMPUTED_VALUE"""),"LM9AY9S")</f>
        <v>LM9AY9S</v>
      </c>
      <c r="K367" s="45" t="str">
        <f ca="1">IFERROR(__xludf.DUMMYFUNCTION("""COMPUTED_VALUE"""),"LM9AY9S-072079")</f>
        <v>LM9AY9S-072079</v>
      </c>
      <c r="L367" s="45">
        <f ca="1">IFERROR(__xludf.DUMMYFUNCTION("""COMPUTED_VALUE"""),6)</f>
        <v>6</v>
      </c>
      <c r="M367" s="45">
        <f ca="1">IFERROR(__xludf.DUMMYFUNCTION("""COMPUTED_VALUE"""),224)</f>
        <v>224</v>
      </c>
      <c r="N367" s="45">
        <f ca="1">IFERROR(__xludf.DUMMYFUNCTION("""COMPUTED_VALUE"""),66.454)</f>
        <v>66.453999999999994</v>
      </c>
      <c r="O367" s="45">
        <f ca="1">IFERROR(__xludf.DUMMYFUNCTION("""COMPUTED_VALUE"""),0.436)</f>
        <v>0.436</v>
      </c>
      <c r="P367" s="45" t="str">
        <f ca="1">IFERROR(__xludf.DUMMYFUNCTION("""COMPUTED_VALUE"""),"Colombo, LK")</f>
        <v>Colombo, LK</v>
      </c>
      <c r="Q367" s="45" t="str">
        <f ca="1">IFERROR(__xludf.DUMMYFUNCTION("""COMPUTED_VALUE"""),"New York, NY, US")</f>
        <v>New York, NY, US</v>
      </c>
      <c r="R367" s="44">
        <f ca="1">IFERROR(__xludf.DUMMYFUNCTION("""COMPUTED_VALUE"""),45824)</f>
        <v>45824</v>
      </c>
      <c r="S367" s="44">
        <f ca="1">IFERROR(__xludf.DUMMYFUNCTION("""COMPUTED_VALUE"""),45883)</f>
        <v>45883</v>
      </c>
      <c r="T367" s="45" t="str">
        <f ca="1">IFERROR(__xludf.DUMMYFUNCTION("""COMPUTED_VALUE"""),"Milton, ON, CA")</f>
        <v>Milton, ON, CA</v>
      </c>
      <c r="U367" s="45"/>
      <c r="V367" s="45"/>
      <c r="W367" s="45"/>
      <c r="X367" s="45"/>
      <c r="Y367" s="46">
        <f ca="1">IFERROR(__xludf.DUMMYFUNCTION("""COMPUTED_VALUE"""),45832)</f>
        <v>45832</v>
      </c>
      <c r="Z367" s="46">
        <f ca="1">IFERROR(__xludf.DUMMYFUNCTION("""COMPUTED_VALUE"""),45861)</f>
        <v>45861</v>
      </c>
      <c r="AA367" s="46">
        <f ca="1">IFERROR(__xludf.DUMMYFUNCTION("""COMPUTED_VALUE"""),45874)</f>
        <v>45874</v>
      </c>
      <c r="AB367" s="45" t="str">
        <f ca="1">IFERROR(__xludf.DUMMYFUNCTION("""COMPUTED_VALUE"""),"7211 Fifth Line")</f>
        <v>7211 Fifth Line</v>
      </c>
      <c r="AC367" s="45"/>
      <c r="AD367" s="45" t="str">
        <f ca="1">IFERROR(__xludf.DUMMYFUNCTION("""COMPUTED_VALUE"""),"OCEAN")</f>
        <v>OCEAN</v>
      </c>
      <c r="AE367" s="45" t="str">
        <f ca="1">IFERROR(__xludf.DUMMYFUNCTION("""COMPUTED_VALUE"""),"N")</f>
        <v>N</v>
      </c>
      <c r="AF367" s="45"/>
      <c r="AG367" s="49" t="str">
        <f ca="1">IFERROR(__xludf.DUMMYFUNCTION("IFNA(vlookup(H367,IMPORTRANGE(""1vUGwO1n0QQGx9kKbO0_M5gmuhXZ6-LaxQxgrmJnzgP0"",""'TP# look up'!A:C""),3,0),"""")"),"")</f>
        <v/>
      </c>
      <c r="AH367" s="49" t="str">
        <f t="shared" ca="1" si="5"/>
        <v>LM</v>
      </c>
    </row>
    <row r="368" spans="1:34" ht="12.75" hidden="1">
      <c r="A368" s="45" t="str">
        <f ca="1">IFERROR(__xludf.DUMMYFUNCTION("""COMPUTED_VALUE"""),"Colombo")</f>
        <v>Colombo</v>
      </c>
      <c r="B368" s="45"/>
      <c r="C368" s="45">
        <f ca="1">IFERROR(__xludf.DUMMYFUNCTION("""COMPUTED_VALUE"""),3254506)</f>
        <v>3254506</v>
      </c>
      <c r="D368" s="45"/>
      <c r="E368" s="45" t="str">
        <f ca="1">IFERROR(__xludf.DUMMYFUNCTION("""COMPUTED_VALUE"""),"CFS")</f>
        <v>CFS</v>
      </c>
      <c r="F368" s="45" t="str">
        <f ca="1">IFERROR(__xludf.DUMMYFUNCTION("""COMPUTED_VALUE"""),"MAS AMITY PTE LTD")</f>
        <v>MAS AMITY PTE LTD</v>
      </c>
      <c r="G368" s="45" t="str">
        <f ca="1">IFERROR(__xludf.DUMMYFUNCTION("""COMPUTED_VALUE"""),"MAS Active (Pvt) Ltd – Sleekline")</f>
        <v>MAS Active (Pvt) Ltd – Sleekline</v>
      </c>
      <c r="H368" s="43">
        <f ca="1">IFERROR(__xludf.DUMMYFUNCTION("""COMPUTED_VALUE"""),452840026315)</f>
        <v>452840026315</v>
      </c>
      <c r="I368" s="45">
        <f ca="1">IFERROR(__xludf.DUMMYFUNCTION("""COMPUTED_VALUE"""),19899535)</f>
        <v>19899535</v>
      </c>
      <c r="J368" s="45" t="str">
        <f ca="1">IFERROR(__xludf.DUMMYFUNCTION("""COMPUTED_VALUE"""),"LM9AYLS")</f>
        <v>LM9AYLS</v>
      </c>
      <c r="K368" s="45" t="str">
        <f ca="1">IFERROR(__xludf.DUMMYFUNCTION("""COMPUTED_VALUE"""),"LM9AYLS-0001")</f>
        <v>LM9AYLS-0001</v>
      </c>
      <c r="L368" s="45">
        <f ca="1">IFERROR(__xludf.DUMMYFUNCTION("""COMPUTED_VALUE"""),2)</f>
        <v>2</v>
      </c>
      <c r="M368" s="45">
        <f ca="1">IFERROR(__xludf.DUMMYFUNCTION("""COMPUTED_VALUE"""),175)</f>
        <v>175</v>
      </c>
      <c r="N368" s="45">
        <f ca="1">IFERROR(__xludf.DUMMYFUNCTION("""COMPUTED_VALUE"""),17.29)</f>
        <v>17.29</v>
      </c>
      <c r="O368" s="45">
        <f ca="1">IFERROR(__xludf.DUMMYFUNCTION("""COMPUTED_VALUE"""),0.159)</f>
        <v>0.159</v>
      </c>
      <c r="P368" s="45" t="str">
        <f ca="1">IFERROR(__xludf.DUMMYFUNCTION("""COMPUTED_VALUE"""),"Colombo, LK")</f>
        <v>Colombo, LK</v>
      </c>
      <c r="Q368" s="45" t="str">
        <f ca="1">IFERROR(__xludf.DUMMYFUNCTION("""COMPUTED_VALUE"""),"New York, NY, US")</f>
        <v>New York, NY, US</v>
      </c>
      <c r="R368" s="44">
        <f ca="1">IFERROR(__xludf.DUMMYFUNCTION("""COMPUTED_VALUE"""),45824)</f>
        <v>45824</v>
      </c>
      <c r="S368" s="44">
        <f ca="1">IFERROR(__xludf.DUMMYFUNCTION("""COMPUTED_VALUE"""),45883)</f>
        <v>45883</v>
      </c>
      <c r="T368" s="45" t="str">
        <f ca="1">IFERROR(__xludf.DUMMYFUNCTION("""COMPUTED_VALUE"""),"Milton, ON, CA")</f>
        <v>Milton, ON, CA</v>
      </c>
      <c r="U368" s="45"/>
      <c r="V368" s="45"/>
      <c r="W368" s="45"/>
      <c r="X368" s="45"/>
      <c r="Y368" s="46">
        <f ca="1">IFERROR(__xludf.DUMMYFUNCTION("""COMPUTED_VALUE"""),45832)</f>
        <v>45832</v>
      </c>
      <c r="Z368" s="46">
        <f ca="1">IFERROR(__xludf.DUMMYFUNCTION("""COMPUTED_VALUE"""),45861)</f>
        <v>45861</v>
      </c>
      <c r="AA368" s="46">
        <f ca="1">IFERROR(__xludf.DUMMYFUNCTION("""COMPUTED_VALUE"""),45874)</f>
        <v>45874</v>
      </c>
      <c r="AB368" s="45" t="str">
        <f ca="1">IFERROR(__xludf.DUMMYFUNCTION("""COMPUTED_VALUE"""),"7211 Fifth Line")</f>
        <v>7211 Fifth Line</v>
      </c>
      <c r="AC368" s="45"/>
      <c r="AD368" s="45" t="str">
        <f ca="1">IFERROR(__xludf.DUMMYFUNCTION("""COMPUTED_VALUE"""),"OCEAN")</f>
        <v>OCEAN</v>
      </c>
      <c r="AE368" s="45" t="str">
        <f ca="1">IFERROR(__xludf.DUMMYFUNCTION("""COMPUTED_VALUE"""),"N")</f>
        <v>N</v>
      </c>
      <c r="AF368" s="45"/>
      <c r="AG368" s="49" t="str">
        <f ca="1">IFERROR(__xludf.DUMMYFUNCTION("IFNA(vlookup(H368,IMPORTRANGE(""1vUGwO1n0QQGx9kKbO0_M5gmuhXZ6-LaxQxgrmJnzgP0"",""'TP# look up'!A:C""),3,0),"""")"),"")</f>
        <v/>
      </c>
      <c r="AH368" s="49" t="str">
        <f t="shared" ca="1" si="5"/>
        <v>LM</v>
      </c>
    </row>
    <row r="369" spans="1:34" ht="12.75" hidden="1">
      <c r="A369" s="45" t="str">
        <f ca="1">IFERROR(__xludf.DUMMYFUNCTION("""COMPUTED_VALUE"""),"Colombo")</f>
        <v>Colombo</v>
      </c>
      <c r="B369" s="45"/>
      <c r="C369" s="45">
        <f ca="1">IFERROR(__xludf.DUMMYFUNCTION("""COMPUTED_VALUE"""),3254506)</f>
        <v>3254506</v>
      </c>
      <c r="D369" s="45"/>
      <c r="E369" s="45" t="str">
        <f ca="1">IFERROR(__xludf.DUMMYFUNCTION("""COMPUTED_VALUE"""),"CFS")</f>
        <v>CFS</v>
      </c>
      <c r="F369" s="45" t="str">
        <f ca="1">IFERROR(__xludf.DUMMYFUNCTION("""COMPUTED_VALUE"""),"MAS AMITY PTE LTD")</f>
        <v>MAS AMITY PTE LTD</v>
      </c>
      <c r="G369" s="45" t="str">
        <f ca="1">IFERROR(__xludf.DUMMYFUNCTION("""COMPUTED_VALUE"""),"MAS Active (Pvt) Ltd – Sleekline")</f>
        <v>MAS Active (Pvt) Ltd – Sleekline</v>
      </c>
      <c r="H369" s="43">
        <f ca="1">IFERROR(__xludf.DUMMYFUNCTION("""COMPUTED_VALUE"""),452841160878)</f>
        <v>452841160878</v>
      </c>
      <c r="I369" s="45">
        <f ca="1">IFERROR(__xludf.DUMMYFUNCTION("""COMPUTED_VALUE"""),19899546)</f>
        <v>19899546</v>
      </c>
      <c r="J369" s="45" t="str">
        <f ca="1">IFERROR(__xludf.DUMMYFUNCTION("""COMPUTED_VALUE"""),"LM9AYLS")</f>
        <v>LM9AYLS</v>
      </c>
      <c r="K369" s="45" t="str">
        <f ca="1">IFERROR(__xludf.DUMMYFUNCTION("""COMPUTED_VALUE"""),"LM9AYLS-033928")</f>
        <v>LM9AYLS-033928</v>
      </c>
      <c r="L369" s="45">
        <f ca="1">IFERROR(__xludf.DUMMYFUNCTION("""COMPUTED_VALUE"""),1)</f>
        <v>1</v>
      </c>
      <c r="M369" s="45">
        <f ca="1">IFERROR(__xludf.DUMMYFUNCTION("""COMPUTED_VALUE"""),141)</f>
        <v>141</v>
      </c>
      <c r="N369" s="45">
        <f ca="1">IFERROR(__xludf.DUMMYFUNCTION("""COMPUTED_VALUE"""),13.25)</f>
        <v>13.25</v>
      </c>
      <c r="O369" s="45">
        <f ca="1">IFERROR(__xludf.DUMMYFUNCTION("""COMPUTED_VALUE"""),0.079)</f>
        <v>7.9000000000000001E-2</v>
      </c>
      <c r="P369" s="45" t="str">
        <f ca="1">IFERROR(__xludf.DUMMYFUNCTION("""COMPUTED_VALUE"""),"Colombo, LK")</f>
        <v>Colombo, LK</v>
      </c>
      <c r="Q369" s="45" t="str">
        <f ca="1">IFERROR(__xludf.DUMMYFUNCTION("""COMPUTED_VALUE"""),"New York, NY, US")</f>
        <v>New York, NY, US</v>
      </c>
      <c r="R369" s="44">
        <f ca="1">IFERROR(__xludf.DUMMYFUNCTION("""COMPUTED_VALUE"""),45824)</f>
        <v>45824</v>
      </c>
      <c r="S369" s="44">
        <f ca="1">IFERROR(__xludf.DUMMYFUNCTION("""COMPUTED_VALUE"""),45883)</f>
        <v>45883</v>
      </c>
      <c r="T369" s="45" t="str">
        <f ca="1">IFERROR(__xludf.DUMMYFUNCTION("""COMPUTED_VALUE"""),"Milton, ON, CA")</f>
        <v>Milton, ON, CA</v>
      </c>
      <c r="U369" s="45"/>
      <c r="V369" s="45"/>
      <c r="W369" s="45"/>
      <c r="X369" s="45"/>
      <c r="Y369" s="46">
        <f ca="1">IFERROR(__xludf.DUMMYFUNCTION("""COMPUTED_VALUE"""),45832)</f>
        <v>45832</v>
      </c>
      <c r="Z369" s="46">
        <f ca="1">IFERROR(__xludf.DUMMYFUNCTION("""COMPUTED_VALUE"""),45861)</f>
        <v>45861</v>
      </c>
      <c r="AA369" s="46">
        <f ca="1">IFERROR(__xludf.DUMMYFUNCTION("""COMPUTED_VALUE"""),45874)</f>
        <v>45874</v>
      </c>
      <c r="AB369" s="45" t="str">
        <f ca="1">IFERROR(__xludf.DUMMYFUNCTION("""COMPUTED_VALUE"""),"7211 Fifth Line")</f>
        <v>7211 Fifth Line</v>
      </c>
      <c r="AC369" s="45"/>
      <c r="AD369" s="45" t="str">
        <f ca="1">IFERROR(__xludf.DUMMYFUNCTION("""COMPUTED_VALUE"""),"OCEAN")</f>
        <v>OCEAN</v>
      </c>
      <c r="AE369" s="45" t="str">
        <f ca="1">IFERROR(__xludf.DUMMYFUNCTION("""COMPUTED_VALUE"""),"N")</f>
        <v>N</v>
      </c>
      <c r="AF369" s="45"/>
      <c r="AG369" s="49" t="str">
        <f ca="1">IFERROR(__xludf.DUMMYFUNCTION("IFNA(vlookup(H369,IMPORTRANGE(""1vUGwO1n0QQGx9kKbO0_M5gmuhXZ6-LaxQxgrmJnzgP0"",""'TP# look up'!A:C""),3,0),"""")"),"")</f>
        <v/>
      </c>
      <c r="AH369" s="49" t="str">
        <f t="shared" ca="1" si="5"/>
        <v>LM</v>
      </c>
    </row>
    <row r="370" spans="1:34" ht="12.75" hidden="1">
      <c r="A370" s="45" t="str">
        <f ca="1">IFERROR(__xludf.DUMMYFUNCTION("""COMPUTED_VALUE"""),"Colombo")</f>
        <v>Colombo</v>
      </c>
      <c r="B370" s="45"/>
      <c r="C370" s="45">
        <f ca="1">IFERROR(__xludf.DUMMYFUNCTION("""COMPUTED_VALUE"""),3254506)</f>
        <v>3254506</v>
      </c>
      <c r="D370" s="45"/>
      <c r="E370" s="45" t="str">
        <f ca="1">IFERROR(__xludf.DUMMYFUNCTION("""COMPUTED_VALUE"""),"CFS")</f>
        <v>CFS</v>
      </c>
      <c r="F370" s="45" t="str">
        <f ca="1">IFERROR(__xludf.DUMMYFUNCTION("""COMPUTED_VALUE"""),"MAS AMITY PTE LTD")</f>
        <v>MAS AMITY PTE LTD</v>
      </c>
      <c r="G370" s="45" t="str">
        <f ca="1">IFERROR(__xludf.DUMMYFUNCTION("""COMPUTED_VALUE"""),"MAS Active (Pvt) Ltd – Sleekline")</f>
        <v>MAS Active (Pvt) Ltd – Sleekline</v>
      </c>
      <c r="H370" s="43">
        <f ca="1">IFERROR(__xludf.DUMMYFUNCTION("""COMPUTED_VALUE"""),452841941411)</f>
        <v>452841941411</v>
      </c>
      <c r="I370" s="45">
        <f ca="1">IFERROR(__xludf.DUMMYFUNCTION("""COMPUTED_VALUE"""),19899556)</f>
        <v>19899556</v>
      </c>
      <c r="J370" s="45" t="str">
        <f ca="1">IFERROR(__xludf.DUMMYFUNCTION("""COMPUTED_VALUE"""),"LM9B19S")</f>
        <v>LM9B19S</v>
      </c>
      <c r="K370" s="45" t="str">
        <f ca="1">IFERROR(__xludf.DUMMYFUNCTION("""COMPUTED_VALUE"""),"LM9B19S-4310")</f>
        <v>LM9B19S-4310</v>
      </c>
      <c r="L370" s="45">
        <f ca="1">IFERROR(__xludf.DUMMYFUNCTION("""COMPUTED_VALUE"""),5)</f>
        <v>5</v>
      </c>
      <c r="M370" s="45">
        <f ca="1">IFERROR(__xludf.DUMMYFUNCTION("""COMPUTED_VALUE"""),194)</f>
        <v>194</v>
      </c>
      <c r="N370" s="45">
        <f ca="1">IFERROR(__xludf.DUMMYFUNCTION("""COMPUTED_VALUE"""),55.25)</f>
        <v>55.25</v>
      </c>
      <c r="O370" s="45">
        <f ca="1">IFERROR(__xludf.DUMMYFUNCTION("""COMPUTED_VALUE"""),0.357)</f>
        <v>0.35699999999999998</v>
      </c>
      <c r="P370" s="45" t="str">
        <f ca="1">IFERROR(__xludf.DUMMYFUNCTION("""COMPUTED_VALUE"""),"Colombo, LK")</f>
        <v>Colombo, LK</v>
      </c>
      <c r="Q370" s="45" t="str">
        <f ca="1">IFERROR(__xludf.DUMMYFUNCTION("""COMPUTED_VALUE"""),"New York, NY, US")</f>
        <v>New York, NY, US</v>
      </c>
      <c r="R370" s="44">
        <f ca="1">IFERROR(__xludf.DUMMYFUNCTION("""COMPUTED_VALUE"""),45824)</f>
        <v>45824</v>
      </c>
      <c r="S370" s="44">
        <f ca="1">IFERROR(__xludf.DUMMYFUNCTION("""COMPUTED_VALUE"""),45883)</f>
        <v>45883</v>
      </c>
      <c r="T370" s="45" t="str">
        <f ca="1">IFERROR(__xludf.DUMMYFUNCTION("""COMPUTED_VALUE"""),"Milton, ON, CA")</f>
        <v>Milton, ON, CA</v>
      </c>
      <c r="U370" s="45"/>
      <c r="V370" s="45"/>
      <c r="W370" s="45"/>
      <c r="X370" s="45"/>
      <c r="Y370" s="46">
        <f ca="1">IFERROR(__xludf.DUMMYFUNCTION("""COMPUTED_VALUE"""),45832)</f>
        <v>45832</v>
      </c>
      <c r="Z370" s="46">
        <f ca="1">IFERROR(__xludf.DUMMYFUNCTION("""COMPUTED_VALUE"""),45861)</f>
        <v>45861</v>
      </c>
      <c r="AA370" s="46">
        <f ca="1">IFERROR(__xludf.DUMMYFUNCTION("""COMPUTED_VALUE"""),45874)</f>
        <v>45874</v>
      </c>
      <c r="AB370" s="45" t="str">
        <f ca="1">IFERROR(__xludf.DUMMYFUNCTION("""COMPUTED_VALUE"""),"7211 Fifth Line")</f>
        <v>7211 Fifth Line</v>
      </c>
      <c r="AC370" s="45"/>
      <c r="AD370" s="45" t="str">
        <f ca="1">IFERROR(__xludf.DUMMYFUNCTION("""COMPUTED_VALUE"""),"OCEAN")</f>
        <v>OCEAN</v>
      </c>
      <c r="AE370" s="45" t="str">
        <f ca="1">IFERROR(__xludf.DUMMYFUNCTION("""COMPUTED_VALUE"""),"N")</f>
        <v>N</v>
      </c>
      <c r="AF370" s="45"/>
      <c r="AG370" s="49" t="str">
        <f ca="1">IFERROR(__xludf.DUMMYFUNCTION("IFNA(vlookup(H370,IMPORTRANGE(""1vUGwO1n0QQGx9kKbO0_M5gmuhXZ6-LaxQxgrmJnzgP0"",""'TP# look up'!A:C""),3,0),"""")"),"")</f>
        <v/>
      </c>
      <c r="AH370" s="49" t="str">
        <f t="shared" ca="1" si="5"/>
        <v>LM</v>
      </c>
    </row>
    <row r="371" spans="1:34" ht="12.75" hidden="1">
      <c r="A371" s="45" t="str">
        <f ca="1">IFERROR(__xludf.DUMMYFUNCTION("""COMPUTED_VALUE"""),"Colombo")</f>
        <v>Colombo</v>
      </c>
      <c r="B371" s="45"/>
      <c r="C371" s="45">
        <f ca="1">IFERROR(__xludf.DUMMYFUNCTION("""COMPUTED_VALUE"""),3254506)</f>
        <v>3254506</v>
      </c>
      <c r="D371" s="45"/>
      <c r="E371" s="45" t="str">
        <f ca="1">IFERROR(__xludf.DUMMYFUNCTION("""COMPUTED_VALUE"""),"CFS")</f>
        <v>CFS</v>
      </c>
      <c r="F371" s="45" t="str">
        <f ca="1">IFERROR(__xludf.DUMMYFUNCTION("""COMPUTED_VALUE"""),"MAS AMITY PTE LTD")</f>
        <v>MAS AMITY PTE LTD</v>
      </c>
      <c r="G371" s="45" t="str">
        <f ca="1">IFERROR(__xludf.DUMMYFUNCTION("""COMPUTED_VALUE"""),"MAS Active (Pvt) Ltd – Sleekline")</f>
        <v>MAS Active (Pvt) Ltd – Sleekline</v>
      </c>
      <c r="H371" s="43">
        <f ca="1">IFERROR(__xludf.DUMMYFUNCTION("""COMPUTED_VALUE"""),452842141320)</f>
        <v>452842141320</v>
      </c>
      <c r="I371" s="45">
        <f ca="1">IFERROR(__xludf.DUMMYFUNCTION("""COMPUTED_VALUE"""),19913214)</f>
        <v>19913214</v>
      </c>
      <c r="J371" s="45" t="str">
        <f ca="1">IFERROR(__xludf.DUMMYFUNCTION("""COMPUTED_VALUE"""),"LM9AMTS")</f>
        <v>LM9AMTS</v>
      </c>
      <c r="K371" s="45" t="str">
        <f ca="1">IFERROR(__xludf.DUMMYFUNCTION("""COMPUTED_VALUE"""),"LM9AMTS-072079")</f>
        <v>LM9AMTS-072079</v>
      </c>
      <c r="L371" s="45">
        <f ca="1">IFERROR(__xludf.DUMMYFUNCTION("""COMPUTED_VALUE"""),3)</f>
        <v>3</v>
      </c>
      <c r="M371" s="45">
        <f ca="1">IFERROR(__xludf.DUMMYFUNCTION("""COMPUTED_VALUE"""),118)</f>
        <v>118</v>
      </c>
      <c r="N371" s="45">
        <f ca="1">IFERROR(__xludf.DUMMYFUNCTION("""COMPUTED_VALUE"""),35.58)</f>
        <v>35.58</v>
      </c>
      <c r="O371" s="45">
        <f ca="1">IFERROR(__xludf.DUMMYFUNCTION("""COMPUTED_VALUE"""),0.238)</f>
        <v>0.23799999999999999</v>
      </c>
      <c r="P371" s="45" t="str">
        <f ca="1">IFERROR(__xludf.DUMMYFUNCTION("""COMPUTED_VALUE"""),"Colombo, LK")</f>
        <v>Colombo, LK</v>
      </c>
      <c r="Q371" s="45" t="str">
        <f ca="1">IFERROR(__xludf.DUMMYFUNCTION("""COMPUTED_VALUE"""),"New York, NY, US")</f>
        <v>New York, NY, US</v>
      </c>
      <c r="R371" s="44">
        <f ca="1">IFERROR(__xludf.DUMMYFUNCTION("""COMPUTED_VALUE"""),45824)</f>
        <v>45824</v>
      </c>
      <c r="S371" s="44">
        <f ca="1">IFERROR(__xludf.DUMMYFUNCTION("""COMPUTED_VALUE"""),45883)</f>
        <v>45883</v>
      </c>
      <c r="T371" s="45" t="str">
        <f ca="1">IFERROR(__xludf.DUMMYFUNCTION("""COMPUTED_VALUE"""),"Mississauga, ON, CA")</f>
        <v>Mississauga, ON, CA</v>
      </c>
      <c r="U371" s="45"/>
      <c r="V371" s="45"/>
      <c r="W371" s="45"/>
      <c r="X371" s="45"/>
      <c r="Y371" s="46">
        <f ca="1">IFERROR(__xludf.DUMMYFUNCTION("""COMPUTED_VALUE"""),45832)</f>
        <v>45832</v>
      </c>
      <c r="Z371" s="46">
        <f ca="1">IFERROR(__xludf.DUMMYFUNCTION("""COMPUTED_VALUE"""),45861)</f>
        <v>45861</v>
      </c>
      <c r="AA371" s="46">
        <f ca="1">IFERROR(__xludf.DUMMYFUNCTION("""COMPUTED_VALUE"""),45874)</f>
        <v>45874</v>
      </c>
      <c r="AB371" s="45" t="str">
        <f ca="1">IFERROR(__xludf.DUMMYFUNCTION("""COMPUTED_VALUE"""),"3500 Argentia Road")</f>
        <v>3500 Argentia Road</v>
      </c>
      <c r="AC371" s="45"/>
      <c r="AD371" s="45" t="str">
        <f ca="1">IFERROR(__xludf.DUMMYFUNCTION("""COMPUTED_VALUE"""),"OCEAN")</f>
        <v>OCEAN</v>
      </c>
      <c r="AE371" s="45" t="str">
        <f ca="1">IFERROR(__xludf.DUMMYFUNCTION("""COMPUTED_VALUE"""),"N")</f>
        <v>N</v>
      </c>
      <c r="AF371" s="45"/>
      <c r="AG371" s="49" t="str">
        <f ca="1">IFERROR(__xludf.DUMMYFUNCTION("IFNA(vlookup(H371,IMPORTRANGE(""1vUGwO1n0QQGx9kKbO0_M5gmuhXZ6-LaxQxgrmJnzgP0"",""'TP# look up'!A:C""),3,0),"""")"),"")</f>
        <v/>
      </c>
      <c r="AH371" s="49" t="str">
        <f t="shared" ca="1" si="5"/>
        <v>LM</v>
      </c>
    </row>
    <row r="372" spans="1:34" ht="12.75" hidden="1">
      <c r="A372" s="45" t="str">
        <f ca="1">IFERROR(__xludf.DUMMYFUNCTION("""COMPUTED_VALUE"""),"Colombo")</f>
        <v>Colombo</v>
      </c>
      <c r="B372" s="45"/>
      <c r="C372" s="45">
        <f ca="1">IFERROR(__xludf.DUMMYFUNCTION("""COMPUTED_VALUE"""),3254506)</f>
        <v>3254506</v>
      </c>
      <c r="D372" s="45"/>
      <c r="E372" s="45" t="str">
        <f ca="1">IFERROR(__xludf.DUMMYFUNCTION("""COMPUTED_VALUE"""),"CFS")</f>
        <v>CFS</v>
      </c>
      <c r="F372" s="45" t="str">
        <f ca="1">IFERROR(__xludf.DUMMYFUNCTION("""COMPUTED_VALUE"""),"MAS AMITY PTE LTD")</f>
        <v>MAS AMITY PTE LTD</v>
      </c>
      <c r="G372" s="45" t="str">
        <f ca="1">IFERROR(__xludf.DUMMYFUNCTION("""COMPUTED_VALUE"""),"MAS Active (Pvt) Ltd – Sleekline")</f>
        <v>MAS Active (Pvt) Ltd – Sleekline</v>
      </c>
      <c r="H372" s="43">
        <f ca="1">IFERROR(__xludf.DUMMYFUNCTION("""COMPUTED_VALUE"""),452843102834)</f>
        <v>452843102834</v>
      </c>
      <c r="I372" s="45">
        <f ca="1">IFERROR(__xludf.DUMMYFUNCTION("""COMPUTED_VALUE"""),19913391)</f>
        <v>19913391</v>
      </c>
      <c r="J372" s="45" t="str">
        <f ca="1">IFERROR(__xludf.DUMMYFUNCTION("""COMPUTED_VALUE"""),"LM9AQWS")</f>
        <v>LM9AQWS</v>
      </c>
      <c r="K372" s="45" t="str">
        <f ca="1">IFERROR(__xludf.DUMMYFUNCTION("""COMPUTED_VALUE"""),"LM9AQWS-4780")</f>
        <v>LM9AQWS-4780</v>
      </c>
      <c r="L372" s="45">
        <f ca="1">IFERROR(__xludf.DUMMYFUNCTION("""COMPUTED_VALUE"""),3)</f>
        <v>3</v>
      </c>
      <c r="M372" s="45">
        <f ca="1">IFERROR(__xludf.DUMMYFUNCTION("""COMPUTED_VALUE"""),181)</f>
        <v>181</v>
      </c>
      <c r="N372" s="45">
        <f ca="1">IFERROR(__xludf.DUMMYFUNCTION("""COMPUTED_VALUE"""),33.63)</f>
        <v>33.630000000000003</v>
      </c>
      <c r="O372" s="45">
        <f ca="1">IFERROR(__xludf.DUMMYFUNCTION("""COMPUTED_VALUE"""),0.238)</f>
        <v>0.23799999999999999</v>
      </c>
      <c r="P372" s="45" t="str">
        <f ca="1">IFERROR(__xludf.DUMMYFUNCTION("""COMPUTED_VALUE"""),"Colombo, LK")</f>
        <v>Colombo, LK</v>
      </c>
      <c r="Q372" s="45" t="str">
        <f ca="1">IFERROR(__xludf.DUMMYFUNCTION("""COMPUTED_VALUE"""),"New York, NY, US")</f>
        <v>New York, NY, US</v>
      </c>
      <c r="R372" s="44">
        <f ca="1">IFERROR(__xludf.DUMMYFUNCTION("""COMPUTED_VALUE"""),45824)</f>
        <v>45824</v>
      </c>
      <c r="S372" s="44">
        <f ca="1">IFERROR(__xludf.DUMMYFUNCTION("""COMPUTED_VALUE"""),45883)</f>
        <v>45883</v>
      </c>
      <c r="T372" s="45" t="str">
        <f ca="1">IFERROR(__xludf.DUMMYFUNCTION("""COMPUTED_VALUE"""),"Mississauga, ON, CA")</f>
        <v>Mississauga, ON, CA</v>
      </c>
      <c r="U372" s="45"/>
      <c r="V372" s="45"/>
      <c r="W372" s="45"/>
      <c r="X372" s="45"/>
      <c r="Y372" s="46">
        <f ca="1">IFERROR(__xludf.DUMMYFUNCTION("""COMPUTED_VALUE"""),45832)</f>
        <v>45832</v>
      </c>
      <c r="Z372" s="46">
        <f ca="1">IFERROR(__xludf.DUMMYFUNCTION("""COMPUTED_VALUE"""),45861)</f>
        <v>45861</v>
      </c>
      <c r="AA372" s="46">
        <f ca="1">IFERROR(__xludf.DUMMYFUNCTION("""COMPUTED_VALUE"""),45874)</f>
        <v>45874</v>
      </c>
      <c r="AB372" s="45" t="str">
        <f ca="1">IFERROR(__xludf.DUMMYFUNCTION("""COMPUTED_VALUE"""),"3500 Argentia Road")</f>
        <v>3500 Argentia Road</v>
      </c>
      <c r="AC372" s="45"/>
      <c r="AD372" s="45" t="str">
        <f ca="1">IFERROR(__xludf.DUMMYFUNCTION("""COMPUTED_VALUE"""),"OCEAN")</f>
        <v>OCEAN</v>
      </c>
      <c r="AE372" s="45" t="str">
        <f ca="1">IFERROR(__xludf.DUMMYFUNCTION("""COMPUTED_VALUE"""),"N")</f>
        <v>N</v>
      </c>
      <c r="AF372" s="45"/>
      <c r="AG372" s="49" t="str">
        <f ca="1">IFERROR(__xludf.DUMMYFUNCTION("IFNA(vlookup(H372,IMPORTRANGE(""1vUGwO1n0QQGx9kKbO0_M5gmuhXZ6-LaxQxgrmJnzgP0"",""'TP# look up'!A:C""),3,0),"""")"),"")</f>
        <v/>
      </c>
      <c r="AH372" s="49" t="str">
        <f t="shared" ca="1" si="5"/>
        <v>LM</v>
      </c>
    </row>
    <row r="373" spans="1:34" ht="12.75" hidden="1">
      <c r="A373" s="45" t="str">
        <f ca="1">IFERROR(__xludf.DUMMYFUNCTION("""COMPUTED_VALUE"""),"Colombo")</f>
        <v>Colombo</v>
      </c>
      <c r="B373" s="45"/>
      <c r="C373" s="45">
        <f ca="1">IFERROR(__xludf.DUMMYFUNCTION("""COMPUTED_VALUE"""),3254506)</f>
        <v>3254506</v>
      </c>
      <c r="D373" s="45"/>
      <c r="E373" s="45" t="str">
        <f ca="1">IFERROR(__xludf.DUMMYFUNCTION("""COMPUTED_VALUE"""),"CFS")</f>
        <v>CFS</v>
      </c>
      <c r="F373" s="45" t="str">
        <f ca="1">IFERROR(__xludf.DUMMYFUNCTION("""COMPUTED_VALUE"""),"MAS AMITY PTE LTD")</f>
        <v>MAS AMITY PTE LTD</v>
      </c>
      <c r="G373" s="45" t="str">
        <f ca="1">IFERROR(__xludf.DUMMYFUNCTION("""COMPUTED_VALUE"""),"MAS Active (Pvt) Ltd – Sleekline")</f>
        <v>MAS Active (Pvt) Ltd – Sleekline</v>
      </c>
      <c r="H373" s="43">
        <f ca="1">IFERROR(__xludf.DUMMYFUNCTION("""COMPUTED_VALUE"""),452843168146)</f>
        <v>452843168146</v>
      </c>
      <c r="I373" s="45">
        <f ca="1">IFERROR(__xludf.DUMMYFUNCTION("""COMPUTED_VALUE"""),19913384)</f>
        <v>19913384</v>
      </c>
      <c r="J373" s="45" t="str">
        <f ca="1">IFERROR(__xludf.DUMMYFUNCTION("""COMPUTED_VALUE"""),"LM9AN5S")</f>
        <v>LM9AN5S</v>
      </c>
      <c r="K373" s="45" t="str">
        <f ca="1">IFERROR(__xludf.DUMMYFUNCTION("""COMPUTED_VALUE"""),"LM9AN5S-067086")</f>
        <v>LM9AN5S-067086</v>
      </c>
      <c r="L373" s="45">
        <f ca="1">IFERROR(__xludf.DUMMYFUNCTION("""COMPUTED_VALUE"""),4)</f>
        <v>4</v>
      </c>
      <c r="M373" s="45">
        <f ca="1">IFERROR(__xludf.DUMMYFUNCTION("""COMPUTED_VALUE"""),93)</f>
        <v>93</v>
      </c>
      <c r="N373" s="45">
        <f ca="1">IFERROR(__xludf.DUMMYFUNCTION("""COMPUTED_VALUE"""),52.1)</f>
        <v>52.1</v>
      </c>
      <c r="O373" s="45">
        <f ca="1">IFERROR(__xludf.DUMMYFUNCTION("""COMPUTED_VALUE"""),0.317)</f>
        <v>0.317</v>
      </c>
      <c r="P373" s="45" t="str">
        <f ca="1">IFERROR(__xludf.DUMMYFUNCTION("""COMPUTED_VALUE"""),"Colombo, LK")</f>
        <v>Colombo, LK</v>
      </c>
      <c r="Q373" s="45" t="str">
        <f ca="1">IFERROR(__xludf.DUMMYFUNCTION("""COMPUTED_VALUE"""),"New York, NY, US")</f>
        <v>New York, NY, US</v>
      </c>
      <c r="R373" s="44">
        <f ca="1">IFERROR(__xludf.DUMMYFUNCTION("""COMPUTED_VALUE"""),45824)</f>
        <v>45824</v>
      </c>
      <c r="S373" s="44">
        <f ca="1">IFERROR(__xludf.DUMMYFUNCTION("""COMPUTED_VALUE"""),45883)</f>
        <v>45883</v>
      </c>
      <c r="T373" s="45" t="str">
        <f ca="1">IFERROR(__xludf.DUMMYFUNCTION("""COMPUTED_VALUE"""),"Mississauga, ON, CA")</f>
        <v>Mississauga, ON, CA</v>
      </c>
      <c r="U373" s="45"/>
      <c r="V373" s="45"/>
      <c r="W373" s="45"/>
      <c r="X373" s="45"/>
      <c r="Y373" s="46">
        <f ca="1">IFERROR(__xludf.DUMMYFUNCTION("""COMPUTED_VALUE"""),45832)</f>
        <v>45832</v>
      </c>
      <c r="Z373" s="46">
        <f ca="1">IFERROR(__xludf.DUMMYFUNCTION("""COMPUTED_VALUE"""),45861)</f>
        <v>45861</v>
      </c>
      <c r="AA373" s="46">
        <f ca="1">IFERROR(__xludf.DUMMYFUNCTION("""COMPUTED_VALUE"""),45874)</f>
        <v>45874</v>
      </c>
      <c r="AB373" s="45" t="str">
        <f ca="1">IFERROR(__xludf.DUMMYFUNCTION("""COMPUTED_VALUE"""),"3500 Argentia Road")</f>
        <v>3500 Argentia Road</v>
      </c>
      <c r="AC373" s="45"/>
      <c r="AD373" s="45" t="str">
        <f ca="1">IFERROR(__xludf.DUMMYFUNCTION("""COMPUTED_VALUE"""),"OCEAN")</f>
        <v>OCEAN</v>
      </c>
      <c r="AE373" s="45" t="str">
        <f ca="1">IFERROR(__xludf.DUMMYFUNCTION("""COMPUTED_VALUE"""),"N")</f>
        <v>N</v>
      </c>
      <c r="AF373" s="45"/>
      <c r="AG373" s="49" t="str">
        <f ca="1">IFERROR(__xludf.DUMMYFUNCTION("IFNA(vlookup(H373,IMPORTRANGE(""1vUGwO1n0QQGx9kKbO0_M5gmuhXZ6-LaxQxgrmJnzgP0"",""'TP# look up'!A:C""),3,0),"""")"),"")</f>
        <v/>
      </c>
      <c r="AH373" s="49" t="str">
        <f t="shared" ca="1" si="5"/>
        <v>LM</v>
      </c>
    </row>
    <row r="374" spans="1:34" ht="12.75" hidden="1">
      <c r="A374" s="45" t="str">
        <f ca="1">IFERROR(__xludf.DUMMYFUNCTION("""COMPUTED_VALUE"""),"Colombo")</f>
        <v>Colombo</v>
      </c>
      <c r="B374" s="45"/>
      <c r="C374" s="45">
        <f ca="1">IFERROR(__xludf.DUMMYFUNCTION("""COMPUTED_VALUE"""),3254506)</f>
        <v>3254506</v>
      </c>
      <c r="D374" s="45"/>
      <c r="E374" s="45" t="str">
        <f ca="1">IFERROR(__xludf.DUMMYFUNCTION("""COMPUTED_VALUE"""),"CFS")</f>
        <v>CFS</v>
      </c>
      <c r="F374" s="45" t="str">
        <f ca="1">IFERROR(__xludf.DUMMYFUNCTION("""COMPUTED_VALUE"""),"MAS AMITY PTE LTD")</f>
        <v>MAS AMITY PTE LTD</v>
      </c>
      <c r="G374" s="45" t="str">
        <f ca="1">IFERROR(__xludf.DUMMYFUNCTION("""COMPUTED_VALUE"""),"MAS Active (Pvt) Ltd – Sleekline")</f>
        <v>MAS Active (Pvt) Ltd – Sleekline</v>
      </c>
      <c r="H374" s="43">
        <f ca="1">IFERROR(__xludf.DUMMYFUNCTION("""COMPUTED_VALUE"""),452844569188)</f>
        <v>452844569188</v>
      </c>
      <c r="I374" s="45">
        <f ca="1">IFERROR(__xludf.DUMMYFUNCTION("""COMPUTED_VALUE"""),19913422)</f>
        <v>19913422</v>
      </c>
      <c r="J374" s="45" t="str">
        <f ca="1">IFERROR(__xludf.DUMMYFUNCTION("""COMPUTED_VALUE"""),"LM9AUNS")</f>
        <v>LM9AUNS</v>
      </c>
      <c r="K374" s="45" t="str">
        <f ca="1">IFERROR(__xludf.DUMMYFUNCTION("""COMPUTED_VALUE"""),"LM9AUNS-042751")</f>
        <v>LM9AUNS-042751</v>
      </c>
      <c r="L374" s="45">
        <f ca="1">IFERROR(__xludf.DUMMYFUNCTION("""COMPUTED_VALUE"""),3)</f>
        <v>3</v>
      </c>
      <c r="M374" s="45">
        <f ca="1">IFERROR(__xludf.DUMMYFUNCTION("""COMPUTED_VALUE"""),101)</f>
        <v>101</v>
      </c>
      <c r="N374" s="45">
        <f ca="1">IFERROR(__xludf.DUMMYFUNCTION("""COMPUTED_VALUE"""),26.03)</f>
        <v>26.03</v>
      </c>
      <c r="O374" s="45">
        <f ca="1">IFERROR(__xludf.DUMMYFUNCTION("""COMPUTED_VALUE"""),0.198)</f>
        <v>0.19800000000000001</v>
      </c>
      <c r="P374" s="45" t="str">
        <f ca="1">IFERROR(__xludf.DUMMYFUNCTION("""COMPUTED_VALUE"""),"Colombo, LK")</f>
        <v>Colombo, LK</v>
      </c>
      <c r="Q374" s="45" t="str">
        <f ca="1">IFERROR(__xludf.DUMMYFUNCTION("""COMPUTED_VALUE"""),"New York, NY, US")</f>
        <v>New York, NY, US</v>
      </c>
      <c r="R374" s="44">
        <f ca="1">IFERROR(__xludf.DUMMYFUNCTION("""COMPUTED_VALUE"""),45824)</f>
        <v>45824</v>
      </c>
      <c r="S374" s="44">
        <f ca="1">IFERROR(__xludf.DUMMYFUNCTION("""COMPUTED_VALUE"""),45883)</f>
        <v>45883</v>
      </c>
      <c r="T374" s="45" t="str">
        <f ca="1">IFERROR(__xludf.DUMMYFUNCTION("""COMPUTED_VALUE"""),"Mississauga, ON, CA")</f>
        <v>Mississauga, ON, CA</v>
      </c>
      <c r="U374" s="45"/>
      <c r="V374" s="45"/>
      <c r="W374" s="45"/>
      <c r="X374" s="45"/>
      <c r="Y374" s="46">
        <f ca="1">IFERROR(__xludf.DUMMYFUNCTION("""COMPUTED_VALUE"""),45832)</f>
        <v>45832</v>
      </c>
      <c r="Z374" s="46">
        <f ca="1">IFERROR(__xludf.DUMMYFUNCTION("""COMPUTED_VALUE"""),45861)</f>
        <v>45861</v>
      </c>
      <c r="AA374" s="46">
        <f ca="1">IFERROR(__xludf.DUMMYFUNCTION("""COMPUTED_VALUE"""),45874)</f>
        <v>45874</v>
      </c>
      <c r="AB374" s="45" t="str">
        <f ca="1">IFERROR(__xludf.DUMMYFUNCTION("""COMPUTED_VALUE"""),"3500 Argentia Road")</f>
        <v>3500 Argentia Road</v>
      </c>
      <c r="AC374" s="45"/>
      <c r="AD374" s="45" t="str">
        <f ca="1">IFERROR(__xludf.DUMMYFUNCTION("""COMPUTED_VALUE"""),"OCEAN")</f>
        <v>OCEAN</v>
      </c>
      <c r="AE374" s="45" t="str">
        <f ca="1">IFERROR(__xludf.DUMMYFUNCTION("""COMPUTED_VALUE"""),"N")</f>
        <v>N</v>
      </c>
      <c r="AF374" s="45"/>
      <c r="AG374" s="49" t="str">
        <f ca="1">IFERROR(__xludf.DUMMYFUNCTION("IFNA(vlookup(H374,IMPORTRANGE(""1vUGwO1n0QQGx9kKbO0_M5gmuhXZ6-LaxQxgrmJnzgP0"",""'TP# look up'!A:C""),3,0),"""")"),"")</f>
        <v/>
      </c>
      <c r="AH374" s="49" t="str">
        <f t="shared" ca="1" si="5"/>
        <v>LM</v>
      </c>
    </row>
    <row r="375" spans="1:34" ht="12.75" hidden="1">
      <c r="A375" s="45" t="str">
        <f ca="1">IFERROR(__xludf.DUMMYFUNCTION("""COMPUTED_VALUE"""),"Colombo")</f>
        <v>Colombo</v>
      </c>
      <c r="B375" s="45"/>
      <c r="C375" s="45">
        <f ca="1">IFERROR(__xludf.DUMMYFUNCTION("""COMPUTED_VALUE"""),3254506)</f>
        <v>3254506</v>
      </c>
      <c r="D375" s="45"/>
      <c r="E375" s="45" t="str">
        <f ca="1">IFERROR(__xludf.DUMMYFUNCTION("""COMPUTED_VALUE"""),"CFS")</f>
        <v>CFS</v>
      </c>
      <c r="F375" s="45" t="str">
        <f ca="1">IFERROR(__xludf.DUMMYFUNCTION("""COMPUTED_VALUE"""),"MAS AMITY PTE LTD")</f>
        <v>MAS AMITY PTE LTD</v>
      </c>
      <c r="G375" s="45" t="str">
        <f ca="1">IFERROR(__xludf.DUMMYFUNCTION("""COMPUTED_VALUE"""),"MAS Active (Pvt) Ltd – Sleekline")</f>
        <v>MAS Active (Pvt) Ltd – Sleekline</v>
      </c>
      <c r="H375" s="43">
        <f ca="1">IFERROR(__xludf.DUMMYFUNCTION("""COMPUTED_VALUE"""),452845689511)</f>
        <v>452845689511</v>
      </c>
      <c r="I375" s="45">
        <f ca="1">IFERROR(__xludf.DUMMYFUNCTION("""COMPUTED_VALUE"""),19922420)</f>
        <v>19922420</v>
      </c>
      <c r="J375" s="45" t="str">
        <f ca="1">IFERROR(__xludf.DUMMYFUNCTION("""COMPUTED_VALUE"""),"LM9AN5S")</f>
        <v>LM9AN5S</v>
      </c>
      <c r="K375" s="45" t="str">
        <f ca="1">IFERROR(__xludf.DUMMYFUNCTION("""COMPUTED_VALUE"""),"LM9AN5S-067086")</f>
        <v>LM9AN5S-067086</v>
      </c>
      <c r="L375" s="45">
        <f ca="1">IFERROR(__xludf.DUMMYFUNCTION("""COMPUTED_VALUE"""),11)</f>
        <v>11</v>
      </c>
      <c r="M375" s="45">
        <f ca="1">IFERROR(__xludf.DUMMYFUNCTION("""COMPUTED_VALUE"""),269)</f>
        <v>269</v>
      </c>
      <c r="N375" s="45">
        <f ca="1">IFERROR(__xludf.DUMMYFUNCTION("""COMPUTED_VALUE"""),149.32)</f>
        <v>149.32</v>
      </c>
      <c r="O375" s="45">
        <f ca="1">IFERROR(__xludf.DUMMYFUNCTION("""COMPUTED_VALUE"""),0.872)</f>
        <v>0.872</v>
      </c>
      <c r="P375" s="45" t="str">
        <f ca="1">IFERROR(__xludf.DUMMYFUNCTION("""COMPUTED_VALUE"""),"Colombo, LK")</f>
        <v>Colombo, LK</v>
      </c>
      <c r="Q375" s="45" t="str">
        <f ca="1">IFERROR(__xludf.DUMMYFUNCTION("""COMPUTED_VALUE"""),"New York, NY, US")</f>
        <v>New York, NY, US</v>
      </c>
      <c r="R375" s="44">
        <f ca="1">IFERROR(__xludf.DUMMYFUNCTION("""COMPUTED_VALUE"""),45824)</f>
        <v>45824</v>
      </c>
      <c r="S375" s="44">
        <f ca="1">IFERROR(__xludf.DUMMYFUNCTION("""COMPUTED_VALUE"""),45883)</f>
        <v>45883</v>
      </c>
      <c r="T375" s="45" t="str">
        <f ca="1">IFERROR(__xludf.DUMMYFUNCTION("""COMPUTED_VALUE"""),"Mississauga, ON, CA")</f>
        <v>Mississauga, ON, CA</v>
      </c>
      <c r="U375" s="45"/>
      <c r="V375" s="45"/>
      <c r="W375" s="45"/>
      <c r="X375" s="45"/>
      <c r="Y375" s="46">
        <f ca="1">IFERROR(__xludf.DUMMYFUNCTION("""COMPUTED_VALUE"""),45832)</f>
        <v>45832</v>
      </c>
      <c r="Z375" s="46">
        <f ca="1">IFERROR(__xludf.DUMMYFUNCTION("""COMPUTED_VALUE"""),45861)</f>
        <v>45861</v>
      </c>
      <c r="AA375" s="46">
        <f ca="1">IFERROR(__xludf.DUMMYFUNCTION("""COMPUTED_VALUE"""),45874)</f>
        <v>45874</v>
      </c>
      <c r="AB375" s="45" t="str">
        <f ca="1">IFERROR(__xludf.DUMMYFUNCTION("""COMPUTED_VALUE"""),"3500 Argentia Road")</f>
        <v>3500 Argentia Road</v>
      </c>
      <c r="AC375" s="45"/>
      <c r="AD375" s="45" t="str">
        <f ca="1">IFERROR(__xludf.DUMMYFUNCTION("""COMPUTED_VALUE"""),"OCEAN")</f>
        <v>OCEAN</v>
      </c>
      <c r="AE375" s="45" t="str">
        <f ca="1">IFERROR(__xludf.DUMMYFUNCTION("""COMPUTED_VALUE"""),"N")</f>
        <v>N</v>
      </c>
      <c r="AF375" s="45"/>
      <c r="AG375" s="49" t="str">
        <f ca="1">IFERROR(__xludf.DUMMYFUNCTION("IFNA(vlookup(H375,IMPORTRANGE(""1vUGwO1n0QQGx9kKbO0_M5gmuhXZ6-LaxQxgrmJnzgP0"",""'TP# look up'!A:C""),3,0),"""")"),"")</f>
        <v/>
      </c>
      <c r="AH375" s="49" t="str">
        <f t="shared" ca="1" si="5"/>
        <v>LM</v>
      </c>
    </row>
    <row r="376" spans="1:34" ht="12.75" hidden="1">
      <c r="A376" s="45" t="str">
        <f ca="1">IFERROR(__xludf.DUMMYFUNCTION("""COMPUTED_VALUE"""),"Colombo")</f>
        <v>Colombo</v>
      </c>
      <c r="B376" s="45"/>
      <c r="C376" s="45">
        <f ca="1">IFERROR(__xludf.DUMMYFUNCTION("""COMPUTED_VALUE"""),3254506)</f>
        <v>3254506</v>
      </c>
      <c r="D376" s="45"/>
      <c r="E376" s="45" t="str">
        <f ca="1">IFERROR(__xludf.DUMMYFUNCTION("""COMPUTED_VALUE"""),"CFS")</f>
        <v>CFS</v>
      </c>
      <c r="F376" s="45" t="str">
        <f ca="1">IFERROR(__xludf.DUMMYFUNCTION("""COMPUTED_VALUE"""),"MAS AMITY PTE LTD")</f>
        <v>MAS AMITY PTE LTD</v>
      </c>
      <c r="G376" s="45" t="str">
        <f ca="1">IFERROR(__xludf.DUMMYFUNCTION("""COMPUTED_VALUE"""),"MAS Active (Pvt) Ltd – Sleekline")</f>
        <v>MAS Active (Pvt) Ltd – Sleekline</v>
      </c>
      <c r="H376" s="43">
        <f ca="1">IFERROR(__xludf.DUMMYFUNCTION("""COMPUTED_VALUE"""),452846239219)</f>
        <v>452846239219</v>
      </c>
      <c r="I376" s="45">
        <f ca="1">IFERROR(__xludf.DUMMYFUNCTION("""COMPUTED_VALUE"""),19922455)</f>
        <v>19922455</v>
      </c>
      <c r="J376" s="45" t="str">
        <f ca="1">IFERROR(__xludf.DUMMYFUNCTION("""COMPUTED_VALUE"""),"LM9AUNS")</f>
        <v>LM9AUNS</v>
      </c>
      <c r="K376" s="45" t="str">
        <f ca="1">IFERROR(__xludf.DUMMYFUNCTION("""COMPUTED_VALUE"""),"LM9AUNS-042751")</f>
        <v>LM9AUNS-042751</v>
      </c>
      <c r="L376" s="45">
        <f ca="1">IFERROR(__xludf.DUMMYFUNCTION("""COMPUTED_VALUE"""),5)</f>
        <v>5</v>
      </c>
      <c r="M376" s="45">
        <f ca="1">IFERROR(__xludf.DUMMYFUNCTION("""COMPUTED_VALUE"""),198)</f>
        <v>198</v>
      </c>
      <c r="N376" s="45">
        <f ca="1">IFERROR(__xludf.DUMMYFUNCTION("""COMPUTED_VALUE"""),50.301)</f>
        <v>50.301000000000002</v>
      </c>
      <c r="O376" s="45">
        <f ca="1">IFERROR(__xludf.DUMMYFUNCTION("""COMPUTED_VALUE"""),0.397)</f>
        <v>0.39700000000000002</v>
      </c>
      <c r="P376" s="45" t="str">
        <f ca="1">IFERROR(__xludf.DUMMYFUNCTION("""COMPUTED_VALUE"""),"Colombo, LK")</f>
        <v>Colombo, LK</v>
      </c>
      <c r="Q376" s="45" t="str">
        <f ca="1">IFERROR(__xludf.DUMMYFUNCTION("""COMPUTED_VALUE"""),"New York, NY, US")</f>
        <v>New York, NY, US</v>
      </c>
      <c r="R376" s="44">
        <f ca="1">IFERROR(__xludf.DUMMYFUNCTION("""COMPUTED_VALUE"""),45824)</f>
        <v>45824</v>
      </c>
      <c r="S376" s="44">
        <f ca="1">IFERROR(__xludf.DUMMYFUNCTION("""COMPUTED_VALUE"""),45883)</f>
        <v>45883</v>
      </c>
      <c r="T376" s="45" t="str">
        <f ca="1">IFERROR(__xludf.DUMMYFUNCTION("""COMPUTED_VALUE"""),"Mississauga, ON, CA")</f>
        <v>Mississauga, ON, CA</v>
      </c>
      <c r="U376" s="45"/>
      <c r="V376" s="45"/>
      <c r="W376" s="45"/>
      <c r="X376" s="45"/>
      <c r="Y376" s="46">
        <f ca="1">IFERROR(__xludf.DUMMYFUNCTION("""COMPUTED_VALUE"""),45832)</f>
        <v>45832</v>
      </c>
      <c r="Z376" s="46">
        <f ca="1">IFERROR(__xludf.DUMMYFUNCTION("""COMPUTED_VALUE"""),45861)</f>
        <v>45861</v>
      </c>
      <c r="AA376" s="46">
        <f ca="1">IFERROR(__xludf.DUMMYFUNCTION("""COMPUTED_VALUE"""),45874)</f>
        <v>45874</v>
      </c>
      <c r="AB376" s="45" t="str">
        <f ca="1">IFERROR(__xludf.DUMMYFUNCTION("""COMPUTED_VALUE"""),"3500 Argentia Road")</f>
        <v>3500 Argentia Road</v>
      </c>
      <c r="AC376" s="45"/>
      <c r="AD376" s="45" t="str">
        <f ca="1">IFERROR(__xludf.DUMMYFUNCTION("""COMPUTED_VALUE"""),"OCEAN")</f>
        <v>OCEAN</v>
      </c>
      <c r="AE376" s="45" t="str">
        <f ca="1">IFERROR(__xludf.DUMMYFUNCTION("""COMPUTED_VALUE"""),"N")</f>
        <v>N</v>
      </c>
      <c r="AF376" s="45"/>
      <c r="AG376" s="49" t="str">
        <f ca="1">IFERROR(__xludf.DUMMYFUNCTION("IFNA(vlookup(H376,IMPORTRANGE(""1vUGwO1n0QQGx9kKbO0_M5gmuhXZ6-LaxQxgrmJnzgP0"",""'TP# look up'!A:C""),3,0),"""")"),"")</f>
        <v/>
      </c>
      <c r="AH376" s="49" t="str">
        <f t="shared" ca="1" si="5"/>
        <v>LM</v>
      </c>
    </row>
    <row r="377" spans="1:34" ht="12.75" hidden="1">
      <c r="A377" s="45" t="str">
        <f ca="1">IFERROR(__xludf.DUMMYFUNCTION("""COMPUTED_VALUE"""),"Colombo")</f>
        <v>Colombo</v>
      </c>
      <c r="B377" s="45"/>
      <c r="C377" s="45">
        <f ca="1">IFERROR(__xludf.DUMMYFUNCTION("""COMPUTED_VALUE"""),3254506)</f>
        <v>3254506</v>
      </c>
      <c r="D377" s="45"/>
      <c r="E377" s="45" t="str">
        <f ca="1">IFERROR(__xludf.DUMMYFUNCTION("""COMPUTED_VALUE"""),"CFS")</f>
        <v>CFS</v>
      </c>
      <c r="F377" s="45" t="str">
        <f ca="1">IFERROR(__xludf.DUMMYFUNCTION("""COMPUTED_VALUE"""),"MAS AMITY PTE LTD")</f>
        <v>MAS AMITY PTE LTD</v>
      </c>
      <c r="G377" s="45" t="str">
        <f ca="1">IFERROR(__xludf.DUMMYFUNCTION("""COMPUTED_VALUE"""),"MAS Active (Pvt) Ltd – Sleekline")</f>
        <v>MAS Active (Pvt) Ltd – Sleekline</v>
      </c>
      <c r="H377" s="43">
        <f ca="1">IFERROR(__xludf.DUMMYFUNCTION("""COMPUTED_VALUE"""),452847739796)</f>
        <v>452847739796</v>
      </c>
      <c r="I377" s="45">
        <f ca="1">IFERROR(__xludf.DUMMYFUNCTION("""COMPUTED_VALUE"""),19922466)</f>
        <v>19922466</v>
      </c>
      <c r="J377" s="45" t="str">
        <f ca="1">IFERROR(__xludf.DUMMYFUNCTION("""COMPUTED_VALUE"""),"LM9AY5S")</f>
        <v>LM9AY5S</v>
      </c>
      <c r="K377" s="45" t="str">
        <f ca="1">IFERROR(__xludf.DUMMYFUNCTION("""COMPUTED_VALUE"""),"LM9AY5S-031045")</f>
        <v>LM9AY5S-031045</v>
      </c>
      <c r="L377" s="45">
        <f ca="1">IFERROR(__xludf.DUMMYFUNCTION("""COMPUTED_VALUE"""),1)</f>
        <v>1</v>
      </c>
      <c r="M377" s="45">
        <f ca="1">IFERROR(__xludf.DUMMYFUNCTION("""COMPUTED_VALUE"""),134)</f>
        <v>134</v>
      </c>
      <c r="N377" s="45">
        <f ca="1">IFERROR(__xludf.DUMMYFUNCTION("""COMPUTED_VALUE"""),14.81)</f>
        <v>14.81</v>
      </c>
      <c r="O377" s="45">
        <f ca="1">IFERROR(__xludf.DUMMYFUNCTION("""COMPUTED_VALUE"""),0.079)</f>
        <v>7.9000000000000001E-2</v>
      </c>
      <c r="P377" s="45" t="str">
        <f ca="1">IFERROR(__xludf.DUMMYFUNCTION("""COMPUTED_VALUE"""),"Colombo, LK")</f>
        <v>Colombo, LK</v>
      </c>
      <c r="Q377" s="45" t="str">
        <f ca="1">IFERROR(__xludf.DUMMYFUNCTION("""COMPUTED_VALUE"""),"New York, NY, US")</f>
        <v>New York, NY, US</v>
      </c>
      <c r="R377" s="44">
        <f ca="1">IFERROR(__xludf.DUMMYFUNCTION("""COMPUTED_VALUE"""),45824)</f>
        <v>45824</v>
      </c>
      <c r="S377" s="44">
        <f ca="1">IFERROR(__xludf.DUMMYFUNCTION("""COMPUTED_VALUE"""),45883)</f>
        <v>45883</v>
      </c>
      <c r="T377" s="45" t="str">
        <f ca="1">IFERROR(__xludf.DUMMYFUNCTION("""COMPUTED_VALUE"""),"Mississauga, ON, CA")</f>
        <v>Mississauga, ON, CA</v>
      </c>
      <c r="U377" s="45"/>
      <c r="V377" s="45"/>
      <c r="W377" s="45"/>
      <c r="X377" s="45"/>
      <c r="Y377" s="46">
        <f ca="1">IFERROR(__xludf.DUMMYFUNCTION("""COMPUTED_VALUE"""),45832)</f>
        <v>45832</v>
      </c>
      <c r="Z377" s="46">
        <f ca="1">IFERROR(__xludf.DUMMYFUNCTION("""COMPUTED_VALUE"""),45861)</f>
        <v>45861</v>
      </c>
      <c r="AA377" s="46">
        <f ca="1">IFERROR(__xludf.DUMMYFUNCTION("""COMPUTED_VALUE"""),45874)</f>
        <v>45874</v>
      </c>
      <c r="AB377" s="45" t="str">
        <f ca="1">IFERROR(__xludf.DUMMYFUNCTION("""COMPUTED_VALUE"""),"3500 Argentia Road")</f>
        <v>3500 Argentia Road</v>
      </c>
      <c r="AC377" s="45"/>
      <c r="AD377" s="45" t="str">
        <f ca="1">IFERROR(__xludf.DUMMYFUNCTION("""COMPUTED_VALUE"""),"OCEAN")</f>
        <v>OCEAN</v>
      </c>
      <c r="AE377" s="45" t="str">
        <f ca="1">IFERROR(__xludf.DUMMYFUNCTION("""COMPUTED_VALUE"""),"N")</f>
        <v>N</v>
      </c>
      <c r="AF377" s="45"/>
      <c r="AG377" s="49" t="str">
        <f ca="1">IFERROR(__xludf.DUMMYFUNCTION("IFNA(vlookup(H377,IMPORTRANGE(""1vUGwO1n0QQGx9kKbO0_M5gmuhXZ6-LaxQxgrmJnzgP0"",""'TP# look up'!A:C""),3,0),"""")"),"")</f>
        <v/>
      </c>
      <c r="AH377" s="49" t="str">
        <f t="shared" ca="1" si="5"/>
        <v>LM</v>
      </c>
    </row>
    <row r="378" spans="1:34" ht="12.75" hidden="1">
      <c r="A378" s="45" t="str">
        <f ca="1">IFERROR(__xludf.DUMMYFUNCTION("""COMPUTED_VALUE"""),"Colombo")</f>
        <v>Colombo</v>
      </c>
      <c r="B378" s="45"/>
      <c r="C378" s="45">
        <f ca="1">IFERROR(__xludf.DUMMYFUNCTION("""COMPUTED_VALUE"""),3254506)</f>
        <v>3254506</v>
      </c>
      <c r="D378" s="45"/>
      <c r="E378" s="45" t="str">
        <f ca="1">IFERROR(__xludf.DUMMYFUNCTION("""COMPUTED_VALUE"""),"CFS")</f>
        <v>CFS</v>
      </c>
      <c r="F378" s="45" t="str">
        <f ca="1">IFERROR(__xludf.DUMMYFUNCTION("""COMPUTED_VALUE"""),"MAS AMITY PTE LTD")</f>
        <v>MAS AMITY PTE LTD</v>
      </c>
      <c r="G378" s="45" t="str">
        <f ca="1">IFERROR(__xludf.DUMMYFUNCTION("""COMPUTED_VALUE"""),"MAS Active (Pvt) Ltd – Sleekline")</f>
        <v>MAS Active (Pvt) Ltd – Sleekline</v>
      </c>
      <c r="H378" s="43">
        <f ca="1">IFERROR(__xludf.DUMMYFUNCTION("""COMPUTED_VALUE"""),452852455212)</f>
        <v>452852455212</v>
      </c>
      <c r="I378" s="45">
        <f ca="1">IFERROR(__xludf.DUMMYFUNCTION("""COMPUTED_VALUE"""),19922488)</f>
        <v>19922488</v>
      </c>
      <c r="J378" s="45" t="str">
        <f ca="1">IFERROR(__xludf.DUMMYFUNCTION("""COMPUTED_VALUE"""),"LM9AYLS")</f>
        <v>LM9AYLS</v>
      </c>
      <c r="K378" s="45" t="str">
        <f ca="1">IFERROR(__xludf.DUMMYFUNCTION("""COMPUTED_VALUE"""),"LM9AYLS-0001")</f>
        <v>LM9AYLS-0001</v>
      </c>
      <c r="L378" s="45">
        <f ca="1">IFERROR(__xludf.DUMMYFUNCTION("""COMPUTED_VALUE"""),2)</f>
        <v>2</v>
      </c>
      <c r="M378" s="45">
        <f ca="1">IFERROR(__xludf.DUMMYFUNCTION("""COMPUTED_VALUE"""),146)</f>
        <v>146</v>
      </c>
      <c r="N378" s="45">
        <f ca="1">IFERROR(__xludf.DUMMYFUNCTION("""COMPUTED_VALUE"""),14.43)</f>
        <v>14.43</v>
      </c>
      <c r="O378" s="45">
        <f ca="1">IFERROR(__xludf.DUMMYFUNCTION("""COMPUTED_VALUE"""),0.119)</f>
        <v>0.11899999999999999</v>
      </c>
      <c r="P378" s="45" t="str">
        <f ca="1">IFERROR(__xludf.DUMMYFUNCTION("""COMPUTED_VALUE"""),"Colombo, LK")</f>
        <v>Colombo, LK</v>
      </c>
      <c r="Q378" s="45" t="str">
        <f ca="1">IFERROR(__xludf.DUMMYFUNCTION("""COMPUTED_VALUE"""),"New York, NY, US")</f>
        <v>New York, NY, US</v>
      </c>
      <c r="R378" s="44">
        <f ca="1">IFERROR(__xludf.DUMMYFUNCTION("""COMPUTED_VALUE"""),45824)</f>
        <v>45824</v>
      </c>
      <c r="S378" s="44">
        <f ca="1">IFERROR(__xludf.DUMMYFUNCTION("""COMPUTED_VALUE"""),45883)</f>
        <v>45883</v>
      </c>
      <c r="T378" s="45" t="str">
        <f ca="1">IFERROR(__xludf.DUMMYFUNCTION("""COMPUTED_VALUE"""),"Mississauga, ON, CA")</f>
        <v>Mississauga, ON, CA</v>
      </c>
      <c r="U378" s="45"/>
      <c r="V378" s="45"/>
      <c r="W378" s="45"/>
      <c r="X378" s="45"/>
      <c r="Y378" s="46">
        <f ca="1">IFERROR(__xludf.DUMMYFUNCTION("""COMPUTED_VALUE"""),45832)</f>
        <v>45832</v>
      </c>
      <c r="Z378" s="46">
        <f ca="1">IFERROR(__xludf.DUMMYFUNCTION("""COMPUTED_VALUE"""),45861)</f>
        <v>45861</v>
      </c>
      <c r="AA378" s="46">
        <f ca="1">IFERROR(__xludf.DUMMYFUNCTION("""COMPUTED_VALUE"""),45874)</f>
        <v>45874</v>
      </c>
      <c r="AB378" s="45" t="str">
        <f ca="1">IFERROR(__xludf.DUMMYFUNCTION("""COMPUTED_VALUE"""),"3500 Argentia Road")</f>
        <v>3500 Argentia Road</v>
      </c>
      <c r="AC378" s="45"/>
      <c r="AD378" s="45" t="str">
        <f ca="1">IFERROR(__xludf.DUMMYFUNCTION("""COMPUTED_VALUE"""),"OCEAN")</f>
        <v>OCEAN</v>
      </c>
      <c r="AE378" s="45" t="str">
        <f ca="1">IFERROR(__xludf.DUMMYFUNCTION("""COMPUTED_VALUE"""),"N")</f>
        <v>N</v>
      </c>
      <c r="AF378" s="45"/>
      <c r="AG378" s="49" t="str">
        <f ca="1">IFERROR(__xludf.DUMMYFUNCTION("IFNA(vlookup(H378,IMPORTRANGE(""1vUGwO1n0QQGx9kKbO0_M5gmuhXZ6-LaxQxgrmJnzgP0"",""'TP# look up'!A:C""),3,0),"""")"),"")</f>
        <v/>
      </c>
      <c r="AH378" s="49" t="str">
        <f t="shared" ca="1" si="5"/>
        <v>LM</v>
      </c>
    </row>
    <row r="379" spans="1:34" ht="12.75" hidden="1">
      <c r="A379" s="45" t="str">
        <f ca="1">IFERROR(__xludf.DUMMYFUNCTION("""COMPUTED_VALUE"""),"Colombo")</f>
        <v>Colombo</v>
      </c>
      <c r="B379" s="45"/>
      <c r="C379" s="45">
        <f ca="1">IFERROR(__xludf.DUMMYFUNCTION("""COMPUTED_VALUE"""),3254506)</f>
        <v>3254506</v>
      </c>
      <c r="D379" s="45"/>
      <c r="E379" s="45" t="str">
        <f ca="1">IFERROR(__xludf.DUMMYFUNCTION("""COMPUTED_VALUE"""),"CFS")</f>
        <v>CFS</v>
      </c>
      <c r="F379" s="45" t="str">
        <f ca="1">IFERROR(__xludf.DUMMYFUNCTION("""COMPUTED_VALUE"""),"MAS AMITY PTE LTD")</f>
        <v>MAS AMITY PTE LTD</v>
      </c>
      <c r="G379" s="45" t="str">
        <f ca="1">IFERROR(__xludf.DUMMYFUNCTION("""COMPUTED_VALUE"""),"MAS Active (Pvt) Ltd – Sleekline")</f>
        <v>MAS Active (Pvt) Ltd – Sleekline</v>
      </c>
      <c r="H379" s="43">
        <f ca="1">IFERROR(__xludf.DUMMYFUNCTION("""COMPUTED_VALUE"""),452853430838)</f>
        <v>452853430838</v>
      </c>
      <c r="I379" s="45">
        <f ca="1">IFERROR(__xludf.DUMMYFUNCTION("""COMPUTED_VALUE"""),19922489)</f>
        <v>19922489</v>
      </c>
      <c r="J379" s="45" t="str">
        <f ca="1">IFERROR(__xludf.DUMMYFUNCTION("""COMPUTED_VALUE"""),"LM9AYLS")</f>
        <v>LM9AYLS</v>
      </c>
      <c r="K379" s="45" t="str">
        <f ca="1">IFERROR(__xludf.DUMMYFUNCTION("""COMPUTED_VALUE"""),"LM9AYLS-0001")</f>
        <v>LM9AYLS-0001</v>
      </c>
      <c r="L379" s="45">
        <f ca="1">IFERROR(__xludf.DUMMYFUNCTION("""COMPUTED_VALUE"""),1)</f>
        <v>1</v>
      </c>
      <c r="M379" s="45">
        <f ca="1">IFERROR(__xludf.DUMMYFUNCTION("""COMPUTED_VALUE"""),85)</f>
        <v>85</v>
      </c>
      <c r="N379" s="45">
        <f ca="1">IFERROR(__xludf.DUMMYFUNCTION("""COMPUTED_VALUE"""),8.35)</f>
        <v>8.35</v>
      </c>
      <c r="O379" s="45">
        <f ca="1">IFERROR(__xludf.DUMMYFUNCTION("""COMPUTED_VALUE"""),0.079)</f>
        <v>7.9000000000000001E-2</v>
      </c>
      <c r="P379" s="45" t="str">
        <f ca="1">IFERROR(__xludf.DUMMYFUNCTION("""COMPUTED_VALUE"""),"Colombo, LK")</f>
        <v>Colombo, LK</v>
      </c>
      <c r="Q379" s="45" t="str">
        <f ca="1">IFERROR(__xludf.DUMMYFUNCTION("""COMPUTED_VALUE"""),"New York, NY, US")</f>
        <v>New York, NY, US</v>
      </c>
      <c r="R379" s="44">
        <f ca="1">IFERROR(__xludf.DUMMYFUNCTION("""COMPUTED_VALUE"""),45824)</f>
        <v>45824</v>
      </c>
      <c r="S379" s="44">
        <f ca="1">IFERROR(__xludf.DUMMYFUNCTION("""COMPUTED_VALUE"""),45883)</f>
        <v>45883</v>
      </c>
      <c r="T379" s="45" t="str">
        <f ca="1">IFERROR(__xludf.DUMMYFUNCTION("""COMPUTED_VALUE"""),"Mississauga, ON, CA")</f>
        <v>Mississauga, ON, CA</v>
      </c>
      <c r="U379" s="45"/>
      <c r="V379" s="45"/>
      <c r="W379" s="45"/>
      <c r="X379" s="45"/>
      <c r="Y379" s="46">
        <f ca="1">IFERROR(__xludf.DUMMYFUNCTION("""COMPUTED_VALUE"""),45832)</f>
        <v>45832</v>
      </c>
      <c r="Z379" s="46">
        <f ca="1">IFERROR(__xludf.DUMMYFUNCTION("""COMPUTED_VALUE"""),45861)</f>
        <v>45861</v>
      </c>
      <c r="AA379" s="46">
        <f ca="1">IFERROR(__xludf.DUMMYFUNCTION("""COMPUTED_VALUE"""),45874)</f>
        <v>45874</v>
      </c>
      <c r="AB379" s="45" t="str">
        <f ca="1">IFERROR(__xludf.DUMMYFUNCTION("""COMPUTED_VALUE"""),"3500 Argentia Road")</f>
        <v>3500 Argentia Road</v>
      </c>
      <c r="AC379" s="45"/>
      <c r="AD379" s="45" t="str">
        <f ca="1">IFERROR(__xludf.DUMMYFUNCTION("""COMPUTED_VALUE"""),"OCEAN")</f>
        <v>OCEAN</v>
      </c>
      <c r="AE379" s="45" t="str">
        <f ca="1">IFERROR(__xludf.DUMMYFUNCTION("""COMPUTED_VALUE"""),"N")</f>
        <v>N</v>
      </c>
      <c r="AF379" s="45"/>
      <c r="AG379" s="49" t="str">
        <f ca="1">IFERROR(__xludf.DUMMYFUNCTION("IFNA(vlookup(H379,IMPORTRANGE(""1vUGwO1n0QQGx9kKbO0_M5gmuhXZ6-LaxQxgrmJnzgP0"",""'TP# look up'!A:C""),3,0),"""")"),"")</f>
        <v/>
      </c>
      <c r="AH379" s="49" t="str">
        <f t="shared" ca="1" si="5"/>
        <v>LM</v>
      </c>
    </row>
    <row r="380" spans="1:34" ht="12.75" hidden="1">
      <c r="A380" s="45" t="str">
        <f ca="1">IFERROR(__xludf.DUMMYFUNCTION("""COMPUTED_VALUE"""),"Colombo")</f>
        <v>Colombo</v>
      </c>
      <c r="B380" s="45"/>
      <c r="C380" s="45">
        <f ca="1">IFERROR(__xludf.DUMMYFUNCTION("""COMPUTED_VALUE"""),3254506)</f>
        <v>3254506</v>
      </c>
      <c r="D380" s="45"/>
      <c r="E380" s="45" t="str">
        <f ca="1">IFERROR(__xludf.DUMMYFUNCTION("""COMPUTED_VALUE"""),"CFS")</f>
        <v>CFS</v>
      </c>
      <c r="F380" s="45" t="str">
        <f ca="1">IFERROR(__xludf.DUMMYFUNCTION("""COMPUTED_VALUE"""),"MAS AMITY PTE LTD")</f>
        <v>MAS AMITY PTE LTD</v>
      </c>
      <c r="G380" s="45" t="str">
        <f ca="1">IFERROR(__xludf.DUMMYFUNCTION("""COMPUTED_VALUE"""),"MAS Active (Pvt) Ltd – Sleekline")</f>
        <v>MAS Active (Pvt) Ltd – Sleekline</v>
      </c>
      <c r="H380" s="43">
        <f ca="1">IFERROR(__xludf.DUMMYFUNCTION("""COMPUTED_VALUE"""),452853541122)</f>
        <v>452853541122</v>
      </c>
      <c r="I380" s="45">
        <f ca="1">IFERROR(__xludf.DUMMYFUNCTION("""COMPUTED_VALUE"""),19926806)</f>
        <v>19926806</v>
      </c>
      <c r="J380" s="45" t="str">
        <f ca="1">IFERROR(__xludf.DUMMYFUNCTION("""COMPUTED_VALUE"""),"LM9AY9S")</f>
        <v>LM9AY9S</v>
      </c>
      <c r="K380" s="45" t="str">
        <f ca="1">IFERROR(__xludf.DUMMYFUNCTION("""COMPUTED_VALUE"""),"LM9AY9S-042751")</f>
        <v>LM9AY9S-042751</v>
      </c>
      <c r="L380" s="45">
        <f ca="1">IFERROR(__xludf.DUMMYFUNCTION("""COMPUTED_VALUE"""),2)</f>
        <v>2</v>
      </c>
      <c r="M380" s="45">
        <f ca="1">IFERROR(__xludf.DUMMYFUNCTION("""COMPUTED_VALUE"""),73)</f>
        <v>73</v>
      </c>
      <c r="N380" s="45">
        <f ca="1">IFERROR(__xludf.DUMMYFUNCTION("""COMPUTED_VALUE"""),21.71)</f>
        <v>21.71</v>
      </c>
      <c r="O380" s="45">
        <f ca="1">IFERROR(__xludf.DUMMYFUNCTION("""COMPUTED_VALUE"""),0.159)</f>
        <v>0.159</v>
      </c>
      <c r="P380" s="45" t="str">
        <f ca="1">IFERROR(__xludf.DUMMYFUNCTION("""COMPUTED_VALUE"""),"Colombo, LK")</f>
        <v>Colombo, LK</v>
      </c>
      <c r="Q380" s="45" t="str">
        <f ca="1">IFERROR(__xludf.DUMMYFUNCTION("""COMPUTED_VALUE"""),"New York, NY, US")</f>
        <v>New York, NY, US</v>
      </c>
      <c r="R380" s="44">
        <f ca="1">IFERROR(__xludf.DUMMYFUNCTION("""COMPUTED_VALUE"""),45824)</f>
        <v>45824</v>
      </c>
      <c r="S380" s="44">
        <f ca="1">IFERROR(__xludf.DUMMYFUNCTION("""COMPUTED_VALUE"""),45883)</f>
        <v>45883</v>
      </c>
      <c r="T380" s="45" t="str">
        <f ca="1">IFERROR(__xludf.DUMMYFUNCTION("""COMPUTED_VALUE"""),"Mississauga, ON, CA")</f>
        <v>Mississauga, ON, CA</v>
      </c>
      <c r="U380" s="45"/>
      <c r="V380" s="45"/>
      <c r="W380" s="45"/>
      <c r="X380" s="45"/>
      <c r="Y380" s="46">
        <f ca="1">IFERROR(__xludf.DUMMYFUNCTION("""COMPUTED_VALUE"""),45832)</f>
        <v>45832</v>
      </c>
      <c r="Z380" s="46">
        <f ca="1">IFERROR(__xludf.DUMMYFUNCTION("""COMPUTED_VALUE"""),45861)</f>
        <v>45861</v>
      </c>
      <c r="AA380" s="46">
        <f ca="1">IFERROR(__xludf.DUMMYFUNCTION("""COMPUTED_VALUE"""),45874)</f>
        <v>45874</v>
      </c>
      <c r="AB380" s="45" t="str">
        <f ca="1">IFERROR(__xludf.DUMMYFUNCTION("""COMPUTED_VALUE"""),"3500 Argentia Road")</f>
        <v>3500 Argentia Road</v>
      </c>
      <c r="AC380" s="45"/>
      <c r="AD380" s="45" t="str">
        <f ca="1">IFERROR(__xludf.DUMMYFUNCTION("""COMPUTED_VALUE"""),"OCEAN")</f>
        <v>OCEAN</v>
      </c>
      <c r="AE380" s="45" t="str">
        <f ca="1">IFERROR(__xludf.DUMMYFUNCTION("""COMPUTED_VALUE"""),"N")</f>
        <v>N</v>
      </c>
      <c r="AF380" s="45"/>
      <c r="AG380" s="49" t="str">
        <f ca="1">IFERROR(__xludf.DUMMYFUNCTION("IFNA(vlookup(H380,IMPORTRANGE(""1vUGwO1n0QQGx9kKbO0_M5gmuhXZ6-LaxQxgrmJnzgP0"",""'TP# look up'!A:C""),3,0),"""")"),"")</f>
        <v/>
      </c>
      <c r="AH380" s="49" t="str">
        <f t="shared" ca="1" si="5"/>
        <v>LM</v>
      </c>
    </row>
    <row r="381" spans="1:34" ht="12.75" hidden="1">
      <c r="A381" s="45" t="str">
        <f ca="1">IFERROR(__xludf.DUMMYFUNCTION("""COMPUTED_VALUE"""),"Colombo")</f>
        <v>Colombo</v>
      </c>
      <c r="B381" s="45"/>
      <c r="C381" s="45">
        <f ca="1">IFERROR(__xludf.DUMMYFUNCTION("""COMPUTED_VALUE"""),3254506)</f>
        <v>3254506</v>
      </c>
      <c r="D381" s="45"/>
      <c r="E381" s="45" t="str">
        <f ca="1">IFERROR(__xludf.DUMMYFUNCTION("""COMPUTED_VALUE"""),"CFS")</f>
        <v>CFS</v>
      </c>
      <c r="F381" s="45" t="str">
        <f ca="1">IFERROR(__xludf.DUMMYFUNCTION("""COMPUTED_VALUE"""),"MAS AMITY PTE LTD")</f>
        <v>MAS AMITY PTE LTD</v>
      </c>
      <c r="G381" s="45" t="str">
        <f ca="1">IFERROR(__xludf.DUMMYFUNCTION("""COMPUTED_VALUE"""),"MAS Active (Pvt) Ltd – Sleekline")</f>
        <v>MAS Active (Pvt) Ltd – Sleekline</v>
      </c>
      <c r="H381" s="43">
        <f ca="1">IFERROR(__xludf.DUMMYFUNCTION("""COMPUTED_VALUE"""),452854030967)</f>
        <v>452854030967</v>
      </c>
      <c r="I381" s="45">
        <f ca="1">IFERROR(__xludf.DUMMYFUNCTION("""COMPUTED_VALUE"""),19926805)</f>
        <v>19926805</v>
      </c>
      <c r="J381" s="45" t="str">
        <f ca="1">IFERROR(__xludf.DUMMYFUNCTION("""COMPUTED_VALUE"""),"LM9AY9S")</f>
        <v>LM9AY9S</v>
      </c>
      <c r="K381" s="45" t="str">
        <f ca="1">IFERROR(__xludf.DUMMYFUNCTION("""COMPUTED_VALUE"""),"LM9AY9S-042751")</f>
        <v>LM9AY9S-042751</v>
      </c>
      <c r="L381" s="45">
        <f ca="1">IFERROR(__xludf.DUMMYFUNCTION("""COMPUTED_VALUE"""),3)</f>
        <v>3</v>
      </c>
      <c r="M381" s="45">
        <f ca="1">IFERROR(__xludf.DUMMYFUNCTION("""COMPUTED_VALUE"""),149)</f>
        <v>149</v>
      </c>
      <c r="N381" s="45">
        <f ca="1">IFERROR(__xludf.DUMMYFUNCTION("""COMPUTED_VALUE"""),43.12)</f>
        <v>43.12</v>
      </c>
      <c r="O381" s="45">
        <f ca="1">IFERROR(__xludf.DUMMYFUNCTION("""COMPUTED_VALUE"""),0.238)</f>
        <v>0.23799999999999999</v>
      </c>
      <c r="P381" s="45" t="str">
        <f ca="1">IFERROR(__xludf.DUMMYFUNCTION("""COMPUTED_VALUE"""),"Colombo, LK")</f>
        <v>Colombo, LK</v>
      </c>
      <c r="Q381" s="45" t="str">
        <f ca="1">IFERROR(__xludf.DUMMYFUNCTION("""COMPUTED_VALUE"""),"New York, NY, US")</f>
        <v>New York, NY, US</v>
      </c>
      <c r="R381" s="44">
        <f ca="1">IFERROR(__xludf.DUMMYFUNCTION("""COMPUTED_VALUE"""),45824)</f>
        <v>45824</v>
      </c>
      <c r="S381" s="44">
        <f ca="1">IFERROR(__xludf.DUMMYFUNCTION("""COMPUTED_VALUE"""),45883)</f>
        <v>45883</v>
      </c>
      <c r="T381" s="45" t="str">
        <f ca="1">IFERROR(__xludf.DUMMYFUNCTION("""COMPUTED_VALUE"""),"Mississauga, ON, CA")</f>
        <v>Mississauga, ON, CA</v>
      </c>
      <c r="U381" s="45"/>
      <c r="V381" s="45"/>
      <c r="W381" s="45"/>
      <c r="X381" s="45"/>
      <c r="Y381" s="46">
        <f ca="1">IFERROR(__xludf.DUMMYFUNCTION("""COMPUTED_VALUE"""),45832)</f>
        <v>45832</v>
      </c>
      <c r="Z381" s="46">
        <f ca="1">IFERROR(__xludf.DUMMYFUNCTION("""COMPUTED_VALUE"""),45861)</f>
        <v>45861</v>
      </c>
      <c r="AA381" s="46">
        <f ca="1">IFERROR(__xludf.DUMMYFUNCTION("""COMPUTED_VALUE"""),45874)</f>
        <v>45874</v>
      </c>
      <c r="AB381" s="45" t="str">
        <f ca="1">IFERROR(__xludf.DUMMYFUNCTION("""COMPUTED_VALUE"""),"3500 Argentia Road")</f>
        <v>3500 Argentia Road</v>
      </c>
      <c r="AC381" s="45"/>
      <c r="AD381" s="45" t="str">
        <f ca="1">IFERROR(__xludf.DUMMYFUNCTION("""COMPUTED_VALUE"""),"OCEAN")</f>
        <v>OCEAN</v>
      </c>
      <c r="AE381" s="45" t="str">
        <f ca="1">IFERROR(__xludf.DUMMYFUNCTION("""COMPUTED_VALUE"""),"N")</f>
        <v>N</v>
      </c>
      <c r="AF381" s="45"/>
      <c r="AG381" s="49" t="str">
        <f ca="1">IFERROR(__xludf.DUMMYFUNCTION("IFNA(vlookup(H381,IMPORTRANGE(""1vUGwO1n0QQGx9kKbO0_M5gmuhXZ6-LaxQxgrmJnzgP0"",""'TP# look up'!A:C""),3,0),"""")"),"")</f>
        <v/>
      </c>
      <c r="AH381" s="49" t="str">
        <f t="shared" ca="1" si="5"/>
        <v>LM</v>
      </c>
    </row>
    <row r="382" spans="1:34" ht="12.75" hidden="1">
      <c r="A382" s="45" t="str">
        <f ca="1">IFERROR(__xludf.DUMMYFUNCTION("""COMPUTED_VALUE"""),"Colombo")</f>
        <v>Colombo</v>
      </c>
      <c r="B382" s="45"/>
      <c r="C382" s="45">
        <f ca="1">IFERROR(__xludf.DUMMYFUNCTION("""COMPUTED_VALUE"""),3254506)</f>
        <v>3254506</v>
      </c>
      <c r="D382" s="45"/>
      <c r="E382" s="45" t="str">
        <f ca="1">IFERROR(__xludf.DUMMYFUNCTION("""COMPUTED_VALUE"""),"CFS")</f>
        <v>CFS</v>
      </c>
      <c r="F382" s="45" t="str">
        <f ca="1">IFERROR(__xludf.DUMMYFUNCTION("""COMPUTED_VALUE"""),"MAS AMITY PTE LTD")</f>
        <v>MAS AMITY PTE LTD</v>
      </c>
      <c r="G382" s="45" t="str">
        <f ca="1">IFERROR(__xludf.DUMMYFUNCTION("""COMPUTED_VALUE"""),"MAS Active (Pvt) Ltd – Sleekline")</f>
        <v>MAS Active (Pvt) Ltd – Sleekline</v>
      </c>
      <c r="H382" s="43">
        <f ca="1">IFERROR(__xludf.DUMMYFUNCTION("""COMPUTED_VALUE"""),452856319907)</f>
        <v>452856319907</v>
      </c>
      <c r="I382" s="45">
        <f ca="1">IFERROR(__xludf.DUMMYFUNCTION("""COMPUTED_VALUE"""),19926822)</f>
        <v>19926822</v>
      </c>
      <c r="J382" s="45" t="str">
        <f ca="1">IFERROR(__xludf.DUMMYFUNCTION("""COMPUTED_VALUE"""),"LM9AYES")</f>
        <v>LM9AYES</v>
      </c>
      <c r="K382" s="45" t="str">
        <f ca="1">IFERROR(__xludf.DUMMYFUNCTION("""COMPUTED_VALUE"""),"LM9AYES-071856")</f>
        <v>LM9AYES-071856</v>
      </c>
      <c r="L382" s="45">
        <f ca="1">IFERROR(__xludf.DUMMYFUNCTION("""COMPUTED_VALUE"""),6)</f>
        <v>6</v>
      </c>
      <c r="M382" s="45">
        <f ca="1">IFERROR(__xludf.DUMMYFUNCTION("""COMPUTED_VALUE"""),113)</f>
        <v>113</v>
      </c>
      <c r="N382" s="45">
        <f ca="1">IFERROR(__xludf.DUMMYFUNCTION("""COMPUTED_VALUE"""),54.42)</f>
        <v>54.42</v>
      </c>
      <c r="O382" s="45">
        <f ca="1">IFERROR(__xludf.DUMMYFUNCTION("""COMPUTED_VALUE"""),0.436)</f>
        <v>0.436</v>
      </c>
      <c r="P382" s="45" t="str">
        <f ca="1">IFERROR(__xludf.DUMMYFUNCTION("""COMPUTED_VALUE"""),"Colombo, LK")</f>
        <v>Colombo, LK</v>
      </c>
      <c r="Q382" s="45" t="str">
        <f ca="1">IFERROR(__xludf.DUMMYFUNCTION("""COMPUTED_VALUE"""),"New York, NY, US")</f>
        <v>New York, NY, US</v>
      </c>
      <c r="R382" s="44">
        <f ca="1">IFERROR(__xludf.DUMMYFUNCTION("""COMPUTED_VALUE"""),45824)</f>
        <v>45824</v>
      </c>
      <c r="S382" s="44">
        <f ca="1">IFERROR(__xludf.DUMMYFUNCTION("""COMPUTED_VALUE"""),45883)</f>
        <v>45883</v>
      </c>
      <c r="T382" s="45" t="str">
        <f ca="1">IFERROR(__xludf.DUMMYFUNCTION("""COMPUTED_VALUE"""),"Mississauga, ON, CA")</f>
        <v>Mississauga, ON, CA</v>
      </c>
      <c r="U382" s="45"/>
      <c r="V382" s="45"/>
      <c r="W382" s="45"/>
      <c r="X382" s="45"/>
      <c r="Y382" s="46">
        <f ca="1">IFERROR(__xludf.DUMMYFUNCTION("""COMPUTED_VALUE"""),45832)</f>
        <v>45832</v>
      </c>
      <c r="Z382" s="46">
        <f ca="1">IFERROR(__xludf.DUMMYFUNCTION("""COMPUTED_VALUE"""),45861)</f>
        <v>45861</v>
      </c>
      <c r="AA382" s="46">
        <f ca="1">IFERROR(__xludf.DUMMYFUNCTION("""COMPUTED_VALUE"""),45874)</f>
        <v>45874</v>
      </c>
      <c r="AB382" s="45" t="str">
        <f ca="1">IFERROR(__xludf.DUMMYFUNCTION("""COMPUTED_VALUE"""),"3500 Argentia Road")</f>
        <v>3500 Argentia Road</v>
      </c>
      <c r="AC382" s="45"/>
      <c r="AD382" s="45" t="str">
        <f ca="1">IFERROR(__xludf.DUMMYFUNCTION("""COMPUTED_VALUE"""),"OCEAN")</f>
        <v>OCEAN</v>
      </c>
      <c r="AE382" s="45" t="str">
        <f ca="1">IFERROR(__xludf.DUMMYFUNCTION("""COMPUTED_VALUE"""),"N")</f>
        <v>N</v>
      </c>
      <c r="AF382" s="45"/>
      <c r="AG382" s="49" t="str">
        <f ca="1">IFERROR(__xludf.DUMMYFUNCTION("IFNA(vlookup(H382,IMPORTRANGE(""1vUGwO1n0QQGx9kKbO0_M5gmuhXZ6-LaxQxgrmJnzgP0"",""'TP# look up'!A:C""),3,0),"""")"),"")</f>
        <v/>
      </c>
      <c r="AH382" s="49" t="str">
        <f t="shared" ca="1" si="5"/>
        <v>LM</v>
      </c>
    </row>
    <row r="383" spans="1:34" ht="12.75" hidden="1">
      <c r="A383" s="45" t="str">
        <f ca="1">IFERROR(__xludf.DUMMYFUNCTION("""COMPUTED_VALUE"""),"Colombo")</f>
        <v>Colombo</v>
      </c>
      <c r="B383" s="45"/>
      <c r="C383" s="45">
        <f ca="1">IFERROR(__xludf.DUMMYFUNCTION("""COMPUTED_VALUE"""),3254506)</f>
        <v>3254506</v>
      </c>
      <c r="D383" s="45"/>
      <c r="E383" s="45" t="str">
        <f ca="1">IFERROR(__xludf.DUMMYFUNCTION("""COMPUTED_VALUE"""),"CFS")</f>
        <v>CFS</v>
      </c>
      <c r="F383" s="45" t="str">
        <f ca="1">IFERROR(__xludf.DUMMYFUNCTION("""COMPUTED_VALUE"""),"MAS AMITY PTE LTD")</f>
        <v>MAS AMITY PTE LTD</v>
      </c>
      <c r="G383" s="45" t="str">
        <f ca="1">IFERROR(__xludf.DUMMYFUNCTION("""COMPUTED_VALUE"""),"MAS Active (Pvt) Ltd – Sleekline")</f>
        <v>MAS Active (Pvt) Ltd – Sleekline</v>
      </c>
      <c r="H383" s="43">
        <f ca="1">IFERROR(__xludf.DUMMYFUNCTION("""COMPUTED_VALUE"""),452858135232)</f>
        <v>452858135232</v>
      </c>
      <c r="I383" s="45">
        <f ca="1">IFERROR(__xludf.DUMMYFUNCTION("""COMPUTED_VALUE"""),19926952)</f>
        <v>19926952</v>
      </c>
      <c r="J383" s="45" t="str">
        <f ca="1">IFERROR(__xludf.DUMMYFUNCTION("""COMPUTED_VALUE"""),"LM9AMVS")</f>
        <v>LM9AMVS</v>
      </c>
      <c r="K383" s="45" t="str">
        <f ca="1">IFERROR(__xludf.DUMMYFUNCTION("""COMPUTED_VALUE"""),"LM9AMVS-072079")</f>
        <v>LM9AMVS-072079</v>
      </c>
      <c r="L383" s="45">
        <f ca="1">IFERROR(__xludf.DUMMYFUNCTION("""COMPUTED_VALUE"""),4)</f>
        <v>4</v>
      </c>
      <c r="M383" s="45">
        <f ca="1">IFERROR(__xludf.DUMMYFUNCTION("""COMPUTED_VALUE"""),147)</f>
        <v>147</v>
      </c>
      <c r="N383" s="45">
        <f ca="1">IFERROR(__xludf.DUMMYFUNCTION("""COMPUTED_VALUE"""),49.6)</f>
        <v>49.6</v>
      </c>
      <c r="O383" s="45">
        <f ca="1">IFERROR(__xludf.DUMMYFUNCTION("""COMPUTED_VALUE"""),0.317)</f>
        <v>0.317</v>
      </c>
      <c r="P383" s="45" t="str">
        <f ca="1">IFERROR(__xludf.DUMMYFUNCTION("""COMPUTED_VALUE"""),"Colombo, LK")</f>
        <v>Colombo, LK</v>
      </c>
      <c r="Q383" s="45" t="str">
        <f ca="1">IFERROR(__xludf.DUMMYFUNCTION("""COMPUTED_VALUE"""),"New York, NY, US")</f>
        <v>New York, NY, US</v>
      </c>
      <c r="R383" s="44">
        <f ca="1">IFERROR(__xludf.DUMMYFUNCTION("""COMPUTED_VALUE"""),45824)</f>
        <v>45824</v>
      </c>
      <c r="S383" s="44">
        <f ca="1">IFERROR(__xludf.DUMMYFUNCTION("""COMPUTED_VALUE"""),45883)</f>
        <v>45883</v>
      </c>
      <c r="T383" s="45" t="str">
        <f ca="1">IFERROR(__xludf.DUMMYFUNCTION("""COMPUTED_VALUE"""),"Mississauga, ON, CA")</f>
        <v>Mississauga, ON, CA</v>
      </c>
      <c r="U383" s="45"/>
      <c r="V383" s="45"/>
      <c r="W383" s="45"/>
      <c r="X383" s="45"/>
      <c r="Y383" s="46">
        <f ca="1">IFERROR(__xludf.DUMMYFUNCTION("""COMPUTED_VALUE"""),45832)</f>
        <v>45832</v>
      </c>
      <c r="Z383" s="46">
        <f ca="1">IFERROR(__xludf.DUMMYFUNCTION("""COMPUTED_VALUE"""),45861)</f>
        <v>45861</v>
      </c>
      <c r="AA383" s="46">
        <f ca="1">IFERROR(__xludf.DUMMYFUNCTION("""COMPUTED_VALUE"""),45874)</f>
        <v>45874</v>
      </c>
      <c r="AB383" s="45" t="str">
        <f ca="1">IFERROR(__xludf.DUMMYFUNCTION("""COMPUTED_VALUE"""),"3500 Argentia Road")</f>
        <v>3500 Argentia Road</v>
      </c>
      <c r="AC383" s="45"/>
      <c r="AD383" s="45" t="str">
        <f ca="1">IFERROR(__xludf.DUMMYFUNCTION("""COMPUTED_VALUE"""),"OCEAN")</f>
        <v>OCEAN</v>
      </c>
      <c r="AE383" s="45" t="str">
        <f ca="1">IFERROR(__xludf.DUMMYFUNCTION("""COMPUTED_VALUE"""),"N")</f>
        <v>N</v>
      </c>
      <c r="AF383" s="45"/>
      <c r="AG383" s="49" t="str">
        <f ca="1">IFERROR(__xludf.DUMMYFUNCTION("IFNA(vlookup(H383,IMPORTRANGE(""1vUGwO1n0QQGx9kKbO0_M5gmuhXZ6-LaxQxgrmJnzgP0"",""'TP# look up'!A:C""),3,0),"""")"),"")</f>
        <v/>
      </c>
      <c r="AH383" s="49" t="str">
        <f t="shared" ca="1" si="5"/>
        <v>LM</v>
      </c>
    </row>
    <row r="384" spans="1:34" ht="12.75" hidden="1">
      <c r="A384" s="45" t="str">
        <f ca="1">IFERROR(__xludf.DUMMYFUNCTION("""COMPUTED_VALUE"""),"Colombo")</f>
        <v>Colombo</v>
      </c>
      <c r="B384" s="45"/>
      <c r="C384" s="45">
        <f ca="1">IFERROR(__xludf.DUMMYFUNCTION("""COMPUTED_VALUE"""),3254506)</f>
        <v>3254506</v>
      </c>
      <c r="D384" s="45"/>
      <c r="E384" s="45" t="str">
        <f ca="1">IFERROR(__xludf.DUMMYFUNCTION("""COMPUTED_VALUE"""),"CFS")</f>
        <v>CFS</v>
      </c>
      <c r="F384" s="45" t="str">
        <f ca="1">IFERROR(__xludf.DUMMYFUNCTION("""COMPUTED_VALUE"""),"MAS AMITY PTE LTD")</f>
        <v>MAS AMITY PTE LTD</v>
      </c>
      <c r="G384" s="45" t="str">
        <f ca="1">IFERROR(__xludf.DUMMYFUNCTION("""COMPUTED_VALUE"""),"MAS Active (Pvt) Ltd – Sleekline")</f>
        <v>MAS Active (Pvt) Ltd – Sleekline</v>
      </c>
      <c r="H384" s="43">
        <f ca="1">IFERROR(__xludf.DUMMYFUNCTION("""COMPUTED_VALUE"""),452859992323)</f>
        <v>452859992323</v>
      </c>
      <c r="I384" s="45">
        <f ca="1">IFERROR(__xludf.DUMMYFUNCTION("""COMPUTED_VALUE"""),19927038)</f>
        <v>19927038</v>
      </c>
      <c r="J384" s="45" t="str">
        <f ca="1">IFERROR(__xludf.DUMMYFUNCTION("""COMPUTED_VALUE"""),"LM9AN5S")</f>
        <v>LM9AN5S</v>
      </c>
      <c r="K384" s="45" t="str">
        <f ca="1">IFERROR(__xludf.DUMMYFUNCTION("""COMPUTED_VALUE"""),"LM9AN5S-045958")</f>
        <v>LM9AN5S-045958</v>
      </c>
      <c r="L384" s="45">
        <f ca="1">IFERROR(__xludf.DUMMYFUNCTION("""COMPUTED_VALUE"""),7)</f>
        <v>7</v>
      </c>
      <c r="M384" s="45">
        <f ca="1">IFERROR(__xludf.DUMMYFUNCTION("""COMPUTED_VALUE"""),171)</f>
        <v>171</v>
      </c>
      <c r="N384" s="45">
        <f ca="1">IFERROR(__xludf.DUMMYFUNCTION("""COMPUTED_VALUE"""),95.01)</f>
        <v>95.01</v>
      </c>
      <c r="O384" s="45">
        <f ca="1">IFERROR(__xludf.DUMMYFUNCTION("""COMPUTED_VALUE"""),0.555)</f>
        <v>0.55500000000000005</v>
      </c>
      <c r="P384" s="45" t="str">
        <f ca="1">IFERROR(__xludf.DUMMYFUNCTION("""COMPUTED_VALUE"""),"Colombo, LK")</f>
        <v>Colombo, LK</v>
      </c>
      <c r="Q384" s="45" t="str">
        <f ca="1">IFERROR(__xludf.DUMMYFUNCTION("""COMPUTED_VALUE"""),"New York, NY, US")</f>
        <v>New York, NY, US</v>
      </c>
      <c r="R384" s="44">
        <f ca="1">IFERROR(__xludf.DUMMYFUNCTION("""COMPUTED_VALUE"""),45824)</f>
        <v>45824</v>
      </c>
      <c r="S384" s="44">
        <f ca="1">IFERROR(__xludf.DUMMYFUNCTION("""COMPUTED_VALUE"""),45883)</f>
        <v>45883</v>
      </c>
      <c r="T384" s="45" t="str">
        <f ca="1">IFERROR(__xludf.DUMMYFUNCTION("""COMPUTED_VALUE"""),"Mississauga, ON, CA")</f>
        <v>Mississauga, ON, CA</v>
      </c>
      <c r="U384" s="45"/>
      <c r="V384" s="45"/>
      <c r="W384" s="45"/>
      <c r="X384" s="45"/>
      <c r="Y384" s="46">
        <f ca="1">IFERROR(__xludf.DUMMYFUNCTION("""COMPUTED_VALUE"""),45832)</f>
        <v>45832</v>
      </c>
      <c r="Z384" s="46">
        <f ca="1">IFERROR(__xludf.DUMMYFUNCTION("""COMPUTED_VALUE"""),45861)</f>
        <v>45861</v>
      </c>
      <c r="AA384" s="46">
        <f ca="1">IFERROR(__xludf.DUMMYFUNCTION("""COMPUTED_VALUE"""),45874)</f>
        <v>45874</v>
      </c>
      <c r="AB384" s="45" t="str">
        <f ca="1">IFERROR(__xludf.DUMMYFUNCTION("""COMPUTED_VALUE"""),"3500 Argentia Road")</f>
        <v>3500 Argentia Road</v>
      </c>
      <c r="AC384" s="45"/>
      <c r="AD384" s="45" t="str">
        <f ca="1">IFERROR(__xludf.DUMMYFUNCTION("""COMPUTED_VALUE"""),"OCEAN")</f>
        <v>OCEAN</v>
      </c>
      <c r="AE384" s="45" t="str">
        <f ca="1">IFERROR(__xludf.DUMMYFUNCTION("""COMPUTED_VALUE"""),"N")</f>
        <v>N</v>
      </c>
      <c r="AF384" s="45"/>
      <c r="AG384" s="49" t="str">
        <f ca="1">IFERROR(__xludf.DUMMYFUNCTION("IFNA(vlookup(H384,IMPORTRANGE(""1vUGwO1n0QQGx9kKbO0_M5gmuhXZ6-LaxQxgrmJnzgP0"",""'TP# look up'!A:C""),3,0),"""")"),"")</f>
        <v/>
      </c>
      <c r="AH384" s="49" t="str">
        <f t="shared" ca="1" si="5"/>
        <v>LM</v>
      </c>
    </row>
    <row r="385" spans="1:34" ht="12.75" hidden="1">
      <c r="A385" s="45" t="str">
        <f ca="1">IFERROR(__xludf.DUMMYFUNCTION("""COMPUTED_VALUE"""),"Colombo")</f>
        <v>Colombo</v>
      </c>
      <c r="B385" s="45"/>
      <c r="C385" s="45">
        <f ca="1">IFERROR(__xludf.DUMMYFUNCTION("""COMPUTED_VALUE"""),3254506)</f>
        <v>3254506</v>
      </c>
      <c r="D385" s="45"/>
      <c r="E385" s="45" t="str">
        <f ca="1">IFERROR(__xludf.DUMMYFUNCTION("""COMPUTED_VALUE"""),"CFS")</f>
        <v>CFS</v>
      </c>
      <c r="F385" s="45" t="str">
        <f ca="1">IFERROR(__xludf.DUMMYFUNCTION("""COMPUTED_VALUE"""),"MAS AMITY PTE LTD")</f>
        <v>MAS AMITY PTE LTD</v>
      </c>
      <c r="G385" s="45" t="str">
        <f ca="1">IFERROR(__xludf.DUMMYFUNCTION("""COMPUTED_VALUE"""),"MAS Active (Pvt) Ltd – Sleekline")</f>
        <v>MAS Active (Pvt) Ltd – Sleekline</v>
      </c>
      <c r="H385" s="43">
        <f ca="1">IFERROR(__xludf.DUMMYFUNCTION("""COMPUTED_VALUE"""),452862804612)</f>
        <v>452862804612</v>
      </c>
      <c r="I385" s="45">
        <f ca="1">IFERROR(__xludf.DUMMYFUNCTION("""COMPUTED_VALUE"""),19927068)</f>
        <v>19927068</v>
      </c>
      <c r="J385" s="45" t="str">
        <f ca="1">IFERROR(__xludf.DUMMYFUNCTION("""COMPUTED_VALUE"""),"LM9AN8S")</f>
        <v>LM9AN8S</v>
      </c>
      <c r="K385" s="45" t="str">
        <f ca="1">IFERROR(__xludf.DUMMYFUNCTION("""COMPUTED_VALUE"""),"LM9AN8S-072476")</f>
        <v>LM9AN8S-072476</v>
      </c>
      <c r="L385" s="45">
        <f ca="1">IFERROR(__xludf.DUMMYFUNCTION("""COMPUTED_VALUE"""),4)</f>
        <v>4</v>
      </c>
      <c r="M385" s="45">
        <f ca="1">IFERROR(__xludf.DUMMYFUNCTION("""COMPUTED_VALUE"""),159)</f>
        <v>159</v>
      </c>
      <c r="N385" s="45">
        <f ca="1">IFERROR(__xludf.DUMMYFUNCTION("""COMPUTED_VALUE"""),49.04)</f>
        <v>49.04</v>
      </c>
      <c r="O385" s="45">
        <f ca="1">IFERROR(__xludf.DUMMYFUNCTION("""COMPUTED_VALUE"""),0.317)</f>
        <v>0.317</v>
      </c>
      <c r="P385" s="45" t="str">
        <f ca="1">IFERROR(__xludf.DUMMYFUNCTION("""COMPUTED_VALUE"""),"Colombo, LK")</f>
        <v>Colombo, LK</v>
      </c>
      <c r="Q385" s="45" t="str">
        <f ca="1">IFERROR(__xludf.DUMMYFUNCTION("""COMPUTED_VALUE"""),"New York, NY, US")</f>
        <v>New York, NY, US</v>
      </c>
      <c r="R385" s="44">
        <f ca="1">IFERROR(__xludf.DUMMYFUNCTION("""COMPUTED_VALUE"""),45824)</f>
        <v>45824</v>
      </c>
      <c r="S385" s="44">
        <f ca="1">IFERROR(__xludf.DUMMYFUNCTION("""COMPUTED_VALUE"""),45883)</f>
        <v>45883</v>
      </c>
      <c r="T385" s="45" t="str">
        <f ca="1">IFERROR(__xludf.DUMMYFUNCTION("""COMPUTED_VALUE"""),"Mississauga, ON, CA")</f>
        <v>Mississauga, ON, CA</v>
      </c>
      <c r="U385" s="45"/>
      <c r="V385" s="45"/>
      <c r="W385" s="45"/>
      <c r="X385" s="45"/>
      <c r="Y385" s="46">
        <f ca="1">IFERROR(__xludf.DUMMYFUNCTION("""COMPUTED_VALUE"""),45832)</f>
        <v>45832</v>
      </c>
      <c r="Z385" s="46">
        <f ca="1">IFERROR(__xludf.DUMMYFUNCTION("""COMPUTED_VALUE"""),45861)</f>
        <v>45861</v>
      </c>
      <c r="AA385" s="46">
        <f ca="1">IFERROR(__xludf.DUMMYFUNCTION("""COMPUTED_VALUE"""),45874)</f>
        <v>45874</v>
      </c>
      <c r="AB385" s="45" t="str">
        <f ca="1">IFERROR(__xludf.DUMMYFUNCTION("""COMPUTED_VALUE"""),"3500 Argentia Road")</f>
        <v>3500 Argentia Road</v>
      </c>
      <c r="AC385" s="45"/>
      <c r="AD385" s="45" t="str">
        <f ca="1">IFERROR(__xludf.DUMMYFUNCTION("""COMPUTED_VALUE"""),"OCEAN")</f>
        <v>OCEAN</v>
      </c>
      <c r="AE385" s="45" t="str">
        <f ca="1">IFERROR(__xludf.DUMMYFUNCTION("""COMPUTED_VALUE"""),"N")</f>
        <v>N</v>
      </c>
      <c r="AF385" s="45"/>
      <c r="AG385" s="49" t="str">
        <f ca="1">IFERROR(__xludf.DUMMYFUNCTION("IFNA(vlookup(H385,IMPORTRANGE(""1vUGwO1n0QQGx9kKbO0_M5gmuhXZ6-LaxQxgrmJnzgP0"",""'TP# look up'!A:C""),3,0),"""")"),"")</f>
        <v/>
      </c>
      <c r="AH385" s="49" t="str">
        <f t="shared" ca="1" si="5"/>
        <v>LM</v>
      </c>
    </row>
    <row r="386" spans="1:34" ht="12.75" hidden="1">
      <c r="A386" s="45" t="str">
        <f ca="1">IFERROR(__xludf.DUMMYFUNCTION("""COMPUTED_VALUE"""),"Colombo")</f>
        <v>Colombo</v>
      </c>
      <c r="B386" s="45"/>
      <c r="C386" s="45">
        <f ca="1">IFERROR(__xludf.DUMMYFUNCTION("""COMPUTED_VALUE"""),3254506)</f>
        <v>3254506</v>
      </c>
      <c r="D386" s="45"/>
      <c r="E386" s="45" t="str">
        <f ca="1">IFERROR(__xludf.DUMMYFUNCTION("""COMPUTED_VALUE"""),"CFS")</f>
        <v>CFS</v>
      </c>
      <c r="F386" s="45" t="str">
        <f ca="1">IFERROR(__xludf.DUMMYFUNCTION("""COMPUTED_VALUE"""),"MAS AMITY PTE LTD")</f>
        <v>MAS AMITY PTE LTD</v>
      </c>
      <c r="G386" s="45" t="str">
        <f ca="1">IFERROR(__xludf.DUMMYFUNCTION("""COMPUTED_VALUE"""),"MAS Active (Pvt) Ltd – Sleekline")</f>
        <v>MAS Active (Pvt) Ltd – Sleekline</v>
      </c>
      <c r="H386" s="43">
        <f ca="1">IFERROR(__xludf.DUMMYFUNCTION("""COMPUTED_VALUE"""),452865421049)</f>
        <v>452865421049</v>
      </c>
      <c r="I386" s="45">
        <f ca="1">IFERROR(__xludf.DUMMYFUNCTION("""COMPUTED_VALUE"""),19935878)</f>
        <v>19935878</v>
      </c>
      <c r="J386" s="45" t="str">
        <f ca="1">IFERROR(__xludf.DUMMYFUNCTION("""COMPUTED_VALUE"""),"LM9AUNS")</f>
        <v>LM9AUNS</v>
      </c>
      <c r="K386" s="45" t="str">
        <f ca="1">IFERROR(__xludf.DUMMYFUNCTION("""COMPUTED_VALUE"""),"LM9AUNS-069918")</f>
        <v>LM9AUNS-069918</v>
      </c>
      <c r="L386" s="45">
        <f ca="1">IFERROR(__xludf.DUMMYFUNCTION("""COMPUTED_VALUE"""),2)</f>
        <v>2</v>
      </c>
      <c r="M386" s="45">
        <f ca="1">IFERROR(__xludf.DUMMYFUNCTION("""COMPUTED_VALUE"""),74)</f>
        <v>74</v>
      </c>
      <c r="N386" s="45">
        <f ca="1">IFERROR(__xludf.DUMMYFUNCTION("""COMPUTED_VALUE"""),18.98)</f>
        <v>18.98</v>
      </c>
      <c r="O386" s="45">
        <f ca="1">IFERROR(__xludf.DUMMYFUNCTION("""COMPUTED_VALUE"""),0.159)</f>
        <v>0.159</v>
      </c>
      <c r="P386" s="45" t="str">
        <f ca="1">IFERROR(__xludf.DUMMYFUNCTION("""COMPUTED_VALUE"""),"Colombo, LK")</f>
        <v>Colombo, LK</v>
      </c>
      <c r="Q386" s="45" t="str">
        <f ca="1">IFERROR(__xludf.DUMMYFUNCTION("""COMPUTED_VALUE"""),"New York, NY, US")</f>
        <v>New York, NY, US</v>
      </c>
      <c r="R386" s="44">
        <f ca="1">IFERROR(__xludf.DUMMYFUNCTION("""COMPUTED_VALUE"""),45824)</f>
        <v>45824</v>
      </c>
      <c r="S386" s="44">
        <f ca="1">IFERROR(__xludf.DUMMYFUNCTION("""COMPUTED_VALUE"""),45883)</f>
        <v>45883</v>
      </c>
      <c r="T386" s="45" t="str">
        <f ca="1">IFERROR(__xludf.DUMMYFUNCTION("""COMPUTED_VALUE"""),"Mississauga, ON, CA")</f>
        <v>Mississauga, ON, CA</v>
      </c>
      <c r="U386" s="45"/>
      <c r="V386" s="45"/>
      <c r="W386" s="45"/>
      <c r="X386" s="45"/>
      <c r="Y386" s="46">
        <f ca="1">IFERROR(__xludf.DUMMYFUNCTION("""COMPUTED_VALUE"""),45832)</f>
        <v>45832</v>
      </c>
      <c r="Z386" s="46">
        <f ca="1">IFERROR(__xludf.DUMMYFUNCTION("""COMPUTED_VALUE"""),45861)</f>
        <v>45861</v>
      </c>
      <c r="AA386" s="46">
        <f ca="1">IFERROR(__xludf.DUMMYFUNCTION("""COMPUTED_VALUE"""),45874)</f>
        <v>45874</v>
      </c>
      <c r="AB386" s="45" t="str">
        <f ca="1">IFERROR(__xludf.DUMMYFUNCTION("""COMPUTED_VALUE"""),"3500 Argentia Road")</f>
        <v>3500 Argentia Road</v>
      </c>
      <c r="AC386" s="45"/>
      <c r="AD386" s="45" t="str">
        <f ca="1">IFERROR(__xludf.DUMMYFUNCTION("""COMPUTED_VALUE"""),"OCEAN")</f>
        <v>OCEAN</v>
      </c>
      <c r="AE386" s="45" t="str">
        <f ca="1">IFERROR(__xludf.DUMMYFUNCTION("""COMPUTED_VALUE"""),"N")</f>
        <v>N</v>
      </c>
      <c r="AF386" s="45"/>
      <c r="AG386" s="49" t="str">
        <f ca="1">IFERROR(__xludf.DUMMYFUNCTION("IFNA(vlookup(H386,IMPORTRANGE(""1vUGwO1n0QQGx9kKbO0_M5gmuhXZ6-LaxQxgrmJnzgP0"",""'TP# look up'!A:C""),3,0),"""")"),"")</f>
        <v/>
      </c>
      <c r="AH386" s="49" t="str">
        <f t="shared" ref="AH386:AH449" ca="1" si="6">LEFT(J386,2)</f>
        <v>LM</v>
      </c>
    </row>
    <row r="387" spans="1:34" ht="12.75" hidden="1">
      <c r="A387" s="45" t="str">
        <f ca="1">IFERROR(__xludf.DUMMYFUNCTION("""COMPUTED_VALUE"""),"Colombo")</f>
        <v>Colombo</v>
      </c>
      <c r="B387" s="45"/>
      <c r="C387" s="45">
        <f ca="1">IFERROR(__xludf.DUMMYFUNCTION("""COMPUTED_VALUE"""),3254506)</f>
        <v>3254506</v>
      </c>
      <c r="D387" s="45"/>
      <c r="E387" s="45" t="str">
        <f ca="1">IFERROR(__xludf.DUMMYFUNCTION("""COMPUTED_VALUE"""),"CFS")</f>
        <v>CFS</v>
      </c>
      <c r="F387" s="45" t="str">
        <f ca="1">IFERROR(__xludf.DUMMYFUNCTION("""COMPUTED_VALUE"""),"MAS AMITY PTE LTD")</f>
        <v>MAS AMITY PTE LTD</v>
      </c>
      <c r="G387" s="45" t="str">
        <f ca="1">IFERROR(__xludf.DUMMYFUNCTION("""COMPUTED_VALUE"""),"MAS Active (Pvt) Ltd – Sleekline")</f>
        <v>MAS Active (Pvt) Ltd – Sleekline</v>
      </c>
      <c r="H387" s="43">
        <f ca="1">IFERROR(__xludf.DUMMYFUNCTION("""COMPUTED_VALUE"""),452866507552)</f>
        <v>452866507552</v>
      </c>
      <c r="I387" s="45">
        <f ca="1">IFERROR(__xludf.DUMMYFUNCTION("""COMPUTED_VALUE"""),19927133)</f>
        <v>19927133</v>
      </c>
      <c r="J387" s="45" t="str">
        <f ca="1">IFERROR(__xludf.DUMMYFUNCTION("""COMPUTED_VALUE"""),"LM9AY9S")</f>
        <v>LM9AY9S</v>
      </c>
      <c r="K387" s="45" t="str">
        <f ca="1">IFERROR(__xludf.DUMMYFUNCTION("""COMPUTED_VALUE"""),"LM9AY9S-072079")</f>
        <v>LM9AY9S-072079</v>
      </c>
      <c r="L387" s="45">
        <f ca="1">IFERROR(__xludf.DUMMYFUNCTION("""COMPUTED_VALUE"""),3)</f>
        <v>3</v>
      </c>
      <c r="M387" s="45">
        <f ca="1">IFERROR(__xludf.DUMMYFUNCTION("""COMPUTED_VALUE"""),138)</f>
        <v>138</v>
      </c>
      <c r="N387" s="45">
        <f ca="1">IFERROR(__xludf.DUMMYFUNCTION("""COMPUTED_VALUE"""),40.36)</f>
        <v>40.36</v>
      </c>
      <c r="O387" s="45">
        <f ca="1">IFERROR(__xludf.DUMMYFUNCTION("""COMPUTED_VALUE"""),0.238)</f>
        <v>0.23799999999999999</v>
      </c>
      <c r="P387" s="45" t="str">
        <f ca="1">IFERROR(__xludf.DUMMYFUNCTION("""COMPUTED_VALUE"""),"Colombo, LK")</f>
        <v>Colombo, LK</v>
      </c>
      <c r="Q387" s="45" t="str">
        <f ca="1">IFERROR(__xludf.DUMMYFUNCTION("""COMPUTED_VALUE"""),"New York, NY, US")</f>
        <v>New York, NY, US</v>
      </c>
      <c r="R387" s="44">
        <f ca="1">IFERROR(__xludf.DUMMYFUNCTION("""COMPUTED_VALUE"""),45824)</f>
        <v>45824</v>
      </c>
      <c r="S387" s="44">
        <f ca="1">IFERROR(__xludf.DUMMYFUNCTION("""COMPUTED_VALUE"""),45883)</f>
        <v>45883</v>
      </c>
      <c r="T387" s="45" t="str">
        <f ca="1">IFERROR(__xludf.DUMMYFUNCTION("""COMPUTED_VALUE"""),"Mississauga, ON, CA")</f>
        <v>Mississauga, ON, CA</v>
      </c>
      <c r="U387" s="45"/>
      <c r="V387" s="45"/>
      <c r="W387" s="45"/>
      <c r="X387" s="45"/>
      <c r="Y387" s="46">
        <f ca="1">IFERROR(__xludf.DUMMYFUNCTION("""COMPUTED_VALUE"""),45832)</f>
        <v>45832</v>
      </c>
      <c r="Z387" s="46">
        <f ca="1">IFERROR(__xludf.DUMMYFUNCTION("""COMPUTED_VALUE"""),45861)</f>
        <v>45861</v>
      </c>
      <c r="AA387" s="46">
        <f ca="1">IFERROR(__xludf.DUMMYFUNCTION("""COMPUTED_VALUE"""),45874)</f>
        <v>45874</v>
      </c>
      <c r="AB387" s="45" t="str">
        <f ca="1">IFERROR(__xludf.DUMMYFUNCTION("""COMPUTED_VALUE"""),"3500 Argentia Road")</f>
        <v>3500 Argentia Road</v>
      </c>
      <c r="AC387" s="45"/>
      <c r="AD387" s="45" t="str">
        <f ca="1">IFERROR(__xludf.DUMMYFUNCTION("""COMPUTED_VALUE"""),"OCEAN")</f>
        <v>OCEAN</v>
      </c>
      <c r="AE387" s="45" t="str">
        <f ca="1">IFERROR(__xludf.DUMMYFUNCTION("""COMPUTED_VALUE"""),"N")</f>
        <v>N</v>
      </c>
      <c r="AF387" s="45"/>
      <c r="AG387" s="49" t="str">
        <f ca="1">IFERROR(__xludf.DUMMYFUNCTION("IFNA(vlookup(H387,IMPORTRANGE(""1vUGwO1n0QQGx9kKbO0_M5gmuhXZ6-LaxQxgrmJnzgP0"",""'TP# look up'!A:C""),3,0),"""")"),"")</f>
        <v/>
      </c>
      <c r="AH387" s="49" t="str">
        <f t="shared" ca="1" si="6"/>
        <v>LM</v>
      </c>
    </row>
    <row r="388" spans="1:34" ht="12.75" hidden="1">
      <c r="A388" s="45" t="str">
        <f ca="1">IFERROR(__xludf.DUMMYFUNCTION("""COMPUTED_VALUE"""),"Colombo")</f>
        <v>Colombo</v>
      </c>
      <c r="B388" s="45"/>
      <c r="C388" s="45">
        <f ca="1">IFERROR(__xludf.DUMMYFUNCTION("""COMPUTED_VALUE"""),3254506)</f>
        <v>3254506</v>
      </c>
      <c r="D388" s="45"/>
      <c r="E388" s="45" t="str">
        <f ca="1">IFERROR(__xludf.DUMMYFUNCTION("""COMPUTED_VALUE"""),"CFS")</f>
        <v>CFS</v>
      </c>
      <c r="F388" s="45" t="str">
        <f ca="1">IFERROR(__xludf.DUMMYFUNCTION("""COMPUTED_VALUE"""),"MAS AMITY PTE LTD")</f>
        <v>MAS AMITY PTE LTD</v>
      </c>
      <c r="G388" s="45" t="str">
        <f ca="1">IFERROR(__xludf.DUMMYFUNCTION("""COMPUTED_VALUE"""),"MAS Active (Pvt) Ltd – Sleekline")</f>
        <v>MAS Active (Pvt) Ltd – Sleekline</v>
      </c>
      <c r="H388" s="43">
        <f ca="1">IFERROR(__xludf.DUMMYFUNCTION("""COMPUTED_VALUE"""),452869779430)</f>
        <v>452869779430</v>
      </c>
      <c r="I388" s="45">
        <f ca="1">IFERROR(__xludf.DUMMYFUNCTION("""COMPUTED_VALUE"""),19927158)</f>
        <v>19927158</v>
      </c>
      <c r="J388" s="45" t="str">
        <f ca="1">IFERROR(__xludf.DUMMYFUNCTION("""COMPUTED_VALUE"""),"LM9AZ0S")</f>
        <v>LM9AZ0S</v>
      </c>
      <c r="K388" s="45" t="str">
        <f ca="1">IFERROR(__xludf.DUMMYFUNCTION("""COMPUTED_VALUE"""),"LM9AZ0S-016352")</f>
        <v>LM9AZ0S-016352</v>
      </c>
      <c r="L388" s="45">
        <f ca="1">IFERROR(__xludf.DUMMYFUNCTION("""COMPUTED_VALUE"""),1)</f>
        <v>1</v>
      </c>
      <c r="M388" s="45">
        <f ca="1">IFERROR(__xludf.DUMMYFUNCTION("""COMPUTED_VALUE"""),114)</f>
        <v>114</v>
      </c>
      <c r="N388" s="45">
        <f ca="1">IFERROR(__xludf.DUMMYFUNCTION("""COMPUTED_VALUE"""),11.51)</f>
        <v>11.51</v>
      </c>
      <c r="O388" s="45">
        <f ca="1">IFERROR(__xludf.DUMMYFUNCTION("""COMPUTED_VALUE"""),0.079)</f>
        <v>7.9000000000000001E-2</v>
      </c>
      <c r="P388" s="45" t="str">
        <f ca="1">IFERROR(__xludf.DUMMYFUNCTION("""COMPUTED_VALUE"""),"Colombo, LK")</f>
        <v>Colombo, LK</v>
      </c>
      <c r="Q388" s="45" t="str">
        <f ca="1">IFERROR(__xludf.DUMMYFUNCTION("""COMPUTED_VALUE"""),"New York, NY, US")</f>
        <v>New York, NY, US</v>
      </c>
      <c r="R388" s="44">
        <f ca="1">IFERROR(__xludf.DUMMYFUNCTION("""COMPUTED_VALUE"""),45824)</f>
        <v>45824</v>
      </c>
      <c r="S388" s="44">
        <f ca="1">IFERROR(__xludf.DUMMYFUNCTION("""COMPUTED_VALUE"""),45883)</f>
        <v>45883</v>
      </c>
      <c r="T388" s="45" t="str">
        <f ca="1">IFERROR(__xludf.DUMMYFUNCTION("""COMPUTED_VALUE"""),"Mississauga, ON, CA")</f>
        <v>Mississauga, ON, CA</v>
      </c>
      <c r="U388" s="45"/>
      <c r="V388" s="45"/>
      <c r="W388" s="45"/>
      <c r="X388" s="45"/>
      <c r="Y388" s="46">
        <f ca="1">IFERROR(__xludf.DUMMYFUNCTION("""COMPUTED_VALUE"""),45832)</f>
        <v>45832</v>
      </c>
      <c r="Z388" s="46">
        <f ca="1">IFERROR(__xludf.DUMMYFUNCTION("""COMPUTED_VALUE"""),45861)</f>
        <v>45861</v>
      </c>
      <c r="AA388" s="46">
        <f ca="1">IFERROR(__xludf.DUMMYFUNCTION("""COMPUTED_VALUE"""),45874)</f>
        <v>45874</v>
      </c>
      <c r="AB388" s="45" t="str">
        <f ca="1">IFERROR(__xludf.DUMMYFUNCTION("""COMPUTED_VALUE"""),"3500 Argentia Road")</f>
        <v>3500 Argentia Road</v>
      </c>
      <c r="AC388" s="45"/>
      <c r="AD388" s="45" t="str">
        <f ca="1">IFERROR(__xludf.DUMMYFUNCTION("""COMPUTED_VALUE"""),"OCEAN")</f>
        <v>OCEAN</v>
      </c>
      <c r="AE388" s="45" t="str">
        <f ca="1">IFERROR(__xludf.DUMMYFUNCTION("""COMPUTED_VALUE"""),"N")</f>
        <v>N</v>
      </c>
      <c r="AF388" s="45"/>
      <c r="AG388" s="49" t="str">
        <f ca="1">IFERROR(__xludf.DUMMYFUNCTION("IFNA(vlookup(H388,IMPORTRANGE(""1vUGwO1n0QQGx9kKbO0_M5gmuhXZ6-LaxQxgrmJnzgP0"",""'TP# look up'!A:C""),3,0),"""")"),"")</f>
        <v/>
      </c>
      <c r="AH388" s="49" t="str">
        <f t="shared" ca="1" si="6"/>
        <v>LM</v>
      </c>
    </row>
    <row r="389" spans="1:34" ht="12.75" hidden="1">
      <c r="A389" s="45" t="str">
        <f ca="1">IFERROR(__xludf.DUMMYFUNCTION("""COMPUTED_VALUE"""),"Colombo")</f>
        <v>Colombo</v>
      </c>
      <c r="B389" s="45"/>
      <c r="C389" s="45">
        <f ca="1">IFERROR(__xludf.DUMMYFUNCTION("""COMPUTED_VALUE"""),3254506)</f>
        <v>3254506</v>
      </c>
      <c r="D389" s="45"/>
      <c r="E389" s="45" t="str">
        <f ca="1">IFERROR(__xludf.DUMMYFUNCTION("""COMPUTED_VALUE"""),"CFS")</f>
        <v>CFS</v>
      </c>
      <c r="F389" s="45" t="str">
        <f ca="1">IFERROR(__xludf.DUMMYFUNCTION("""COMPUTED_VALUE"""),"MAS AMITY PTE LTD")</f>
        <v>MAS AMITY PTE LTD</v>
      </c>
      <c r="G389" s="45" t="str">
        <f ca="1">IFERROR(__xludf.DUMMYFUNCTION("""COMPUTED_VALUE"""),"MAS Active (Pvt) Ltd – Sleekline")</f>
        <v>MAS Active (Pvt) Ltd – Sleekline</v>
      </c>
      <c r="H389" s="43">
        <f ca="1">IFERROR(__xludf.DUMMYFUNCTION("""COMPUTED_VALUE"""),452870408857)</f>
        <v>452870408857</v>
      </c>
      <c r="I389" s="45">
        <f ca="1">IFERROR(__xludf.DUMMYFUNCTION("""COMPUTED_VALUE"""),19927159)</f>
        <v>19927159</v>
      </c>
      <c r="J389" s="45" t="str">
        <f ca="1">IFERROR(__xludf.DUMMYFUNCTION("""COMPUTED_VALUE"""),"LM9AZ0S")</f>
        <v>LM9AZ0S</v>
      </c>
      <c r="K389" s="45" t="str">
        <f ca="1">IFERROR(__xludf.DUMMYFUNCTION("""COMPUTED_VALUE"""),"LM9AZ0S-016352")</f>
        <v>LM9AZ0S-016352</v>
      </c>
      <c r="L389" s="45">
        <f ca="1">IFERROR(__xludf.DUMMYFUNCTION("""COMPUTED_VALUE"""),1)</f>
        <v>1</v>
      </c>
      <c r="M389" s="45">
        <f ca="1">IFERROR(__xludf.DUMMYFUNCTION("""COMPUTED_VALUE"""),83)</f>
        <v>83</v>
      </c>
      <c r="N389" s="45">
        <f ca="1">IFERROR(__xludf.DUMMYFUNCTION("""COMPUTED_VALUE"""),8.69)</f>
        <v>8.69</v>
      </c>
      <c r="O389" s="45">
        <f ca="1">IFERROR(__xludf.DUMMYFUNCTION("""COMPUTED_VALUE"""),0.079)</f>
        <v>7.9000000000000001E-2</v>
      </c>
      <c r="P389" s="45" t="str">
        <f ca="1">IFERROR(__xludf.DUMMYFUNCTION("""COMPUTED_VALUE"""),"Colombo, LK")</f>
        <v>Colombo, LK</v>
      </c>
      <c r="Q389" s="45" t="str">
        <f ca="1">IFERROR(__xludf.DUMMYFUNCTION("""COMPUTED_VALUE"""),"New York, NY, US")</f>
        <v>New York, NY, US</v>
      </c>
      <c r="R389" s="44">
        <f ca="1">IFERROR(__xludf.DUMMYFUNCTION("""COMPUTED_VALUE"""),45824)</f>
        <v>45824</v>
      </c>
      <c r="S389" s="44">
        <f ca="1">IFERROR(__xludf.DUMMYFUNCTION("""COMPUTED_VALUE"""),45883)</f>
        <v>45883</v>
      </c>
      <c r="T389" s="45" t="str">
        <f ca="1">IFERROR(__xludf.DUMMYFUNCTION("""COMPUTED_VALUE"""),"Mississauga, ON, CA")</f>
        <v>Mississauga, ON, CA</v>
      </c>
      <c r="U389" s="45"/>
      <c r="V389" s="45"/>
      <c r="W389" s="45"/>
      <c r="X389" s="45"/>
      <c r="Y389" s="46">
        <f ca="1">IFERROR(__xludf.DUMMYFUNCTION("""COMPUTED_VALUE"""),45832)</f>
        <v>45832</v>
      </c>
      <c r="Z389" s="46">
        <f ca="1">IFERROR(__xludf.DUMMYFUNCTION("""COMPUTED_VALUE"""),45861)</f>
        <v>45861</v>
      </c>
      <c r="AA389" s="46">
        <f ca="1">IFERROR(__xludf.DUMMYFUNCTION("""COMPUTED_VALUE"""),45874)</f>
        <v>45874</v>
      </c>
      <c r="AB389" s="45" t="str">
        <f ca="1">IFERROR(__xludf.DUMMYFUNCTION("""COMPUTED_VALUE"""),"3500 Argentia Road")</f>
        <v>3500 Argentia Road</v>
      </c>
      <c r="AC389" s="45"/>
      <c r="AD389" s="45" t="str">
        <f ca="1">IFERROR(__xludf.DUMMYFUNCTION("""COMPUTED_VALUE"""),"OCEAN")</f>
        <v>OCEAN</v>
      </c>
      <c r="AE389" s="45" t="str">
        <f ca="1">IFERROR(__xludf.DUMMYFUNCTION("""COMPUTED_VALUE"""),"N")</f>
        <v>N</v>
      </c>
      <c r="AF389" s="45"/>
      <c r="AG389" s="49" t="str">
        <f ca="1">IFERROR(__xludf.DUMMYFUNCTION("IFNA(vlookup(H389,IMPORTRANGE(""1vUGwO1n0QQGx9kKbO0_M5gmuhXZ6-LaxQxgrmJnzgP0"",""'TP# look up'!A:C""),3,0),"""")"),"")</f>
        <v/>
      </c>
      <c r="AH389" s="49" t="str">
        <f t="shared" ca="1" si="6"/>
        <v>LM</v>
      </c>
    </row>
    <row r="390" spans="1:34" ht="12.75" hidden="1">
      <c r="A390" s="45" t="str">
        <f ca="1">IFERROR(__xludf.DUMMYFUNCTION("""COMPUTED_VALUE"""),"Colombo")</f>
        <v>Colombo</v>
      </c>
      <c r="B390" s="45"/>
      <c r="C390" s="45">
        <f ca="1">IFERROR(__xludf.DUMMYFUNCTION("""COMPUTED_VALUE"""),3254506)</f>
        <v>3254506</v>
      </c>
      <c r="D390" s="45"/>
      <c r="E390" s="45" t="str">
        <f ca="1">IFERROR(__xludf.DUMMYFUNCTION("""COMPUTED_VALUE"""),"CFS")</f>
        <v>CFS</v>
      </c>
      <c r="F390" s="45" t="str">
        <f ca="1">IFERROR(__xludf.DUMMYFUNCTION("""COMPUTED_VALUE"""),"MAS AMITY PTE LTD")</f>
        <v>MAS AMITY PTE LTD</v>
      </c>
      <c r="G390" s="45" t="str">
        <f ca="1">IFERROR(__xludf.DUMMYFUNCTION("""COMPUTED_VALUE"""),"MAS Active (Pvt) Ltd – Sleekline")</f>
        <v>MAS Active (Pvt) Ltd – Sleekline</v>
      </c>
      <c r="H390" s="43">
        <f ca="1">IFERROR(__xludf.DUMMYFUNCTION("""COMPUTED_VALUE"""),452871646110)</f>
        <v>452871646110</v>
      </c>
      <c r="I390" s="45">
        <f ca="1">IFERROR(__xludf.DUMMYFUNCTION("""COMPUTED_VALUE"""),19935859)</f>
        <v>19935859</v>
      </c>
      <c r="J390" s="45" t="str">
        <f ca="1">IFERROR(__xludf.DUMMYFUNCTION("""COMPUTED_VALUE"""),"LM9AN6S")</f>
        <v>LM9AN6S</v>
      </c>
      <c r="K390" s="45" t="str">
        <f ca="1">IFERROR(__xludf.DUMMYFUNCTION("""COMPUTED_VALUE"""),"LM9AN6S-069600")</f>
        <v>LM9AN6S-069600</v>
      </c>
      <c r="L390" s="45">
        <f ca="1">IFERROR(__xludf.DUMMYFUNCTION("""COMPUTED_VALUE"""),1)</f>
        <v>1</v>
      </c>
      <c r="M390" s="45">
        <f ca="1">IFERROR(__xludf.DUMMYFUNCTION("""COMPUTED_VALUE"""),100)</f>
        <v>100</v>
      </c>
      <c r="N390" s="45">
        <f ca="1">IFERROR(__xludf.DUMMYFUNCTION("""COMPUTED_VALUE"""),10.21)</f>
        <v>10.210000000000001</v>
      </c>
      <c r="O390" s="45">
        <f ca="1">IFERROR(__xludf.DUMMYFUNCTION("""COMPUTED_VALUE"""),0.079)</f>
        <v>7.9000000000000001E-2</v>
      </c>
      <c r="P390" s="45" t="str">
        <f ca="1">IFERROR(__xludf.DUMMYFUNCTION("""COMPUTED_VALUE"""),"Colombo, LK")</f>
        <v>Colombo, LK</v>
      </c>
      <c r="Q390" s="45" t="str">
        <f ca="1">IFERROR(__xludf.DUMMYFUNCTION("""COMPUTED_VALUE"""),"New York, NY, US")</f>
        <v>New York, NY, US</v>
      </c>
      <c r="R390" s="44">
        <f ca="1">IFERROR(__xludf.DUMMYFUNCTION("""COMPUTED_VALUE"""),45824)</f>
        <v>45824</v>
      </c>
      <c r="S390" s="44">
        <f ca="1">IFERROR(__xludf.DUMMYFUNCTION("""COMPUTED_VALUE"""),45883)</f>
        <v>45883</v>
      </c>
      <c r="T390" s="45" t="str">
        <f ca="1">IFERROR(__xludf.DUMMYFUNCTION("""COMPUTED_VALUE"""),"Mississauga, ON, CA")</f>
        <v>Mississauga, ON, CA</v>
      </c>
      <c r="U390" s="45"/>
      <c r="V390" s="45"/>
      <c r="W390" s="45"/>
      <c r="X390" s="45"/>
      <c r="Y390" s="46">
        <f ca="1">IFERROR(__xludf.DUMMYFUNCTION("""COMPUTED_VALUE"""),45832)</f>
        <v>45832</v>
      </c>
      <c r="Z390" s="46">
        <f ca="1">IFERROR(__xludf.DUMMYFUNCTION("""COMPUTED_VALUE"""),45861)</f>
        <v>45861</v>
      </c>
      <c r="AA390" s="46">
        <f ca="1">IFERROR(__xludf.DUMMYFUNCTION("""COMPUTED_VALUE"""),45874)</f>
        <v>45874</v>
      </c>
      <c r="AB390" s="45" t="str">
        <f ca="1">IFERROR(__xludf.DUMMYFUNCTION("""COMPUTED_VALUE"""),"3500 Argentia Road")</f>
        <v>3500 Argentia Road</v>
      </c>
      <c r="AC390" s="45"/>
      <c r="AD390" s="45" t="str">
        <f ca="1">IFERROR(__xludf.DUMMYFUNCTION("""COMPUTED_VALUE"""),"OCEAN")</f>
        <v>OCEAN</v>
      </c>
      <c r="AE390" s="45" t="str">
        <f ca="1">IFERROR(__xludf.DUMMYFUNCTION("""COMPUTED_VALUE"""),"N")</f>
        <v>N</v>
      </c>
      <c r="AF390" s="45"/>
      <c r="AG390" s="49" t="str">
        <f ca="1">IFERROR(__xludf.DUMMYFUNCTION("IFNA(vlookup(H390,IMPORTRANGE(""1vUGwO1n0QQGx9kKbO0_M5gmuhXZ6-LaxQxgrmJnzgP0"",""'TP# look up'!A:C""),3,0),"""")"),"")</f>
        <v/>
      </c>
      <c r="AH390" s="49" t="str">
        <f t="shared" ca="1" si="6"/>
        <v>LM</v>
      </c>
    </row>
    <row r="391" spans="1:34" ht="12.75" hidden="1">
      <c r="A391" s="45" t="str">
        <f ca="1">IFERROR(__xludf.DUMMYFUNCTION("""COMPUTED_VALUE"""),"Colombo")</f>
        <v>Colombo</v>
      </c>
      <c r="B391" s="45"/>
      <c r="C391" s="45">
        <f ca="1">IFERROR(__xludf.DUMMYFUNCTION("""COMPUTED_VALUE"""),3254506)</f>
        <v>3254506</v>
      </c>
      <c r="D391" s="45"/>
      <c r="E391" s="45" t="str">
        <f ca="1">IFERROR(__xludf.DUMMYFUNCTION("""COMPUTED_VALUE"""),"CFS")</f>
        <v>CFS</v>
      </c>
      <c r="F391" s="45" t="str">
        <f ca="1">IFERROR(__xludf.DUMMYFUNCTION("""COMPUTED_VALUE"""),"MAS AMITY PTE LTD")</f>
        <v>MAS AMITY PTE LTD</v>
      </c>
      <c r="G391" s="45" t="str">
        <f ca="1">IFERROR(__xludf.DUMMYFUNCTION("""COMPUTED_VALUE"""),"MAS Active (Pvt) Ltd – Sleekline")</f>
        <v>MAS Active (Pvt) Ltd – Sleekline</v>
      </c>
      <c r="H391" s="43">
        <f ca="1">IFERROR(__xludf.DUMMYFUNCTION("""COMPUTED_VALUE"""),452873627359)</f>
        <v>452873627359</v>
      </c>
      <c r="I391" s="45">
        <f ca="1">IFERROR(__xludf.DUMMYFUNCTION("""COMPUTED_VALUE"""),19935996)</f>
        <v>19935996</v>
      </c>
      <c r="J391" s="45" t="str">
        <f ca="1">IFERROR(__xludf.DUMMYFUNCTION("""COMPUTED_VALUE"""),"LM9AQWS")</f>
        <v>LM9AQWS</v>
      </c>
      <c r="K391" s="45" t="str">
        <f ca="1">IFERROR(__xludf.DUMMYFUNCTION("""COMPUTED_VALUE"""),"LM9AQWS-4780")</f>
        <v>LM9AQWS-4780</v>
      </c>
      <c r="L391" s="45">
        <f ca="1">IFERROR(__xludf.DUMMYFUNCTION("""COMPUTED_VALUE"""),4)</f>
        <v>4</v>
      </c>
      <c r="M391" s="45">
        <f ca="1">IFERROR(__xludf.DUMMYFUNCTION("""COMPUTED_VALUE"""),270)</f>
        <v>270</v>
      </c>
      <c r="N391" s="45">
        <f ca="1">IFERROR(__xludf.DUMMYFUNCTION("""COMPUTED_VALUE"""),49.66)</f>
        <v>49.66</v>
      </c>
      <c r="O391" s="45">
        <f ca="1">IFERROR(__xludf.DUMMYFUNCTION("""COMPUTED_VALUE"""),0.317)</f>
        <v>0.317</v>
      </c>
      <c r="P391" s="45" t="str">
        <f ca="1">IFERROR(__xludf.DUMMYFUNCTION("""COMPUTED_VALUE"""),"Colombo, LK")</f>
        <v>Colombo, LK</v>
      </c>
      <c r="Q391" s="45" t="str">
        <f ca="1">IFERROR(__xludf.DUMMYFUNCTION("""COMPUTED_VALUE"""),"New York, NY, US")</f>
        <v>New York, NY, US</v>
      </c>
      <c r="R391" s="44">
        <f ca="1">IFERROR(__xludf.DUMMYFUNCTION("""COMPUTED_VALUE"""),45824)</f>
        <v>45824</v>
      </c>
      <c r="S391" s="44">
        <f ca="1">IFERROR(__xludf.DUMMYFUNCTION("""COMPUTED_VALUE"""),45883)</f>
        <v>45883</v>
      </c>
      <c r="T391" s="45" t="str">
        <f ca="1">IFERROR(__xludf.DUMMYFUNCTION("""COMPUTED_VALUE"""),"Mississauga, ON, CA")</f>
        <v>Mississauga, ON, CA</v>
      </c>
      <c r="U391" s="45"/>
      <c r="V391" s="45"/>
      <c r="W391" s="45"/>
      <c r="X391" s="45"/>
      <c r="Y391" s="46">
        <f ca="1">IFERROR(__xludf.DUMMYFUNCTION("""COMPUTED_VALUE"""),45832)</f>
        <v>45832</v>
      </c>
      <c r="Z391" s="46">
        <f ca="1">IFERROR(__xludf.DUMMYFUNCTION("""COMPUTED_VALUE"""),45861)</f>
        <v>45861</v>
      </c>
      <c r="AA391" s="46">
        <f ca="1">IFERROR(__xludf.DUMMYFUNCTION("""COMPUTED_VALUE"""),45874)</f>
        <v>45874</v>
      </c>
      <c r="AB391" s="45" t="str">
        <f ca="1">IFERROR(__xludf.DUMMYFUNCTION("""COMPUTED_VALUE"""),"3500 Argentia Road")</f>
        <v>3500 Argentia Road</v>
      </c>
      <c r="AC391" s="45"/>
      <c r="AD391" s="45" t="str">
        <f ca="1">IFERROR(__xludf.DUMMYFUNCTION("""COMPUTED_VALUE"""),"OCEAN")</f>
        <v>OCEAN</v>
      </c>
      <c r="AE391" s="45" t="str">
        <f ca="1">IFERROR(__xludf.DUMMYFUNCTION("""COMPUTED_VALUE"""),"N")</f>
        <v>N</v>
      </c>
      <c r="AF391" s="45"/>
      <c r="AG391" s="49" t="str">
        <f ca="1">IFERROR(__xludf.DUMMYFUNCTION("IFNA(vlookup(H391,IMPORTRANGE(""1vUGwO1n0QQGx9kKbO0_M5gmuhXZ6-LaxQxgrmJnzgP0"",""'TP# look up'!A:C""),3,0),"""")"),"")</f>
        <v/>
      </c>
      <c r="AH391" s="49" t="str">
        <f t="shared" ca="1" si="6"/>
        <v>LM</v>
      </c>
    </row>
    <row r="392" spans="1:34" ht="12.75" hidden="1">
      <c r="A392" s="45" t="str">
        <f ca="1">IFERROR(__xludf.DUMMYFUNCTION("""COMPUTED_VALUE"""),"Colombo")</f>
        <v>Colombo</v>
      </c>
      <c r="B392" s="45"/>
      <c r="C392" s="45">
        <f ca="1">IFERROR(__xludf.DUMMYFUNCTION("""COMPUTED_VALUE"""),3254506)</f>
        <v>3254506</v>
      </c>
      <c r="D392" s="45"/>
      <c r="E392" s="45" t="str">
        <f ca="1">IFERROR(__xludf.DUMMYFUNCTION("""COMPUTED_VALUE"""),"CFS")</f>
        <v>CFS</v>
      </c>
      <c r="F392" s="45" t="str">
        <f ca="1">IFERROR(__xludf.DUMMYFUNCTION("""COMPUTED_VALUE"""),"MAS AMITY PTE LTD")</f>
        <v>MAS AMITY PTE LTD</v>
      </c>
      <c r="G392" s="45" t="str">
        <f ca="1">IFERROR(__xludf.DUMMYFUNCTION("""COMPUTED_VALUE"""),"MAS Active (Pvt) Ltd – Sleekline")</f>
        <v>MAS Active (Pvt) Ltd – Sleekline</v>
      </c>
      <c r="H392" s="43">
        <f ca="1">IFERROR(__xludf.DUMMYFUNCTION("""COMPUTED_VALUE"""),452874553770)</f>
        <v>452874553770</v>
      </c>
      <c r="I392" s="45">
        <f ca="1">IFERROR(__xludf.DUMMYFUNCTION("""COMPUTED_VALUE"""),19936035)</f>
        <v>19936035</v>
      </c>
      <c r="J392" s="45" t="str">
        <f ca="1">IFERROR(__xludf.DUMMYFUNCTION("""COMPUTED_VALUE"""),"LM9AUNS")</f>
        <v>LM9AUNS</v>
      </c>
      <c r="K392" s="45" t="str">
        <f ca="1">IFERROR(__xludf.DUMMYFUNCTION("""COMPUTED_VALUE"""),"LM9AUNS-069918")</f>
        <v>LM9AUNS-069918</v>
      </c>
      <c r="L392" s="45">
        <f ca="1">IFERROR(__xludf.DUMMYFUNCTION("""COMPUTED_VALUE"""),4)</f>
        <v>4</v>
      </c>
      <c r="M392" s="45">
        <f ca="1">IFERROR(__xludf.DUMMYFUNCTION("""COMPUTED_VALUE"""),179)</f>
        <v>179</v>
      </c>
      <c r="N392" s="45">
        <f ca="1">IFERROR(__xludf.DUMMYFUNCTION("""COMPUTED_VALUE"""),44.52)</f>
        <v>44.52</v>
      </c>
      <c r="O392" s="45">
        <f ca="1">IFERROR(__xludf.DUMMYFUNCTION("""COMPUTED_VALUE"""),0.278)</f>
        <v>0.27800000000000002</v>
      </c>
      <c r="P392" s="45" t="str">
        <f ca="1">IFERROR(__xludf.DUMMYFUNCTION("""COMPUTED_VALUE"""),"Colombo, LK")</f>
        <v>Colombo, LK</v>
      </c>
      <c r="Q392" s="45" t="str">
        <f ca="1">IFERROR(__xludf.DUMMYFUNCTION("""COMPUTED_VALUE"""),"New York, NY, US")</f>
        <v>New York, NY, US</v>
      </c>
      <c r="R392" s="44">
        <f ca="1">IFERROR(__xludf.DUMMYFUNCTION("""COMPUTED_VALUE"""),45824)</f>
        <v>45824</v>
      </c>
      <c r="S392" s="44">
        <f ca="1">IFERROR(__xludf.DUMMYFUNCTION("""COMPUTED_VALUE"""),45883)</f>
        <v>45883</v>
      </c>
      <c r="T392" s="45" t="str">
        <f ca="1">IFERROR(__xludf.DUMMYFUNCTION("""COMPUTED_VALUE"""),"Mississauga, ON, CA")</f>
        <v>Mississauga, ON, CA</v>
      </c>
      <c r="U392" s="45"/>
      <c r="V392" s="45"/>
      <c r="W392" s="45"/>
      <c r="X392" s="45"/>
      <c r="Y392" s="46">
        <f ca="1">IFERROR(__xludf.DUMMYFUNCTION("""COMPUTED_VALUE"""),45832)</f>
        <v>45832</v>
      </c>
      <c r="Z392" s="46">
        <f ca="1">IFERROR(__xludf.DUMMYFUNCTION("""COMPUTED_VALUE"""),45861)</f>
        <v>45861</v>
      </c>
      <c r="AA392" s="46">
        <f ca="1">IFERROR(__xludf.DUMMYFUNCTION("""COMPUTED_VALUE"""),45874)</f>
        <v>45874</v>
      </c>
      <c r="AB392" s="45" t="str">
        <f ca="1">IFERROR(__xludf.DUMMYFUNCTION("""COMPUTED_VALUE"""),"3500 Argentia Road")</f>
        <v>3500 Argentia Road</v>
      </c>
      <c r="AC392" s="45"/>
      <c r="AD392" s="45" t="str">
        <f ca="1">IFERROR(__xludf.DUMMYFUNCTION("""COMPUTED_VALUE"""),"OCEAN")</f>
        <v>OCEAN</v>
      </c>
      <c r="AE392" s="45" t="str">
        <f ca="1">IFERROR(__xludf.DUMMYFUNCTION("""COMPUTED_VALUE"""),"N")</f>
        <v>N</v>
      </c>
      <c r="AF392" s="45"/>
      <c r="AG392" s="49" t="str">
        <f ca="1">IFERROR(__xludf.DUMMYFUNCTION("IFNA(vlookup(H392,IMPORTRANGE(""1vUGwO1n0QQGx9kKbO0_M5gmuhXZ6-LaxQxgrmJnzgP0"",""'TP# look up'!A:C""),3,0),"""")"),"")</f>
        <v/>
      </c>
      <c r="AH392" s="49" t="str">
        <f t="shared" ca="1" si="6"/>
        <v>LM</v>
      </c>
    </row>
    <row r="393" spans="1:34" ht="12.75" hidden="1">
      <c r="A393" s="45" t="str">
        <f ca="1">IFERROR(__xludf.DUMMYFUNCTION("""COMPUTED_VALUE"""),"Colombo")</f>
        <v>Colombo</v>
      </c>
      <c r="B393" s="45"/>
      <c r="C393" s="45">
        <f ca="1">IFERROR(__xludf.DUMMYFUNCTION("""COMPUTED_VALUE"""),3254506)</f>
        <v>3254506</v>
      </c>
      <c r="D393" s="45"/>
      <c r="E393" s="45" t="str">
        <f ca="1">IFERROR(__xludf.DUMMYFUNCTION("""COMPUTED_VALUE"""),"CFS")</f>
        <v>CFS</v>
      </c>
      <c r="F393" s="45" t="str">
        <f ca="1">IFERROR(__xludf.DUMMYFUNCTION("""COMPUTED_VALUE"""),"MAS AMITY PTE LTD")</f>
        <v>MAS AMITY PTE LTD</v>
      </c>
      <c r="G393" s="45" t="str">
        <f ca="1">IFERROR(__xludf.DUMMYFUNCTION("""COMPUTED_VALUE"""),"MAS Active (Pvt) Ltd – Sleekline")</f>
        <v>MAS Active (Pvt) Ltd – Sleekline</v>
      </c>
      <c r="H393" s="43">
        <f ca="1">IFERROR(__xludf.DUMMYFUNCTION("""COMPUTED_VALUE"""),452874603824)</f>
        <v>452874603824</v>
      </c>
      <c r="I393" s="45">
        <f ca="1">IFERROR(__xludf.DUMMYFUNCTION("""COMPUTED_VALUE"""),19935997)</f>
        <v>19935997</v>
      </c>
      <c r="J393" s="45" t="str">
        <f ca="1">IFERROR(__xludf.DUMMYFUNCTION("""COMPUTED_VALUE"""),"LM9AQWS")</f>
        <v>LM9AQWS</v>
      </c>
      <c r="K393" s="45" t="str">
        <f ca="1">IFERROR(__xludf.DUMMYFUNCTION("""COMPUTED_VALUE"""),"LM9AQWS-4780")</f>
        <v>LM9AQWS-4780</v>
      </c>
      <c r="L393" s="45">
        <f ca="1">IFERROR(__xludf.DUMMYFUNCTION("""COMPUTED_VALUE"""),3)</f>
        <v>3</v>
      </c>
      <c r="M393" s="45">
        <f ca="1">IFERROR(__xludf.DUMMYFUNCTION("""COMPUTED_VALUE"""),149)</f>
        <v>149</v>
      </c>
      <c r="N393" s="45">
        <f ca="1">IFERROR(__xludf.DUMMYFUNCTION("""COMPUTED_VALUE"""),28.31)</f>
        <v>28.31</v>
      </c>
      <c r="O393" s="45">
        <f ca="1">IFERROR(__xludf.DUMMYFUNCTION("""COMPUTED_VALUE"""),0.238)</f>
        <v>0.23799999999999999</v>
      </c>
      <c r="P393" s="45" t="str">
        <f ca="1">IFERROR(__xludf.DUMMYFUNCTION("""COMPUTED_VALUE"""),"Colombo, LK")</f>
        <v>Colombo, LK</v>
      </c>
      <c r="Q393" s="45" t="str">
        <f ca="1">IFERROR(__xludf.DUMMYFUNCTION("""COMPUTED_VALUE"""),"New York, NY, US")</f>
        <v>New York, NY, US</v>
      </c>
      <c r="R393" s="44">
        <f ca="1">IFERROR(__xludf.DUMMYFUNCTION("""COMPUTED_VALUE"""),45824)</f>
        <v>45824</v>
      </c>
      <c r="S393" s="44">
        <f ca="1">IFERROR(__xludf.DUMMYFUNCTION("""COMPUTED_VALUE"""),45883)</f>
        <v>45883</v>
      </c>
      <c r="T393" s="45" t="str">
        <f ca="1">IFERROR(__xludf.DUMMYFUNCTION("""COMPUTED_VALUE"""),"Mississauga, ON, CA")</f>
        <v>Mississauga, ON, CA</v>
      </c>
      <c r="U393" s="45"/>
      <c r="V393" s="45"/>
      <c r="W393" s="45"/>
      <c r="X393" s="45"/>
      <c r="Y393" s="46">
        <f ca="1">IFERROR(__xludf.DUMMYFUNCTION("""COMPUTED_VALUE"""),45832)</f>
        <v>45832</v>
      </c>
      <c r="Z393" s="46">
        <f ca="1">IFERROR(__xludf.DUMMYFUNCTION("""COMPUTED_VALUE"""),45861)</f>
        <v>45861</v>
      </c>
      <c r="AA393" s="46">
        <f ca="1">IFERROR(__xludf.DUMMYFUNCTION("""COMPUTED_VALUE"""),45874)</f>
        <v>45874</v>
      </c>
      <c r="AB393" s="45" t="str">
        <f ca="1">IFERROR(__xludf.DUMMYFUNCTION("""COMPUTED_VALUE"""),"3500 Argentia Road")</f>
        <v>3500 Argentia Road</v>
      </c>
      <c r="AC393" s="45"/>
      <c r="AD393" s="45" t="str">
        <f ca="1">IFERROR(__xludf.DUMMYFUNCTION("""COMPUTED_VALUE"""),"OCEAN")</f>
        <v>OCEAN</v>
      </c>
      <c r="AE393" s="45" t="str">
        <f ca="1">IFERROR(__xludf.DUMMYFUNCTION("""COMPUTED_VALUE"""),"N")</f>
        <v>N</v>
      </c>
      <c r="AF393" s="45"/>
      <c r="AG393" s="49" t="str">
        <f ca="1">IFERROR(__xludf.DUMMYFUNCTION("IFNA(vlookup(H393,IMPORTRANGE(""1vUGwO1n0QQGx9kKbO0_M5gmuhXZ6-LaxQxgrmJnzgP0"",""'TP# look up'!A:C""),3,0),"""")"),"")</f>
        <v/>
      </c>
      <c r="AH393" s="49" t="str">
        <f t="shared" ca="1" si="6"/>
        <v>LM</v>
      </c>
    </row>
    <row r="394" spans="1:34" ht="12.75" hidden="1">
      <c r="A394" s="45" t="str">
        <f ca="1">IFERROR(__xludf.DUMMYFUNCTION("""COMPUTED_VALUE"""),"Colombo")</f>
        <v>Colombo</v>
      </c>
      <c r="B394" s="45"/>
      <c r="C394" s="45">
        <f ca="1">IFERROR(__xludf.DUMMYFUNCTION("""COMPUTED_VALUE"""),3254506)</f>
        <v>3254506</v>
      </c>
      <c r="D394" s="45"/>
      <c r="E394" s="45" t="str">
        <f ca="1">IFERROR(__xludf.DUMMYFUNCTION("""COMPUTED_VALUE"""),"CFS")</f>
        <v>CFS</v>
      </c>
      <c r="F394" s="45" t="str">
        <f ca="1">IFERROR(__xludf.DUMMYFUNCTION("""COMPUTED_VALUE"""),"MAS AMITY PTE LTD")</f>
        <v>MAS AMITY PTE LTD</v>
      </c>
      <c r="G394" s="45" t="str">
        <f ca="1">IFERROR(__xludf.DUMMYFUNCTION("""COMPUTED_VALUE"""),"MAS Active (Pvt) Ltd – Sleekline")</f>
        <v>MAS Active (Pvt) Ltd – Sleekline</v>
      </c>
      <c r="H394" s="43">
        <f ca="1">IFERROR(__xludf.DUMMYFUNCTION("""COMPUTED_VALUE"""),452879674993)</f>
        <v>452879674993</v>
      </c>
      <c r="I394" s="45">
        <f ca="1">IFERROR(__xludf.DUMMYFUNCTION("""COMPUTED_VALUE"""),19936140)</f>
        <v>19936140</v>
      </c>
      <c r="J394" s="45" t="str">
        <f ca="1">IFERROR(__xludf.DUMMYFUNCTION("""COMPUTED_VALUE"""),"LM9AYLS")</f>
        <v>LM9AYLS</v>
      </c>
      <c r="K394" s="45" t="str">
        <f ca="1">IFERROR(__xludf.DUMMYFUNCTION("""COMPUTED_VALUE"""),"LM9AYLS-031382")</f>
        <v>LM9AYLS-031382</v>
      </c>
      <c r="L394" s="45">
        <f ca="1">IFERROR(__xludf.DUMMYFUNCTION("""COMPUTED_VALUE"""),1)</f>
        <v>1</v>
      </c>
      <c r="M394" s="45">
        <f ca="1">IFERROR(__xludf.DUMMYFUNCTION("""COMPUTED_VALUE"""),130)</f>
        <v>130</v>
      </c>
      <c r="N394" s="45">
        <f ca="1">IFERROR(__xludf.DUMMYFUNCTION("""COMPUTED_VALUE"""),12.16)</f>
        <v>12.16</v>
      </c>
      <c r="O394" s="45">
        <f ca="1">IFERROR(__xludf.DUMMYFUNCTION("""COMPUTED_VALUE"""),0.079)</f>
        <v>7.9000000000000001E-2</v>
      </c>
      <c r="P394" s="45" t="str">
        <f ca="1">IFERROR(__xludf.DUMMYFUNCTION("""COMPUTED_VALUE"""),"Colombo, LK")</f>
        <v>Colombo, LK</v>
      </c>
      <c r="Q394" s="45" t="str">
        <f ca="1">IFERROR(__xludf.DUMMYFUNCTION("""COMPUTED_VALUE"""),"New York, NY, US")</f>
        <v>New York, NY, US</v>
      </c>
      <c r="R394" s="44">
        <f ca="1">IFERROR(__xludf.DUMMYFUNCTION("""COMPUTED_VALUE"""),45824)</f>
        <v>45824</v>
      </c>
      <c r="S394" s="44">
        <f ca="1">IFERROR(__xludf.DUMMYFUNCTION("""COMPUTED_VALUE"""),45883)</f>
        <v>45883</v>
      </c>
      <c r="T394" s="45" t="str">
        <f ca="1">IFERROR(__xludf.DUMMYFUNCTION("""COMPUTED_VALUE"""),"Mississauga, ON, CA")</f>
        <v>Mississauga, ON, CA</v>
      </c>
      <c r="U394" s="45"/>
      <c r="V394" s="45"/>
      <c r="W394" s="45"/>
      <c r="X394" s="45"/>
      <c r="Y394" s="46">
        <f ca="1">IFERROR(__xludf.DUMMYFUNCTION("""COMPUTED_VALUE"""),45832)</f>
        <v>45832</v>
      </c>
      <c r="Z394" s="46">
        <f ca="1">IFERROR(__xludf.DUMMYFUNCTION("""COMPUTED_VALUE"""),45861)</f>
        <v>45861</v>
      </c>
      <c r="AA394" s="46">
        <f ca="1">IFERROR(__xludf.DUMMYFUNCTION("""COMPUTED_VALUE"""),45874)</f>
        <v>45874</v>
      </c>
      <c r="AB394" s="45" t="str">
        <f ca="1">IFERROR(__xludf.DUMMYFUNCTION("""COMPUTED_VALUE"""),"3500 Argentia Road")</f>
        <v>3500 Argentia Road</v>
      </c>
      <c r="AC394" s="45"/>
      <c r="AD394" s="45" t="str">
        <f ca="1">IFERROR(__xludf.DUMMYFUNCTION("""COMPUTED_VALUE"""),"OCEAN")</f>
        <v>OCEAN</v>
      </c>
      <c r="AE394" s="45" t="str">
        <f ca="1">IFERROR(__xludf.DUMMYFUNCTION("""COMPUTED_VALUE"""),"N")</f>
        <v>N</v>
      </c>
      <c r="AF394" s="45"/>
      <c r="AG394" s="49" t="str">
        <f ca="1">IFERROR(__xludf.DUMMYFUNCTION("IFNA(vlookup(H394,IMPORTRANGE(""1vUGwO1n0QQGx9kKbO0_M5gmuhXZ6-LaxQxgrmJnzgP0"",""'TP# look up'!A:C""),3,0),"""")"),"")</f>
        <v/>
      </c>
      <c r="AH394" s="49" t="str">
        <f t="shared" ca="1" si="6"/>
        <v>LM</v>
      </c>
    </row>
    <row r="395" spans="1:34" ht="12.75" hidden="1">
      <c r="A395" s="45" t="str">
        <f ca="1">IFERROR(__xludf.DUMMYFUNCTION("""COMPUTED_VALUE"""),"Colombo")</f>
        <v>Colombo</v>
      </c>
      <c r="B395" s="45"/>
      <c r="C395" s="45">
        <f ca="1">IFERROR(__xludf.DUMMYFUNCTION("""COMPUTED_VALUE"""),3254506)</f>
        <v>3254506</v>
      </c>
      <c r="D395" s="45"/>
      <c r="E395" s="45" t="str">
        <f ca="1">IFERROR(__xludf.DUMMYFUNCTION("""COMPUTED_VALUE"""),"CFS")</f>
        <v>CFS</v>
      </c>
      <c r="F395" s="45" t="str">
        <f ca="1">IFERROR(__xludf.DUMMYFUNCTION("""COMPUTED_VALUE"""),"MAS AMITY PTE LTD")</f>
        <v>MAS AMITY PTE LTD</v>
      </c>
      <c r="G395" s="45" t="str">
        <f ca="1">IFERROR(__xludf.DUMMYFUNCTION("""COMPUTED_VALUE"""),"MAS Active (Pvt) Ltd – Sleekline")</f>
        <v>MAS Active (Pvt) Ltd – Sleekline</v>
      </c>
      <c r="H395" s="43">
        <f ca="1">IFERROR(__xludf.DUMMYFUNCTION("""COMPUTED_VALUE"""),452880378218)</f>
        <v>452880378218</v>
      </c>
      <c r="I395" s="45">
        <f ca="1">IFERROR(__xludf.DUMMYFUNCTION("""COMPUTED_VALUE"""),19936141)</f>
        <v>19936141</v>
      </c>
      <c r="J395" s="45" t="str">
        <f ca="1">IFERROR(__xludf.DUMMYFUNCTION("""COMPUTED_VALUE"""),"LM9AYLS")</f>
        <v>LM9AYLS</v>
      </c>
      <c r="K395" s="45" t="str">
        <f ca="1">IFERROR(__xludf.DUMMYFUNCTION("""COMPUTED_VALUE"""),"LM9AYLS-031382")</f>
        <v>LM9AYLS-031382</v>
      </c>
      <c r="L395" s="45">
        <f ca="1">IFERROR(__xludf.DUMMYFUNCTION("""COMPUTED_VALUE"""),1)</f>
        <v>1</v>
      </c>
      <c r="M395" s="45">
        <f ca="1">IFERROR(__xludf.DUMMYFUNCTION("""COMPUTED_VALUE"""),102)</f>
        <v>102</v>
      </c>
      <c r="N395" s="45">
        <f ca="1">IFERROR(__xludf.DUMMYFUNCTION("""COMPUTED_VALUE"""),9.78)</f>
        <v>9.7799999999999994</v>
      </c>
      <c r="O395" s="45">
        <f ca="1">IFERROR(__xludf.DUMMYFUNCTION("""COMPUTED_VALUE"""),0.079)</f>
        <v>7.9000000000000001E-2</v>
      </c>
      <c r="P395" s="45" t="str">
        <f ca="1">IFERROR(__xludf.DUMMYFUNCTION("""COMPUTED_VALUE"""),"Colombo, LK")</f>
        <v>Colombo, LK</v>
      </c>
      <c r="Q395" s="45" t="str">
        <f ca="1">IFERROR(__xludf.DUMMYFUNCTION("""COMPUTED_VALUE"""),"New York, NY, US")</f>
        <v>New York, NY, US</v>
      </c>
      <c r="R395" s="44">
        <f ca="1">IFERROR(__xludf.DUMMYFUNCTION("""COMPUTED_VALUE"""),45824)</f>
        <v>45824</v>
      </c>
      <c r="S395" s="44">
        <f ca="1">IFERROR(__xludf.DUMMYFUNCTION("""COMPUTED_VALUE"""),45883)</f>
        <v>45883</v>
      </c>
      <c r="T395" s="45" t="str">
        <f ca="1">IFERROR(__xludf.DUMMYFUNCTION("""COMPUTED_VALUE"""),"Mississauga, ON, CA")</f>
        <v>Mississauga, ON, CA</v>
      </c>
      <c r="U395" s="45"/>
      <c r="V395" s="45"/>
      <c r="W395" s="45"/>
      <c r="X395" s="45"/>
      <c r="Y395" s="46">
        <f ca="1">IFERROR(__xludf.DUMMYFUNCTION("""COMPUTED_VALUE"""),45832)</f>
        <v>45832</v>
      </c>
      <c r="Z395" s="46">
        <f ca="1">IFERROR(__xludf.DUMMYFUNCTION("""COMPUTED_VALUE"""),45861)</f>
        <v>45861</v>
      </c>
      <c r="AA395" s="46">
        <f ca="1">IFERROR(__xludf.DUMMYFUNCTION("""COMPUTED_VALUE"""),45874)</f>
        <v>45874</v>
      </c>
      <c r="AB395" s="45" t="str">
        <f ca="1">IFERROR(__xludf.DUMMYFUNCTION("""COMPUTED_VALUE"""),"3500 Argentia Road")</f>
        <v>3500 Argentia Road</v>
      </c>
      <c r="AC395" s="45"/>
      <c r="AD395" s="45" t="str">
        <f ca="1">IFERROR(__xludf.DUMMYFUNCTION("""COMPUTED_VALUE"""),"OCEAN")</f>
        <v>OCEAN</v>
      </c>
      <c r="AE395" s="45" t="str">
        <f ca="1">IFERROR(__xludf.DUMMYFUNCTION("""COMPUTED_VALUE"""),"N")</f>
        <v>N</v>
      </c>
      <c r="AF395" s="45"/>
      <c r="AG395" s="49" t="str">
        <f ca="1">IFERROR(__xludf.DUMMYFUNCTION("IFNA(vlookup(H395,IMPORTRANGE(""1vUGwO1n0QQGx9kKbO0_M5gmuhXZ6-LaxQxgrmJnzgP0"",""'TP# look up'!A:C""),3,0),"""")"),"")</f>
        <v/>
      </c>
      <c r="AH395" s="49" t="str">
        <f t="shared" ca="1" si="6"/>
        <v>LM</v>
      </c>
    </row>
    <row r="396" spans="1:34" ht="12.75" hidden="1">
      <c r="A396" s="45" t="str">
        <f ca="1">IFERROR(__xludf.DUMMYFUNCTION("""COMPUTED_VALUE"""),"Colombo")</f>
        <v>Colombo</v>
      </c>
      <c r="B396" s="45"/>
      <c r="C396" s="45">
        <f ca="1">IFERROR(__xludf.DUMMYFUNCTION("""COMPUTED_VALUE"""),3254506)</f>
        <v>3254506</v>
      </c>
      <c r="D396" s="45"/>
      <c r="E396" s="45" t="str">
        <f ca="1">IFERROR(__xludf.DUMMYFUNCTION("""COMPUTED_VALUE"""),"CFS")</f>
        <v>CFS</v>
      </c>
      <c r="F396" s="45" t="str">
        <f ca="1">IFERROR(__xludf.DUMMYFUNCTION("""COMPUTED_VALUE"""),"MAS AMITY PTE LTD")</f>
        <v>MAS AMITY PTE LTD</v>
      </c>
      <c r="G396" s="45" t="str">
        <f ca="1">IFERROR(__xludf.DUMMYFUNCTION("""COMPUTED_VALUE"""),"MAS Active (Pvt) Ltd – Sleekline")</f>
        <v>MAS Active (Pvt) Ltd – Sleekline</v>
      </c>
      <c r="H396" s="43">
        <f ca="1">IFERROR(__xludf.DUMMYFUNCTION("""COMPUTED_VALUE"""),452880990382)</f>
        <v>452880990382</v>
      </c>
      <c r="I396" s="45">
        <f ca="1">IFERROR(__xludf.DUMMYFUNCTION("""COMPUTED_VALUE"""),19938303)</f>
        <v>19938303</v>
      </c>
      <c r="J396" s="45" t="str">
        <f ca="1">IFERROR(__xludf.DUMMYFUNCTION("""COMPUTED_VALUE"""),"LM9AMTS")</f>
        <v>LM9AMTS</v>
      </c>
      <c r="K396" s="45" t="str">
        <f ca="1">IFERROR(__xludf.DUMMYFUNCTION("""COMPUTED_VALUE"""),"LM9AMTS-072079")</f>
        <v>LM9AMTS-072079</v>
      </c>
      <c r="L396" s="45">
        <f ca="1">IFERROR(__xludf.DUMMYFUNCTION("""COMPUTED_VALUE"""),9)</f>
        <v>9</v>
      </c>
      <c r="M396" s="45">
        <f ca="1">IFERROR(__xludf.DUMMYFUNCTION("""COMPUTED_VALUE"""),367)</f>
        <v>367</v>
      </c>
      <c r="N396" s="45">
        <f ca="1">IFERROR(__xludf.DUMMYFUNCTION("""COMPUTED_VALUE"""),111.25)</f>
        <v>111.25</v>
      </c>
      <c r="O396" s="45">
        <f ca="1">IFERROR(__xludf.DUMMYFUNCTION("""COMPUTED_VALUE"""),0.634)</f>
        <v>0.63400000000000001</v>
      </c>
      <c r="P396" s="45" t="str">
        <f ca="1">IFERROR(__xludf.DUMMYFUNCTION("""COMPUTED_VALUE"""),"Colombo, LK")</f>
        <v>Colombo, LK</v>
      </c>
      <c r="Q396" s="45" t="str">
        <f ca="1">IFERROR(__xludf.DUMMYFUNCTION("""COMPUTED_VALUE"""),"New York, NY, US")</f>
        <v>New York, NY, US</v>
      </c>
      <c r="R396" s="44">
        <f ca="1">IFERROR(__xludf.DUMMYFUNCTION("""COMPUTED_VALUE"""),45824)</f>
        <v>45824</v>
      </c>
      <c r="S396" s="44">
        <f ca="1">IFERROR(__xludf.DUMMYFUNCTION("""COMPUTED_VALUE"""),45883)</f>
        <v>45883</v>
      </c>
      <c r="T396" s="45" t="str">
        <f ca="1">IFERROR(__xludf.DUMMYFUNCTION("""COMPUTED_VALUE"""),"Mississauga, ON, CA")</f>
        <v>Mississauga, ON, CA</v>
      </c>
      <c r="U396" s="45"/>
      <c r="V396" s="45"/>
      <c r="W396" s="45"/>
      <c r="X396" s="45"/>
      <c r="Y396" s="46">
        <f ca="1">IFERROR(__xludf.DUMMYFUNCTION("""COMPUTED_VALUE"""),45832)</f>
        <v>45832</v>
      </c>
      <c r="Z396" s="46">
        <f ca="1">IFERROR(__xludf.DUMMYFUNCTION("""COMPUTED_VALUE"""),45861)</f>
        <v>45861</v>
      </c>
      <c r="AA396" s="46">
        <f ca="1">IFERROR(__xludf.DUMMYFUNCTION("""COMPUTED_VALUE"""),45874)</f>
        <v>45874</v>
      </c>
      <c r="AB396" s="45" t="str">
        <f ca="1">IFERROR(__xludf.DUMMYFUNCTION("""COMPUTED_VALUE"""),"3500 Argentia Road")</f>
        <v>3500 Argentia Road</v>
      </c>
      <c r="AC396" s="45"/>
      <c r="AD396" s="45" t="str">
        <f ca="1">IFERROR(__xludf.DUMMYFUNCTION("""COMPUTED_VALUE"""),"OCEAN")</f>
        <v>OCEAN</v>
      </c>
      <c r="AE396" s="45" t="str">
        <f ca="1">IFERROR(__xludf.DUMMYFUNCTION("""COMPUTED_VALUE"""),"N")</f>
        <v>N</v>
      </c>
      <c r="AF396" s="45"/>
      <c r="AG396" s="49" t="str">
        <f ca="1">IFERROR(__xludf.DUMMYFUNCTION("IFNA(vlookup(H396,IMPORTRANGE(""1vUGwO1n0QQGx9kKbO0_M5gmuhXZ6-LaxQxgrmJnzgP0"",""'TP# look up'!A:C""),3,0),"""")"),"")</f>
        <v/>
      </c>
      <c r="AH396" s="49" t="str">
        <f t="shared" ca="1" si="6"/>
        <v>LM</v>
      </c>
    </row>
    <row r="397" spans="1:34" ht="12.75" hidden="1">
      <c r="A397" s="45" t="str">
        <f ca="1">IFERROR(__xludf.DUMMYFUNCTION("""COMPUTED_VALUE"""),"Colombo")</f>
        <v>Colombo</v>
      </c>
      <c r="B397" s="45"/>
      <c r="C397" s="45">
        <f ca="1">IFERROR(__xludf.DUMMYFUNCTION("""COMPUTED_VALUE"""),3254506)</f>
        <v>3254506</v>
      </c>
      <c r="D397" s="45"/>
      <c r="E397" s="45" t="str">
        <f ca="1">IFERROR(__xludf.DUMMYFUNCTION("""COMPUTED_VALUE"""),"CFS")</f>
        <v>CFS</v>
      </c>
      <c r="F397" s="45" t="str">
        <f ca="1">IFERROR(__xludf.DUMMYFUNCTION("""COMPUTED_VALUE"""),"MAS AMITY PTE LTD")</f>
        <v>MAS AMITY PTE LTD</v>
      </c>
      <c r="G397" s="45" t="str">
        <f ca="1">IFERROR(__xludf.DUMMYFUNCTION("""COMPUTED_VALUE"""),"MAS Active (Pvt) Ltd – Sleekline")</f>
        <v>MAS Active (Pvt) Ltd – Sleekline</v>
      </c>
      <c r="H397" s="43">
        <f ca="1">IFERROR(__xludf.DUMMYFUNCTION("""COMPUTED_VALUE"""),452883062691)</f>
        <v>452883062691</v>
      </c>
      <c r="I397" s="45">
        <f ca="1">IFERROR(__xludf.DUMMYFUNCTION("""COMPUTED_VALUE"""),19940639)</f>
        <v>19940639</v>
      </c>
      <c r="J397" s="45" t="str">
        <f ca="1">IFERROR(__xludf.DUMMYFUNCTION("""COMPUTED_VALUE"""),"LM9AN6S")</f>
        <v>LM9AN6S</v>
      </c>
      <c r="K397" s="45" t="str">
        <f ca="1">IFERROR(__xludf.DUMMYFUNCTION("""COMPUTED_VALUE"""),"LM9AN6S-069600")</f>
        <v>LM9AN6S-069600</v>
      </c>
      <c r="L397" s="45">
        <f ca="1">IFERROR(__xludf.DUMMYFUNCTION("""COMPUTED_VALUE"""),1)</f>
        <v>1</v>
      </c>
      <c r="M397" s="45">
        <f ca="1">IFERROR(__xludf.DUMMYFUNCTION("""COMPUTED_VALUE"""),133)</f>
        <v>133</v>
      </c>
      <c r="N397" s="45">
        <f ca="1">IFERROR(__xludf.DUMMYFUNCTION("""COMPUTED_VALUE"""),13.29)</f>
        <v>13.29</v>
      </c>
      <c r="O397" s="45">
        <f ca="1">IFERROR(__xludf.DUMMYFUNCTION("""COMPUTED_VALUE"""),0.079)</f>
        <v>7.9000000000000001E-2</v>
      </c>
      <c r="P397" s="45" t="str">
        <f ca="1">IFERROR(__xludf.DUMMYFUNCTION("""COMPUTED_VALUE"""),"Colombo, LK")</f>
        <v>Colombo, LK</v>
      </c>
      <c r="Q397" s="45" t="str">
        <f ca="1">IFERROR(__xludf.DUMMYFUNCTION("""COMPUTED_VALUE"""),"New York, NY, US")</f>
        <v>New York, NY, US</v>
      </c>
      <c r="R397" s="44">
        <f ca="1">IFERROR(__xludf.DUMMYFUNCTION("""COMPUTED_VALUE"""),45824)</f>
        <v>45824</v>
      </c>
      <c r="S397" s="44">
        <f ca="1">IFERROR(__xludf.DUMMYFUNCTION("""COMPUTED_VALUE"""),45883)</f>
        <v>45883</v>
      </c>
      <c r="T397" s="45" t="str">
        <f ca="1">IFERROR(__xludf.DUMMYFUNCTION("""COMPUTED_VALUE"""),"Mississauga, ON, CA")</f>
        <v>Mississauga, ON, CA</v>
      </c>
      <c r="U397" s="45"/>
      <c r="V397" s="45"/>
      <c r="W397" s="45"/>
      <c r="X397" s="45"/>
      <c r="Y397" s="46">
        <f ca="1">IFERROR(__xludf.DUMMYFUNCTION("""COMPUTED_VALUE"""),45832)</f>
        <v>45832</v>
      </c>
      <c r="Z397" s="46">
        <f ca="1">IFERROR(__xludf.DUMMYFUNCTION("""COMPUTED_VALUE"""),45861)</f>
        <v>45861</v>
      </c>
      <c r="AA397" s="46">
        <f ca="1">IFERROR(__xludf.DUMMYFUNCTION("""COMPUTED_VALUE"""),45874)</f>
        <v>45874</v>
      </c>
      <c r="AB397" s="45" t="str">
        <f ca="1">IFERROR(__xludf.DUMMYFUNCTION("""COMPUTED_VALUE"""),"3500 Argentia Road")</f>
        <v>3500 Argentia Road</v>
      </c>
      <c r="AC397" s="45"/>
      <c r="AD397" s="45" t="str">
        <f ca="1">IFERROR(__xludf.DUMMYFUNCTION("""COMPUTED_VALUE"""),"OCEAN")</f>
        <v>OCEAN</v>
      </c>
      <c r="AE397" s="45" t="str">
        <f ca="1">IFERROR(__xludf.DUMMYFUNCTION("""COMPUTED_VALUE"""),"N")</f>
        <v>N</v>
      </c>
      <c r="AF397" s="45"/>
      <c r="AG397" s="49" t="str">
        <f ca="1">IFERROR(__xludf.DUMMYFUNCTION("IFNA(vlookup(H397,IMPORTRANGE(""1vUGwO1n0QQGx9kKbO0_M5gmuhXZ6-LaxQxgrmJnzgP0"",""'TP# look up'!A:C""),3,0),"""")"),"")</f>
        <v/>
      </c>
      <c r="AH397" s="49" t="str">
        <f t="shared" ca="1" si="6"/>
        <v>LM</v>
      </c>
    </row>
    <row r="398" spans="1:34" ht="12.75" hidden="1">
      <c r="A398" s="45" t="str">
        <f ca="1">IFERROR(__xludf.DUMMYFUNCTION("""COMPUTED_VALUE"""),"Colombo")</f>
        <v>Colombo</v>
      </c>
      <c r="B398" s="45"/>
      <c r="C398" s="45">
        <f ca="1">IFERROR(__xludf.DUMMYFUNCTION("""COMPUTED_VALUE"""),3254506)</f>
        <v>3254506</v>
      </c>
      <c r="D398" s="45"/>
      <c r="E398" s="45" t="str">
        <f ca="1">IFERROR(__xludf.DUMMYFUNCTION("""COMPUTED_VALUE"""),"CFS")</f>
        <v>CFS</v>
      </c>
      <c r="F398" s="45" t="str">
        <f ca="1">IFERROR(__xludf.DUMMYFUNCTION("""COMPUTED_VALUE"""),"MAS AMITY PTE LTD")</f>
        <v>MAS AMITY PTE LTD</v>
      </c>
      <c r="G398" s="45" t="str">
        <f ca="1">IFERROR(__xludf.DUMMYFUNCTION("""COMPUTED_VALUE"""),"MAS Active (Pvt) Ltd – Sleekline")</f>
        <v>MAS Active (Pvt) Ltd – Sleekline</v>
      </c>
      <c r="H398" s="43">
        <f ca="1">IFERROR(__xludf.DUMMYFUNCTION("""COMPUTED_VALUE"""),452883659582)</f>
        <v>452883659582</v>
      </c>
      <c r="I398" s="45">
        <f ca="1">IFERROR(__xludf.DUMMYFUNCTION("""COMPUTED_VALUE"""),19940638)</f>
        <v>19940638</v>
      </c>
      <c r="J398" s="45" t="str">
        <f ca="1">IFERROR(__xludf.DUMMYFUNCTION("""COMPUTED_VALUE"""),"LM9AN6S")</f>
        <v>LM9AN6S</v>
      </c>
      <c r="K398" s="45" t="str">
        <f ca="1">IFERROR(__xludf.DUMMYFUNCTION("""COMPUTED_VALUE"""),"LM9AN6S-069600")</f>
        <v>LM9AN6S-069600</v>
      </c>
      <c r="L398" s="45">
        <f ca="1">IFERROR(__xludf.DUMMYFUNCTION("""COMPUTED_VALUE"""),2)</f>
        <v>2</v>
      </c>
      <c r="M398" s="45">
        <f ca="1">IFERROR(__xludf.DUMMYFUNCTION("""COMPUTED_VALUE"""),173)</f>
        <v>173</v>
      </c>
      <c r="N398" s="45">
        <f ca="1">IFERROR(__xludf.DUMMYFUNCTION("""COMPUTED_VALUE"""),17.835)</f>
        <v>17.835000000000001</v>
      </c>
      <c r="O398" s="45">
        <f ca="1">IFERROR(__xludf.DUMMYFUNCTION("""COMPUTED_VALUE"""),0.119)</f>
        <v>0.11899999999999999</v>
      </c>
      <c r="P398" s="45" t="str">
        <f ca="1">IFERROR(__xludf.DUMMYFUNCTION("""COMPUTED_VALUE"""),"Colombo, LK")</f>
        <v>Colombo, LK</v>
      </c>
      <c r="Q398" s="45" t="str">
        <f ca="1">IFERROR(__xludf.DUMMYFUNCTION("""COMPUTED_VALUE"""),"New York, NY, US")</f>
        <v>New York, NY, US</v>
      </c>
      <c r="R398" s="44">
        <f ca="1">IFERROR(__xludf.DUMMYFUNCTION("""COMPUTED_VALUE"""),45824)</f>
        <v>45824</v>
      </c>
      <c r="S398" s="44">
        <f ca="1">IFERROR(__xludf.DUMMYFUNCTION("""COMPUTED_VALUE"""),45883)</f>
        <v>45883</v>
      </c>
      <c r="T398" s="45" t="str">
        <f ca="1">IFERROR(__xludf.DUMMYFUNCTION("""COMPUTED_VALUE"""),"Mississauga, ON, CA")</f>
        <v>Mississauga, ON, CA</v>
      </c>
      <c r="U398" s="45"/>
      <c r="V398" s="45"/>
      <c r="W398" s="45"/>
      <c r="X398" s="45"/>
      <c r="Y398" s="46">
        <f ca="1">IFERROR(__xludf.DUMMYFUNCTION("""COMPUTED_VALUE"""),45832)</f>
        <v>45832</v>
      </c>
      <c r="Z398" s="46">
        <f ca="1">IFERROR(__xludf.DUMMYFUNCTION("""COMPUTED_VALUE"""),45861)</f>
        <v>45861</v>
      </c>
      <c r="AA398" s="46">
        <f ca="1">IFERROR(__xludf.DUMMYFUNCTION("""COMPUTED_VALUE"""),45874)</f>
        <v>45874</v>
      </c>
      <c r="AB398" s="45" t="str">
        <f ca="1">IFERROR(__xludf.DUMMYFUNCTION("""COMPUTED_VALUE"""),"3500 Argentia Road")</f>
        <v>3500 Argentia Road</v>
      </c>
      <c r="AC398" s="45"/>
      <c r="AD398" s="45" t="str">
        <f ca="1">IFERROR(__xludf.DUMMYFUNCTION("""COMPUTED_VALUE"""),"OCEAN")</f>
        <v>OCEAN</v>
      </c>
      <c r="AE398" s="45" t="str">
        <f ca="1">IFERROR(__xludf.DUMMYFUNCTION("""COMPUTED_VALUE"""),"N")</f>
        <v>N</v>
      </c>
      <c r="AF398" s="45"/>
      <c r="AG398" s="49" t="str">
        <f ca="1">IFERROR(__xludf.DUMMYFUNCTION("IFNA(vlookup(H398,IMPORTRANGE(""1vUGwO1n0QQGx9kKbO0_M5gmuhXZ6-LaxQxgrmJnzgP0"",""'TP# look up'!A:C""),3,0),"""")"),"")</f>
        <v/>
      </c>
      <c r="AH398" s="49" t="str">
        <f t="shared" ca="1" si="6"/>
        <v>LM</v>
      </c>
    </row>
    <row r="399" spans="1:34" ht="12.75" hidden="1">
      <c r="A399" s="45" t="str">
        <f ca="1">IFERROR(__xludf.DUMMYFUNCTION("""COMPUTED_VALUE"""),"Colombo")</f>
        <v>Colombo</v>
      </c>
      <c r="B399" s="45"/>
      <c r="C399" s="45">
        <f ca="1">IFERROR(__xludf.DUMMYFUNCTION("""COMPUTED_VALUE"""),3254506)</f>
        <v>3254506</v>
      </c>
      <c r="D399" s="45"/>
      <c r="E399" s="45" t="str">
        <f ca="1">IFERROR(__xludf.DUMMYFUNCTION("""COMPUTED_VALUE"""),"CFS")</f>
        <v>CFS</v>
      </c>
      <c r="F399" s="45" t="str">
        <f ca="1">IFERROR(__xludf.DUMMYFUNCTION("""COMPUTED_VALUE"""),"MAS AMITY PTE LTD")</f>
        <v>MAS AMITY PTE LTD</v>
      </c>
      <c r="G399" s="45" t="str">
        <f ca="1">IFERROR(__xludf.DUMMYFUNCTION("""COMPUTED_VALUE"""),"MAS Active (Pvt) Ltd – Sleekline")</f>
        <v>MAS Active (Pvt) Ltd – Sleekline</v>
      </c>
      <c r="H399" s="43">
        <f ca="1">IFERROR(__xludf.DUMMYFUNCTION("""COMPUTED_VALUE"""),452884014566)</f>
        <v>452884014566</v>
      </c>
      <c r="I399" s="45">
        <f ca="1">IFERROR(__xludf.DUMMYFUNCTION("""COMPUTED_VALUE"""),19940694)</f>
        <v>19940694</v>
      </c>
      <c r="J399" s="45" t="str">
        <f ca="1">IFERROR(__xludf.DUMMYFUNCTION("""COMPUTED_VALUE"""),"LM9AY9S")</f>
        <v>LM9AY9S</v>
      </c>
      <c r="K399" s="45" t="str">
        <f ca="1">IFERROR(__xludf.DUMMYFUNCTION("""COMPUTED_VALUE"""),"LM9AY9S-042751")</f>
        <v>LM9AY9S-042751</v>
      </c>
      <c r="L399" s="45">
        <f ca="1">IFERROR(__xludf.DUMMYFUNCTION("""COMPUTED_VALUE"""),5)</f>
        <v>5</v>
      </c>
      <c r="M399" s="45">
        <f ca="1">IFERROR(__xludf.DUMMYFUNCTION("""COMPUTED_VALUE"""),200)</f>
        <v>200</v>
      </c>
      <c r="N399" s="45">
        <f ca="1">IFERROR(__xludf.DUMMYFUNCTION("""COMPUTED_VALUE"""),59.09)</f>
        <v>59.09</v>
      </c>
      <c r="O399" s="45">
        <f ca="1">IFERROR(__xludf.DUMMYFUNCTION("""COMPUTED_VALUE"""),0.357)</f>
        <v>0.35699999999999998</v>
      </c>
      <c r="P399" s="45" t="str">
        <f ca="1">IFERROR(__xludf.DUMMYFUNCTION("""COMPUTED_VALUE"""),"Colombo, LK")</f>
        <v>Colombo, LK</v>
      </c>
      <c r="Q399" s="45" t="str">
        <f ca="1">IFERROR(__xludf.DUMMYFUNCTION("""COMPUTED_VALUE"""),"New York, NY, US")</f>
        <v>New York, NY, US</v>
      </c>
      <c r="R399" s="44">
        <f ca="1">IFERROR(__xludf.DUMMYFUNCTION("""COMPUTED_VALUE"""),45824)</f>
        <v>45824</v>
      </c>
      <c r="S399" s="44">
        <f ca="1">IFERROR(__xludf.DUMMYFUNCTION("""COMPUTED_VALUE"""),45883)</f>
        <v>45883</v>
      </c>
      <c r="T399" s="45" t="str">
        <f ca="1">IFERROR(__xludf.DUMMYFUNCTION("""COMPUTED_VALUE"""),"Mississauga, ON, CA")</f>
        <v>Mississauga, ON, CA</v>
      </c>
      <c r="U399" s="45"/>
      <c r="V399" s="45"/>
      <c r="W399" s="45"/>
      <c r="X399" s="45"/>
      <c r="Y399" s="46">
        <f ca="1">IFERROR(__xludf.DUMMYFUNCTION("""COMPUTED_VALUE"""),45832)</f>
        <v>45832</v>
      </c>
      <c r="Z399" s="46">
        <f ca="1">IFERROR(__xludf.DUMMYFUNCTION("""COMPUTED_VALUE"""),45861)</f>
        <v>45861</v>
      </c>
      <c r="AA399" s="46">
        <f ca="1">IFERROR(__xludf.DUMMYFUNCTION("""COMPUTED_VALUE"""),45874)</f>
        <v>45874</v>
      </c>
      <c r="AB399" s="45" t="str">
        <f ca="1">IFERROR(__xludf.DUMMYFUNCTION("""COMPUTED_VALUE"""),"3500 Argentia Road")</f>
        <v>3500 Argentia Road</v>
      </c>
      <c r="AC399" s="45"/>
      <c r="AD399" s="45" t="str">
        <f ca="1">IFERROR(__xludf.DUMMYFUNCTION("""COMPUTED_VALUE"""),"OCEAN")</f>
        <v>OCEAN</v>
      </c>
      <c r="AE399" s="45" t="str">
        <f ca="1">IFERROR(__xludf.DUMMYFUNCTION("""COMPUTED_VALUE"""),"N")</f>
        <v>N</v>
      </c>
      <c r="AF399" s="45"/>
      <c r="AG399" s="49" t="str">
        <f ca="1">IFERROR(__xludf.DUMMYFUNCTION("IFNA(vlookup(H399,IMPORTRANGE(""1vUGwO1n0QQGx9kKbO0_M5gmuhXZ6-LaxQxgrmJnzgP0"",""'TP# look up'!A:C""),3,0),"""")"),"")</f>
        <v/>
      </c>
      <c r="AH399" s="49" t="str">
        <f t="shared" ca="1" si="6"/>
        <v>LM</v>
      </c>
    </row>
    <row r="400" spans="1:34" ht="12.75" hidden="1">
      <c r="A400" s="45" t="str">
        <f ca="1">IFERROR(__xludf.DUMMYFUNCTION("""COMPUTED_VALUE"""),"Colombo")</f>
        <v>Colombo</v>
      </c>
      <c r="B400" s="45"/>
      <c r="C400" s="45">
        <f ca="1">IFERROR(__xludf.DUMMYFUNCTION("""COMPUTED_VALUE"""),3254506)</f>
        <v>3254506</v>
      </c>
      <c r="D400" s="45"/>
      <c r="E400" s="45" t="str">
        <f ca="1">IFERROR(__xludf.DUMMYFUNCTION("""COMPUTED_VALUE"""),"CFS")</f>
        <v>CFS</v>
      </c>
      <c r="F400" s="45" t="str">
        <f ca="1">IFERROR(__xludf.DUMMYFUNCTION("""COMPUTED_VALUE"""),"MAS AMITY PTE LTD")</f>
        <v>MAS AMITY PTE LTD</v>
      </c>
      <c r="G400" s="45" t="str">
        <f ca="1">IFERROR(__xludf.DUMMYFUNCTION("""COMPUTED_VALUE"""),"MAS Active (Pvt) Ltd – Sleekline")</f>
        <v>MAS Active (Pvt) Ltd – Sleekline</v>
      </c>
      <c r="H400" s="43">
        <f ca="1">IFERROR(__xludf.DUMMYFUNCTION("""COMPUTED_VALUE"""),452885455014)</f>
        <v>452885455014</v>
      </c>
      <c r="I400" s="45">
        <f ca="1">IFERROR(__xludf.DUMMYFUNCTION("""COMPUTED_VALUE"""),19940754)</f>
        <v>19940754</v>
      </c>
      <c r="J400" s="45" t="str">
        <f ca="1">IFERROR(__xludf.DUMMYFUNCTION("""COMPUTED_VALUE"""),"LM9AYLS")</f>
        <v>LM9AYLS</v>
      </c>
      <c r="K400" s="45" t="str">
        <f ca="1">IFERROR(__xludf.DUMMYFUNCTION("""COMPUTED_VALUE"""),"LM9AYLS-033928")</f>
        <v>LM9AYLS-033928</v>
      </c>
      <c r="L400" s="45">
        <f ca="1">IFERROR(__xludf.DUMMYFUNCTION("""COMPUTED_VALUE"""),1)</f>
        <v>1</v>
      </c>
      <c r="M400" s="45">
        <f ca="1">IFERROR(__xludf.DUMMYFUNCTION("""COMPUTED_VALUE"""),127)</f>
        <v>127</v>
      </c>
      <c r="N400" s="45">
        <f ca="1">IFERROR(__xludf.DUMMYFUNCTION("""COMPUTED_VALUE"""),11.917)</f>
        <v>11.917</v>
      </c>
      <c r="O400" s="45">
        <f ca="1">IFERROR(__xludf.DUMMYFUNCTION("""COMPUTED_VALUE"""),0.079)</f>
        <v>7.9000000000000001E-2</v>
      </c>
      <c r="P400" s="45" t="str">
        <f ca="1">IFERROR(__xludf.DUMMYFUNCTION("""COMPUTED_VALUE"""),"Colombo, LK")</f>
        <v>Colombo, LK</v>
      </c>
      <c r="Q400" s="45" t="str">
        <f ca="1">IFERROR(__xludf.DUMMYFUNCTION("""COMPUTED_VALUE"""),"New York, NY, US")</f>
        <v>New York, NY, US</v>
      </c>
      <c r="R400" s="44">
        <f ca="1">IFERROR(__xludf.DUMMYFUNCTION("""COMPUTED_VALUE"""),45824)</f>
        <v>45824</v>
      </c>
      <c r="S400" s="44">
        <f ca="1">IFERROR(__xludf.DUMMYFUNCTION("""COMPUTED_VALUE"""),45883)</f>
        <v>45883</v>
      </c>
      <c r="T400" s="45" t="str">
        <f ca="1">IFERROR(__xludf.DUMMYFUNCTION("""COMPUTED_VALUE"""),"Mississauga, ON, CA")</f>
        <v>Mississauga, ON, CA</v>
      </c>
      <c r="U400" s="45"/>
      <c r="V400" s="45"/>
      <c r="W400" s="45"/>
      <c r="X400" s="45"/>
      <c r="Y400" s="46">
        <f ca="1">IFERROR(__xludf.DUMMYFUNCTION("""COMPUTED_VALUE"""),45832)</f>
        <v>45832</v>
      </c>
      <c r="Z400" s="46">
        <f ca="1">IFERROR(__xludf.DUMMYFUNCTION("""COMPUTED_VALUE"""),45861)</f>
        <v>45861</v>
      </c>
      <c r="AA400" s="46">
        <f ca="1">IFERROR(__xludf.DUMMYFUNCTION("""COMPUTED_VALUE"""),45874)</f>
        <v>45874</v>
      </c>
      <c r="AB400" s="45" t="str">
        <f ca="1">IFERROR(__xludf.DUMMYFUNCTION("""COMPUTED_VALUE"""),"3500 Argentia Road")</f>
        <v>3500 Argentia Road</v>
      </c>
      <c r="AC400" s="45"/>
      <c r="AD400" s="45" t="str">
        <f ca="1">IFERROR(__xludf.DUMMYFUNCTION("""COMPUTED_VALUE"""),"OCEAN")</f>
        <v>OCEAN</v>
      </c>
      <c r="AE400" s="45" t="str">
        <f ca="1">IFERROR(__xludf.DUMMYFUNCTION("""COMPUTED_VALUE"""),"N")</f>
        <v>N</v>
      </c>
      <c r="AF400" s="45"/>
      <c r="AG400" s="49" t="str">
        <f ca="1">IFERROR(__xludf.DUMMYFUNCTION("IFNA(vlookup(H400,IMPORTRANGE(""1vUGwO1n0QQGx9kKbO0_M5gmuhXZ6-LaxQxgrmJnzgP0"",""'TP# look up'!A:C""),3,0),"""")"),"")</f>
        <v/>
      </c>
      <c r="AH400" s="49" t="str">
        <f t="shared" ca="1" si="6"/>
        <v>LM</v>
      </c>
    </row>
    <row r="401" spans="1:34" ht="12.75" hidden="1">
      <c r="A401" s="45" t="str">
        <f ca="1">IFERROR(__xludf.DUMMYFUNCTION("""COMPUTED_VALUE"""),"Colombo")</f>
        <v>Colombo</v>
      </c>
      <c r="B401" s="45"/>
      <c r="C401" s="45">
        <f ca="1">IFERROR(__xludf.DUMMYFUNCTION("""COMPUTED_VALUE"""),3254506)</f>
        <v>3254506</v>
      </c>
      <c r="D401" s="45"/>
      <c r="E401" s="45" t="str">
        <f ca="1">IFERROR(__xludf.DUMMYFUNCTION("""COMPUTED_VALUE"""),"CFS")</f>
        <v>CFS</v>
      </c>
      <c r="F401" s="45" t="str">
        <f ca="1">IFERROR(__xludf.DUMMYFUNCTION("""COMPUTED_VALUE"""),"MAS AMITY PTE LTD")</f>
        <v>MAS AMITY PTE LTD</v>
      </c>
      <c r="G401" s="45" t="str">
        <f ca="1">IFERROR(__xludf.DUMMYFUNCTION("""COMPUTED_VALUE"""),"MAS Active (Pvt) Ltd – Sleekline")</f>
        <v>MAS Active (Pvt) Ltd – Sleekline</v>
      </c>
      <c r="H401" s="43">
        <f ca="1">IFERROR(__xludf.DUMMYFUNCTION("""COMPUTED_VALUE"""),452886840225)</f>
        <v>452886840225</v>
      </c>
      <c r="I401" s="45">
        <f ca="1">IFERROR(__xludf.DUMMYFUNCTION("""COMPUTED_VALUE"""),19940778)</f>
        <v>19940778</v>
      </c>
      <c r="J401" s="45" t="str">
        <f ca="1">IFERROR(__xludf.DUMMYFUNCTION("""COMPUTED_VALUE"""),"LM9AZ0S")</f>
        <v>LM9AZ0S</v>
      </c>
      <c r="K401" s="45" t="str">
        <f ca="1">IFERROR(__xludf.DUMMYFUNCTION("""COMPUTED_VALUE"""),"LM9AZ0S-066937")</f>
        <v>LM9AZ0S-066937</v>
      </c>
      <c r="L401" s="45">
        <f ca="1">IFERROR(__xludf.DUMMYFUNCTION("""COMPUTED_VALUE"""),1)</f>
        <v>1</v>
      </c>
      <c r="M401" s="45">
        <f ca="1">IFERROR(__xludf.DUMMYFUNCTION("""COMPUTED_VALUE"""),103)</f>
        <v>103</v>
      </c>
      <c r="N401" s="45">
        <f ca="1">IFERROR(__xludf.DUMMYFUNCTION("""COMPUTED_VALUE"""),10.53)</f>
        <v>10.53</v>
      </c>
      <c r="O401" s="45">
        <f ca="1">IFERROR(__xludf.DUMMYFUNCTION("""COMPUTED_VALUE"""),0.079)</f>
        <v>7.9000000000000001E-2</v>
      </c>
      <c r="P401" s="45" t="str">
        <f ca="1">IFERROR(__xludf.DUMMYFUNCTION("""COMPUTED_VALUE"""),"Colombo, LK")</f>
        <v>Colombo, LK</v>
      </c>
      <c r="Q401" s="45" t="str">
        <f ca="1">IFERROR(__xludf.DUMMYFUNCTION("""COMPUTED_VALUE"""),"New York, NY, US")</f>
        <v>New York, NY, US</v>
      </c>
      <c r="R401" s="44">
        <f ca="1">IFERROR(__xludf.DUMMYFUNCTION("""COMPUTED_VALUE"""),45824)</f>
        <v>45824</v>
      </c>
      <c r="S401" s="44">
        <f ca="1">IFERROR(__xludf.DUMMYFUNCTION("""COMPUTED_VALUE"""),45883)</f>
        <v>45883</v>
      </c>
      <c r="T401" s="45" t="str">
        <f ca="1">IFERROR(__xludf.DUMMYFUNCTION("""COMPUTED_VALUE"""),"Mississauga, ON, CA")</f>
        <v>Mississauga, ON, CA</v>
      </c>
      <c r="U401" s="45"/>
      <c r="V401" s="45"/>
      <c r="W401" s="45"/>
      <c r="X401" s="45"/>
      <c r="Y401" s="46">
        <f ca="1">IFERROR(__xludf.DUMMYFUNCTION("""COMPUTED_VALUE"""),45832)</f>
        <v>45832</v>
      </c>
      <c r="Z401" s="46">
        <f ca="1">IFERROR(__xludf.DUMMYFUNCTION("""COMPUTED_VALUE"""),45861)</f>
        <v>45861</v>
      </c>
      <c r="AA401" s="46">
        <f ca="1">IFERROR(__xludf.DUMMYFUNCTION("""COMPUTED_VALUE"""),45874)</f>
        <v>45874</v>
      </c>
      <c r="AB401" s="45" t="str">
        <f ca="1">IFERROR(__xludf.DUMMYFUNCTION("""COMPUTED_VALUE"""),"3500 Argentia Road")</f>
        <v>3500 Argentia Road</v>
      </c>
      <c r="AC401" s="45"/>
      <c r="AD401" s="45" t="str">
        <f ca="1">IFERROR(__xludf.DUMMYFUNCTION("""COMPUTED_VALUE"""),"OCEAN")</f>
        <v>OCEAN</v>
      </c>
      <c r="AE401" s="45" t="str">
        <f ca="1">IFERROR(__xludf.DUMMYFUNCTION("""COMPUTED_VALUE"""),"N")</f>
        <v>N</v>
      </c>
      <c r="AF401" s="45"/>
      <c r="AG401" s="49" t="str">
        <f ca="1">IFERROR(__xludf.DUMMYFUNCTION("IFNA(vlookup(H401,IMPORTRANGE(""1vUGwO1n0QQGx9kKbO0_M5gmuhXZ6-LaxQxgrmJnzgP0"",""'TP# look up'!A:C""),3,0),"""")"),"")</f>
        <v/>
      </c>
      <c r="AH401" s="49" t="str">
        <f t="shared" ca="1" si="6"/>
        <v>LM</v>
      </c>
    </row>
    <row r="402" spans="1:34" ht="12.75" hidden="1">
      <c r="A402" s="45" t="str">
        <f ca="1">IFERROR(__xludf.DUMMYFUNCTION("""COMPUTED_VALUE"""),"Colombo")</f>
        <v>Colombo</v>
      </c>
      <c r="B402" s="45"/>
      <c r="C402" s="45">
        <f ca="1">IFERROR(__xludf.DUMMYFUNCTION("""COMPUTED_VALUE"""),3254506)</f>
        <v>3254506</v>
      </c>
      <c r="D402" s="45"/>
      <c r="E402" s="45" t="str">
        <f ca="1">IFERROR(__xludf.DUMMYFUNCTION("""COMPUTED_VALUE"""),"CFS")</f>
        <v>CFS</v>
      </c>
      <c r="F402" s="45" t="str">
        <f ca="1">IFERROR(__xludf.DUMMYFUNCTION("""COMPUTED_VALUE"""),"MAS AMITY PTE LTD")</f>
        <v>MAS AMITY PTE LTD</v>
      </c>
      <c r="G402" s="45" t="str">
        <f ca="1">IFERROR(__xludf.DUMMYFUNCTION("""COMPUTED_VALUE"""),"MAS Active (Pvt) Ltd – Sleekline")</f>
        <v>MAS Active (Pvt) Ltd – Sleekline</v>
      </c>
      <c r="H402" s="43">
        <f ca="1">IFERROR(__xludf.DUMMYFUNCTION("""COMPUTED_VALUE"""),452887033412)</f>
        <v>452887033412</v>
      </c>
      <c r="I402" s="45">
        <f ca="1">IFERROR(__xludf.DUMMYFUNCTION("""COMPUTED_VALUE"""),19940655)</f>
        <v>19940655</v>
      </c>
      <c r="J402" s="45" t="str">
        <f ca="1">IFERROR(__xludf.DUMMYFUNCTION("""COMPUTED_VALUE"""),"LM9AN8S")</f>
        <v>LM9AN8S</v>
      </c>
      <c r="K402" s="45" t="str">
        <f ca="1">IFERROR(__xludf.DUMMYFUNCTION("""COMPUTED_VALUE"""),"LM9AN8S-045060")</f>
        <v>LM9AN8S-045060</v>
      </c>
      <c r="L402" s="45">
        <f ca="1">IFERROR(__xludf.DUMMYFUNCTION("""COMPUTED_VALUE"""),3)</f>
        <v>3</v>
      </c>
      <c r="M402" s="45">
        <f ca="1">IFERROR(__xludf.DUMMYFUNCTION("""COMPUTED_VALUE"""),107)</f>
        <v>107</v>
      </c>
      <c r="N402" s="45">
        <f ca="1">IFERROR(__xludf.DUMMYFUNCTION("""COMPUTED_VALUE"""),33.41)</f>
        <v>33.409999999999997</v>
      </c>
      <c r="O402" s="45">
        <f ca="1">IFERROR(__xludf.DUMMYFUNCTION("""COMPUTED_VALUE"""),0.238)</f>
        <v>0.23799999999999999</v>
      </c>
      <c r="P402" s="45" t="str">
        <f ca="1">IFERROR(__xludf.DUMMYFUNCTION("""COMPUTED_VALUE"""),"Colombo, LK")</f>
        <v>Colombo, LK</v>
      </c>
      <c r="Q402" s="45" t="str">
        <f ca="1">IFERROR(__xludf.DUMMYFUNCTION("""COMPUTED_VALUE"""),"New York, NY, US")</f>
        <v>New York, NY, US</v>
      </c>
      <c r="R402" s="44">
        <f ca="1">IFERROR(__xludf.DUMMYFUNCTION("""COMPUTED_VALUE"""),45824)</f>
        <v>45824</v>
      </c>
      <c r="S402" s="44">
        <f ca="1">IFERROR(__xludf.DUMMYFUNCTION("""COMPUTED_VALUE"""),45883)</f>
        <v>45883</v>
      </c>
      <c r="T402" s="45" t="str">
        <f ca="1">IFERROR(__xludf.DUMMYFUNCTION("""COMPUTED_VALUE"""),"Mississauga, ON, CA")</f>
        <v>Mississauga, ON, CA</v>
      </c>
      <c r="U402" s="45"/>
      <c r="V402" s="45"/>
      <c r="W402" s="45"/>
      <c r="X402" s="45"/>
      <c r="Y402" s="46">
        <f ca="1">IFERROR(__xludf.DUMMYFUNCTION("""COMPUTED_VALUE"""),45832)</f>
        <v>45832</v>
      </c>
      <c r="Z402" s="46">
        <f ca="1">IFERROR(__xludf.DUMMYFUNCTION("""COMPUTED_VALUE"""),45861)</f>
        <v>45861</v>
      </c>
      <c r="AA402" s="46">
        <f ca="1">IFERROR(__xludf.DUMMYFUNCTION("""COMPUTED_VALUE"""),45874)</f>
        <v>45874</v>
      </c>
      <c r="AB402" s="45" t="str">
        <f ca="1">IFERROR(__xludf.DUMMYFUNCTION("""COMPUTED_VALUE"""),"3500 Argentia Road")</f>
        <v>3500 Argentia Road</v>
      </c>
      <c r="AC402" s="45"/>
      <c r="AD402" s="45" t="str">
        <f ca="1">IFERROR(__xludf.DUMMYFUNCTION("""COMPUTED_VALUE"""),"OCEAN")</f>
        <v>OCEAN</v>
      </c>
      <c r="AE402" s="45" t="str">
        <f ca="1">IFERROR(__xludf.DUMMYFUNCTION("""COMPUTED_VALUE"""),"N")</f>
        <v>N</v>
      </c>
      <c r="AF402" s="45"/>
      <c r="AG402" s="49" t="str">
        <f ca="1">IFERROR(__xludf.DUMMYFUNCTION("IFNA(vlookup(H402,IMPORTRANGE(""1vUGwO1n0QQGx9kKbO0_M5gmuhXZ6-LaxQxgrmJnzgP0"",""'TP# look up'!A:C""),3,0),"""")"),"")</f>
        <v/>
      </c>
      <c r="AH402" s="49" t="str">
        <f t="shared" ca="1" si="6"/>
        <v>LM</v>
      </c>
    </row>
    <row r="403" spans="1:34" ht="12.75" hidden="1">
      <c r="A403" s="45" t="str">
        <f ca="1">IFERROR(__xludf.DUMMYFUNCTION("""COMPUTED_VALUE"""),"Colombo")</f>
        <v>Colombo</v>
      </c>
      <c r="B403" s="45"/>
      <c r="C403" s="45">
        <f ca="1">IFERROR(__xludf.DUMMYFUNCTION("""COMPUTED_VALUE"""),3254506)</f>
        <v>3254506</v>
      </c>
      <c r="D403" s="45"/>
      <c r="E403" s="45" t="str">
        <f ca="1">IFERROR(__xludf.DUMMYFUNCTION("""COMPUTED_VALUE"""),"CFS")</f>
        <v>CFS</v>
      </c>
      <c r="F403" s="45" t="str">
        <f ca="1">IFERROR(__xludf.DUMMYFUNCTION("""COMPUTED_VALUE"""),"MAS AMITY PTE LTD")</f>
        <v>MAS AMITY PTE LTD</v>
      </c>
      <c r="G403" s="45" t="str">
        <f ca="1">IFERROR(__xludf.DUMMYFUNCTION("""COMPUTED_VALUE"""),"MAS Active (Pvt) Ltd – Sleekline")</f>
        <v>MAS Active (Pvt) Ltd – Sleekline</v>
      </c>
      <c r="H403" s="43">
        <f ca="1">IFERROR(__xludf.DUMMYFUNCTION("""COMPUTED_VALUE"""),452887538870)</f>
        <v>452887538870</v>
      </c>
      <c r="I403" s="45">
        <f ca="1">IFERROR(__xludf.DUMMYFUNCTION("""COMPUTED_VALUE"""),19940706)</f>
        <v>19940706</v>
      </c>
      <c r="J403" s="45" t="str">
        <f ca="1">IFERROR(__xludf.DUMMYFUNCTION("""COMPUTED_VALUE"""),"LM9AYES")</f>
        <v>LM9AYES</v>
      </c>
      <c r="K403" s="45" t="str">
        <f ca="1">IFERROR(__xludf.DUMMYFUNCTION("""COMPUTED_VALUE"""),"LM9AYES-071856")</f>
        <v>LM9AYES-071856</v>
      </c>
      <c r="L403" s="45">
        <f ca="1">IFERROR(__xludf.DUMMYFUNCTION("""COMPUTED_VALUE"""),10)</f>
        <v>10</v>
      </c>
      <c r="M403" s="45">
        <f ca="1">IFERROR(__xludf.DUMMYFUNCTION("""COMPUTED_VALUE"""),256)</f>
        <v>256</v>
      </c>
      <c r="N403" s="45">
        <f ca="1">IFERROR(__xludf.DUMMYFUNCTION("""COMPUTED_VALUE"""),121.12)</f>
        <v>121.12</v>
      </c>
      <c r="O403" s="45">
        <f ca="1">IFERROR(__xludf.DUMMYFUNCTION("""COMPUTED_VALUE"""),0.793)</f>
        <v>0.79300000000000004</v>
      </c>
      <c r="P403" s="45" t="str">
        <f ca="1">IFERROR(__xludf.DUMMYFUNCTION("""COMPUTED_VALUE"""),"Colombo, LK")</f>
        <v>Colombo, LK</v>
      </c>
      <c r="Q403" s="45" t="str">
        <f ca="1">IFERROR(__xludf.DUMMYFUNCTION("""COMPUTED_VALUE"""),"New York, NY, US")</f>
        <v>New York, NY, US</v>
      </c>
      <c r="R403" s="44">
        <f ca="1">IFERROR(__xludf.DUMMYFUNCTION("""COMPUTED_VALUE"""),45824)</f>
        <v>45824</v>
      </c>
      <c r="S403" s="44">
        <f ca="1">IFERROR(__xludf.DUMMYFUNCTION("""COMPUTED_VALUE"""),45883)</f>
        <v>45883</v>
      </c>
      <c r="T403" s="45" t="str">
        <f ca="1">IFERROR(__xludf.DUMMYFUNCTION("""COMPUTED_VALUE"""),"Mississauga, ON, CA")</f>
        <v>Mississauga, ON, CA</v>
      </c>
      <c r="U403" s="45"/>
      <c r="V403" s="45"/>
      <c r="W403" s="45"/>
      <c r="X403" s="45"/>
      <c r="Y403" s="46">
        <f ca="1">IFERROR(__xludf.DUMMYFUNCTION("""COMPUTED_VALUE"""),45832)</f>
        <v>45832</v>
      </c>
      <c r="Z403" s="46">
        <f ca="1">IFERROR(__xludf.DUMMYFUNCTION("""COMPUTED_VALUE"""),45861)</f>
        <v>45861</v>
      </c>
      <c r="AA403" s="46">
        <f ca="1">IFERROR(__xludf.DUMMYFUNCTION("""COMPUTED_VALUE"""),45874)</f>
        <v>45874</v>
      </c>
      <c r="AB403" s="45" t="str">
        <f ca="1">IFERROR(__xludf.DUMMYFUNCTION("""COMPUTED_VALUE"""),"3500 Argentia Road")</f>
        <v>3500 Argentia Road</v>
      </c>
      <c r="AC403" s="45"/>
      <c r="AD403" s="45" t="str">
        <f ca="1">IFERROR(__xludf.DUMMYFUNCTION("""COMPUTED_VALUE"""),"OCEAN")</f>
        <v>OCEAN</v>
      </c>
      <c r="AE403" s="45" t="str">
        <f ca="1">IFERROR(__xludf.DUMMYFUNCTION("""COMPUTED_VALUE"""),"N")</f>
        <v>N</v>
      </c>
      <c r="AF403" s="45"/>
      <c r="AG403" s="49" t="str">
        <f ca="1">IFERROR(__xludf.DUMMYFUNCTION("IFNA(vlookup(H403,IMPORTRANGE(""1vUGwO1n0QQGx9kKbO0_M5gmuhXZ6-LaxQxgrmJnzgP0"",""'TP# look up'!A:C""),3,0),"""")"),"")</f>
        <v/>
      </c>
      <c r="AH403" s="49" t="str">
        <f t="shared" ca="1" si="6"/>
        <v>LM</v>
      </c>
    </row>
    <row r="404" spans="1:34" ht="12.75" hidden="1">
      <c r="A404" s="45" t="str">
        <f ca="1">IFERROR(__xludf.DUMMYFUNCTION("""COMPUTED_VALUE"""),"Colombo")</f>
        <v>Colombo</v>
      </c>
      <c r="B404" s="45"/>
      <c r="C404" s="45">
        <f ca="1">IFERROR(__xludf.DUMMYFUNCTION("""COMPUTED_VALUE"""),3254506)</f>
        <v>3254506</v>
      </c>
      <c r="D404" s="45"/>
      <c r="E404" s="45" t="str">
        <f ca="1">IFERROR(__xludf.DUMMYFUNCTION("""COMPUTED_VALUE"""),"CFS")</f>
        <v>CFS</v>
      </c>
      <c r="F404" s="45" t="str">
        <f ca="1">IFERROR(__xludf.DUMMYFUNCTION("""COMPUTED_VALUE"""),"MAS AMITY PTE LTD")</f>
        <v>MAS AMITY PTE LTD</v>
      </c>
      <c r="G404" s="45" t="str">
        <f ca="1">IFERROR(__xludf.DUMMYFUNCTION("""COMPUTED_VALUE"""),"MAS Active (Pvt) Ltd – Sleekline")</f>
        <v>MAS Active (Pvt) Ltd – Sleekline</v>
      </c>
      <c r="H404" s="43">
        <f ca="1">IFERROR(__xludf.DUMMYFUNCTION("""COMPUTED_VALUE"""),452888470781)</f>
        <v>452888470781</v>
      </c>
      <c r="I404" s="45">
        <f ca="1">IFERROR(__xludf.DUMMYFUNCTION("""COMPUTED_VALUE"""),19940734)</f>
        <v>19940734</v>
      </c>
      <c r="J404" s="45" t="str">
        <f ca="1">IFERROR(__xludf.DUMMYFUNCTION("""COMPUTED_VALUE"""),"LM9AYLS")</f>
        <v>LM9AYLS</v>
      </c>
      <c r="K404" s="45" t="str">
        <f ca="1">IFERROR(__xludf.DUMMYFUNCTION("""COMPUTED_VALUE"""),"LM9AYLS-035487")</f>
        <v>LM9AYLS-035487</v>
      </c>
      <c r="L404" s="45">
        <f ca="1">IFERROR(__xludf.DUMMYFUNCTION("""COMPUTED_VALUE"""),1)</f>
        <v>1</v>
      </c>
      <c r="M404" s="45">
        <f ca="1">IFERROR(__xludf.DUMMYFUNCTION("""COMPUTED_VALUE"""),106)</f>
        <v>106</v>
      </c>
      <c r="N404" s="45">
        <f ca="1">IFERROR(__xludf.DUMMYFUNCTION("""COMPUTED_VALUE"""),10.14)</f>
        <v>10.14</v>
      </c>
      <c r="O404" s="45">
        <f ca="1">IFERROR(__xludf.DUMMYFUNCTION("""COMPUTED_VALUE"""),0.079)</f>
        <v>7.9000000000000001E-2</v>
      </c>
      <c r="P404" s="45" t="str">
        <f ca="1">IFERROR(__xludf.DUMMYFUNCTION("""COMPUTED_VALUE"""),"Colombo, LK")</f>
        <v>Colombo, LK</v>
      </c>
      <c r="Q404" s="45" t="str">
        <f ca="1">IFERROR(__xludf.DUMMYFUNCTION("""COMPUTED_VALUE"""),"New York, NY, US")</f>
        <v>New York, NY, US</v>
      </c>
      <c r="R404" s="44">
        <f ca="1">IFERROR(__xludf.DUMMYFUNCTION("""COMPUTED_VALUE"""),45824)</f>
        <v>45824</v>
      </c>
      <c r="S404" s="44">
        <f ca="1">IFERROR(__xludf.DUMMYFUNCTION("""COMPUTED_VALUE"""),45883)</f>
        <v>45883</v>
      </c>
      <c r="T404" s="45" t="str">
        <f ca="1">IFERROR(__xludf.DUMMYFUNCTION("""COMPUTED_VALUE"""),"Mississauga, ON, CA")</f>
        <v>Mississauga, ON, CA</v>
      </c>
      <c r="U404" s="45"/>
      <c r="V404" s="45"/>
      <c r="W404" s="45"/>
      <c r="X404" s="45"/>
      <c r="Y404" s="46">
        <f ca="1">IFERROR(__xludf.DUMMYFUNCTION("""COMPUTED_VALUE"""),45832)</f>
        <v>45832</v>
      </c>
      <c r="Z404" s="46">
        <f ca="1">IFERROR(__xludf.DUMMYFUNCTION("""COMPUTED_VALUE"""),45861)</f>
        <v>45861</v>
      </c>
      <c r="AA404" s="46">
        <f ca="1">IFERROR(__xludf.DUMMYFUNCTION("""COMPUTED_VALUE"""),45874)</f>
        <v>45874</v>
      </c>
      <c r="AB404" s="45" t="str">
        <f ca="1">IFERROR(__xludf.DUMMYFUNCTION("""COMPUTED_VALUE"""),"3500 Argentia Road")</f>
        <v>3500 Argentia Road</v>
      </c>
      <c r="AC404" s="45"/>
      <c r="AD404" s="45" t="str">
        <f ca="1">IFERROR(__xludf.DUMMYFUNCTION("""COMPUTED_VALUE"""),"OCEAN")</f>
        <v>OCEAN</v>
      </c>
      <c r="AE404" s="45" t="str">
        <f ca="1">IFERROR(__xludf.DUMMYFUNCTION("""COMPUTED_VALUE"""),"N")</f>
        <v>N</v>
      </c>
      <c r="AF404" s="45"/>
      <c r="AG404" s="49" t="str">
        <f ca="1">IFERROR(__xludf.DUMMYFUNCTION("IFNA(vlookup(H404,IMPORTRANGE(""1vUGwO1n0QQGx9kKbO0_M5gmuhXZ6-LaxQxgrmJnzgP0"",""'TP# look up'!A:C""),3,0),"""")"),"")</f>
        <v/>
      </c>
      <c r="AH404" s="49" t="str">
        <f t="shared" ca="1" si="6"/>
        <v>LM</v>
      </c>
    </row>
    <row r="405" spans="1:34" ht="12.75" hidden="1">
      <c r="A405" s="45" t="str">
        <f ca="1">IFERROR(__xludf.DUMMYFUNCTION("""COMPUTED_VALUE"""),"Colombo")</f>
        <v>Colombo</v>
      </c>
      <c r="B405" s="45"/>
      <c r="C405" s="45">
        <f ca="1">IFERROR(__xludf.DUMMYFUNCTION("""COMPUTED_VALUE"""),3254506)</f>
        <v>3254506</v>
      </c>
      <c r="D405" s="45"/>
      <c r="E405" s="45" t="str">
        <f ca="1">IFERROR(__xludf.DUMMYFUNCTION("""COMPUTED_VALUE"""),"CFS")</f>
        <v>CFS</v>
      </c>
      <c r="F405" s="45" t="str">
        <f ca="1">IFERROR(__xludf.DUMMYFUNCTION("""COMPUTED_VALUE"""),"MAS AMITY PTE LTD")</f>
        <v>MAS AMITY PTE LTD</v>
      </c>
      <c r="G405" s="45" t="str">
        <f ca="1">IFERROR(__xludf.DUMMYFUNCTION("""COMPUTED_VALUE"""),"MAS Active (Pvt) Ltd – Sleekline")</f>
        <v>MAS Active (Pvt) Ltd – Sleekline</v>
      </c>
      <c r="H405" s="43">
        <f ca="1">IFERROR(__xludf.DUMMYFUNCTION("""COMPUTED_VALUE"""),452890794023)</f>
        <v>452890794023</v>
      </c>
      <c r="I405" s="45">
        <f ca="1">IFERROR(__xludf.DUMMYFUNCTION("""COMPUTED_VALUE"""),19940777)</f>
        <v>19940777</v>
      </c>
      <c r="J405" s="45" t="str">
        <f ca="1">IFERROR(__xludf.DUMMYFUNCTION("""COMPUTED_VALUE"""),"LM9AZ0S")</f>
        <v>LM9AZ0S</v>
      </c>
      <c r="K405" s="45" t="str">
        <f ca="1">IFERROR(__xludf.DUMMYFUNCTION("""COMPUTED_VALUE"""),"LM9AZ0S-066937")</f>
        <v>LM9AZ0S-066937</v>
      </c>
      <c r="L405" s="45">
        <f ca="1">IFERROR(__xludf.DUMMYFUNCTION("""COMPUTED_VALUE"""),1)</f>
        <v>1</v>
      </c>
      <c r="M405" s="45">
        <f ca="1">IFERROR(__xludf.DUMMYFUNCTION("""COMPUTED_VALUE"""),130)</f>
        <v>130</v>
      </c>
      <c r="N405" s="45">
        <f ca="1">IFERROR(__xludf.DUMMYFUNCTION("""COMPUTED_VALUE"""),12.99)</f>
        <v>12.99</v>
      </c>
      <c r="O405" s="45">
        <f ca="1">IFERROR(__xludf.DUMMYFUNCTION("""COMPUTED_VALUE"""),0.079)</f>
        <v>7.9000000000000001E-2</v>
      </c>
      <c r="P405" s="45" t="str">
        <f ca="1">IFERROR(__xludf.DUMMYFUNCTION("""COMPUTED_VALUE"""),"Colombo, LK")</f>
        <v>Colombo, LK</v>
      </c>
      <c r="Q405" s="45" t="str">
        <f ca="1">IFERROR(__xludf.DUMMYFUNCTION("""COMPUTED_VALUE"""),"New York, NY, US")</f>
        <v>New York, NY, US</v>
      </c>
      <c r="R405" s="44">
        <f ca="1">IFERROR(__xludf.DUMMYFUNCTION("""COMPUTED_VALUE"""),45824)</f>
        <v>45824</v>
      </c>
      <c r="S405" s="44">
        <f ca="1">IFERROR(__xludf.DUMMYFUNCTION("""COMPUTED_VALUE"""),45883)</f>
        <v>45883</v>
      </c>
      <c r="T405" s="45" t="str">
        <f ca="1">IFERROR(__xludf.DUMMYFUNCTION("""COMPUTED_VALUE"""),"Mississauga, ON, CA")</f>
        <v>Mississauga, ON, CA</v>
      </c>
      <c r="U405" s="45"/>
      <c r="V405" s="45"/>
      <c r="W405" s="45"/>
      <c r="X405" s="45"/>
      <c r="Y405" s="46">
        <f ca="1">IFERROR(__xludf.DUMMYFUNCTION("""COMPUTED_VALUE"""),45832)</f>
        <v>45832</v>
      </c>
      <c r="Z405" s="46">
        <f ca="1">IFERROR(__xludf.DUMMYFUNCTION("""COMPUTED_VALUE"""),45861)</f>
        <v>45861</v>
      </c>
      <c r="AA405" s="46">
        <f ca="1">IFERROR(__xludf.DUMMYFUNCTION("""COMPUTED_VALUE"""),45874)</f>
        <v>45874</v>
      </c>
      <c r="AB405" s="45" t="str">
        <f ca="1">IFERROR(__xludf.DUMMYFUNCTION("""COMPUTED_VALUE"""),"3500 Argentia Road")</f>
        <v>3500 Argentia Road</v>
      </c>
      <c r="AC405" s="45"/>
      <c r="AD405" s="45" t="str">
        <f ca="1">IFERROR(__xludf.DUMMYFUNCTION("""COMPUTED_VALUE"""),"OCEAN")</f>
        <v>OCEAN</v>
      </c>
      <c r="AE405" s="45" t="str">
        <f ca="1">IFERROR(__xludf.DUMMYFUNCTION("""COMPUTED_VALUE"""),"N")</f>
        <v>N</v>
      </c>
      <c r="AF405" s="45"/>
      <c r="AG405" s="49" t="str">
        <f ca="1">IFERROR(__xludf.DUMMYFUNCTION("IFNA(vlookup(H405,IMPORTRANGE(""1vUGwO1n0QQGx9kKbO0_M5gmuhXZ6-LaxQxgrmJnzgP0"",""'TP# look up'!A:C""),3,0),"""")"),"")</f>
        <v/>
      </c>
      <c r="AH405" s="49" t="str">
        <f t="shared" ca="1" si="6"/>
        <v>LM</v>
      </c>
    </row>
    <row r="406" spans="1:34" ht="12.75" hidden="1">
      <c r="A406" s="45" t="str">
        <f ca="1">IFERROR(__xludf.DUMMYFUNCTION("""COMPUTED_VALUE"""),"Colombo")</f>
        <v>Colombo</v>
      </c>
      <c r="B406" s="45"/>
      <c r="C406" s="45">
        <f ca="1">IFERROR(__xludf.DUMMYFUNCTION("""COMPUTED_VALUE"""),3254506)</f>
        <v>3254506</v>
      </c>
      <c r="D406" s="45"/>
      <c r="E406" s="45" t="str">
        <f ca="1">IFERROR(__xludf.DUMMYFUNCTION("""COMPUTED_VALUE"""),"CFS")</f>
        <v>CFS</v>
      </c>
      <c r="F406" s="45" t="str">
        <f ca="1">IFERROR(__xludf.DUMMYFUNCTION("""COMPUTED_VALUE"""),"MAS AMITY PTE LTD")</f>
        <v>MAS AMITY PTE LTD</v>
      </c>
      <c r="G406" s="45" t="str">
        <f ca="1">IFERROR(__xludf.DUMMYFUNCTION("""COMPUTED_VALUE"""),"MAS Active(Pvt) Ltd – CONTOURLINE")</f>
        <v>MAS Active(Pvt) Ltd – CONTOURLINE</v>
      </c>
      <c r="H406" s="43">
        <f ca="1">IFERROR(__xludf.DUMMYFUNCTION("""COMPUTED_VALUE"""),452892261132)</f>
        <v>452892261132</v>
      </c>
      <c r="I406" s="45">
        <f ca="1">IFERROR(__xludf.DUMMYFUNCTION("""COMPUTED_VALUE"""),19890779)</f>
        <v>19890779</v>
      </c>
      <c r="J406" s="45" t="str">
        <f ca="1">IFERROR(__xludf.DUMMYFUNCTION("""COMPUTED_VALUE"""),"LW7CPPS")</f>
        <v>LW7CPPS</v>
      </c>
      <c r="K406" s="45" t="str">
        <f ca="1">IFERROR(__xludf.DUMMYFUNCTION("""COMPUTED_VALUE"""),"LW7CPPS-071169")</f>
        <v>LW7CPPS-071169</v>
      </c>
      <c r="L406" s="45">
        <f ca="1">IFERROR(__xludf.DUMMYFUNCTION("""COMPUTED_VALUE"""),1)</f>
        <v>1</v>
      </c>
      <c r="M406" s="45">
        <f ca="1">IFERROR(__xludf.DUMMYFUNCTION("""COMPUTED_VALUE"""),83)</f>
        <v>83</v>
      </c>
      <c r="N406" s="45">
        <f ca="1">IFERROR(__xludf.DUMMYFUNCTION("""COMPUTED_VALUE"""),12.695)</f>
        <v>12.695</v>
      </c>
      <c r="O406" s="45">
        <f ca="1">IFERROR(__xludf.DUMMYFUNCTION("""COMPUTED_VALUE"""),0.079)</f>
        <v>7.9000000000000001E-2</v>
      </c>
      <c r="P406" s="45" t="str">
        <f ca="1">IFERROR(__xludf.DUMMYFUNCTION("""COMPUTED_VALUE"""),"Colombo, LK")</f>
        <v>Colombo, LK</v>
      </c>
      <c r="Q406" s="45" t="str">
        <f ca="1">IFERROR(__xludf.DUMMYFUNCTION("""COMPUTED_VALUE"""),"New York, NY, US")</f>
        <v>New York, NY, US</v>
      </c>
      <c r="R406" s="44">
        <f ca="1">IFERROR(__xludf.DUMMYFUNCTION("""COMPUTED_VALUE"""),45824)</f>
        <v>45824</v>
      </c>
      <c r="S406" s="44">
        <f ca="1">IFERROR(__xludf.DUMMYFUNCTION("""COMPUTED_VALUE"""),45883)</f>
        <v>45883</v>
      </c>
      <c r="T406" s="45" t="str">
        <f ca="1">IFERROR(__xludf.DUMMYFUNCTION("""COMPUTED_VALUE"""),"Mississauga, ON, CA")</f>
        <v>Mississauga, ON, CA</v>
      </c>
      <c r="U406" s="45"/>
      <c r="V406" s="45"/>
      <c r="W406" s="45"/>
      <c r="X406" s="45"/>
      <c r="Y406" s="46">
        <f ca="1">IFERROR(__xludf.DUMMYFUNCTION("""COMPUTED_VALUE"""),45832)</f>
        <v>45832</v>
      </c>
      <c r="Z406" s="46">
        <f ca="1">IFERROR(__xludf.DUMMYFUNCTION("""COMPUTED_VALUE"""),45861)</f>
        <v>45861</v>
      </c>
      <c r="AA406" s="46">
        <f ca="1">IFERROR(__xludf.DUMMYFUNCTION("""COMPUTED_VALUE"""),45874)</f>
        <v>45874</v>
      </c>
      <c r="AB406" s="45" t="str">
        <f ca="1">IFERROR(__xludf.DUMMYFUNCTION("""COMPUTED_VALUE"""),"3500 Argentia Road")</f>
        <v>3500 Argentia Road</v>
      </c>
      <c r="AC406" s="45"/>
      <c r="AD406" s="45" t="str">
        <f ca="1">IFERROR(__xludf.DUMMYFUNCTION("""COMPUTED_VALUE"""),"OCEAN")</f>
        <v>OCEAN</v>
      </c>
      <c r="AE406" s="45" t="str">
        <f ca="1">IFERROR(__xludf.DUMMYFUNCTION("""COMPUTED_VALUE"""),"N")</f>
        <v>N</v>
      </c>
      <c r="AF406" s="45"/>
      <c r="AG406" s="49" t="str">
        <f ca="1">IFERROR(__xludf.DUMMYFUNCTION("IFNA(vlookup(H406,IMPORTRANGE(""1vUGwO1n0QQGx9kKbO0_M5gmuhXZ6-LaxQxgrmJnzgP0"",""'TP# look up'!A:C""),3,0),"""")"),"")</f>
        <v/>
      </c>
      <c r="AH406" s="49" t="str">
        <f t="shared" ca="1" si="6"/>
        <v>LW</v>
      </c>
    </row>
    <row r="407" spans="1:34" ht="12.75" hidden="1">
      <c r="A407" s="45" t="str">
        <f ca="1">IFERROR(__xludf.DUMMYFUNCTION("""COMPUTED_VALUE"""),"Colombo")</f>
        <v>Colombo</v>
      </c>
      <c r="B407" s="45"/>
      <c r="C407" s="45">
        <f ca="1">IFERROR(__xludf.DUMMYFUNCTION("""COMPUTED_VALUE"""),3254506)</f>
        <v>3254506</v>
      </c>
      <c r="D407" s="45"/>
      <c r="E407" s="45" t="str">
        <f ca="1">IFERROR(__xludf.DUMMYFUNCTION("""COMPUTED_VALUE"""),"CFS")</f>
        <v>CFS</v>
      </c>
      <c r="F407" s="45" t="str">
        <f ca="1">IFERROR(__xludf.DUMMYFUNCTION("""COMPUTED_VALUE"""),"MAS AMITY PTE LTD")</f>
        <v>MAS AMITY PTE LTD</v>
      </c>
      <c r="G407" s="45" t="str">
        <f ca="1">IFERROR(__xludf.DUMMYFUNCTION("""COMPUTED_VALUE"""),"MAS Active(Pvt) Ltd – CONTOURLINE")</f>
        <v>MAS Active(Pvt) Ltd – CONTOURLINE</v>
      </c>
      <c r="H407" s="43">
        <f ca="1">IFERROR(__xludf.DUMMYFUNCTION("""COMPUTED_VALUE"""),452893010230)</f>
        <v>452893010230</v>
      </c>
      <c r="I407" s="45">
        <f ca="1">IFERROR(__xludf.DUMMYFUNCTION("""COMPUTED_VALUE"""),19890515)</f>
        <v>19890515</v>
      </c>
      <c r="J407" s="45" t="str">
        <f ca="1">IFERROR(__xludf.DUMMYFUNCTION("""COMPUTED_VALUE"""),"LW7CNIS")</f>
        <v>LW7CNIS</v>
      </c>
      <c r="K407" s="45" t="str">
        <f ca="1">IFERROR(__xludf.DUMMYFUNCTION("""COMPUTED_VALUE"""),"LW7CNIS-049106")</f>
        <v>LW7CNIS-049106</v>
      </c>
      <c r="L407" s="45">
        <f ca="1">IFERROR(__xludf.DUMMYFUNCTION("""COMPUTED_VALUE"""),4)</f>
        <v>4</v>
      </c>
      <c r="M407" s="45">
        <f ca="1">IFERROR(__xludf.DUMMYFUNCTION("""COMPUTED_VALUE"""),284)</f>
        <v>284</v>
      </c>
      <c r="N407" s="45">
        <f ca="1">IFERROR(__xludf.DUMMYFUNCTION("""COMPUTED_VALUE"""),48.994)</f>
        <v>48.994</v>
      </c>
      <c r="O407" s="45">
        <f ca="1">IFERROR(__xludf.DUMMYFUNCTION("""COMPUTED_VALUE"""),0.316)</f>
        <v>0.316</v>
      </c>
      <c r="P407" s="45" t="str">
        <f ca="1">IFERROR(__xludf.DUMMYFUNCTION("""COMPUTED_VALUE"""),"Colombo, LK")</f>
        <v>Colombo, LK</v>
      </c>
      <c r="Q407" s="45" t="str">
        <f ca="1">IFERROR(__xludf.DUMMYFUNCTION("""COMPUTED_VALUE"""),"New York, NY, US")</f>
        <v>New York, NY, US</v>
      </c>
      <c r="R407" s="44">
        <f ca="1">IFERROR(__xludf.DUMMYFUNCTION("""COMPUTED_VALUE"""),45824)</f>
        <v>45824</v>
      </c>
      <c r="S407" s="44">
        <f ca="1">IFERROR(__xludf.DUMMYFUNCTION("""COMPUTED_VALUE"""),45883)</f>
        <v>45883</v>
      </c>
      <c r="T407" s="45" t="str">
        <f ca="1">IFERROR(__xludf.DUMMYFUNCTION("""COMPUTED_VALUE"""),"Mississauga, ON, CA")</f>
        <v>Mississauga, ON, CA</v>
      </c>
      <c r="U407" s="45"/>
      <c r="V407" s="45"/>
      <c r="W407" s="45"/>
      <c r="X407" s="45"/>
      <c r="Y407" s="46">
        <f ca="1">IFERROR(__xludf.DUMMYFUNCTION("""COMPUTED_VALUE"""),45832)</f>
        <v>45832</v>
      </c>
      <c r="Z407" s="46">
        <f ca="1">IFERROR(__xludf.DUMMYFUNCTION("""COMPUTED_VALUE"""),45861)</f>
        <v>45861</v>
      </c>
      <c r="AA407" s="46">
        <f ca="1">IFERROR(__xludf.DUMMYFUNCTION("""COMPUTED_VALUE"""),45874)</f>
        <v>45874</v>
      </c>
      <c r="AB407" s="45" t="str">
        <f ca="1">IFERROR(__xludf.DUMMYFUNCTION("""COMPUTED_VALUE"""),"3500 Argentia Road")</f>
        <v>3500 Argentia Road</v>
      </c>
      <c r="AC407" s="45"/>
      <c r="AD407" s="45" t="str">
        <f ca="1">IFERROR(__xludf.DUMMYFUNCTION("""COMPUTED_VALUE"""),"OCEAN")</f>
        <v>OCEAN</v>
      </c>
      <c r="AE407" s="45" t="str">
        <f ca="1">IFERROR(__xludf.DUMMYFUNCTION("""COMPUTED_VALUE"""),"N")</f>
        <v>N</v>
      </c>
      <c r="AF407" s="45"/>
      <c r="AG407" s="49" t="str">
        <f ca="1">IFERROR(__xludf.DUMMYFUNCTION("IFNA(vlookup(H407,IMPORTRANGE(""1vUGwO1n0QQGx9kKbO0_M5gmuhXZ6-LaxQxgrmJnzgP0"",""'TP# look up'!A:C""),3,0),"""")"),"")</f>
        <v/>
      </c>
      <c r="AH407" s="49" t="str">
        <f t="shared" ca="1" si="6"/>
        <v>LW</v>
      </c>
    </row>
    <row r="408" spans="1:34" ht="12.75" hidden="1">
      <c r="A408" s="45" t="str">
        <f ca="1">IFERROR(__xludf.DUMMYFUNCTION("""COMPUTED_VALUE"""),"Colombo")</f>
        <v>Colombo</v>
      </c>
      <c r="B408" s="45"/>
      <c r="C408" s="45">
        <f ca="1">IFERROR(__xludf.DUMMYFUNCTION("""COMPUTED_VALUE"""),3254506)</f>
        <v>3254506</v>
      </c>
      <c r="D408" s="45"/>
      <c r="E408" s="45" t="str">
        <f ca="1">IFERROR(__xludf.DUMMYFUNCTION("""COMPUTED_VALUE"""),"CFS")</f>
        <v>CFS</v>
      </c>
      <c r="F408" s="45" t="str">
        <f ca="1">IFERROR(__xludf.DUMMYFUNCTION("""COMPUTED_VALUE"""),"MAS AMITY PTE LTD")</f>
        <v>MAS AMITY PTE LTD</v>
      </c>
      <c r="G408" s="45" t="str">
        <f ca="1">IFERROR(__xludf.DUMMYFUNCTION("""COMPUTED_VALUE"""),"MAS Active(Pvt) Ltd – CONTOURLINE")</f>
        <v>MAS Active(Pvt) Ltd – CONTOURLINE</v>
      </c>
      <c r="H408" s="43">
        <f ca="1">IFERROR(__xludf.DUMMYFUNCTION("""COMPUTED_VALUE"""),452893191541)</f>
        <v>452893191541</v>
      </c>
      <c r="I408" s="45">
        <f ca="1">IFERROR(__xludf.DUMMYFUNCTION("""COMPUTED_VALUE"""),19890516)</f>
        <v>19890516</v>
      </c>
      <c r="J408" s="45" t="str">
        <f ca="1">IFERROR(__xludf.DUMMYFUNCTION("""COMPUTED_VALUE"""),"LW7CNIS")</f>
        <v>LW7CNIS</v>
      </c>
      <c r="K408" s="45" t="str">
        <f ca="1">IFERROR(__xludf.DUMMYFUNCTION("""COMPUTED_VALUE"""),"LW7CNIS-049106")</f>
        <v>LW7CNIS-049106</v>
      </c>
      <c r="L408" s="45">
        <f ca="1">IFERROR(__xludf.DUMMYFUNCTION("""COMPUTED_VALUE"""),3)</f>
        <v>3</v>
      </c>
      <c r="M408" s="45">
        <f ca="1">IFERROR(__xludf.DUMMYFUNCTION("""COMPUTED_VALUE"""),131)</f>
        <v>131</v>
      </c>
      <c r="N408" s="45">
        <f ca="1">IFERROR(__xludf.DUMMYFUNCTION("""COMPUTED_VALUE"""),23.272)</f>
        <v>23.271999999999998</v>
      </c>
      <c r="O408" s="45">
        <f ca="1">IFERROR(__xludf.DUMMYFUNCTION("""COMPUTED_VALUE"""),0.158)</f>
        <v>0.158</v>
      </c>
      <c r="P408" s="45" t="str">
        <f ca="1">IFERROR(__xludf.DUMMYFUNCTION("""COMPUTED_VALUE"""),"Colombo, LK")</f>
        <v>Colombo, LK</v>
      </c>
      <c r="Q408" s="45" t="str">
        <f ca="1">IFERROR(__xludf.DUMMYFUNCTION("""COMPUTED_VALUE"""),"New York, NY, US")</f>
        <v>New York, NY, US</v>
      </c>
      <c r="R408" s="44">
        <f ca="1">IFERROR(__xludf.DUMMYFUNCTION("""COMPUTED_VALUE"""),45824)</f>
        <v>45824</v>
      </c>
      <c r="S408" s="44">
        <f ca="1">IFERROR(__xludf.DUMMYFUNCTION("""COMPUTED_VALUE"""),45883)</f>
        <v>45883</v>
      </c>
      <c r="T408" s="45" t="str">
        <f ca="1">IFERROR(__xludf.DUMMYFUNCTION("""COMPUTED_VALUE"""),"Mississauga, ON, CA")</f>
        <v>Mississauga, ON, CA</v>
      </c>
      <c r="U408" s="45"/>
      <c r="V408" s="45"/>
      <c r="W408" s="45"/>
      <c r="X408" s="45"/>
      <c r="Y408" s="46">
        <f ca="1">IFERROR(__xludf.DUMMYFUNCTION("""COMPUTED_VALUE"""),45832)</f>
        <v>45832</v>
      </c>
      <c r="Z408" s="46">
        <f ca="1">IFERROR(__xludf.DUMMYFUNCTION("""COMPUTED_VALUE"""),45861)</f>
        <v>45861</v>
      </c>
      <c r="AA408" s="46">
        <f ca="1">IFERROR(__xludf.DUMMYFUNCTION("""COMPUTED_VALUE"""),45874)</f>
        <v>45874</v>
      </c>
      <c r="AB408" s="45" t="str">
        <f ca="1">IFERROR(__xludf.DUMMYFUNCTION("""COMPUTED_VALUE"""),"3500 Argentia Road")</f>
        <v>3500 Argentia Road</v>
      </c>
      <c r="AC408" s="45"/>
      <c r="AD408" s="45" t="str">
        <f ca="1">IFERROR(__xludf.DUMMYFUNCTION("""COMPUTED_VALUE"""),"OCEAN")</f>
        <v>OCEAN</v>
      </c>
      <c r="AE408" s="45" t="str">
        <f ca="1">IFERROR(__xludf.DUMMYFUNCTION("""COMPUTED_VALUE"""),"N")</f>
        <v>N</v>
      </c>
      <c r="AF408" s="45"/>
      <c r="AG408" s="49" t="str">
        <f ca="1">IFERROR(__xludf.DUMMYFUNCTION("IFNA(vlookup(H408,IMPORTRANGE(""1vUGwO1n0QQGx9kKbO0_M5gmuhXZ6-LaxQxgrmJnzgP0"",""'TP# look up'!A:C""),3,0),"""")"),"")</f>
        <v/>
      </c>
      <c r="AH408" s="49" t="str">
        <f t="shared" ca="1" si="6"/>
        <v>LW</v>
      </c>
    </row>
    <row r="409" spans="1:34" ht="12.75" hidden="1">
      <c r="A409" s="45" t="str">
        <f ca="1">IFERROR(__xludf.DUMMYFUNCTION("""COMPUTED_VALUE"""),"Colombo")</f>
        <v>Colombo</v>
      </c>
      <c r="B409" s="45"/>
      <c r="C409" s="45">
        <f ca="1">IFERROR(__xludf.DUMMYFUNCTION("""COMPUTED_VALUE"""),3254506)</f>
        <v>3254506</v>
      </c>
      <c r="D409" s="45"/>
      <c r="E409" s="45" t="str">
        <f ca="1">IFERROR(__xludf.DUMMYFUNCTION("""COMPUTED_VALUE"""),"CFS")</f>
        <v>CFS</v>
      </c>
      <c r="F409" s="45" t="str">
        <f ca="1">IFERROR(__xludf.DUMMYFUNCTION("""COMPUTED_VALUE"""),"MAS AMITY PTE LTD")</f>
        <v>MAS AMITY PTE LTD</v>
      </c>
      <c r="G409" s="45" t="str">
        <f ca="1">IFERROR(__xludf.DUMMYFUNCTION("""COMPUTED_VALUE"""),"MAS Active(Pvt) Ltd – CONTOURLINE")</f>
        <v>MAS Active(Pvt) Ltd – CONTOURLINE</v>
      </c>
      <c r="H409" s="43">
        <f ca="1">IFERROR(__xludf.DUMMYFUNCTION("""COMPUTED_VALUE"""),452893711589)</f>
        <v>452893711589</v>
      </c>
      <c r="I409" s="45">
        <f ca="1">IFERROR(__xludf.DUMMYFUNCTION("""COMPUTED_VALUE"""),19890682)</f>
        <v>19890682</v>
      </c>
      <c r="J409" s="45" t="str">
        <f ca="1">IFERROR(__xludf.DUMMYFUNCTION("""COMPUTED_VALUE"""),"LW7CNIS")</f>
        <v>LW7CNIS</v>
      </c>
      <c r="K409" s="45" t="str">
        <f ca="1">IFERROR(__xludf.DUMMYFUNCTION("""COMPUTED_VALUE"""),"LW7CNIS-049106")</f>
        <v>LW7CNIS-049106</v>
      </c>
      <c r="L409" s="45">
        <f ca="1">IFERROR(__xludf.DUMMYFUNCTION("""COMPUTED_VALUE"""),4)</f>
        <v>4</v>
      </c>
      <c r="M409" s="45">
        <f ca="1">IFERROR(__xludf.DUMMYFUNCTION("""COMPUTED_VALUE"""),256)</f>
        <v>256</v>
      </c>
      <c r="N409" s="45">
        <f ca="1">IFERROR(__xludf.DUMMYFUNCTION("""COMPUTED_VALUE"""),44.304)</f>
        <v>44.304000000000002</v>
      </c>
      <c r="O409" s="45">
        <f ca="1">IFERROR(__xludf.DUMMYFUNCTION("""COMPUTED_VALUE"""),0.276)</f>
        <v>0.27600000000000002</v>
      </c>
      <c r="P409" s="45" t="str">
        <f ca="1">IFERROR(__xludf.DUMMYFUNCTION("""COMPUTED_VALUE"""),"Colombo, LK")</f>
        <v>Colombo, LK</v>
      </c>
      <c r="Q409" s="45" t="str">
        <f ca="1">IFERROR(__xludf.DUMMYFUNCTION("""COMPUTED_VALUE"""),"New York, NY, US")</f>
        <v>New York, NY, US</v>
      </c>
      <c r="R409" s="44">
        <f ca="1">IFERROR(__xludf.DUMMYFUNCTION("""COMPUTED_VALUE"""),45824)</f>
        <v>45824</v>
      </c>
      <c r="S409" s="44">
        <f ca="1">IFERROR(__xludf.DUMMYFUNCTION("""COMPUTED_VALUE"""),45883)</f>
        <v>45883</v>
      </c>
      <c r="T409" s="45" t="str">
        <f ca="1">IFERROR(__xludf.DUMMYFUNCTION("""COMPUTED_VALUE"""),"Mississauga, ON, CA")</f>
        <v>Mississauga, ON, CA</v>
      </c>
      <c r="U409" s="45"/>
      <c r="V409" s="45"/>
      <c r="W409" s="45"/>
      <c r="X409" s="45"/>
      <c r="Y409" s="46">
        <f ca="1">IFERROR(__xludf.DUMMYFUNCTION("""COMPUTED_VALUE"""),45832)</f>
        <v>45832</v>
      </c>
      <c r="Z409" s="46">
        <f ca="1">IFERROR(__xludf.DUMMYFUNCTION("""COMPUTED_VALUE"""),45861)</f>
        <v>45861</v>
      </c>
      <c r="AA409" s="46">
        <f ca="1">IFERROR(__xludf.DUMMYFUNCTION("""COMPUTED_VALUE"""),45874)</f>
        <v>45874</v>
      </c>
      <c r="AB409" s="45" t="str">
        <f ca="1">IFERROR(__xludf.DUMMYFUNCTION("""COMPUTED_VALUE"""),"3500 Argentia Road")</f>
        <v>3500 Argentia Road</v>
      </c>
      <c r="AC409" s="45"/>
      <c r="AD409" s="45" t="str">
        <f ca="1">IFERROR(__xludf.DUMMYFUNCTION("""COMPUTED_VALUE"""),"OCEAN")</f>
        <v>OCEAN</v>
      </c>
      <c r="AE409" s="45" t="str">
        <f ca="1">IFERROR(__xludf.DUMMYFUNCTION("""COMPUTED_VALUE"""),"N")</f>
        <v>N</v>
      </c>
      <c r="AF409" s="45"/>
      <c r="AG409" s="49" t="str">
        <f ca="1">IFERROR(__xludf.DUMMYFUNCTION("IFNA(vlookup(H409,IMPORTRANGE(""1vUGwO1n0QQGx9kKbO0_M5gmuhXZ6-LaxQxgrmJnzgP0"",""'TP# look up'!A:C""),3,0),"""")"),"")</f>
        <v/>
      </c>
      <c r="AH409" s="49" t="str">
        <f t="shared" ca="1" si="6"/>
        <v>LW</v>
      </c>
    </row>
    <row r="410" spans="1:34" ht="12.75" hidden="1">
      <c r="A410" s="45" t="str">
        <f ca="1">IFERROR(__xludf.DUMMYFUNCTION("""COMPUTED_VALUE"""),"Colombo")</f>
        <v>Colombo</v>
      </c>
      <c r="B410" s="45"/>
      <c r="C410" s="45">
        <f ca="1">IFERROR(__xludf.DUMMYFUNCTION("""COMPUTED_VALUE"""),3254506)</f>
        <v>3254506</v>
      </c>
      <c r="D410" s="45"/>
      <c r="E410" s="45" t="str">
        <f ca="1">IFERROR(__xludf.DUMMYFUNCTION("""COMPUTED_VALUE"""),"CFS")</f>
        <v>CFS</v>
      </c>
      <c r="F410" s="45" t="str">
        <f ca="1">IFERROR(__xludf.DUMMYFUNCTION("""COMPUTED_VALUE"""),"MAS AMITY PTE LTD")</f>
        <v>MAS AMITY PTE LTD</v>
      </c>
      <c r="G410" s="45" t="str">
        <f ca="1">IFERROR(__xludf.DUMMYFUNCTION("""COMPUTED_VALUE"""),"MAS Active(Pvt) Ltd – CONTOURLINE")</f>
        <v>MAS Active(Pvt) Ltd – CONTOURLINE</v>
      </c>
      <c r="H410" s="43">
        <f ca="1">IFERROR(__xludf.DUMMYFUNCTION("""COMPUTED_VALUE"""),452893711674)</f>
        <v>452893711674</v>
      </c>
      <c r="I410" s="45">
        <f ca="1">IFERROR(__xludf.DUMMYFUNCTION("""COMPUTED_VALUE"""),19890717)</f>
        <v>19890717</v>
      </c>
      <c r="J410" s="45" t="str">
        <f ca="1">IFERROR(__xludf.DUMMYFUNCTION("""COMPUTED_VALUE"""),"LW7CPPS")</f>
        <v>LW7CPPS</v>
      </c>
      <c r="K410" s="45" t="str">
        <f ca="1">IFERROR(__xludf.DUMMYFUNCTION("""COMPUTED_VALUE"""),"LW7CPPS-031382")</f>
        <v>LW7CPPS-031382</v>
      </c>
      <c r="L410" s="45">
        <f ca="1">IFERROR(__xludf.DUMMYFUNCTION("""COMPUTED_VALUE"""),6)</f>
        <v>6</v>
      </c>
      <c r="M410" s="45">
        <f ca="1">IFERROR(__xludf.DUMMYFUNCTION("""COMPUTED_VALUE"""),374)</f>
        <v>374</v>
      </c>
      <c r="N410" s="45">
        <f ca="1">IFERROR(__xludf.DUMMYFUNCTION("""COMPUTED_VALUE"""),58.933)</f>
        <v>58.933</v>
      </c>
      <c r="O410" s="45">
        <f ca="1">IFERROR(__xludf.DUMMYFUNCTION("""COMPUTED_VALUE"""),0.474)</f>
        <v>0.47399999999999998</v>
      </c>
      <c r="P410" s="45" t="str">
        <f ca="1">IFERROR(__xludf.DUMMYFUNCTION("""COMPUTED_VALUE"""),"Colombo, LK")</f>
        <v>Colombo, LK</v>
      </c>
      <c r="Q410" s="45" t="str">
        <f ca="1">IFERROR(__xludf.DUMMYFUNCTION("""COMPUTED_VALUE"""),"New York, NY, US")</f>
        <v>New York, NY, US</v>
      </c>
      <c r="R410" s="44">
        <f ca="1">IFERROR(__xludf.DUMMYFUNCTION("""COMPUTED_VALUE"""),45824)</f>
        <v>45824</v>
      </c>
      <c r="S410" s="44">
        <f ca="1">IFERROR(__xludf.DUMMYFUNCTION("""COMPUTED_VALUE"""),45883)</f>
        <v>45883</v>
      </c>
      <c r="T410" s="45" t="str">
        <f ca="1">IFERROR(__xludf.DUMMYFUNCTION("""COMPUTED_VALUE"""),"Mississauga, ON, CA")</f>
        <v>Mississauga, ON, CA</v>
      </c>
      <c r="U410" s="45"/>
      <c r="V410" s="45"/>
      <c r="W410" s="45"/>
      <c r="X410" s="45"/>
      <c r="Y410" s="46">
        <f ca="1">IFERROR(__xludf.DUMMYFUNCTION("""COMPUTED_VALUE"""),45832)</f>
        <v>45832</v>
      </c>
      <c r="Z410" s="46">
        <f ca="1">IFERROR(__xludf.DUMMYFUNCTION("""COMPUTED_VALUE"""),45861)</f>
        <v>45861</v>
      </c>
      <c r="AA410" s="46">
        <f ca="1">IFERROR(__xludf.DUMMYFUNCTION("""COMPUTED_VALUE"""),45874)</f>
        <v>45874</v>
      </c>
      <c r="AB410" s="45" t="str">
        <f ca="1">IFERROR(__xludf.DUMMYFUNCTION("""COMPUTED_VALUE"""),"3500 Argentia Road")</f>
        <v>3500 Argentia Road</v>
      </c>
      <c r="AC410" s="45"/>
      <c r="AD410" s="45" t="str">
        <f ca="1">IFERROR(__xludf.DUMMYFUNCTION("""COMPUTED_VALUE"""),"OCEAN")</f>
        <v>OCEAN</v>
      </c>
      <c r="AE410" s="45" t="str">
        <f ca="1">IFERROR(__xludf.DUMMYFUNCTION("""COMPUTED_VALUE"""),"N")</f>
        <v>N</v>
      </c>
      <c r="AF410" s="45"/>
      <c r="AG410" s="49" t="str">
        <f ca="1">IFERROR(__xludf.DUMMYFUNCTION("IFNA(vlookup(H410,IMPORTRANGE(""1vUGwO1n0QQGx9kKbO0_M5gmuhXZ6-LaxQxgrmJnzgP0"",""'TP# look up'!A:C""),3,0),"""")"),"")</f>
        <v/>
      </c>
      <c r="AH410" s="49" t="str">
        <f t="shared" ca="1" si="6"/>
        <v>LW</v>
      </c>
    </row>
    <row r="411" spans="1:34" ht="12.75" hidden="1">
      <c r="A411" s="45" t="str">
        <f ca="1">IFERROR(__xludf.DUMMYFUNCTION("""COMPUTED_VALUE"""),"Colombo")</f>
        <v>Colombo</v>
      </c>
      <c r="B411" s="45"/>
      <c r="C411" s="45">
        <f ca="1">IFERROR(__xludf.DUMMYFUNCTION("""COMPUTED_VALUE"""),3254506)</f>
        <v>3254506</v>
      </c>
      <c r="D411" s="45"/>
      <c r="E411" s="45" t="str">
        <f ca="1">IFERROR(__xludf.DUMMYFUNCTION("""COMPUTED_VALUE"""),"CFS")</f>
        <v>CFS</v>
      </c>
      <c r="F411" s="45" t="str">
        <f ca="1">IFERROR(__xludf.DUMMYFUNCTION("""COMPUTED_VALUE"""),"MAS AMITY PTE LTD")</f>
        <v>MAS AMITY PTE LTD</v>
      </c>
      <c r="G411" s="45" t="str">
        <f ca="1">IFERROR(__xludf.DUMMYFUNCTION("""COMPUTED_VALUE"""),"MAS Active(Pvt) Ltd – CONTOURLINE")</f>
        <v>MAS Active(Pvt) Ltd – CONTOURLINE</v>
      </c>
      <c r="H411" s="43">
        <f ca="1">IFERROR(__xludf.DUMMYFUNCTION("""COMPUTED_VALUE"""),452897061954)</f>
        <v>452897061954</v>
      </c>
      <c r="I411" s="45">
        <f ca="1">IFERROR(__xludf.DUMMYFUNCTION("""COMPUTED_VALUE"""),19890781)</f>
        <v>19890781</v>
      </c>
      <c r="J411" s="45" t="str">
        <f ca="1">IFERROR(__xludf.DUMMYFUNCTION("""COMPUTED_VALUE"""),"LW7CPPS")</f>
        <v>LW7CPPS</v>
      </c>
      <c r="K411" s="45" t="str">
        <f ca="1">IFERROR(__xludf.DUMMYFUNCTION("""COMPUTED_VALUE"""),"LW7CPPS-071169")</f>
        <v>LW7CPPS-071169</v>
      </c>
      <c r="L411" s="45">
        <f ca="1">IFERROR(__xludf.DUMMYFUNCTION("""COMPUTED_VALUE"""),2)</f>
        <v>2</v>
      </c>
      <c r="M411" s="45">
        <f ca="1">IFERROR(__xludf.DUMMYFUNCTION("""COMPUTED_VALUE"""),114)</f>
        <v>114</v>
      </c>
      <c r="N411" s="45">
        <f ca="1">IFERROR(__xludf.DUMMYFUNCTION("""COMPUTED_VALUE"""),17.856)</f>
        <v>17.856000000000002</v>
      </c>
      <c r="O411" s="45">
        <f ca="1">IFERROR(__xludf.DUMMYFUNCTION("""COMPUTED_VALUE"""),0.118)</f>
        <v>0.11799999999999999</v>
      </c>
      <c r="P411" s="45" t="str">
        <f ca="1">IFERROR(__xludf.DUMMYFUNCTION("""COMPUTED_VALUE"""),"Colombo, LK")</f>
        <v>Colombo, LK</v>
      </c>
      <c r="Q411" s="45" t="str">
        <f ca="1">IFERROR(__xludf.DUMMYFUNCTION("""COMPUTED_VALUE"""),"New York, NY, US")</f>
        <v>New York, NY, US</v>
      </c>
      <c r="R411" s="44">
        <f ca="1">IFERROR(__xludf.DUMMYFUNCTION("""COMPUTED_VALUE"""),45824)</f>
        <v>45824</v>
      </c>
      <c r="S411" s="44">
        <f ca="1">IFERROR(__xludf.DUMMYFUNCTION("""COMPUTED_VALUE"""),45883)</f>
        <v>45883</v>
      </c>
      <c r="T411" s="45" t="str">
        <f ca="1">IFERROR(__xludf.DUMMYFUNCTION("""COMPUTED_VALUE"""),"Mississauga, ON, CA")</f>
        <v>Mississauga, ON, CA</v>
      </c>
      <c r="U411" s="45"/>
      <c r="V411" s="45"/>
      <c r="W411" s="45"/>
      <c r="X411" s="45"/>
      <c r="Y411" s="46">
        <f ca="1">IFERROR(__xludf.DUMMYFUNCTION("""COMPUTED_VALUE"""),45832)</f>
        <v>45832</v>
      </c>
      <c r="Z411" s="46">
        <f ca="1">IFERROR(__xludf.DUMMYFUNCTION("""COMPUTED_VALUE"""),45861)</f>
        <v>45861</v>
      </c>
      <c r="AA411" s="46">
        <f ca="1">IFERROR(__xludf.DUMMYFUNCTION("""COMPUTED_VALUE"""),45874)</f>
        <v>45874</v>
      </c>
      <c r="AB411" s="45" t="str">
        <f ca="1">IFERROR(__xludf.DUMMYFUNCTION("""COMPUTED_VALUE"""),"3500 Argentia Road")</f>
        <v>3500 Argentia Road</v>
      </c>
      <c r="AC411" s="45"/>
      <c r="AD411" s="45" t="str">
        <f ca="1">IFERROR(__xludf.DUMMYFUNCTION("""COMPUTED_VALUE"""),"OCEAN")</f>
        <v>OCEAN</v>
      </c>
      <c r="AE411" s="45" t="str">
        <f ca="1">IFERROR(__xludf.DUMMYFUNCTION("""COMPUTED_VALUE"""),"N")</f>
        <v>N</v>
      </c>
      <c r="AF411" s="45"/>
      <c r="AG411" s="49" t="str">
        <f ca="1">IFERROR(__xludf.DUMMYFUNCTION("IFNA(vlookup(H411,IMPORTRANGE(""1vUGwO1n0QQGx9kKbO0_M5gmuhXZ6-LaxQxgrmJnzgP0"",""'TP# look up'!A:C""),3,0),"""")"),"")</f>
        <v/>
      </c>
      <c r="AH411" s="49" t="str">
        <f t="shared" ca="1" si="6"/>
        <v>LW</v>
      </c>
    </row>
    <row r="412" spans="1:34" ht="12.75" hidden="1">
      <c r="A412" s="45" t="str">
        <f ca="1">IFERROR(__xludf.DUMMYFUNCTION("""COMPUTED_VALUE"""),"Colombo")</f>
        <v>Colombo</v>
      </c>
      <c r="B412" s="45"/>
      <c r="C412" s="45">
        <f ca="1">IFERROR(__xludf.DUMMYFUNCTION("""COMPUTED_VALUE"""),3254506)</f>
        <v>3254506</v>
      </c>
      <c r="D412" s="45"/>
      <c r="E412" s="45" t="str">
        <f ca="1">IFERROR(__xludf.DUMMYFUNCTION("""COMPUTED_VALUE"""),"CFS")</f>
        <v>CFS</v>
      </c>
      <c r="F412" s="45" t="str">
        <f ca="1">IFERROR(__xludf.DUMMYFUNCTION("""COMPUTED_VALUE"""),"MAS AMITY PTE LTD")</f>
        <v>MAS AMITY PTE LTD</v>
      </c>
      <c r="G412" s="45" t="str">
        <f ca="1">IFERROR(__xludf.DUMMYFUNCTION("""COMPUTED_VALUE"""),"MAS Active(Pvt) Ltd – CONTOURLINE")</f>
        <v>MAS Active(Pvt) Ltd – CONTOURLINE</v>
      </c>
      <c r="H412" s="43">
        <f ca="1">IFERROR(__xludf.DUMMYFUNCTION("""COMPUTED_VALUE"""),452897736645)</f>
        <v>452897736645</v>
      </c>
      <c r="I412" s="45">
        <f ca="1">IFERROR(__xludf.DUMMYFUNCTION("""COMPUTED_VALUE"""),19890836)</f>
        <v>19890836</v>
      </c>
      <c r="J412" s="45" t="str">
        <f ca="1">IFERROR(__xludf.DUMMYFUNCTION("""COMPUTED_VALUE"""),"LW2EB3S")</f>
        <v>LW2EB3S</v>
      </c>
      <c r="K412" s="45" t="str">
        <f ca="1">IFERROR(__xludf.DUMMYFUNCTION("""COMPUTED_VALUE"""),"LW2EB3S-038337")</f>
        <v>LW2EB3S-038337</v>
      </c>
      <c r="L412" s="45">
        <f ca="1">IFERROR(__xludf.DUMMYFUNCTION("""COMPUTED_VALUE"""),3)</f>
        <v>3</v>
      </c>
      <c r="M412" s="45">
        <f ca="1">IFERROR(__xludf.DUMMYFUNCTION("""COMPUTED_VALUE"""),173)</f>
        <v>173</v>
      </c>
      <c r="N412" s="45">
        <f ca="1">IFERROR(__xludf.DUMMYFUNCTION("""COMPUTED_VALUE"""),22.451)</f>
        <v>22.451000000000001</v>
      </c>
      <c r="O412" s="45">
        <f ca="1">IFERROR(__xludf.DUMMYFUNCTION("""COMPUTED_VALUE"""),0.158)</f>
        <v>0.158</v>
      </c>
      <c r="P412" s="45" t="str">
        <f ca="1">IFERROR(__xludf.DUMMYFUNCTION("""COMPUTED_VALUE"""),"Colombo, LK")</f>
        <v>Colombo, LK</v>
      </c>
      <c r="Q412" s="45" t="str">
        <f ca="1">IFERROR(__xludf.DUMMYFUNCTION("""COMPUTED_VALUE"""),"New York, NY, US")</f>
        <v>New York, NY, US</v>
      </c>
      <c r="R412" s="44">
        <f ca="1">IFERROR(__xludf.DUMMYFUNCTION("""COMPUTED_VALUE"""),45824)</f>
        <v>45824</v>
      </c>
      <c r="S412" s="44">
        <f ca="1">IFERROR(__xludf.DUMMYFUNCTION("""COMPUTED_VALUE"""),45883)</f>
        <v>45883</v>
      </c>
      <c r="T412" s="45" t="str">
        <f ca="1">IFERROR(__xludf.DUMMYFUNCTION("""COMPUTED_VALUE"""),"Mississauga, ON, CA")</f>
        <v>Mississauga, ON, CA</v>
      </c>
      <c r="U412" s="45"/>
      <c r="V412" s="45"/>
      <c r="W412" s="45"/>
      <c r="X412" s="45"/>
      <c r="Y412" s="46">
        <f ca="1">IFERROR(__xludf.DUMMYFUNCTION("""COMPUTED_VALUE"""),45832)</f>
        <v>45832</v>
      </c>
      <c r="Z412" s="46">
        <f ca="1">IFERROR(__xludf.DUMMYFUNCTION("""COMPUTED_VALUE"""),45861)</f>
        <v>45861</v>
      </c>
      <c r="AA412" s="46">
        <f ca="1">IFERROR(__xludf.DUMMYFUNCTION("""COMPUTED_VALUE"""),45874)</f>
        <v>45874</v>
      </c>
      <c r="AB412" s="45" t="str">
        <f ca="1">IFERROR(__xludf.DUMMYFUNCTION("""COMPUTED_VALUE"""),"3500 Argentia Road")</f>
        <v>3500 Argentia Road</v>
      </c>
      <c r="AC412" s="45"/>
      <c r="AD412" s="45" t="str">
        <f ca="1">IFERROR(__xludf.DUMMYFUNCTION("""COMPUTED_VALUE"""),"OCEAN")</f>
        <v>OCEAN</v>
      </c>
      <c r="AE412" s="45" t="str">
        <f ca="1">IFERROR(__xludf.DUMMYFUNCTION("""COMPUTED_VALUE"""),"N")</f>
        <v>N</v>
      </c>
      <c r="AF412" s="45"/>
      <c r="AG412" s="49" t="str">
        <f ca="1">IFERROR(__xludf.DUMMYFUNCTION("IFNA(vlookup(H412,IMPORTRANGE(""1vUGwO1n0QQGx9kKbO0_M5gmuhXZ6-LaxQxgrmJnzgP0"",""'TP# look up'!A:C""),3,0),"""")"),"")</f>
        <v/>
      </c>
      <c r="AH412" s="49" t="str">
        <f t="shared" ca="1" si="6"/>
        <v>LW</v>
      </c>
    </row>
    <row r="413" spans="1:34" ht="12.75" hidden="1">
      <c r="A413" s="45" t="str">
        <f ca="1">IFERROR(__xludf.DUMMYFUNCTION("""COMPUTED_VALUE"""),"Colombo")</f>
        <v>Colombo</v>
      </c>
      <c r="B413" s="45"/>
      <c r="C413" s="45">
        <f ca="1">IFERROR(__xludf.DUMMYFUNCTION("""COMPUTED_VALUE"""),3254506)</f>
        <v>3254506</v>
      </c>
      <c r="D413" s="45"/>
      <c r="E413" s="45" t="str">
        <f ca="1">IFERROR(__xludf.DUMMYFUNCTION("""COMPUTED_VALUE"""),"CFS")</f>
        <v>CFS</v>
      </c>
      <c r="F413" s="45" t="str">
        <f ca="1">IFERROR(__xludf.DUMMYFUNCTION("""COMPUTED_VALUE"""),"MAS AMITY PTE LTD")</f>
        <v>MAS AMITY PTE LTD</v>
      </c>
      <c r="G413" s="45" t="str">
        <f ca="1">IFERROR(__xludf.DUMMYFUNCTION("""COMPUTED_VALUE"""),"MAS Active(Pvt) Ltd – CONTOURLINE")</f>
        <v>MAS Active(Pvt) Ltd – CONTOURLINE</v>
      </c>
      <c r="H413" s="43">
        <f ca="1">IFERROR(__xludf.DUMMYFUNCTION("""COMPUTED_VALUE"""),452897742114)</f>
        <v>452897742114</v>
      </c>
      <c r="I413" s="45">
        <f ca="1">IFERROR(__xludf.DUMMYFUNCTION("""COMPUTED_VALUE"""),19890834)</f>
        <v>19890834</v>
      </c>
      <c r="J413" s="45" t="str">
        <f ca="1">IFERROR(__xludf.DUMMYFUNCTION("""COMPUTED_VALUE"""),"LW2EB3S")</f>
        <v>LW2EB3S</v>
      </c>
      <c r="K413" s="45" t="str">
        <f ca="1">IFERROR(__xludf.DUMMYFUNCTION("""COMPUTED_VALUE"""),"LW2EB3S-038337")</f>
        <v>LW2EB3S-038337</v>
      </c>
      <c r="L413" s="45">
        <f ca="1">IFERROR(__xludf.DUMMYFUNCTION("""COMPUTED_VALUE"""),8)</f>
        <v>8</v>
      </c>
      <c r="M413" s="45">
        <f ca="1">IFERROR(__xludf.DUMMYFUNCTION("""COMPUTED_VALUE"""),628)</f>
        <v>628</v>
      </c>
      <c r="N413" s="45">
        <f ca="1">IFERROR(__xludf.DUMMYFUNCTION("""COMPUTED_VALUE"""),77.518)</f>
        <v>77.518000000000001</v>
      </c>
      <c r="O413" s="45">
        <f ca="1">IFERROR(__xludf.DUMMYFUNCTION("""COMPUTED_VALUE"""),0.632)</f>
        <v>0.63200000000000001</v>
      </c>
      <c r="P413" s="45" t="str">
        <f ca="1">IFERROR(__xludf.DUMMYFUNCTION("""COMPUTED_VALUE"""),"Colombo, LK")</f>
        <v>Colombo, LK</v>
      </c>
      <c r="Q413" s="45" t="str">
        <f ca="1">IFERROR(__xludf.DUMMYFUNCTION("""COMPUTED_VALUE"""),"New York, NY, US")</f>
        <v>New York, NY, US</v>
      </c>
      <c r="R413" s="44">
        <f ca="1">IFERROR(__xludf.DUMMYFUNCTION("""COMPUTED_VALUE"""),45824)</f>
        <v>45824</v>
      </c>
      <c r="S413" s="44">
        <f ca="1">IFERROR(__xludf.DUMMYFUNCTION("""COMPUTED_VALUE"""),45883)</f>
        <v>45883</v>
      </c>
      <c r="T413" s="45" t="str">
        <f ca="1">IFERROR(__xludf.DUMMYFUNCTION("""COMPUTED_VALUE"""),"Milton, ON, CA")</f>
        <v>Milton, ON, CA</v>
      </c>
      <c r="U413" s="45"/>
      <c r="V413" s="45"/>
      <c r="W413" s="45"/>
      <c r="X413" s="45"/>
      <c r="Y413" s="46">
        <f ca="1">IFERROR(__xludf.DUMMYFUNCTION("""COMPUTED_VALUE"""),45832)</f>
        <v>45832</v>
      </c>
      <c r="Z413" s="46">
        <f ca="1">IFERROR(__xludf.DUMMYFUNCTION("""COMPUTED_VALUE"""),45861)</f>
        <v>45861</v>
      </c>
      <c r="AA413" s="46">
        <f ca="1">IFERROR(__xludf.DUMMYFUNCTION("""COMPUTED_VALUE"""),45874)</f>
        <v>45874</v>
      </c>
      <c r="AB413" s="45" t="str">
        <f ca="1">IFERROR(__xludf.DUMMYFUNCTION("""COMPUTED_VALUE"""),"7211 Fifth Line")</f>
        <v>7211 Fifth Line</v>
      </c>
      <c r="AC413" s="45"/>
      <c r="AD413" s="45" t="str">
        <f ca="1">IFERROR(__xludf.DUMMYFUNCTION("""COMPUTED_VALUE"""),"OCEAN")</f>
        <v>OCEAN</v>
      </c>
      <c r="AE413" s="45" t="str">
        <f ca="1">IFERROR(__xludf.DUMMYFUNCTION("""COMPUTED_VALUE"""),"N")</f>
        <v>N</v>
      </c>
      <c r="AF413" s="45"/>
      <c r="AG413" s="49" t="str">
        <f ca="1">IFERROR(__xludf.DUMMYFUNCTION("IFNA(vlookup(H413,IMPORTRANGE(""1vUGwO1n0QQGx9kKbO0_M5gmuhXZ6-LaxQxgrmJnzgP0"",""'TP# look up'!A:C""),3,0),"""")"),"")</f>
        <v/>
      </c>
      <c r="AH413" s="49" t="str">
        <f t="shared" ca="1" si="6"/>
        <v>LW</v>
      </c>
    </row>
    <row r="414" spans="1:34" ht="12.75" hidden="1">
      <c r="A414" s="45" t="str">
        <f ca="1">IFERROR(__xludf.DUMMYFUNCTION("""COMPUTED_VALUE"""),"Colombo")</f>
        <v>Colombo</v>
      </c>
      <c r="B414" s="45"/>
      <c r="C414" s="45">
        <f ca="1">IFERROR(__xludf.DUMMYFUNCTION("""COMPUTED_VALUE"""),3254506)</f>
        <v>3254506</v>
      </c>
      <c r="D414" s="45"/>
      <c r="E414" s="45" t="str">
        <f ca="1">IFERROR(__xludf.DUMMYFUNCTION("""COMPUTED_VALUE"""),"CFS")</f>
        <v>CFS</v>
      </c>
      <c r="F414" s="45" t="str">
        <f ca="1">IFERROR(__xludf.DUMMYFUNCTION("""COMPUTED_VALUE"""),"MAS AMITY PTE LTD")</f>
        <v>MAS AMITY PTE LTD</v>
      </c>
      <c r="G414" s="45" t="str">
        <f ca="1">IFERROR(__xludf.DUMMYFUNCTION("""COMPUTED_VALUE"""),"MAS Active(Pvt) Ltd – CONTOURLINE")</f>
        <v>MAS Active(Pvt) Ltd – CONTOURLINE</v>
      </c>
      <c r="H414" s="43">
        <f ca="1">IFERROR(__xludf.DUMMYFUNCTION("""COMPUTED_VALUE"""),452898265551)</f>
        <v>452898265551</v>
      </c>
      <c r="I414" s="45">
        <f ca="1">IFERROR(__xludf.DUMMYFUNCTION("""COMPUTED_VALUE"""),19890842)</f>
        <v>19890842</v>
      </c>
      <c r="J414" s="45" t="str">
        <f ca="1">IFERROR(__xludf.DUMMYFUNCTION("""COMPUTED_VALUE"""),"LW2EB3S")</f>
        <v>LW2EB3S</v>
      </c>
      <c r="K414" s="45" t="str">
        <f ca="1">IFERROR(__xludf.DUMMYFUNCTION("""COMPUTED_VALUE"""),"LW2EB3S-038337")</f>
        <v>LW2EB3S-038337</v>
      </c>
      <c r="L414" s="45">
        <f ca="1">IFERROR(__xludf.DUMMYFUNCTION("""COMPUTED_VALUE"""),4)</f>
        <v>4</v>
      </c>
      <c r="M414" s="45">
        <f ca="1">IFERROR(__xludf.DUMMYFUNCTION("""COMPUTED_VALUE"""),308)</f>
        <v>308</v>
      </c>
      <c r="N414" s="45">
        <f ca="1">IFERROR(__xludf.DUMMYFUNCTION("""COMPUTED_VALUE"""),39.108)</f>
        <v>39.107999999999997</v>
      </c>
      <c r="O414" s="45">
        <f ca="1">IFERROR(__xludf.DUMMYFUNCTION("""COMPUTED_VALUE"""),0.316)</f>
        <v>0.316</v>
      </c>
      <c r="P414" s="45" t="str">
        <f ca="1">IFERROR(__xludf.DUMMYFUNCTION("""COMPUTED_VALUE"""),"Colombo, LK")</f>
        <v>Colombo, LK</v>
      </c>
      <c r="Q414" s="45" t="str">
        <f ca="1">IFERROR(__xludf.DUMMYFUNCTION("""COMPUTED_VALUE"""),"New York, NY, US")</f>
        <v>New York, NY, US</v>
      </c>
      <c r="R414" s="44">
        <f ca="1">IFERROR(__xludf.DUMMYFUNCTION("""COMPUTED_VALUE"""),45824)</f>
        <v>45824</v>
      </c>
      <c r="S414" s="44">
        <f ca="1">IFERROR(__xludf.DUMMYFUNCTION("""COMPUTED_VALUE"""),45883)</f>
        <v>45883</v>
      </c>
      <c r="T414" s="45" t="str">
        <f ca="1">IFERROR(__xludf.DUMMYFUNCTION("""COMPUTED_VALUE"""),"Mississauga, ON, CA")</f>
        <v>Mississauga, ON, CA</v>
      </c>
      <c r="U414" s="45"/>
      <c r="V414" s="45"/>
      <c r="W414" s="45"/>
      <c r="X414" s="45"/>
      <c r="Y414" s="46">
        <f ca="1">IFERROR(__xludf.DUMMYFUNCTION("""COMPUTED_VALUE"""),45832)</f>
        <v>45832</v>
      </c>
      <c r="Z414" s="46">
        <f ca="1">IFERROR(__xludf.DUMMYFUNCTION("""COMPUTED_VALUE"""),45861)</f>
        <v>45861</v>
      </c>
      <c r="AA414" s="46">
        <f ca="1">IFERROR(__xludf.DUMMYFUNCTION("""COMPUTED_VALUE"""),45874)</f>
        <v>45874</v>
      </c>
      <c r="AB414" s="45" t="str">
        <f ca="1">IFERROR(__xludf.DUMMYFUNCTION("""COMPUTED_VALUE"""),"3500 Argentia Road")</f>
        <v>3500 Argentia Road</v>
      </c>
      <c r="AC414" s="45"/>
      <c r="AD414" s="45" t="str">
        <f ca="1">IFERROR(__xludf.DUMMYFUNCTION("""COMPUTED_VALUE"""),"OCEAN")</f>
        <v>OCEAN</v>
      </c>
      <c r="AE414" s="45" t="str">
        <f ca="1">IFERROR(__xludf.DUMMYFUNCTION("""COMPUTED_VALUE"""),"N")</f>
        <v>N</v>
      </c>
      <c r="AF414" s="45"/>
      <c r="AG414" s="49" t="str">
        <f ca="1">IFERROR(__xludf.DUMMYFUNCTION("IFNA(vlookup(H414,IMPORTRANGE(""1vUGwO1n0QQGx9kKbO0_M5gmuhXZ6-LaxQxgrmJnzgP0"",""'TP# look up'!A:C""),3,0),"""")"),"")</f>
        <v/>
      </c>
      <c r="AH414" s="49" t="str">
        <f t="shared" ca="1" si="6"/>
        <v>LW</v>
      </c>
    </row>
    <row r="415" spans="1:34" ht="12.75" hidden="1">
      <c r="A415" s="45" t="str">
        <f ca="1">IFERROR(__xludf.DUMMYFUNCTION("""COMPUTED_VALUE"""),"Colombo")</f>
        <v>Colombo</v>
      </c>
      <c r="B415" s="45"/>
      <c r="C415" s="45">
        <f ca="1">IFERROR(__xludf.DUMMYFUNCTION("""COMPUTED_VALUE"""),3254506)</f>
        <v>3254506</v>
      </c>
      <c r="D415" s="45"/>
      <c r="E415" s="45" t="str">
        <f ca="1">IFERROR(__xludf.DUMMYFUNCTION("""COMPUTED_VALUE"""),"CFS")</f>
        <v>CFS</v>
      </c>
      <c r="F415" s="45" t="str">
        <f ca="1">IFERROR(__xludf.DUMMYFUNCTION("""COMPUTED_VALUE"""),"MAS AMITY PTE LTD")</f>
        <v>MAS AMITY PTE LTD</v>
      </c>
      <c r="G415" s="45" t="str">
        <f ca="1">IFERROR(__xludf.DUMMYFUNCTION("""COMPUTED_VALUE"""),"MAS Active(Pvt) Ltd – CONTOURLINE")</f>
        <v>MAS Active(Pvt) Ltd – CONTOURLINE</v>
      </c>
      <c r="H415" s="43">
        <f ca="1">IFERROR(__xludf.DUMMYFUNCTION("""COMPUTED_VALUE"""),452898624462)</f>
        <v>452898624462</v>
      </c>
      <c r="I415" s="45">
        <f ca="1">IFERROR(__xludf.DUMMYFUNCTION("""COMPUTED_VALUE"""),19897883)</f>
        <v>19897883</v>
      </c>
      <c r="J415" s="45" t="str">
        <f ca="1">IFERROR(__xludf.DUMMYFUNCTION("""COMPUTED_VALUE"""),"LW7CNIS")</f>
        <v>LW7CNIS</v>
      </c>
      <c r="K415" s="45" t="str">
        <f ca="1">IFERROR(__xludf.DUMMYFUNCTION("""COMPUTED_VALUE"""),"LW7CNIS-071188")</f>
        <v>LW7CNIS-071188</v>
      </c>
      <c r="L415" s="45">
        <f ca="1">IFERROR(__xludf.DUMMYFUNCTION("""COMPUTED_VALUE"""),4)</f>
        <v>4</v>
      </c>
      <c r="M415" s="45">
        <f ca="1">IFERROR(__xludf.DUMMYFUNCTION("""COMPUTED_VALUE"""),211)</f>
        <v>211</v>
      </c>
      <c r="N415" s="45">
        <f ca="1">IFERROR(__xludf.DUMMYFUNCTION("""COMPUTED_VALUE"""),36.443)</f>
        <v>36.442999999999998</v>
      </c>
      <c r="O415" s="45">
        <f ca="1">IFERROR(__xludf.DUMMYFUNCTION("""COMPUTED_VALUE"""),0.237)</f>
        <v>0.23699999999999999</v>
      </c>
      <c r="P415" s="45" t="str">
        <f ca="1">IFERROR(__xludf.DUMMYFUNCTION("""COMPUTED_VALUE"""),"Colombo, LK")</f>
        <v>Colombo, LK</v>
      </c>
      <c r="Q415" s="45" t="str">
        <f ca="1">IFERROR(__xludf.DUMMYFUNCTION("""COMPUTED_VALUE"""),"New York, NY, US")</f>
        <v>New York, NY, US</v>
      </c>
      <c r="R415" s="44">
        <f ca="1">IFERROR(__xludf.DUMMYFUNCTION("""COMPUTED_VALUE"""),45824)</f>
        <v>45824</v>
      </c>
      <c r="S415" s="44">
        <f ca="1">IFERROR(__xludf.DUMMYFUNCTION("""COMPUTED_VALUE"""),45883)</f>
        <v>45883</v>
      </c>
      <c r="T415" s="45" t="str">
        <f ca="1">IFERROR(__xludf.DUMMYFUNCTION("""COMPUTED_VALUE"""),"Milton, ON, CA")</f>
        <v>Milton, ON, CA</v>
      </c>
      <c r="U415" s="45"/>
      <c r="V415" s="45"/>
      <c r="W415" s="45"/>
      <c r="X415" s="45"/>
      <c r="Y415" s="46">
        <f ca="1">IFERROR(__xludf.DUMMYFUNCTION("""COMPUTED_VALUE"""),45832)</f>
        <v>45832</v>
      </c>
      <c r="Z415" s="46">
        <f ca="1">IFERROR(__xludf.DUMMYFUNCTION("""COMPUTED_VALUE"""),45861)</f>
        <v>45861</v>
      </c>
      <c r="AA415" s="46">
        <f ca="1">IFERROR(__xludf.DUMMYFUNCTION("""COMPUTED_VALUE"""),45874)</f>
        <v>45874</v>
      </c>
      <c r="AB415" s="45" t="str">
        <f ca="1">IFERROR(__xludf.DUMMYFUNCTION("""COMPUTED_VALUE"""),"7211 Fifth Line")</f>
        <v>7211 Fifth Line</v>
      </c>
      <c r="AC415" s="45"/>
      <c r="AD415" s="45" t="str">
        <f ca="1">IFERROR(__xludf.DUMMYFUNCTION("""COMPUTED_VALUE"""),"OCEAN")</f>
        <v>OCEAN</v>
      </c>
      <c r="AE415" s="45" t="str">
        <f ca="1">IFERROR(__xludf.DUMMYFUNCTION("""COMPUTED_VALUE"""),"N")</f>
        <v>N</v>
      </c>
      <c r="AF415" s="45"/>
      <c r="AG415" s="49" t="str">
        <f ca="1">IFERROR(__xludf.DUMMYFUNCTION("IFNA(vlookup(H415,IMPORTRANGE(""1vUGwO1n0QQGx9kKbO0_M5gmuhXZ6-LaxQxgrmJnzgP0"",""'TP# look up'!A:C""),3,0),"""")"),"")</f>
        <v/>
      </c>
      <c r="AH415" s="49" t="str">
        <f t="shared" ca="1" si="6"/>
        <v>LW</v>
      </c>
    </row>
    <row r="416" spans="1:34" ht="12.75" hidden="1">
      <c r="A416" s="45" t="str">
        <f ca="1">IFERROR(__xludf.DUMMYFUNCTION("""COMPUTED_VALUE"""),"Colombo")</f>
        <v>Colombo</v>
      </c>
      <c r="B416" s="45"/>
      <c r="C416" s="45">
        <f ca="1">IFERROR(__xludf.DUMMYFUNCTION("""COMPUTED_VALUE"""),3254506)</f>
        <v>3254506</v>
      </c>
      <c r="D416" s="45"/>
      <c r="E416" s="45" t="str">
        <f ca="1">IFERROR(__xludf.DUMMYFUNCTION("""COMPUTED_VALUE"""),"CFS")</f>
        <v>CFS</v>
      </c>
      <c r="F416" s="45" t="str">
        <f ca="1">IFERROR(__xludf.DUMMYFUNCTION("""COMPUTED_VALUE"""),"MAS AMITY PTE LTD")</f>
        <v>MAS AMITY PTE LTD</v>
      </c>
      <c r="G416" s="45" t="str">
        <f ca="1">IFERROR(__xludf.DUMMYFUNCTION("""COMPUTED_VALUE"""),"MAS Active(Pvt) Ltd – CONTOURLINE")</f>
        <v>MAS Active(Pvt) Ltd – CONTOURLINE</v>
      </c>
      <c r="H416" s="43">
        <f ca="1">IFERROR(__xludf.DUMMYFUNCTION("""COMPUTED_VALUE"""),452898671140)</f>
        <v>452898671140</v>
      </c>
      <c r="I416" s="45">
        <f ca="1">IFERROR(__xludf.DUMMYFUNCTION("""COMPUTED_VALUE"""),19896665)</f>
        <v>19896665</v>
      </c>
      <c r="J416" s="45" t="str">
        <f ca="1">IFERROR(__xludf.DUMMYFUNCTION("""COMPUTED_VALUE"""),"LW1DRKS")</f>
        <v>LW1DRKS</v>
      </c>
      <c r="K416" s="45" t="str">
        <f ca="1">IFERROR(__xludf.DUMMYFUNCTION("""COMPUTED_VALUE"""),"LW1DRKS-070108")</f>
        <v>LW1DRKS-070108</v>
      </c>
      <c r="L416" s="45">
        <f ca="1">IFERROR(__xludf.DUMMYFUNCTION("""COMPUTED_VALUE"""),1)</f>
        <v>1</v>
      </c>
      <c r="M416" s="45">
        <f ca="1">IFERROR(__xludf.DUMMYFUNCTION("""COMPUTED_VALUE"""),68)</f>
        <v>68</v>
      </c>
      <c r="N416" s="45">
        <f ca="1">IFERROR(__xludf.DUMMYFUNCTION("""COMPUTED_VALUE"""),8.857)</f>
        <v>8.8569999999999993</v>
      </c>
      <c r="O416" s="45">
        <f ca="1">IFERROR(__xludf.DUMMYFUNCTION("""COMPUTED_VALUE"""),0.079)</f>
        <v>7.9000000000000001E-2</v>
      </c>
      <c r="P416" s="45" t="str">
        <f ca="1">IFERROR(__xludf.DUMMYFUNCTION("""COMPUTED_VALUE"""),"Colombo, LK")</f>
        <v>Colombo, LK</v>
      </c>
      <c r="Q416" s="45" t="str">
        <f ca="1">IFERROR(__xludf.DUMMYFUNCTION("""COMPUTED_VALUE"""),"New York, NY, US")</f>
        <v>New York, NY, US</v>
      </c>
      <c r="R416" s="44">
        <f ca="1">IFERROR(__xludf.DUMMYFUNCTION("""COMPUTED_VALUE"""),45824)</f>
        <v>45824</v>
      </c>
      <c r="S416" s="44">
        <f ca="1">IFERROR(__xludf.DUMMYFUNCTION("""COMPUTED_VALUE"""),45883)</f>
        <v>45883</v>
      </c>
      <c r="T416" s="45" t="str">
        <f ca="1">IFERROR(__xludf.DUMMYFUNCTION("""COMPUTED_VALUE"""),"Milton, ON, CA")</f>
        <v>Milton, ON, CA</v>
      </c>
      <c r="U416" s="45"/>
      <c r="V416" s="45"/>
      <c r="W416" s="45"/>
      <c r="X416" s="45"/>
      <c r="Y416" s="46">
        <f ca="1">IFERROR(__xludf.DUMMYFUNCTION("""COMPUTED_VALUE"""),45832)</f>
        <v>45832</v>
      </c>
      <c r="Z416" s="46">
        <f ca="1">IFERROR(__xludf.DUMMYFUNCTION("""COMPUTED_VALUE"""),45861)</f>
        <v>45861</v>
      </c>
      <c r="AA416" s="46">
        <f ca="1">IFERROR(__xludf.DUMMYFUNCTION("""COMPUTED_VALUE"""),45874)</f>
        <v>45874</v>
      </c>
      <c r="AB416" s="45" t="str">
        <f ca="1">IFERROR(__xludf.DUMMYFUNCTION("""COMPUTED_VALUE"""),"7211 Fifth Line")</f>
        <v>7211 Fifth Line</v>
      </c>
      <c r="AC416" s="45"/>
      <c r="AD416" s="45" t="str">
        <f ca="1">IFERROR(__xludf.DUMMYFUNCTION("""COMPUTED_VALUE"""),"OCEAN")</f>
        <v>OCEAN</v>
      </c>
      <c r="AE416" s="45" t="str">
        <f ca="1">IFERROR(__xludf.DUMMYFUNCTION("""COMPUTED_VALUE"""),"N")</f>
        <v>N</v>
      </c>
      <c r="AF416" s="45"/>
      <c r="AG416" s="49" t="str">
        <f ca="1">IFERROR(__xludf.DUMMYFUNCTION("IFNA(vlookup(H416,IMPORTRANGE(""1vUGwO1n0QQGx9kKbO0_M5gmuhXZ6-LaxQxgrmJnzgP0"",""'TP# look up'!A:C""),3,0),"""")"),"")</f>
        <v/>
      </c>
      <c r="AH416" s="49" t="str">
        <f t="shared" ca="1" si="6"/>
        <v>LW</v>
      </c>
    </row>
    <row r="417" spans="1:34" ht="12.75" hidden="1">
      <c r="A417" s="45" t="str">
        <f ca="1">IFERROR(__xludf.DUMMYFUNCTION("""COMPUTED_VALUE"""),"Colombo")</f>
        <v>Colombo</v>
      </c>
      <c r="B417" s="45"/>
      <c r="C417" s="45">
        <f ca="1">IFERROR(__xludf.DUMMYFUNCTION("""COMPUTED_VALUE"""),3254506)</f>
        <v>3254506</v>
      </c>
      <c r="D417" s="45"/>
      <c r="E417" s="45" t="str">
        <f ca="1">IFERROR(__xludf.DUMMYFUNCTION("""COMPUTED_VALUE"""),"CFS")</f>
        <v>CFS</v>
      </c>
      <c r="F417" s="45" t="str">
        <f ca="1">IFERROR(__xludf.DUMMYFUNCTION("""COMPUTED_VALUE"""),"MAS AMITY PTE LTD")</f>
        <v>MAS AMITY PTE LTD</v>
      </c>
      <c r="G417" s="45" t="str">
        <f ca="1">IFERROR(__xludf.DUMMYFUNCTION("""COMPUTED_VALUE"""),"MAS Active(Pvt) Ltd – CONTOURLINE")</f>
        <v>MAS Active(Pvt) Ltd – CONTOURLINE</v>
      </c>
      <c r="H417" s="43">
        <f ca="1">IFERROR(__xludf.DUMMYFUNCTION("""COMPUTED_VALUE"""),452900314066)</f>
        <v>452900314066</v>
      </c>
      <c r="I417" s="45">
        <f ca="1">IFERROR(__xludf.DUMMYFUNCTION("""COMPUTED_VALUE"""),19897897)</f>
        <v>19897897</v>
      </c>
      <c r="J417" s="45" t="str">
        <f ca="1">IFERROR(__xludf.DUMMYFUNCTION("""COMPUTED_VALUE"""),"LM3FBSS")</f>
        <v>LM3FBSS</v>
      </c>
      <c r="K417" s="45" t="str">
        <f ca="1">IFERROR(__xludf.DUMMYFUNCTION("""COMPUTED_VALUE"""),"LM3FBSS-035487")</f>
        <v>LM3FBSS-035487</v>
      </c>
      <c r="L417" s="45">
        <f ca="1">IFERROR(__xludf.DUMMYFUNCTION("""COMPUTED_VALUE"""),16)</f>
        <v>16</v>
      </c>
      <c r="M417" s="45">
        <f ca="1">IFERROR(__xludf.DUMMYFUNCTION("""COMPUTED_VALUE"""),680)</f>
        <v>680</v>
      </c>
      <c r="N417" s="45">
        <f ca="1">IFERROR(__xludf.DUMMYFUNCTION("""COMPUTED_VALUE"""),226.052)</f>
        <v>226.05199999999999</v>
      </c>
      <c r="O417" s="45">
        <f ca="1">IFERROR(__xludf.DUMMYFUNCTION("""COMPUTED_VALUE"""),1.264)</f>
        <v>1.264</v>
      </c>
      <c r="P417" s="45" t="str">
        <f ca="1">IFERROR(__xludf.DUMMYFUNCTION("""COMPUTED_VALUE"""),"Colombo, LK")</f>
        <v>Colombo, LK</v>
      </c>
      <c r="Q417" s="45" t="str">
        <f ca="1">IFERROR(__xludf.DUMMYFUNCTION("""COMPUTED_VALUE"""),"New York, NY, US")</f>
        <v>New York, NY, US</v>
      </c>
      <c r="R417" s="44">
        <f ca="1">IFERROR(__xludf.DUMMYFUNCTION("""COMPUTED_VALUE"""),45824)</f>
        <v>45824</v>
      </c>
      <c r="S417" s="44">
        <f ca="1">IFERROR(__xludf.DUMMYFUNCTION("""COMPUTED_VALUE"""),45883)</f>
        <v>45883</v>
      </c>
      <c r="T417" s="45" t="str">
        <f ca="1">IFERROR(__xludf.DUMMYFUNCTION("""COMPUTED_VALUE"""),"Milton, ON, CA")</f>
        <v>Milton, ON, CA</v>
      </c>
      <c r="U417" s="45"/>
      <c r="V417" s="45"/>
      <c r="W417" s="45"/>
      <c r="X417" s="45"/>
      <c r="Y417" s="46">
        <f ca="1">IFERROR(__xludf.DUMMYFUNCTION("""COMPUTED_VALUE"""),45832)</f>
        <v>45832</v>
      </c>
      <c r="Z417" s="46">
        <f ca="1">IFERROR(__xludf.DUMMYFUNCTION("""COMPUTED_VALUE"""),45861)</f>
        <v>45861</v>
      </c>
      <c r="AA417" s="46">
        <f ca="1">IFERROR(__xludf.DUMMYFUNCTION("""COMPUTED_VALUE"""),45874)</f>
        <v>45874</v>
      </c>
      <c r="AB417" s="45" t="str">
        <f ca="1">IFERROR(__xludf.DUMMYFUNCTION("""COMPUTED_VALUE"""),"7211 Fifth Line")</f>
        <v>7211 Fifth Line</v>
      </c>
      <c r="AC417" s="45"/>
      <c r="AD417" s="45" t="str">
        <f ca="1">IFERROR(__xludf.DUMMYFUNCTION("""COMPUTED_VALUE"""),"OCEAN")</f>
        <v>OCEAN</v>
      </c>
      <c r="AE417" s="45" t="str">
        <f ca="1">IFERROR(__xludf.DUMMYFUNCTION("""COMPUTED_VALUE"""),"N")</f>
        <v>N</v>
      </c>
      <c r="AF417" s="45"/>
      <c r="AG417" s="49" t="str">
        <f ca="1">IFERROR(__xludf.DUMMYFUNCTION("IFNA(vlookup(H417,IMPORTRANGE(""1vUGwO1n0QQGx9kKbO0_M5gmuhXZ6-LaxQxgrmJnzgP0"",""'TP# look up'!A:C""),3,0),"""")"),"")</f>
        <v/>
      </c>
      <c r="AH417" s="49" t="str">
        <f t="shared" ca="1" si="6"/>
        <v>LM</v>
      </c>
    </row>
    <row r="418" spans="1:34" ht="12.75" hidden="1">
      <c r="A418" s="45" t="str">
        <f ca="1">IFERROR(__xludf.DUMMYFUNCTION("""COMPUTED_VALUE"""),"Colombo")</f>
        <v>Colombo</v>
      </c>
      <c r="B418" s="45"/>
      <c r="C418" s="45">
        <f ca="1">IFERROR(__xludf.DUMMYFUNCTION("""COMPUTED_VALUE"""),3254506)</f>
        <v>3254506</v>
      </c>
      <c r="D418" s="45"/>
      <c r="E418" s="45" t="str">
        <f ca="1">IFERROR(__xludf.DUMMYFUNCTION("""COMPUTED_VALUE"""),"CFS")</f>
        <v>CFS</v>
      </c>
      <c r="F418" s="45" t="str">
        <f ca="1">IFERROR(__xludf.DUMMYFUNCTION("""COMPUTED_VALUE"""),"MAS AMITY PTE LTD")</f>
        <v>MAS AMITY PTE LTD</v>
      </c>
      <c r="G418" s="45" t="str">
        <f ca="1">IFERROR(__xludf.DUMMYFUNCTION("""COMPUTED_VALUE"""),"MAS Active(Pvt) Ltd – CONTOURLINE")</f>
        <v>MAS Active(Pvt) Ltd – CONTOURLINE</v>
      </c>
      <c r="H418" s="43">
        <f ca="1">IFERROR(__xludf.DUMMYFUNCTION("""COMPUTED_VALUE"""),452901003368)</f>
        <v>452901003368</v>
      </c>
      <c r="I418" s="45">
        <f ca="1">IFERROR(__xludf.DUMMYFUNCTION("""COMPUTED_VALUE"""),19897915)</f>
        <v>19897915</v>
      </c>
      <c r="J418" s="45" t="str">
        <f ca="1">IFERROR(__xludf.DUMMYFUNCTION("""COMPUTED_VALUE"""),"LM7BI2S")</f>
        <v>LM7BI2S</v>
      </c>
      <c r="K418" s="45" t="str">
        <f ca="1">IFERROR(__xludf.DUMMYFUNCTION("""COMPUTED_VALUE"""),"LM7BI2S-041179")</f>
        <v>LM7BI2S-041179</v>
      </c>
      <c r="L418" s="45">
        <f ca="1">IFERROR(__xludf.DUMMYFUNCTION("""COMPUTED_VALUE"""),9)</f>
        <v>9</v>
      </c>
      <c r="M418" s="45">
        <f ca="1">IFERROR(__xludf.DUMMYFUNCTION("""COMPUTED_VALUE"""),434)</f>
        <v>434</v>
      </c>
      <c r="N418" s="45">
        <f ca="1">IFERROR(__xludf.DUMMYFUNCTION("""COMPUTED_VALUE"""),102.029)</f>
        <v>102.029</v>
      </c>
      <c r="O418" s="45">
        <f ca="1">IFERROR(__xludf.DUMMYFUNCTION("""COMPUTED_VALUE"""),0.711)</f>
        <v>0.71099999999999997</v>
      </c>
      <c r="P418" s="45" t="str">
        <f ca="1">IFERROR(__xludf.DUMMYFUNCTION("""COMPUTED_VALUE"""),"Colombo, LK")</f>
        <v>Colombo, LK</v>
      </c>
      <c r="Q418" s="45" t="str">
        <f ca="1">IFERROR(__xludf.DUMMYFUNCTION("""COMPUTED_VALUE"""),"New York, NY, US")</f>
        <v>New York, NY, US</v>
      </c>
      <c r="R418" s="44">
        <f ca="1">IFERROR(__xludf.DUMMYFUNCTION("""COMPUTED_VALUE"""),45824)</f>
        <v>45824</v>
      </c>
      <c r="S418" s="44">
        <f ca="1">IFERROR(__xludf.DUMMYFUNCTION("""COMPUTED_VALUE"""),45883)</f>
        <v>45883</v>
      </c>
      <c r="T418" s="45" t="str">
        <f ca="1">IFERROR(__xludf.DUMMYFUNCTION("""COMPUTED_VALUE"""),"Milton, ON, CA")</f>
        <v>Milton, ON, CA</v>
      </c>
      <c r="U418" s="45"/>
      <c r="V418" s="45"/>
      <c r="W418" s="45"/>
      <c r="X418" s="45"/>
      <c r="Y418" s="46">
        <f ca="1">IFERROR(__xludf.DUMMYFUNCTION("""COMPUTED_VALUE"""),45832)</f>
        <v>45832</v>
      </c>
      <c r="Z418" s="46">
        <f ca="1">IFERROR(__xludf.DUMMYFUNCTION("""COMPUTED_VALUE"""),45861)</f>
        <v>45861</v>
      </c>
      <c r="AA418" s="46">
        <f ca="1">IFERROR(__xludf.DUMMYFUNCTION("""COMPUTED_VALUE"""),45874)</f>
        <v>45874</v>
      </c>
      <c r="AB418" s="45" t="str">
        <f ca="1">IFERROR(__xludf.DUMMYFUNCTION("""COMPUTED_VALUE"""),"7211 Fifth Line")</f>
        <v>7211 Fifth Line</v>
      </c>
      <c r="AC418" s="45"/>
      <c r="AD418" s="45" t="str">
        <f ca="1">IFERROR(__xludf.DUMMYFUNCTION("""COMPUTED_VALUE"""),"OCEAN")</f>
        <v>OCEAN</v>
      </c>
      <c r="AE418" s="45" t="str">
        <f ca="1">IFERROR(__xludf.DUMMYFUNCTION("""COMPUTED_VALUE"""),"N")</f>
        <v>N</v>
      </c>
      <c r="AF418" s="45"/>
      <c r="AG418" s="49" t="str">
        <f ca="1">IFERROR(__xludf.DUMMYFUNCTION("IFNA(vlookup(H418,IMPORTRANGE(""1vUGwO1n0QQGx9kKbO0_M5gmuhXZ6-LaxQxgrmJnzgP0"",""'TP# look up'!A:C""),3,0),"""")"),"")</f>
        <v/>
      </c>
      <c r="AH418" s="49" t="str">
        <f t="shared" ca="1" si="6"/>
        <v>LM</v>
      </c>
    </row>
    <row r="419" spans="1:34" ht="12.75" hidden="1">
      <c r="A419" s="45" t="str">
        <f ca="1">IFERROR(__xludf.DUMMYFUNCTION("""COMPUTED_VALUE"""),"Colombo")</f>
        <v>Colombo</v>
      </c>
      <c r="B419" s="45"/>
      <c r="C419" s="45">
        <f ca="1">IFERROR(__xludf.DUMMYFUNCTION("""COMPUTED_VALUE"""),3254506)</f>
        <v>3254506</v>
      </c>
      <c r="D419" s="45"/>
      <c r="E419" s="45" t="str">
        <f ca="1">IFERROR(__xludf.DUMMYFUNCTION("""COMPUTED_VALUE"""),"CFS")</f>
        <v>CFS</v>
      </c>
      <c r="F419" s="45" t="str">
        <f ca="1">IFERROR(__xludf.DUMMYFUNCTION("""COMPUTED_VALUE"""),"MAS AMITY PTE LTD")</f>
        <v>MAS AMITY PTE LTD</v>
      </c>
      <c r="G419" s="45" t="str">
        <f ca="1">IFERROR(__xludf.DUMMYFUNCTION("""COMPUTED_VALUE"""),"MAS Active(Pvt) Ltd – CONTOURLINE")</f>
        <v>MAS Active(Pvt) Ltd – CONTOURLINE</v>
      </c>
      <c r="H419" s="43">
        <f ca="1">IFERROR(__xludf.DUMMYFUNCTION("""COMPUTED_VALUE"""),452901003671)</f>
        <v>452901003671</v>
      </c>
      <c r="I419" s="45">
        <f ca="1">IFERROR(__xludf.DUMMYFUNCTION("""COMPUTED_VALUE"""),19920744)</f>
        <v>19920744</v>
      </c>
      <c r="J419" s="45" t="str">
        <f ca="1">IFERROR(__xludf.DUMMYFUNCTION("""COMPUTED_VALUE"""),"LW5EYKS")</f>
        <v>LW5EYKS</v>
      </c>
      <c r="K419" s="45" t="str">
        <f ca="1">IFERROR(__xludf.DUMMYFUNCTION("""COMPUTED_VALUE"""),"LW5EYKS-071200")</f>
        <v>LW5EYKS-071200</v>
      </c>
      <c r="L419" s="45">
        <f ca="1">IFERROR(__xludf.DUMMYFUNCTION("""COMPUTED_VALUE"""),1)</f>
        <v>1</v>
      </c>
      <c r="M419" s="45">
        <f ca="1">IFERROR(__xludf.DUMMYFUNCTION("""COMPUTED_VALUE"""),65)</f>
        <v>65</v>
      </c>
      <c r="N419" s="45">
        <f ca="1">IFERROR(__xludf.DUMMYFUNCTION("""COMPUTED_VALUE"""),15.014)</f>
        <v>15.013999999999999</v>
      </c>
      <c r="O419" s="45">
        <f ca="1">IFERROR(__xludf.DUMMYFUNCTION("""COMPUTED_VALUE"""),0.079)</f>
        <v>7.9000000000000001E-2</v>
      </c>
      <c r="P419" s="45" t="str">
        <f ca="1">IFERROR(__xludf.DUMMYFUNCTION("""COMPUTED_VALUE"""),"Colombo, LK")</f>
        <v>Colombo, LK</v>
      </c>
      <c r="Q419" s="45" t="str">
        <f ca="1">IFERROR(__xludf.DUMMYFUNCTION("""COMPUTED_VALUE"""),"New York, NY, US")</f>
        <v>New York, NY, US</v>
      </c>
      <c r="R419" s="44">
        <f ca="1">IFERROR(__xludf.DUMMYFUNCTION("""COMPUTED_VALUE"""),45824)</f>
        <v>45824</v>
      </c>
      <c r="S419" s="44">
        <f ca="1">IFERROR(__xludf.DUMMYFUNCTION("""COMPUTED_VALUE"""),45883)</f>
        <v>45883</v>
      </c>
      <c r="T419" s="45" t="str">
        <f ca="1">IFERROR(__xludf.DUMMYFUNCTION("""COMPUTED_VALUE"""),"Mississauga, ON, CA")</f>
        <v>Mississauga, ON, CA</v>
      </c>
      <c r="U419" s="45"/>
      <c r="V419" s="45"/>
      <c r="W419" s="45"/>
      <c r="X419" s="45"/>
      <c r="Y419" s="46">
        <f ca="1">IFERROR(__xludf.DUMMYFUNCTION("""COMPUTED_VALUE"""),45832)</f>
        <v>45832</v>
      </c>
      <c r="Z419" s="46">
        <f ca="1">IFERROR(__xludf.DUMMYFUNCTION("""COMPUTED_VALUE"""),45861)</f>
        <v>45861</v>
      </c>
      <c r="AA419" s="46">
        <f ca="1">IFERROR(__xludf.DUMMYFUNCTION("""COMPUTED_VALUE"""),45874)</f>
        <v>45874</v>
      </c>
      <c r="AB419" s="45" t="str">
        <f ca="1">IFERROR(__xludf.DUMMYFUNCTION("""COMPUTED_VALUE"""),"3500 Argentia Road")</f>
        <v>3500 Argentia Road</v>
      </c>
      <c r="AC419" s="45"/>
      <c r="AD419" s="45" t="str">
        <f ca="1">IFERROR(__xludf.DUMMYFUNCTION("""COMPUTED_VALUE"""),"OCEAN")</f>
        <v>OCEAN</v>
      </c>
      <c r="AE419" s="45" t="str">
        <f ca="1">IFERROR(__xludf.DUMMYFUNCTION("""COMPUTED_VALUE"""),"N")</f>
        <v>N</v>
      </c>
      <c r="AF419" s="45"/>
      <c r="AG419" s="49" t="str">
        <f ca="1">IFERROR(__xludf.DUMMYFUNCTION("IFNA(vlookup(H419,IMPORTRANGE(""1vUGwO1n0QQGx9kKbO0_M5gmuhXZ6-LaxQxgrmJnzgP0"",""'TP# look up'!A:C""),3,0),"""")"),"")</f>
        <v/>
      </c>
      <c r="AH419" s="49" t="str">
        <f t="shared" ca="1" si="6"/>
        <v>LW</v>
      </c>
    </row>
    <row r="420" spans="1:34" ht="12.75" hidden="1">
      <c r="A420" s="45" t="str">
        <f ca="1">IFERROR(__xludf.DUMMYFUNCTION("""COMPUTED_VALUE"""),"Colombo")</f>
        <v>Colombo</v>
      </c>
      <c r="B420" s="45"/>
      <c r="C420" s="45">
        <f ca="1">IFERROR(__xludf.DUMMYFUNCTION("""COMPUTED_VALUE"""),3254506)</f>
        <v>3254506</v>
      </c>
      <c r="D420" s="45"/>
      <c r="E420" s="45" t="str">
        <f ca="1">IFERROR(__xludf.DUMMYFUNCTION("""COMPUTED_VALUE"""),"CFS")</f>
        <v>CFS</v>
      </c>
      <c r="F420" s="45" t="str">
        <f ca="1">IFERROR(__xludf.DUMMYFUNCTION("""COMPUTED_VALUE"""),"MAS AMITY PTE LTD")</f>
        <v>MAS AMITY PTE LTD</v>
      </c>
      <c r="G420" s="45" t="str">
        <f ca="1">IFERROR(__xludf.DUMMYFUNCTION("""COMPUTED_VALUE"""),"MAS Active(Pvt) Ltd – CONTOURLINE")</f>
        <v>MAS Active(Pvt) Ltd – CONTOURLINE</v>
      </c>
      <c r="H420" s="43">
        <f ca="1">IFERROR(__xludf.DUMMYFUNCTION("""COMPUTED_VALUE"""),452901487847)</f>
        <v>452901487847</v>
      </c>
      <c r="I420" s="45">
        <f ca="1">IFERROR(__xludf.DUMMYFUNCTION("""COMPUTED_VALUE"""),19920846)</f>
        <v>19920846</v>
      </c>
      <c r="J420" s="45" t="str">
        <f ca="1">IFERROR(__xludf.DUMMYFUNCTION("""COMPUTED_VALUE"""),"LW5FARS")</f>
        <v>LW5FARS</v>
      </c>
      <c r="K420" s="45" t="str">
        <f ca="1">IFERROR(__xludf.DUMMYFUNCTION("""COMPUTED_VALUE"""),"LW5FARS-041179")</f>
        <v>LW5FARS-041179</v>
      </c>
      <c r="L420" s="45">
        <f ca="1">IFERROR(__xludf.DUMMYFUNCTION("""COMPUTED_VALUE"""),9)</f>
        <v>9</v>
      </c>
      <c r="M420" s="45">
        <f ca="1">IFERROR(__xludf.DUMMYFUNCTION("""COMPUTED_VALUE"""),585)</f>
        <v>585</v>
      </c>
      <c r="N420" s="45">
        <f ca="1">IFERROR(__xludf.DUMMYFUNCTION("""COMPUTED_VALUE"""),124.319)</f>
        <v>124.319</v>
      </c>
      <c r="O420" s="45">
        <f ca="1">IFERROR(__xludf.DUMMYFUNCTION("""COMPUTED_VALUE"""),0.671)</f>
        <v>0.67100000000000004</v>
      </c>
      <c r="P420" s="45" t="str">
        <f ca="1">IFERROR(__xludf.DUMMYFUNCTION("""COMPUTED_VALUE"""),"Colombo, LK")</f>
        <v>Colombo, LK</v>
      </c>
      <c r="Q420" s="45" t="str">
        <f ca="1">IFERROR(__xludf.DUMMYFUNCTION("""COMPUTED_VALUE"""),"New York, NY, US")</f>
        <v>New York, NY, US</v>
      </c>
      <c r="R420" s="44">
        <f ca="1">IFERROR(__xludf.DUMMYFUNCTION("""COMPUTED_VALUE"""),45824)</f>
        <v>45824</v>
      </c>
      <c r="S420" s="44">
        <f ca="1">IFERROR(__xludf.DUMMYFUNCTION("""COMPUTED_VALUE"""),45883)</f>
        <v>45883</v>
      </c>
      <c r="T420" s="45" t="str">
        <f ca="1">IFERROR(__xludf.DUMMYFUNCTION("""COMPUTED_VALUE"""),"Mississauga, ON, CA")</f>
        <v>Mississauga, ON, CA</v>
      </c>
      <c r="U420" s="45"/>
      <c r="V420" s="45"/>
      <c r="W420" s="45"/>
      <c r="X420" s="45"/>
      <c r="Y420" s="46">
        <f ca="1">IFERROR(__xludf.DUMMYFUNCTION("""COMPUTED_VALUE"""),45832)</f>
        <v>45832</v>
      </c>
      <c r="Z420" s="46">
        <f ca="1">IFERROR(__xludf.DUMMYFUNCTION("""COMPUTED_VALUE"""),45861)</f>
        <v>45861</v>
      </c>
      <c r="AA420" s="46">
        <f ca="1">IFERROR(__xludf.DUMMYFUNCTION("""COMPUTED_VALUE"""),45874)</f>
        <v>45874</v>
      </c>
      <c r="AB420" s="45" t="str">
        <f ca="1">IFERROR(__xludf.DUMMYFUNCTION("""COMPUTED_VALUE"""),"3500 Argentia Road")</f>
        <v>3500 Argentia Road</v>
      </c>
      <c r="AC420" s="45"/>
      <c r="AD420" s="45" t="str">
        <f ca="1">IFERROR(__xludf.DUMMYFUNCTION("""COMPUTED_VALUE"""),"OCEAN")</f>
        <v>OCEAN</v>
      </c>
      <c r="AE420" s="45" t="str">
        <f ca="1">IFERROR(__xludf.DUMMYFUNCTION("""COMPUTED_VALUE"""),"N")</f>
        <v>N</v>
      </c>
      <c r="AF420" s="45"/>
      <c r="AG420" s="49" t="str">
        <f ca="1">IFERROR(__xludf.DUMMYFUNCTION("IFNA(vlookup(H420,IMPORTRANGE(""1vUGwO1n0QQGx9kKbO0_M5gmuhXZ6-LaxQxgrmJnzgP0"",""'TP# look up'!A:C""),3,0),"""")"),"")</f>
        <v/>
      </c>
      <c r="AH420" s="49" t="str">
        <f t="shared" ca="1" si="6"/>
        <v>LW</v>
      </c>
    </row>
    <row r="421" spans="1:34" ht="12.75" hidden="1">
      <c r="A421" s="45" t="str">
        <f ca="1">IFERROR(__xludf.DUMMYFUNCTION("""COMPUTED_VALUE"""),"Colombo")</f>
        <v>Colombo</v>
      </c>
      <c r="B421" s="45"/>
      <c r="C421" s="45">
        <f ca="1">IFERROR(__xludf.DUMMYFUNCTION("""COMPUTED_VALUE"""),3254506)</f>
        <v>3254506</v>
      </c>
      <c r="D421" s="45"/>
      <c r="E421" s="45" t="str">
        <f ca="1">IFERROR(__xludf.DUMMYFUNCTION("""COMPUTED_VALUE"""),"CFS")</f>
        <v>CFS</v>
      </c>
      <c r="F421" s="45" t="str">
        <f ca="1">IFERROR(__xludf.DUMMYFUNCTION("""COMPUTED_VALUE"""),"MAS AMITY PTE LTD")</f>
        <v>MAS AMITY PTE LTD</v>
      </c>
      <c r="G421" s="45" t="str">
        <f ca="1">IFERROR(__xludf.DUMMYFUNCTION("""COMPUTED_VALUE"""),"MAS Active(Pvt) Ltd – CONTOURLINE")</f>
        <v>MAS Active(Pvt) Ltd – CONTOURLINE</v>
      </c>
      <c r="H421" s="43">
        <f ca="1">IFERROR(__xludf.DUMMYFUNCTION("""COMPUTED_VALUE"""),452901622156)</f>
        <v>452901622156</v>
      </c>
      <c r="I421" s="45">
        <f ca="1">IFERROR(__xludf.DUMMYFUNCTION("""COMPUTED_VALUE"""),19913617)</f>
        <v>19913617</v>
      </c>
      <c r="J421" s="45" t="str">
        <f ca="1">IFERROR(__xludf.DUMMYFUNCTION("""COMPUTED_VALUE"""),"LW5EPSS")</f>
        <v>LW5EPSS</v>
      </c>
      <c r="K421" s="45" t="str">
        <f ca="1">IFERROR(__xludf.DUMMYFUNCTION("""COMPUTED_VALUE"""),"LW5EPSS-071188")</f>
        <v>LW5EPSS-071188</v>
      </c>
      <c r="L421" s="45">
        <f ca="1">IFERROR(__xludf.DUMMYFUNCTION("""COMPUTED_VALUE"""),3)</f>
        <v>3</v>
      </c>
      <c r="M421" s="45">
        <f ca="1">IFERROR(__xludf.DUMMYFUNCTION("""COMPUTED_VALUE"""),118)</f>
        <v>118</v>
      </c>
      <c r="N421" s="45">
        <f ca="1">IFERROR(__xludf.DUMMYFUNCTION("""COMPUTED_VALUE"""),27.177)</f>
        <v>27.177</v>
      </c>
      <c r="O421" s="45">
        <f ca="1">IFERROR(__xludf.DUMMYFUNCTION("""COMPUTED_VALUE"""),0.158)</f>
        <v>0.158</v>
      </c>
      <c r="P421" s="45" t="str">
        <f ca="1">IFERROR(__xludf.DUMMYFUNCTION("""COMPUTED_VALUE"""),"Colombo, LK")</f>
        <v>Colombo, LK</v>
      </c>
      <c r="Q421" s="45" t="str">
        <f ca="1">IFERROR(__xludf.DUMMYFUNCTION("""COMPUTED_VALUE"""),"New York, NY, US")</f>
        <v>New York, NY, US</v>
      </c>
      <c r="R421" s="44">
        <f ca="1">IFERROR(__xludf.DUMMYFUNCTION("""COMPUTED_VALUE"""),45824)</f>
        <v>45824</v>
      </c>
      <c r="S421" s="44">
        <f ca="1">IFERROR(__xludf.DUMMYFUNCTION("""COMPUTED_VALUE"""),45883)</f>
        <v>45883</v>
      </c>
      <c r="T421" s="45" t="str">
        <f ca="1">IFERROR(__xludf.DUMMYFUNCTION("""COMPUTED_VALUE"""),"Mississauga, ON, CA")</f>
        <v>Mississauga, ON, CA</v>
      </c>
      <c r="U421" s="45"/>
      <c r="V421" s="45"/>
      <c r="W421" s="45"/>
      <c r="X421" s="45"/>
      <c r="Y421" s="46">
        <f ca="1">IFERROR(__xludf.DUMMYFUNCTION("""COMPUTED_VALUE"""),45832)</f>
        <v>45832</v>
      </c>
      <c r="Z421" s="46">
        <f ca="1">IFERROR(__xludf.DUMMYFUNCTION("""COMPUTED_VALUE"""),45861)</f>
        <v>45861</v>
      </c>
      <c r="AA421" s="46">
        <f ca="1">IFERROR(__xludf.DUMMYFUNCTION("""COMPUTED_VALUE"""),45874)</f>
        <v>45874</v>
      </c>
      <c r="AB421" s="45" t="str">
        <f ca="1">IFERROR(__xludf.DUMMYFUNCTION("""COMPUTED_VALUE"""),"3500 Argentia Road")</f>
        <v>3500 Argentia Road</v>
      </c>
      <c r="AC421" s="45"/>
      <c r="AD421" s="45" t="str">
        <f ca="1">IFERROR(__xludf.DUMMYFUNCTION("""COMPUTED_VALUE"""),"OCEAN")</f>
        <v>OCEAN</v>
      </c>
      <c r="AE421" s="45" t="str">
        <f ca="1">IFERROR(__xludf.DUMMYFUNCTION("""COMPUTED_VALUE"""),"N")</f>
        <v>N</v>
      </c>
      <c r="AF421" s="45"/>
      <c r="AG421" s="49" t="str">
        <f ca="1">IFERROR(__xludf.DUMMYFUNCTION("IFNA(vlookup(H421,IMPORTRANGE(""1vUGwO1n0QQGx9kKbO0_M5gmuhXZ6-LaxQxgrmJnzgP0"",""'TP# look up'!A:C""),3,0),"""")"),"")</f>
        <v/>
      </c>
      <c r="AH421" s="49" t="str">
        <f t="shared" ca="1" si="6"/>
        <v>LW</v>
      </c>
    </row>
    <row r="422" spans="1:34" ht="12.75">
      <c r="A422" s="45" t="str">
        <f ca="1">IFERROR(__xludf.DUMMYFUNCTION("""COMPUTED_VALUE"""),"Colombo")</f>
        <v>Colombo</v>
      </c>
      <c r="B422" s="45"/>
      <c r="C422" s="45">
        <f ca="1">IFERROR(__xludf.DUMMYFUNCTION("""COMPUTED_VALUE"""),3254506)</f>
        <v>3254506</v>
      </c>
      <c r="D422" s="45"/>
      <c r="E422" s="45" t="str">
        <f ca="1">IFERROR(__xludf.DUMMYFUNCTION("""COMPUTED_VALUE"""),"CFS")</f>
        <v>CFS</v>
      </c>
      <c r="F422" s="45" t="str">
        <f ca="1">IFERROR(__xludf.DUMMYFUNCTION("""COMPUTED_VALUE"""),"MAS AMITY PTE LTD")</f>
        <v>MAS AMITY PTE LTD</v>
      </c>
      <c r="G422" s="45" t="str">
        <f ca="1">IFERROR(__xludf.DUMMYFUNCTION("""COMPUTED_VALUE"""),"MAS Active(Pvt) Ltd – CONTOURLINE")</f>
        <v>MAS Active(Pvt) Ltd – CONTOURLINE</v>
      </c>
      <c r="H422" s="43">
        <f ca="1">IFERROR(__xludf.DUMMYFUNCTION("""COMPUTED_VALUE"""),452902222311)</f>
        <v>452902222311</v>
      </c>
      <c r="I422" s="45">
        <f ca="1">IFERROR(__xludf.DUMMYFUNCTION("""COMPUTED_VALUE"""),19920786)</f>
        <v>19920786</v>
      </c>
      <c r="J422" s="45" t="str">
        <f ca="1">IFERROR(__xludf.DUMMYFUNCTION("""COMPUTED_VALUE"""),"LM3FBSS")</f>
        <v>LM3FBSS</v>
      </c>
      <c r="K422" s="45" t="str">
        <f ca="1">IFERROR(__xludf.DUMMYFUNCTION("""COMPUTED_VALUE"""),"LM3FBSS-035487")</f>
        <v>LM3FBSS-035487</v>
      </c>
      <c r="L422" s="45">
        <f ca="1">IFERROR(__xludf.DUMMYFUNCTION("""COMPUTED_VALUE"""),3)</f>
        <v>3</v>
      </c>
      <c r="M422" s="45">
        <f ca="1">IFERROR(__xludf.DUMMYFUNCTION("""COMPUTED_VALUE"""),93)</f>
        <v>93</v>
      </c>
      <c r="N422" s="45">
        <f ca="1">IFERROR(__xludf.DUMMYFUNCTION("""COMPUTED_VALUE"""),32.502)</f>
        <v>32.502000000000002</v>
      </c>
      <c r="O422" s="45">
        <f ca="1">IFERROR(__xludf.DUMMYFUNCTION("""COMPUTED_VALUE"""),0.237)</f>
        <v>0.23699999999999999</v>
      </c>
      <c r="P422" s="45" t="str">
        <f ca="1">IFERROR(__xludf.DUMMYFUNCTION("""COMPUTED_VALUE"""),"Colombo, LK")</f>
        <v>Colombo, LK</v>
      </c>
      <c r="Q422" s="45" t="str">
        <f ca="1">IFERROR(__xludf.DUMMYFUNCTION("""COMPUTED_VALUE"""),"New York, NY, US")</f>
        <v>New York, NY, US</v>
      </c>
      <c r="R422" s="44">
        <f ca="1">IFERROR(__xludf.DUMMYFUNCTION("""COMPUTED_VALUE"""),45824)</f>
        <v>45824</v>
      </c>
      <c r="S422" s="44">
        <f ca="1">IFERROR(__xludf.DUMMYFUNCTION("""COMPUTED_VALUE"""),45883)</f>
        <v>45883</v>
      </c>
      <c r="T422" s="45" t="str">
        <f ca="1">IFERROR(__xludf.DUMMYFUNCTION("""COMPUTED_VALUE"""),"Mississauga, ON, CA")</f>
        <v>Mississauga, ON, CA</v>
      </c>
      <c r="U422" s="45"/>
      <c r="V422" s="45"/>
      <c r="W422" s="45"/>
      <c r="X422" s="45"/>
      <c r="Y422" s="46">
        <f ca="1">IFERROR(__xludf.DUMMYFUNCTION("""COMPUTED_VALUE"""),45832)</f>
        <v>45832</v>
      </c>
      <c r="Z422" s="46">
        <f ca="1">IFERROR(__xludf.DUMMYFUNCTION("""COMPUTED_VALUE"""),45861)</f>
        <v>45861</v>
      </c>
      <c r="AA422" s="46">
        <f ca="1">IFERROR(__xludf.DUMMYFUNCTION("""COMPUTED_VALUE"""),45874)</f>
        <v>45874</v>
      </c>
      <c r="AB422" s="45" t="str">
        <f ca="1">IFERROR(__xludf.DUMMYFUNCTION("""COMPUTED_VALUE"""),"3500 Argentia Road")</f>
        <v>3500 Argentia Road</v>
      </c>
      <c r="AC422" s="45"/>
      <c r="AD422" s="45" t="str">
        <f ca="1">IFERROR(__xludf.DUMMYFUNCTION("""COMPUTED_VALUE"""),"OCEAN")</f>
        <v>OCEAN</v>
      </c>
      <c r="AE422" s="45" t="str">
        <f ca="1">IFERROR(__xludf.DUMMYFUNCTION("""COMPUTED_VALUE"""),"N")</f>
        <v>N</v>
      </c>
      <c r="AF422" s="45"/>
      <c r="AG422" s="49" t="str">
        <f ca="1">IFERROR(__xludf.DUMMYFUNCTION("IFNA(vlookup(H422,IMPORTRANGE(""1vUGwO1n0QQGx9kKbO0_M5gmuhXZ6-LaxQxgrmJnzgP0"",""'TP# look up'!A:C""),3,0),"""")"),"")</f>
        <v/>
      </c>
      <c r="AH422" s="49" t="str">
        <f t="shared" ca="1" si="6"/>
        <v>LM</v>
      </c>
    </row>
    <row r="423" spans="1:34" ht="12.75">
      <c r="A423" s="45" t="str">
        <f ca="1">IFERROR(__xludf.DUMMYFUNCTION("""COMPUTED_VALUE"""),"Colombo")</f>
        <v>Colombo</v>
      </c>
      <c r="B423" s="45"/>
      <c r="C423" s="45">
        <f ca="1">IFERROR(__xludf.DUMMYFUNCTION("""COMPUTED_VALUE"""),3254506)</f>
        <v>3254506</v>
      </c>
      <c r="D423" s="45"/>
      <c r="E423" s="45" t="str">
        <f ca="1">IFERROR(__xludf.DUMMYFUNCTION("""COMPUTED_VALUE"""),"CFS")</f>
        <v>CFS</v>
      </c>
      <c r="F423" s="45" t="str">
        <f ca="1">IFERROR(__xludf.DUMMYFUNCTION("""COMPUTED_VALUE"""),"MAS AMITY PTE LTD")</f>
        <v>MAS AMITY PTE LTD</v>
      </c>
      <c r="G423" s="45" t="str">
        <f ca="1">IFERROR(__xludf.DUMMYFUNCTION("""COMPUTED_VALUE"""),"MAS Active(Pvt) Ltd – CONTOURLINE")</f>
        <v>MAS Active(Pvt) Ltd – CONTOURLINE</v>
      </c>
      <c r="H423" s="43">
        <f ca="1">IFERROR(__xludf.DUMMYFUNCTION("""COMPUTED_VALUE"""),452902798117)</f>
        <v>452902798117</v>
      </c>
      <c r="I423" s="45">
        <f ca="1">IFERROR(__xludf.DUMMYFUNCTION("""COMPUTED_VALUE"""),19920857)</f>
        <v>19920857</v>
      </c>
      <c r="J423" s="45" t="str">
        <f ca="1">IFERROR(__xludf.DUMMYFUNCTION("""COMPUTED_VALUE"""),"LW5FARS")</f>
        <v>LW5FARS</v>
      </c>
      <c r="K423" s="45" t="str">
        <f ca="1">IFERROR(__xludf.DUMMYFUNCTION("""COMPUTED_VALUE"""),"LW5FARS-071195")</f>
        <v>LW5FARS-071195</v>
      </c>
      <c r="L423" s="45">
        <f ca="1">IFERROR(__xludf.DUMMYFUNCTION("""COMPUTED_VALUE"""),6)</f>
        <v>6</v>
      </c>
      <c r="M423" s="45">
        <f ca="1">IFERROR(__xludf.DUMMYFUNCTION("""COMPUTED_VALUE"""),335)</f>
        <v>335</v>
      </c>
      <c r="N423" s="45">
        <f ca="1">IFERROR(__xludf.DUMMYFUNCTION("""COMPUTED_VALUE"""),71.98)</f>
        <v>71.98</v>
      </c>
      <c r="O423" s="45">
        <f ca="1">IFERROR(__xludf.DUMMYFUNCTION("""COMPUTED_VALUE"""),0.434)</f>
        <v>0.434</v>
      </c>
      <c r="P423" s="45" t="str">
        <f ca="1">IFERROR(__xludf.DUMMYFUNCTION("""COMPUTED_VALUE"""),"Colombo, LK")</f>
        <v>Colombo, LK</v>
      </c>
      <c r="Q423" s="45" t="str">
        <f ca="1">IFERROR(__xludf.DUMMYFUNCTION("""COMPUTED_VALUE"""),"New York, NY, US")</f>
        <v>New York, NY, US</v>
      </c>
      <c r="R423" s="44">
        <f ca="1">IFERROR(__xludf.DUMMYFUNCTION("""COMPUTED_VALUE"""),45824)</f>
        <v>45824</v>
      </c>
      <c r="S423" s="44">
        <f ca="1">IFERROR(__xludf.DUMMYFUNCTION("""COMPUTED_VALUE"""),45883)</f>
        <v>45883</v>
      </c>
      <c r="T423" s="45" t="str">
        <f ca="1">IFERROR(__xludf.DUMMYFUNCTION("""COMPUTED_VALUE"""),"Mississauga, ON, CA")</f>
        <v>Mississauga, ON, CA</v>
      </c>
      <c r="U423" s="45"/>
      <c r="V423" s="45"/>
      <c r="W423" s="45"/>
      <c r="X423" s="45"/>
      <c r="Y423" s="46">
        <f ca="1">IFERROR(__xludf.DUMMYFUNCTION("""COMPUTED_VALUE"""),45832)</f>
        <v>45832</v>
      </c>
      <c r="Z423" s="46">
        <f ca="1">IFERROR(__xludf.DUMMYFUNCTION("""COMPUTED_VALUE"""),45861)</f>
        <v>45861</v>
      </c>
      <c r="AA423" s="46">
        <f ca="1">IFERROR(__xludf.DUMMYFUNCTION("""COMPUTED_VALUE"""),45874)</f>
        <v>45874</v>
      </c>
      <c r="AB423" s="45" t="str">
        <f ca="1">IFERROR(__xludf.DUMMYFUNCTION("""COMPUTED_VALUE"""),"3500 Argentia Road")</f>
        <v>3500 Argentia Road</v>
      </c>
      <c r="AC423" s="45"/>
      <c r="AD423" s="45" t="str">
        <f ca="1">IFERROR(__xludf.DUMMYFUNCTION("""COMPUTED_VALUE"""),"OCEAN")</f>
        <v>OCEAN</v>
      </c>
      <c r="AE423" s="45" t="str">
        <f ca="1">IFERROR(__xludf.DUMMYFUNCTION("""COMPUTED_VALUE"""),"N")</f>
        <v>N</v>
      </c>
      <c r="AF423" s="45"/>
      <c r="AG423" s="49" t="str">
        <f ca="1">IFERROR(__xludf.DUMMYFUNCTION("IFNA(vlookup(H423,IMPORTRANGE(""1vUGwO1n0QQGx9kKbO0_M5gmuhXZ6-LaxQxgrmJnzgP0"",""'TP# look up'!A:C""),3,0),"""")"),"")</f>
        <v/>
      </c>
      <c r="AH423" s="49" t="str">
        <f t="shared" ca="1" si="6"/>
        <v>LW</v>
      </c>
    </row>
    <row r="424" spans="1:34" ht="12.75">
      <c r="A424" s="45" t="str">
        <f ca="1">IFERROR(__xludf.DUMMYFUNCTION("""COMPUTED_VALUE"""),"Colombo")</f>
        <v>Colombo</v>
      </c>
      <c r="B424" s="45"/>
      <c r="C424" s="45">
        <f ca="1">IFERROR(__xludf.DUMMYFUNCTION("""COMPUTED_VALUE"""),3254506)</f>
        <v>3254506</v>
      </c>
      <c r="D424" s="45"/>
      <c r="E424" s="45" t="str">
        <f ca="1">IFERROR(__xludf.DUMMYFUNCTION("""COMPUTED_VALUE"""),"CFS")</f>
        <v>CFS</v>
      </c>
      <c r="F424" s="45" t="str">
        <f ca="1">IFERROR(__xludf.DUMMYFUNCTION("""COMPUTED_VALUE"""),"MAS AMITY PTE LTD")</f>
        <v>MAS AMITY PTE LTD</v>
      </c>
      <c r="G424" s="45" t="str">
        <f ca="1">IFERROR(__xludf.DUMMYFUNCTION("""COMPUTED_VALUE"""),"MAS Active(Pvt) Ltd – CONTOURLINE")</f>
        <v>MAS Active(Pvt) Ltd – CONTOURLINE</v>
      </c>
      <c r="H424" s="43">
        <f ca="1">IFERROR(__xludf.DUMMYFUNCTION("""COMPUTED_VALUE"""),452902914427)</f>
        <v>452902914427</v>
      </c>
      <c r="I424" s="45">
        <f ca="1">IFERROR(__xludf.DUMMYFUNCTION("""COMPUTED_VALUE"""),19925161)</f>
        <v>19925161</v>
      </c>
      <c r="J424" s="45" t="str">
        <f ca="1">IFERROR(__xludf.DUMMYFUNCTION("""COMPUTED_VALUE"""),"LW5FARS")</f>
        <v>LW5FARS</v>
      </c>
      <c r="K424" s="45" t="str">
        <f ca="1">IFERROR(__xludf.DUMMYFUNCTION("""COMPUTED_VALUE"""),"LW5FARS-071195")</f>
        <v>LW5FARS-071195</v>
      </c>
      <c r="L424" s="45">
        <f ca="1">IFERROR(__xludf.DUMMYFUNCTION("""COMPUTED_VALUE"""),3)</f>
        <v>3</v>
      </c>
      <c r="M424" s="45">
        <f ca="1">IFERROR(__xludf.DUMMYFUNCTION("""COMPUTED_VALUE"""),105)</f>
        <v>105</v>
      </c>
      <c r="N424" s="45">
        <f ca="1">IFERROR(__xludf.DUMMYFUNCTION("""COMPUTED_VALUE"""),23.309)</f>
        <v>23.309000000000001</v>
      </c>
      <c r="O424" s="45">
        <f ca="1">IFERROR(__xludf.DUMMYFUNCTION("""COMPUTED_VALUE"""),0.158)</f>
        <v>0.158</v>
      </c>
      <c r="P424" s="45" t="str">
        <f ca="1">IFERROR(__xludf.DUMMYFUNCTION("""COMPUTED_VALUE"""),"Colombo, LK")</f>
        <v>Colombo, LK</v>
      </c>
      <c r="Q424" s="45" t="str">
        <f ca="1">IFERROR(__xludf.DUMMYFUNCTION("""COMPUTED_VALUE"""),"New York, NY, US")</f>
        <v>New York, NY, US</v>
      </c>
      <c r="R424" s="44">
        <f ca="1">IFERROR(__xludf.DUMMYFUNCTION("""COMPUTED_VALUE"""),45824)</f>
        <v>45824</v>
      </c>
      <c r="S424" s="44">
        <f ca="1">IFERROR(__xludf.DUMMYFUNCTION("""COMPUTED_VALUE"""),45883)</f>
        <v>45883</v>
      </c>
      <c r="T424" s="45" t="str">
        <f ca="1">IFERROR(__xludf.DUMMYFUNCTION("""COMPUTED_VALUE"""),"Mississauga, ON, CA")</f>
        <v>Mississauga, ON, CA</v>
      </c>
      <c r="U424" s="45"/>
      <c r="V424" s="45"/>
      <c r="W424" s="45"/>
      <c r="X424" s="45"/>
      <c r="Y424" s="46">
        <f ca="1">IFERROR(__xludf.DUMMYFUNCTION("""COMPUTED_VALUE"""),45832)</f>
        <v>45832</v>
      </c>
      <c r="Z424" s="46">
        <f ca="1">IFERROR(__xludf.DUMMYFUNCTION("""COMPUTED_VALUE"""),45861)</f>
        <v>45861</v>
      </c>
      <c r="AA424" s="46">
        <f ca="1">IFERROR(__xludf.DUMMYFUNCTION("""COMPUTED_VALUE"""),45874)</f>
        <v>45874</v>
      </c>
      <c r="AB424" s="45" t="str">
        <f ca="1">IFERROR(__xludf.DUMMYFUNCTION("""COMPUTED_VALUE"""),"3500 Argentia Road")</f>
        <v>3500 Argentia Road</v>
      </c>
      <c r="AC424" s="45"/>
      <c r="AD424" s="45" t="str">
        <f ca="1">IFERROR(__xludf.DUMMYFUNCTION("""COMPUTED_VALUE"""),"OCEAN")</f>
        <v>OCEAN</v>
      </c>
      <c r="AE424" s="45" t="str">
        <f ca="1">IFERROR(__xludf.DUMMYFUNCTION("""COMPUTED_VALUE"""),"N")</f>
        <v>N</v>
      </c>
      <c r="AF424" s="45"/>
      <c r="AG424" s="49" t="str">
        <f ca="1">IFERROR(__xludf.DUMMYFUNCTION("IFNA(vlookup(H424,IMPORTRANGE(""1vUGwO1n0QQGx9kKbO0_M5gmuhXZ6-LaxQxgrmJnzgP0"",""'TP# look up'!A:C""),3,0),"""")"),"")</f>
        <v/>
      </c>
      <c r="AH424" s="49" t="str">
        <f t="shared" ca="1" si="6"/>
        <v>LW</v>
      </c>
    </row>
    <row r="425" spans="1:34" ht="12.75">
      <c r="A425" s="45" t="str">
        <f ca="1">IFERROR(__xludf.DUMMYFUNCTION("""COMPUTED_VALUE"""),"Colombo")</f>
        <v>Colombo</v>
      </c>
      <c r="B425" s="45"/>
      <c r="C425" s="45">
        <f ca="1">IFERROR(__xludf.DUMMYFUNCTION("""COMPUTED_VALUE"""),3254506)</f>
        <v>3254506</v>
      </c>
      <c r="D425" s="45"/>
      <c r="E425" s="45" t="str">
        <f ca="1">IFERROR(__xludf.DUMMYFUNCTION("""COMPUTED_VALUE"""),"CFS")</f>
        <v>CFS</v>
      </c>
      <c r="F425" s="45" t="str">
        <f ca="1">IFERROR(__xludf.DUMMYFUNCTION("""COMPUTED_VALUE"""),"MAS AMITY PTE LTD")</f>
        <v>MAS AMITY PTE LTD</v>
      </c>
      <c r="G425" s="45" t="str">
        <f ca="1">IFERROR(__xludf.DUMMYFUNCTION("""COMPUTED_VALUE"""),"MAS Active(Pvt) Ltd – CONTOURLINE")</f>
        <v>MAS Active(Pvt) Ltd – CONTOURLINE</v>
      </c>
      <c r="H425" s="43">
        <f ca="1">IFERROR(__xludf.DUMMYFUNCTION("""COMPUTED_VALUE"""),452902914946)</f>
        <v>452902914946</v>
      </c>
      <c r="I425" s="45">
        <f ca="1">IFERROR(__xludf.DUMMYFUNCTION("""COMPUTED_VALUE"""),19925377)</f>
        <v>19925377</v>
      </c>
      <c r="J425" s="45" t="str">
        <f ca="1">IFERROR(__xludf.DUMMYFUNCTION("""COMPUTED_VALUE"""),"LW5EYKS")</f>
        <v>LW5EYKS</v>
      </c>
      <c r="K425" s="45" t="str">
        <f ca="1">IFERROR(__xludf.DUMMYFUNCTION("""COMPUTED_VALUE"""),"LW5EYKS-071200")</f>
        <v>LW5EYKS-071200</v>
      </c>
      <c r="L425" s="45">
        <f ca="1">IFERROR(__xludf.DUMMYFUNCTION("""COMPUTED_VALUE"""),5)</f>
        <v>5</v>
      </c>
      <c r="M425" s="45">
        <f ca="1">IFERROR(__xludf.DUMMYFUNCTION("""COMPUTED_VALUE"""),296)</f>
        <v>296</v>
      </c>
      <c r="N425" s="45">
        <f ca="1">IFERROR(__xludf.DUMMYFUNCTION("""COMPUTED_VALUE"""),68.348)</f>
        <v>68.347999999999999</v>
      </c>
      <c r="O425" s="45">
        <f ca="1">IFERROR(__xludf.DUMMYFUNCTION("""COMPUTED_VALUE"""),0.395)</f>
        <v>0.39500000000000002</v>
      </c>
      <c r="P425" s="45" t="str">
        <f ca="1">IFERROR(__xludf.DUMMYFUNCTION("""COMPUTED_VALUE"""),"Colombo, LK")</f>
        <v>Colombo, LK</v>
      </c>
      <c r="Q425" s="45" t="str">
        <f ca="1">IFERROR(__xludf.DUMMYFUNCTION("""COMPUTED_VALUE"""),"New York, NY, US")</f>
        <v>New York, NY, US</v>
      </c>
      <c r="R425" s="44">
        <f ca="1">IFERROR(__xludf.DUMMYFUNCTION("""COMPUTED_VALUE"""),45824)</f>
        <v>45824</v>
      </c>
      <c r="S425" s="44">
        <f ca="1">IFERROR(__xludf.DUMMYFUNCTION("""COMPUTED_VALUE"""),45883)</f>
        <v>45883</v>
      </c>
      <c r="T425" s="45" t="str">
        <f ca="1">IFERROR(__xludf.DUMMYFUNCTION("""COMPUTED_VALUE"""),"Mississauga, ON, CA")</f>
        <v>Mississauga, ON, CA</v>
      </c>
      <c r="U425" s="45"/>
      <c r="V425" s="45"/>
      <c r="W425" s="45"/>
      <c r="X425" s="45"/>
      <c r="Y425" s="46">
        <f ca="1">IFERROR(__xludf.DUMMYFUNCTION("""COMPUTED_VALUE"""),45832)</f>
        <v>45832</v>
      </c>
      <c r="Z425" s="46">
        <f ca="1">IFERROR(__xludf.DUMMYFUNCTION("""COMPUTED_VALUE"""),45861)</f>
        <v>45861</v>
      </c>
      <c r="AA425" s="46">
        <f ca="1">IFERROR(__xludf.DUMMYFUNCTION("""COMPUTED_VALUE"""),45874)</f>
        <v>45874</v>
      </c>
      <c r="AB425" s="45" t="str">
        <f ca="1">IFERROR(__xludf.DUMMYFUNCTION("""COMPUTED_VALUE"""),"3500 Argentia Road")</f>
        <v>3500 Argentia Road</v>
      </c>
      <c r="AC425" s="45"/>
      <c r="AD425" s="45" t="str">
        <f ca="1">IFERROR(__xludf.DUMMYFUNCTION("""COMPUTED_VALUE"""),"OCEAN")</f>
        <v>OCEAN</v>
      </c>
      <c r="AE425" s="45" t="str">
        <f ca="1">IFERROR(__xludf.DUMMYFUNCTION("""COMPUTED_VALUE"""),"N")</f>
        <v>N</v>
      </c>
      <c r="AF425" s="45"/>
      <c r="AG425" s="49" t="str">
        <f ca="1">IFERROR(__xludf.DUMMYFUNCTION("IFNA(vlookup(H425,IMPORTRANGE(""1vUGwO1n0QQGx9kKbO0_M5gmuhXZ6-LaxQxgrmJnzgP0"",""'TP# look up'!A:C""),3,0),"""")"),"")</f>
        <v/>
      </c>
      <c r="AH425" s="49" t="str">
        <f t="shared" ca="1" si="6"/>
        <v>LW</v>
      </c>
    </row>
    <row r="426" spans="1:34" ht="12.75">
      <c r="A426" s="45" t="str">
        <f ca="1">IFERROR(__xludf.DUMMYFUNCTION("""COMPUTED_VALUE"""),"Colombo")</f>
        <v>Colombo</v>
      </c>
      <c r="B426" s="45"/>
      <c r="C426" s="45">
        <f ca="1">IFERROR(__xludf.DUMMYFUNCTION("""COMPUTED_VALUE"""),3254506)</f>
        <v>3254506</v>
      </c>
      <c r="D426" s="45"/>
      <c r="E426" s="45" t="str">
        <f ca="1">IFERROR(__xludf.DUMMYFUNCTION("""COMPUTED_VALUE"""),"CFS")</f>
        <v>CFS</v>
      </c>
      <c r="F426" s="45" t="str">
        <f ca="1">IFERROR(__xludf.DUMMYFUNCTION("""COMPUTED_VALUE"""),"MAS AMITY PTE LTD")</f>
        <v>MAS AMITY PTE LTD</v>
      </c>
      <c r="G426" s="45" t="str">
        <f ca="1">IFERROR(__xludf.DUMMYFUNCTION("""COMPUTED_VALUE"""),"MAS Active(Pvt) Ltd – CONTOURLINE")</f>
        <v>MAS Active(Pvt) Ltd – CONTOURLINE</v>
      </c>
      <c r="H426" s="43">
        <f ca="1">IFERROR(__xludf.DUMMYFUNCTION("""COMPUTED_VALUE"""),452903297077)</f>
        <v>452903297077</v>
      </c>
      <c r="I426" s="45">
        <f ca="1">IFERROR(__xludf.DUMMYFUNCTION("""COMPUTED_VALUE"""),19925117)</f>
        <v>19925117</v>
      </c>
      <c r="J426" s="45" t="str">
        <f ca="1">IFERROR(__xludf.DUMMYFUNCTION("""COMPUTED_VALUE"""),"LW5ENMS")</f>
        <v>LW5ENMS</v>
      </c>
      <c r="K426" s="45" t="str">
        <f ca="1">IFERROR(__xludf.DUMMYFUNCTION("""COMPUTED_VALUE"""),"LW5ENMS-070108")</f>
        <v>LW5ENMS-070108</v>
      </c>
      <c r="L426" s="45">
        <f ca="1">IFERROR(__xludf.DUMMYFUNCTION("""COMPUTED_VALUE"""),7)</f>
        <v>7</v>
      </c>
      <c r="M426" s="45">
        <f ca="1">IFERROR(__xludf.DUMMYFUNCTION("""COMPUTED_VALUE"""),292)</f>
        <v>292</v>
      </c>
      <c r="N426" s="45">
        <f ca="1">IFERROR(__xludf.DUMMYFUNCTION("""COMPUTED_VALUE"""),83.794)</f>
        <v>83.793999999999997</v>
      </c>
      <c r="O426" s="45">
        <f ca="1">IFERROR(__xludf.DUMMYFUNCTION("""COMPUTED_VALUE"""),0.474)</f>
        <v>0.47399999999999998</v>
      </c>
      <c r="P426" s="45" t="str">
        <f ca="1">IFERROR(__xludf.DUMMYFUNCTION("""COMPUTED_VALUE"""),"Colombo, LK")</f>
        <v>Colombo, LK</v>
      </c>
      <c r="Q426" s="45" t="str">
        <f ca="1">IFERROR(__xludf.DUMMYFUNCTION("""COMPUTED_VALUE"""),"New York, NY, US")</f>
        <v>New York, NY, US</v>
      </c>
      <c r="R426" s="44">
        <f ca="1">IFERROR(__xludf.DUMMYFUNCTION("""COMPUTED_VALUE"""),45824)</f>
        <v>45824</v>
      </c>
      <c r="S426" s="44">
        <f ca="1">IFERROR(__xludf.DUMMYFUNCTION("""COMPUTED_VALUE"""),45883)</f>
        <v>45883</v>
      </c>
      <c r="T426" s="45" t="str">
        <f ca="1">IFERROR(__xludf.DUMMYFUNCTION("""COMPUTED_VALUE"""),"Mississauga, ON, CA")</f>
        <v>Mississauga, ON, CA</v>
      </c>
      <c r="U426" s="45"/>
      <c r="V426" s="45"/>
      <c r="W426" s="45"/>
      <c r="X426" s="45"/>
      <c r="Y426" s="46">
        <f ca="1">IFERROR(__xludf.DUMMYFUNCTION("""COMPUTED_VALUE"""),45832)</f>
        <v>45832</v>
      </c>
      <c r="Z426" s="46">
        <f ca="1">IFERROR(__xludf.DUMMYFUNCTION("""COMPUTED_VALUE"""),45861)</f>
        <v>45861</v>
      </c>
      <c r="AA426" s="46">
        <f ca="1">IFERROR(__xludf.DUMMYFUNCTION("""COMPUTED_VALUE"""),45874)</f>
        <v>45874</v>
      </c>
      <c r="AB426" s="45" t="str">
        <f ca="1">IFERROR(__xludf.DUMMYFUNCTION("""COMPUTED_VALUE"""),"3500 Argentia Road")</f>
        <v>3500 Argentia Road</v>
      </c>
      <c r="AC426" s="45"/>
      <c r="AD426" s="45" t="str">
        <f ca="1">IFERROR(__xludf.DUMMYFUNCTION("""COMPUTED_VALUE"""),"OCEAN")</f>
        <v>OCEAN</v>
      </c>
      <c r="AE426" s="45" t="str">
        <f ca="1">IFERROR(__xludf.DUMMYFUNCTION("""COMPUTED_VALUE"""),"N")</f>
        <v>N</v>
      </c>
      <c r="AF426" s="45"/>
      <c r="AG426" s="49" t="str">
        <f ca="1">IFERROR(__xludf.DUMMYFUNCTION("IFNA(vlookup(H426,IMPORTRANGE(""1vUGwO1n0QQGx9kKbO0_M5gmuhXZ6-LaxQxgrmJnzgP0"",""'TP# look up'!A:C""),3,0),"""")"),"")</f>
        <v/>
      </c>
      <c r="AH426" s="49" t="str">
        <f t="shared" ca="1" si="6"/>
        <v>LW</v>
      </c>
    </row>
    <row r="427" spans="1:34" ht="12.75">
      <c r="A427" s="45" t="str">
        <f ca="1">IFERROR(__xludf.DUMMYFUNCTION("""COMPUTED_VALUE"""),"Colombo")</f>
        <v>Colombo</v>
      </c>
      <c r="B427" s="45"/>
      <c r="C427" s="45">
        <f ca="1">IFERROR(__xludf.DUMMYFUNCTION("""COMPUTED_VALUE"""),3254506)</f>
        <v>3254506</v>
      </c>
      <c r="D427" s="45"/>
      <c r="E427" s="45" t="str">
        <f ca="1">IFERROR(__xludf.DUMMYFUNCTION("""COMPUTED_VALUE"""),"CFS")</f>
        <v>CFS</v>
      </c>
      <c r="F427" s="45" t="str">
        <f ca="1">IFERROR(__xludf.DUMMYFUNCTION("""COMPUTED_VALUE"""),"MAS AMITY PTE LTD")</f>
        <v>MAS AMITY PTE LTD</v>
      </c>
      <c r="G427" s="45" t="str">
        <f ca="1">IFERROR(__xludf.DUMMYFUNCTION("""COMPUTED_VALUE"""),"MAS Active(Pvt) Ltd – CONTOURLINE")</f>
        <v>MAS Active(Pvt) Ltd – CONTOURLINE</v>
      </c>
      <c r="H427" s="43">
        <f ca="1">IFERROR(__xludf.DUMMYFUNCTION("""COMPUTED_VALUE"""),452903298624)</f>
        <v>452903298624</v>
      </c>
      <c r="I427" s="45">
        <f ca="1">IFERROR(__xludf.DUMMYFUNCTION("""COMPUTED_VALUE"""),19925475)</f>
        <v>19925475</v>
      </c>
      <c r="J427" s="45" t="str">
        <f ca="1">IFERROR(__xludf.DUMMYFUNCTION("""COMPUTED_VALUE"""),"LW5FARS")</f>
        <v>LW5FARS</v>
      </c>
      <c r="K427" s="45" t="str">
        <f ca="1">IFERROR(__xludf.DUMMYFUNCTION("""COMPUTED_VALUE"""),"LW5FARS-070108")</f>
        <v>LW5FARS-070108</v>
      </c>
      <c r="L427" s="45">
        <f ca="1">IFERROR(__xludf.DUMMYFUNCTION("""COMPUTED_VALUE"""),7)</f>
        <v>7</v>
      </c>
      <c r="M427" s="45">
        <f ca="1">IFERROR(__xludf.DUMMYFUNCTION("""COMPUTED_VALUE"""),346)</f>
        <v>346</v>
      </c>
      <c r="N427" s="45">
        <f ca="1">IFERROR(__xludf.DUMMYFUNCTION("""COMPUTED_VALUE"""),74.989)</f>
        <v>74.989000000000004</v>
      </c>
      <c r="O427" s="45">
        <f ca="1">IFERROR(__xludf.DUMMYFUNCTION("""COMPUTED_VALUE"""),0.474)</f>
        <v>0.47399999999999998</v>
      </c>
      <c r="P427" s="45" t="str">
        <f ca="1">IFERROR(__xludf.DUMMYFUNCTION("""COMPUTED_VALUE"""),"Colombo, LK")</f>
        <v>Colombo, LK</v>
      </c>
      <c r="Q427" s="45" t="str">
        <f ca="1">IFERROR(__xludf.DUMMYFUNCTION("""COMPUTED_VALUE"""),"New York, NY, US")</f>
        <v>New York, NY, US</v>
      </c>
      <c r="R427" s="44">
        <f ca="1">IFERROR(__xludf.DUMMYFUNCTION("""COMPUTED_VALUE"""),45824)</f>
        <v>45824</v>
      </c>
      <c r="S427" s="44">
        <f ca="1">IFERROR(__xludf.DUMMYFUNCTION("""COMPUTED_VALUE"""),45883)</f>
        <v>45883</v>
      </c>
      <c r="T427" s="45" t="str">
        <f ca="1">IFERROR(__xludf.DUMMYFUNCTION("""COMPUTED_VALUE"""),"Mississauga, ON, CA")</f>
        <v>Mississauga, ON, CA</v>
      </c>
      <c r="U427" s="45"/>
      <c r="V427" s="45"/>
      <c r="W427" s="45"/>
      <c r="X427" s="45"/>
      <c r="Y427" s="46">
        <f ca="1">IFERROR(__xludf.DUMMYFUNCTION("""COMPUTED_VALUE"""),45832)</f>
        <v>45832</v>
      </c>
      <c r="Z427" s="46">
        <f ca="1">IFERROR(__xludf.DUMMYFUNCTION("""COMPUTED_VALUE"""),45861)</f>
        <v>45861</v>
      </c>
      <c r="AA427" s="46">
        <f ca="1">IFERROR(__xludf.DUMMYFUNCTION("""COMPUTED_VALUE"""),45874)</f>
        <v>45874</v>
      </c>
      <c r="AB427" s="45" t="str">
        <f ca="1">IFERROR(__xludf.DUMMYFUNCTION("""COMPUTED_VALUE"""),"3500 Argentia Road")</f>
        <v>3500 Argentia Road</v>
      </c>
      <c r="AC427" s="45"/>
      <c r="AD427" s="45" t="str">
        <f ca="1">IFERROR(__xludf.DUMMYFUNCTION("""COMPUTED_VALUE"""),"OCEAN")</f>
        <v>OCEAN</v>
      </c>
      <c r="AE427" s="45" t="str">
        <f ca="1">IFERROR(__xludf.DUMMYFUNCTION("""COMPUTED_VALUE"""),"N")</f>
        <v>N</v>
      </c>
      <c r="AF427" s="45"/>
      <c r="AG427" s="49" t="str">
        <f ca="1">IFERROR(__xludf.DUMMYFUNCTION("IFNA(vlookup(H427,IMPORTRANGE(""1vUGwO1n0QQGx9kKbO0_M5gmuhXZ6-LaxQxgrmJnzgP0"",""'TP# look up'!A:C""),3,0),"""")"),"")</f>
        <v/>
      </c>
      <c r="AH427" s="49" t="str">
        <f t="shared" ca="1" si="6"/>
        <v>LW</v>
      </c>
    </row>
    <row r="428" spans="1:34" ht="12.75">
      <c r="A428" s="45" t="str">
        <f ca="1">IFERROR(__xludf.DUMMYFUNCTION("""COMPUTED_VALUE"""),"Colombo")</f>
        <v>Colombo</v>
      </c>
      <c r="B428" s="45"/>
      <c r="C428" s="45">
        <f ca="1">IFERROR(__xludf.DUMMYFUNCTION("""COMPUTED_VALUE"""),3254506)</f>
        <v>3254506</v>
      </c>
      <c r="D428" s="45"/>
      <c r="E428" s="45" t="str">
        <f ca="1">IFERROR(__xludf.DUMMYFUNCTION("""COMPUTED_VALUE"""),"CFS")</f>
        <v>CFS</v>
      </c>
      <c r="F428" s="45" t="str">
        <f ca="1">IFERROR(__xludf.DUMMYFUNCTION("""COMPUTED_VALUE"""),"MAS AMITY PTE LTD")</f>
        <v>MAS AMITY PTE LTD</v>
      </c>
      <c r="G428" s="45" t="str">
        <f ca="1">IFERROR(__xludf.DUMMYFUNCTION("""COMPUTED_VALUE"""),"MAS Active(Pvt) Ltd – CONTOURLINE")</f>
        <v>MAS Active(Pvt) Ltd – CONTOURLINE</v>
      </c>
      <c r="H428" s="43">
        <f ca="1">IFERROR(__xludf.DUMMYFUNCTION("""COMPUTED_VALUE"""),452903872795)</f>
        <v>452903872795</v>
      </c>
      <c r="I428" s="45">
        <f ca="1">IFERROR(__xludf.DUMMYFUNCTION("""COMPUTED_VALUE"""),19925107)</f>
        <v>19925107</v>
      </c>
      <c r="J428" s="45" t="str">
        <f ca="1">IFERROR(__xludf.DUMMYFUNCTION("""COMPUTED_VALUE"""),"LW5ENMS")</f>
        <v>LW5ENMS</v>
      </c>
      <c r="K428" s="45" t="str">
        <f ca="1">IFERROR(__xludf.DUMMYFUNCTION("""COMPUTED_VALUE"""),"LW5ENMS-071148")</f>
        <v>LW5ENMS-071148</v>
      </c>
      <c r="L428" s="45">
        <f ca="1">IFERROR(__xludf.DUMMYFUNCTION("""COMPUTED_VALUE"""),4)</f>
        <v>4</v>
      </c>
      <c r="M428" s="45">
        <f ca="1">IFERROR(__xludf.DUMMYFUNCTION("""COMPUTED_VALUE"""),114)</f>
        <v>114</v>
      </c>
      <c r="N428" s="45">
        <f ca="1">IFERROR(__xludf.DUMMYFUNCTION("""COMPUTED_VALUE"""),33.436)</f>
        <v>33.436</v>
      </c>
      <c r="O428" s="45">
        <f ca="1">IFERROR(__xludf.DUMMYFUNCTION("""COMPUTED_VALUE"""),0.197)</f>
        <v>0.19700000000000001</v>
      </c>
      <c r="P428" s="45" t="str">
        <f ca="1">IFERROR(__xludf.DUMMYFUNCTION("""COMPUTED_VALUE"""),"Colombo, LK")</f>
        <v>Colombo, LK</v>
      </c>
      <c r="Q428" s="45" t="str">
        <f ca="1">IFERROR(__xludf.DUMMYFUNCTION("""COMPUTED_VALUE"""),"New York, NY, US")</f>
        <v>New York, NY, US</v>
      </c>
      <c r="R428" s="44">
        <f ca="1">IFERROR(__xludf.DUMMYFUNCTION("""COMPUTED_VALUE"""),45824)</f>
        <v>45824</v>
      </c>
      <c r="S428" s="44">
        <f ca="1">IFERROR(__xludf.DUMMYFUNCTION("""COMPUTED_VALUE"""),45883)</f>
        <v>45883</v>
      </c>
      <c r="T428" s="45" t="str">
        <f ca="1">IFERROR(__xludf.DUMMYFUNCTION("""COMPUTED_VALUE"""),"Mississauga, ON, CA")</f>
        <v>Mississauga, ON, CA</v>
      </c>
      <c r="U428" s="45"/>
      <c r="V428" s="45"/>
      <c r="W428" s="45"/>
      <c r="X428" s="45"/>
      <c r="Y428" s="46">
        <f ca="1">IFERROR(__xludf.DUMMYFUNCTION("""COMPUTED_VALUE"""),45832)</f>
        <v>45832</v>
      </c>
      <c r="Z428" s="46">
        <f ca="1">IFERROR(__xludf.DUMMYFUNCTION("""COMPUTED_VALUE"""),45861)</f>
        <v>45861</v>
      </c>
      <c r="AA428" s="46">
        <f ca="1">IFERROR(__xludf.DUMMYFUNCTION("""COMPUTED_VALUE"""),45874)</f>
        <v>45874</v>
      </c>
      <c r="AB428" s="45" t="str">
        <f ca="1">IFERROR(__xludf.DUMMYFUNCTION("""COMPUTED_VALUE"""),"3500 Argentia Road")</f>
        <v>3500 Argentia Road</v>
      </c>
      <c r="AC428" s="45"/>
      <c r="AD428" s="45" t="str">
        <f ca="1">IFERROR(__xludf.DUMMYFUNCTION("""COMPUTED_VALUE"""),"OCEAN")</f>
        <v>OCEAN</v>
      </c>
      <c r="AE428" s="45" t="str">
        <f ca="1">IFERROR(__xludf.DUMMYFUNCTION("""COMPUTED_VALUE"""),"N")</f>
        <v>N</v>
      </c>
      <c r="AF428" s="45"/>
      <c r="AG428" s="49" t="str">
        <f ca="1">IFERROR(__xludf.DUMMYFUNCTION("IFNA(vlookup(H428,IMPORTRANGE(""1vUGwO1n0QQGx9kKbO0_M5gmuhXZ6-LaxQxgrmJnzgP0"",""'TP# look up'!A:C""),3,0),"""")"),"")</f>
        <v/>
      </c>
      <c r="AH428" s="49" t="str">
        <f t="shared" ca="1" si="6"/>
        <v>LW</v>
      </c>
    </row>
    <row r="429" spans="1:34" ht="12.75">
      <c r="A429" s="45" t="str">
        <f ca="1">IFERROR(__xludf.DUMMYFUNCTION("""COMPUTED_VALUE"""),"Colombo")</f>
        <v>Colombo</v>
      </c>
      <c r="B429" s="45"/>
      <c r="C429" s="45">
        <f ca="1">IFERROR(__xludf.DUMMYFUNCTION("""COMPUTED_VALUE"""),3254506)</f>
        <v>3254506</v>
      </c>
      <c r="D429" s="45"/>
      <c r="E429" s="45" t="str">
        <f ca="1">IFERROR(__xludf.DUMMYFUNCTION("""COMPUTED_VALUE"""),"CFS")</f>
        <v>CFS</v>
      </c>
      <c r="F429" s="45" t="str">
        <f ca="1">IFERROR(__xludf.DUMMYFUNCTION("""COMPUTED_VALUE"""),"MAS AMITY PTE LTD")</f>
        <v>MAS AMITY PTE LTD</v>
      </c>
      <c r="G429" s="45" t="str">
        <f ca="1">IFERROR(__xludf.DUMMYFUNCTION("""COMPUTED_VALUE"""),"MAS Active(Pvt) Ltd – CONTOURLINE")</f>
        <v>MAS Active(Pvt) Ltd – CONTOURLINE</v>
      </c>
      <c r="H429" s="43">
        <f ca="1">IFERROR(__xludf.DUMMYFUNCTION("""COMPUTED_VALUE"""),452903873171)</f>
        <v>452903873171</v>
      </c>
      <c r="I429" s="45">
        <f ca="1">IFERROR(__xludf.DUMMYFUNCTION("""COMPUTED_VALUE"""),19925369)</f>
        <v>19925369</v>
      </c>
      <c r="J429" s="45" t="str">
        <f ca="1">IFERROR(__xludf.DUMMYFUNCTION("""COMPUTED_VALUE"""),"LW5EPSS")</f>
        <v>LW5EPSS</v>
      </c>
      <c r="K429" s="45" t="str">
        <f ca="1">IFERROR(__xludf.DUMMYFUNCTION("""COMPUTED_VALUE"""),"LW5EPSS-071188")</f>
        <v>LW5EPSS-071188</v>
      </c>
      <c r="L429" s="45">
        <f ca="1">IFERROR(__xludf.DUMMYFUNCTION("""COMPUTED_VALUE"""),6)</f>
        <v>6</v>
      </c>
      <c r="M429" s="45">
        <f ca="1">IFERROR(__xludf.DUMMYFUNCTION("""COMPUTED_VALUE"""),328)</f>
        <v>328</v>
      </c>
      <c r="N429" s="45">
        <f ca="1">IFERROR(__xludf.DUMMYFUNCTION("""COMPUTED_VALUE"""),74.133)</f>
        <v>74.132999999999996</v>
      </c>
      <c r="O429" s="45">
        <f ca="1">IFERROR(__xludf.DUMMYFUNCTION("""COMPUTED_VALUE"""),0.474)</f>
        <v>0.47399999999999998</v>
      </c>
      <c r="P429" s="45" t="str">
        <f ca="1">IFERROR(__xludf.DUMMYFUNCTION("""COMPUTED_VALUE"""),"Colombo, LK")</f>
        <v>Colombo, LK</v>
      </c>
      <c r="Q429" s="45" t="str">
        <f ca="1">IFERROR(__xludf.DUMMYFUNCTION("""COMPUTED_VALUE"""),"New York, NY, US")</f>
        <v>New York, NY, US</v>
      </c>
      <c r="R429" s="44">
        <f ca="1">IFERROR(__xludf.DUMMYFUNCTION("""COMPUTED_VALUE"""),45824)</f>
        <v>45824</v>
      </c>
      <c r="S429" s="44">
        <f ca="1">IFERROR(__xludf.DUMMYFUNCTION("""COMPUTED_VALUE"""),45883)</f>
        <v>45883</v>
      </c>
      <c r="T429" s="45" t="str">
        <f ca="1">IFERROR(__xludf.DUMMYFUNCTION("""COMPUTED_VALUE"""),"Mississauga, ON, CA")</f>
        <v>Mississauga, ON, CA</v>
      </c>
      <c r="U429" s="45"/>
      <c r="V429" s="45"/>
      <c r="W429" s="45"/>
      <c r="X429" s="45"/>
      <c r="Y429" s="46">
        <f ca="1">IFERROR(__xludf.DUMMYFUNCTION("""COMPUTED_VALUE"""),45832)</f>
        <v>45832</v>
      </c>
      <c r="Z429" s="46">
        <f ca="1">IFERROR(__xludf.DUMMYFUNCTION("""COMPUTED_VALUE"""),45861)</f>
        <v>45861</v>
      </c>
      <c r="AA429" s="46">
        <f ca="1">IFERROR(__xludf.DUMMYFUNCTION("""COMPUTED_VALUE"""),45874)</f>
        <v>45874</v>
      </c>
      <c r="AB429" s="45" t="str">
        <f ca="1">IFERROR(__xludf.DUMMYFUNCTION("""COMPUTED_VALUE"""),"3500 Argentia Road")</f>
        <v>3500 Argentia Road</v>
      </c>
      <c r="AC429" s="45"/>
      <c r="AD429" s="45" t="str">
        <f ca="1">IFERROR(__xludf.DUMMYFUNCTION("""COMPUTED_VALUE"""),"OCEAN")</f>
        <v>OCEAN</v>
      </c>
      <c r="AE429" s="45" t="str">
        <f ca="1">IFERROR(__xludf.DUMMYFUNCTION("""COMPUTED_VALUE"""),"N")</f>
        <v>N</v>
      </c>
      <c r="AF429" s="45"/>
      <c r="AG429" s="49" t="str">
        <f ca="1">IFERROR(__xludf.DUMMYFUNCTION("IFNA(vlookup(H429,IMPORTRANGE(""1vUGwO1n0QQGx9kKbO0_M5gmuhXZ6-LaxQxgrmJnzgP0"",""'TP# look up'!A:C""),3,0),"""")"),"")</f>
        <v/>
      </c>
      <c r="AH429" s="49" t="str">
        <f t="shared" ca="1" si="6"/>
        <v>LW</v>
      </c>
    </row>
    <row r="430" spans="1:34" ht="12.75">
      <c r="A430" s="45" t="str">
        <f ca="1">IFERROR(__xludf.DUMMYFUNCTION("""COMPUTED_VALUE"""),"Colombo")</f>
        <v>Colombo</v>
      </c>
      <c r="B430" s="45"/>
      <c r="C430" s="45">
        <f ca="1">IFERROR(__xludf.DUMMYFUNCTION("""COMPUTED_VALUE"""),3254508)</f>
        <v>3254508</v>
      </c>
      <c r="D430" s="45"/>
      <c r="E430" s="45" t="str">
        <f ca="1">IFERROR(__xludf.DUMMYFUNCTION("""COMPUTED_VALUE"""),"CFS")</f>
        <v>CFS</v>
      </c>
      <c r="F430" s="45" t="str">
        <f ca="1">IFERROR(__xludf.DUMMYFUNCTION("""COMPUTED_VALUE"""),"MAS AMITY PTE LTD")</f>
        <v>MAS AMITY PTE LTD</v>
      </c>
      <c r="G430" s="45" t="str">
        <f ca="1">IFERROR(__xludf.DUMMYFUNCTION("""COMPUTED_VALUE"""),"MAS Active(Pvt) Ltd – CONTOURLINE")</f>
        <v>MAS Active(Pvt) Ltd – CONTOURLINE</v>
      </c>
      <c r="H430" s="43">
        <f ca="1">IFERROR(__xludf.DUMMYFUNCTION("""COMPUTED_VALUE"""),452907207315)</f>
        <v>452907207315</v>
      </c>
      <c r="I430" s="45">
        <f ca="1">IFERROR(__xludf.DUMMYFUNCTION("""COMPUTED_VALUE"""),19939403)</f>
        <v>19939403</v>
      </c>
      <c r="J430" s="45" t="str">
        <f ca="1">IFERROR(__xludf.DUMMYFUNCTION("""COMPUTED_VALUE"""),"LM7BI2S")</f>
        <v>LM7BI2S</v>
      </c>
      <c r="K430" s="45" t="str">
        <f ca="1">IFERROR(__xludf.DUMMYFUNCTION("""COMPUTED_VALUE"""),"LM7BI2S-041179")</f>
        <v>LM7BI2S-041179</v>
      </c>
      <c r="L430" s="45">
        <f ca="1">IFERROR(__xludf.DUMMYFUNCTION("""COMPUTED_VALUE"""),1)</f>
        <v>1</v>
      </c>
      <c r="M430" s="45">
        <f ca="1">IFERROR(__xludf.DUMMYFUNCTION("""COMPUTED_VALUE"""),36)</f>
        <v>36</v>
      </c>
      <c r="N430" s="45">
        <f ca="1">IFERROR(__xludf.DUMMYFUNCTION("""COMPUTED_VALUE"""),8.788)</f>
        <v>8.7880000000000003</v>
      </c>
      <c r="O430" s="45">
        <f ca="1">IFERROR(__xludf.DUMMYFUNCTION("""COMPUTED_VALUE"""),0.079)</f>
        <v>7.9000000000000001E-2</v>
      </c>
      <c r="P430" s="45" t="str">
        <f ca="1">IFERROR(__xludf.DUMMYFUNCTION("""COMPUTED_VALUE"""),"Colombo, LK")</f>
        <v>Colombo, LK</v>
      </c>
      <c r="Q430" s="45" t="str">
        <f ca="1">IFERROR(__xludf.DUMMYFUNCTION("""COMPUTED_VALUE"""),"New York, NY, US")</f>
        <v>New York, NY, US</v>
      </c>
      <c r="R430" s="44">
        <f ca="1">IFERROR(__xludf.DUMMYFUNCTION("""COMPUTED_VALUE"""),45824)</f>
        <v>45824</v>
      </c>
      <c r="S430" s="44">
        <f ca="1">IFERROR(__xludf.DUMMYFUNCTION("""COMPUTED_VALUE"""),45883)</f>
        <v>45883</v>
      </c>
      <c r="T430" s="45" t="str">
        <f ca="1">IFERROR(__xludf.DUMMYFUNCTION("""COMPUTED_VALUE"""),"Mississauga, ON, CA")</f>
        <v>Mississauga, ON, CA</v>
      </c>
      <c r="U430" s="45"/>
      <c r="V430" s="45"/>
      <c r="W430" s="45"/>
      <c r="X430" s="45"/>
      <c r="Y430" s="46">
        <f ca="1">IFERROR(__xludf.DUMMYFUNCTION("""COMPUTED_VALUE"""),45832)</f>
        <v>45832</v>
      </c>
      <c r="Z430" s="46">
        <f ca="1">IFERROR(__xludf.DUMMYFUNCTION("""COMPUTED_VALUE"""),45861)</f>
        <v>45861</v>
      </c>
      <c r="AA430" s="46">
        <f ca="1">IFERROR(__xludf.DUMMYFUNCTION("""COMPUTED_VALUE"""),45874)</f>
        <v>45874</v>
      </c>
      <c r="AB430" s="45" t="str">
        <f ca="1">IFERROR(__xludf.DUMMYFUNCTION("""COMPUTED_VALUE"""),"3500 Argentia Road")</f>
        <v>3500 Argentia Road</v>
      </c>
      <c r="AC430" s="45"/>
      <c r="AD430" s="45" t="str">
        <f ca="1">IFERROR(__xludf.DUMMYFUNCTION("""COMPUTED_VALUE"""),"OCEAN")</f>
        <v>OCEAN</v>
      </c>
      <c r="AE430" s="45" t="str">
        <f ca="1">IFERROR(__xludf.DUMMYFUNCTION("""COMPUTED_VALUE"""),"N")</f>
        <v>N</v>
      </c>
      <c r="AF430" s="45"/>
      <c r="AG430" s="49" t="str">
        <f ca="1">IFERROR(__xludf.DUMMYFUNCTION("IFNA(vlookup(H430,IMPORTRANGE(""1vUGwO1n0QQGx9kKbO0_M5gmuhXZ6-LaxQxgrmJnzgP0"",""'TP# look up'!A:C""),3,0),"""")"),"")</f>
        <v/>
      </c>
      <c r="AH430" s="49" t="str">
        <f t="shared" ca="1" si="6"/>
        <v>LM</v>
      </c>
    </row>
    <row r="431" spans="1:34" ht="12.75">
      <c r="A431" s="45" t="str">
        <f ca="1">IFERROR(__xludf.DUMMYFUNCTION("""COMPUTED_VALUE"""),"Colombo")</f>
        <v>Colombo</v>
      </c>
      <c r="B431" s="45"/>
      <c r="C431" s="45">
        <f ca="1">IFERROR(__xludf.DUMMYFUNCTION("""COMPUTED_VALUE"""),3254508)</f>
        <v>3254508</v>
      </c>
      <c r="D431" s="45"/>
      <c r="E431" s="45" t="str">
        <f ca="1">IFERROR(__xludf.DUMMYFUNCTION("""COMPUTED_VALUE"""),"CFS")</f>
        <v>CFS</v>
      </c>
      <c r="F431" s="45" t="str">
        <f ca="1">IFERROR(__xludf.DUMMYFUNCTION("""COMPUTED_VALUE"""),"MAS AMITY PTE LTD")</f>
        <v>MAS AMITY PTE LTD</v>
      </c>
      <c r="G431" s="45" t="str">
        <f ca="1">IFERROR(__xludf.DUMMYFUNCTION("""COMPUTED_VALUE"""),"MAS Active(Pvt) Ltd – CONTOURLINE")</f>
        <v>MAS Active(Pvt) Ltd – CONTOURLINE</v>
      </c>
      <c r="H431" s="43">
        <f ca="1">IFERROR(__xludf.DUMMYFUNCTION("""COMPUTED_VALUE"""),452907209433)</f>
        <v>452907209433</v>
      </c>
      <c r="I431" s="45">
        <f ca="1">IFERROR(__xludf.DUMMYFUNCTION("""COMPUTED_VALUE"""),19939664)</f>
        <v>19939664</v>
      </c>
      <c r="J431" s="45" t="str">
        <f ca="1">IFERROR(__xludf.DUMMYFUNCTION("""COMPUTED_VALUE"""),"LW6CLQS")</f>
        <v>LW6CLQS</v>
      </c>
      <c r="K431" s="45" t="str">
        <f ca="1">IFERROR(__xludf.DUMMYFUNCTION("""COMPUTED_VALUE"""),"LW6CLQS-0001")</f>
        <v>LW6CLQS-0001</v>
      </c>
      <c r="L431" s="45">
        <f ca="1">IFERROR(__xludf.DUMMYFUNCTION("""COMPUTED_VALUE"""),9)</f>
        <v>9</v>
      </c>
      <c r="M431" s="45">
        <f ca="1">IFERROR(__xludf.DUMMYFUNCTION("""COMPUTED_VALUE"""),555)</f>
        <v>555</v>
      </c>
      <c r="N431" s="45">
        <f ca="1">IFERROR(__xludf.DUMMYFUNCTION("""COMPUTED_VALUE"""),125.505)</f>
        <v>125.505</v>
      </c>
      <c r="O431" s="45">
        <f ca="1">IFERROR(__xludf.DUMMYFUNCTION("""COMPUTED_VALUE"""),0.711)</f>
        <v>0.71099999999999997</v>
      </c>
      <c r="P431" s="45" t="str">
        <f ca="1">IFERROR(__xludf.DUMMYFUNCTION("""COMPUTED_VALUE"""),"Colombo, LK")</f>
        <v>Colombo, LK</v>
      </c>
      <c r="Q431" s="45" t="str">
        <f ca="1">IFERROR(__xludf.DUMMYFUNCTION("""COMPUTED_VALUE"""),"New York, NY, US")</f>
        <v>New York, NY, US</v>
      </c>
      <c r="R431" s="44">
        <f ca="1">IFERROR(__xludf.DUMMYFUNCTION("""COMPUTED_VALUE"""),45824)</f>
        <v>45824</v>
      </c>
      <c r="S431" s="44">
        <f ca="1">IFERROR(__xludf.DUMMYFUNCTION("""COMPUTED_VALUE"""),45883)</f>
        <v>45883</v>
      </c>
      <c r="T431" s="45" t="str">
        <f ca="1">IFERROR(__xludf.DUMMYFUNCTION("""COMPUTED_VALUE"""),"Mississauga, ON, CA")</f>
        <v>Mississauga, ON, CA</v>
      </c>
      <c r="U431" s="45"/>
      <c r="V431" s="45"/>
      <c r="W431" s="45"/>
      <c r="X431" s="45"/>
      <c r="Y431" s="46">
        <f ca="1">IFERROR(__xludf.DUMMYFUNCTION("""COMPUTED_VALUE"""),45832)</f>
        <v>45832</v>
      </c>
      <c r="Z431" s="46">
        <f ca="1">IFERROR(__xludf.DUMMYFUNCTION("""COMPUTED_VALUE"""),45861)</f>
        <v>45861</v>
      </c>
      <c r="AA431" s="46">
        <f ca="1">IFERROR(__xludf.DUMMYFUNCTION("""COMPUTED_VALUE"""),45874)</f>
        <v>45874</v>
      </c>
      <c r="AB431" s="45" t="str">
        <f ca="1">IFERROR(__xludf.DUMMYFUNCTION("""COMPUTED_VALUE"""),"3500 Argentia Road")</f>
        <v>3500 Argentia Road</v>
      </c>
      <c r="AC431" s="45"/>
      <c r="AD431" s="45" t="str">
        <f ca="1">IFERROR(__xludf.DUMMYFUNCTION("""COMPUTED_VALUE"""),"OCEAN")</f>
        <v>OCEAN</v>
      </c>
      <c r="AE431" s="45" t="str">
        <f ca="1">IFERROR(__xludf.DUMMYFUNCTION("""COMPUTED_VALUE"""),"N")</f>
        <v>N</v>
      </c>
      <c r="AF431" s="45"/>
      <c r="AG431" s="49" t="str">
        <f ca="1">IFERROR(__xludf.DUMMYFUNCTION("IFNA(vlookup(H431,IMPORTRANGE(""1vUGwO1n0QQGx9kKbO0_M5gmuhXZ6-LaxQxgrmJnzgP0"",""'TP# look up'!A:C""),3,0),"""")"),"")</f>
        <v/>
      </c>
      <c r="AH431" s="49" t="str">
        <f t="shared" ca="1" si="6"/>
        <v>LW</v>
      </c>
    </row>
    <row r="432" spans="1:34" ht="12.75">
      <c r="A432" s="45" t="str">
        <f ca="1">IFERROR(__xludf.DUMMYFUNCTION("""COMPUTED_VALUE"""),"Colombo")</f>
        <v>Colombo</v>
      </c>
      <c r="B432" s="45"/>
      <c r="C432" s="45">
        <f ca="1">IFERROR(__xludf.DUMMYFUNCTION("""COMPUTED_VALUE"""),3254508)</f>
        <v>3254508</v>
      </c>
      <c r="D432" s="45"/>
      <c r="E432" s="45" t="str">
        <f ca="1">IFERROR(__xludf.DUMMYFUNCTION("""COMPUTED_VALUE"""),"CFS")</f>
        <v>CFS</v>
      </c>
      <c r="F432" s="45" t="str">
        <f ca="1">IFERROR(__xludf.DUMMYFUNCTION("""COMPUTED_VALUE"""),"MAS AMITY PTE LTD")</f>
        <v>MAS AMITY PTE LTD</v>
      </c>
      <c r="G432" s="45" t="str">
        <f ca="1">IFERROR(__xludf.DUMMYFUNCTION("""COMPUTED_VALUE"""),"MAS Active(Pvt) Ltd – CONTOURLINE")</f>
        <v>MAS Active(Pvt) Ltd – CONTOURLINE</v>
      </c>
      <c r="H432" s="43">
        <f ca="1">IFERROR(__xludf.DUMMYFUNCTION("""COMPUTED_VALUE"""),452907289795)</f>
        <v>452907289795</v>
      </c>
      <c r="I432" s="45">
        <f ca="1">IFERROR(__xludf.DUMMYFUNCTION("""COMPUTED_VALUE"""),19925418)</f>
        <v>19925418</v>
      </c>
      <c r="J432" s="45" t="str">
        <f ca="1">IFERROR(__xludf.DUMMYFUNCTION("""COMPUTED_VALUE"""),"LW5FARS")</f>
        <v>LW5FARS</v>
      </c>
      <c r="K432" s="45" t="str">
        <f ca="1">IFERROR(__xludf.DUMMYFUNCTION("""COMPUTED_VALUE"""),"LW5FARS-0001")</f>
        <v>LW5FARS-0001</v>
      </c>
      <c r="L432" s="45">
        <f ca="1">IFERROR(__xludf.DUMMYFUNCTION("""COMPUTED_VALUE"""),1)</f>
        <v>1</v>
      </c>
      <c r="M432" s="45">
        <f ca="1">IFERROR(__xludf.DUMMYFUNCTION("""COMPUTED_VALUE"""),3)</f>
        <v>3</v>
      </c>
      <c r="N432" s="45">
        <f ca="1">IFERROR(__xludf.DUMMYFUNCTION("""COMPUTED_VALUE"""),1.638)</f>
        <v>1.6379999999999999</v>
      </c>
      <c r="O432" s="45">
        <f ca="1">IFERROR(__xludf.DUMMYFUNCTION("""COMPUTED_VALUE"""),0.039)</f>
        <v>3.9E-2</v>
      </c>
      <c r="P432" s="45" t="str">
        <f ca="1">IFERROR(__xludf.DUMMYFUNCTION("""COMPUTED_VALUE"""),"Colombo, LK")</f>
        <v>Colombo, LK</v>
      </c>
      <c r="Q432" s="45" t="str">
        <f ca="1">IFERROR(__xludf.DUMMYFUNCTION("""COMPUTED_VALUE"""),"New York, NY, US")</f>
        <v>New York, NY, US</v>
      </c>
      <c r="R432" s="44">
        <f ca="1">IFERROR(__xludf.DUMMYFUNCTION("""COMPUTED_VALUE"""),45824)</f>
        <v>45824</v>
      </c>
      <c r="S432" s="44">
        <f ca="1">IFERROR(__xludf.DUMMYFUNCTION("""COMPUTED_VALUE"""),45883)</f>
        <v>45883</v>
      </c>
      <c r="T432" s="45" t="str">
        <f ca="1">IFERROR(__xludf.DUMMYFUNCTION("""COMPUTED_VALUE"""),"Mississauga, ON, CA")</f>
        <v>Mississauga, ON, CA</v>
      </c>
      <c r="U432" s="45"/>
      <c r="V432" s="45"/>
      <c r="W432" s="45"/>
      <c r="X432" s="45"/>
      <c r="Y432" s="46">
        <f ca="1">IFERROR(__xludf.DUMMYFUNCTION("""COMPUTED_VALUE"""),45832)</f>
        <v>45832</v>
      </c>
      <c r="Z432" s="46">
        <f ca="1">IFERROR(__xludf.DUMMYFUNCTION("""COMPUTED_VALUE"""),45861)</f>
        <v>45861</v>
      </c>
      <c r="AA432" s="46">
        <f ca="1">IFERROR(__xludf.DUMMYFUNCTION("""COMPUTED_VALUE"""),45874)</f>
        <v>45874</v>
      </c>
      <c r="AB432" s="45" t="str">
        <f ca="1">IFERROR(__xludf.DUMMYFUNCTION("""COMPUTED_VALUE"""),"3500 Argentia Road")</f>
        <v>3500 Argentia Road</v>
      </c>
      <c r="AC432" s="45"/>
      <c r="AD432" s="45" t="str">
        <f ca="1">IFERROR(__xludf.DUMMYFUNCTION("""COMPUTED_VALUE"""),"OCEAN")</f>
        <v>OCEAN</v>
      </c>
      <c r="AE432" s="45" t="str">
        <f ca="1">IFERROR(__xludf.DUMMYFUNCTION("""COMPUTED_VALUE"""),"N")</f>
        <v>N</v>
      </c>
      <c r="AF432" s="45"/>
      <c r="AG432" s="49" t="str">
        <f ca="1">IFERROR(__xludf.DUMMYFUNCTION("IFNA(vlookup(H432,IMPORTRANGE(""1vUGwO1n0QQGx9kKbO0_M5gmuhXZ6-LaxQxgrmJnzgP0"",""'TP# look up'!A:C""),3,0),"""")"),"")</f>
        <v/>
      </c>
      <c r="AH432" s="49" t="str">
        <f t="shared" ca="1" si="6"/>
        <v>LW</v>
      </c>
    </row>
    <row r="433" spans="1:34" ht="12.75">
      <c r="A433" s="45" t="str">
        <f ca="1">IFERROR(__xludf.DUMMYFUNCTION("""COMPUTED_VALUE"""),"Colombo")</f>
        <v>Colombo</v>
      </c>
      <c r="B433" s="45"/>
      <c r="C433" s="45">
        <f ca="1">IFERROR(__xludf.DUMMYFUNCTION("""COMPUTED_VALUE"""),3254508)</f>
        <v>3254508</v>
      </c>
      <c r="D433" s="45"/>
      <c r="E433" s="45" t="str">
        <f ca="1">IFERROR(__xludf.DUMMYFUNCTION("""COMPUTED_VALUE"""),"CFS")</f>
        <v>CFS</v>
      </c>
      <c r="F433" s="45" t="str">
        <f ca="1">IFERROR(__xludf.DUMMYFUNCTION("""COMPUTED_VALUE"""),"MAS AMITY PTE LTD")</f>
        <v>MAS AMITY PTE LTD</v>
      </c>
      <c r="G433" s="45" t="str">
        <f ca="1">IFERROR(__xludf.DUMMYFUNCTION("""COMPUTED_VALUE"""),"MAS Active(Pvt) Ltd – CONTOURLINE")</f>
        <v>MAS Active(Pvt) Ltd – CONTOURLINE</v>
      </c>
      <c r="H433" s="43">
        <f ca="1">IFERROR(__xludf.DUMMYFUNCTION("""COMPUTED_VALUE"""),452910674494)</f>
        <v>452910674494</v>
      </c>
      <c r="I433" s="45">
        <f ca="1">IFERROR(__xludf.DUMMYFUNCTION("""COMPUTED_VALUE"""),19939445)</f>
        <v>19939445</v>
      </c>
      <c r="J433" s="45" t="str">
        <f ca="1">IFERROR(__xludf.DUMMYFUNCTION("""COMPUTED_VALUE"""),"LW5ENMS")</f>
        <v>LW5ENMS</v>
      </c>
      <c r="K433" s="45" t="str">
        <f ca="1">IFERROR(__xludf.DUMMYFUNCTION("""COMPUTED_VALUE"""),"LW5ENMS-071148")</f>
        <v>LW5ENMS-071148</v>
      </c>
      <c r="L433" s="45">
        <f ca="1">IFERROR(__xludf.DUMMYFUNCTION("""COMPUTED_VALUE"""),5)</f>
        <v>5</v>
      </c>
      <c r="M433" s="45">
        <f ca="1">IFERROR(__xludf.DUMMYFUNCTION("""COMPUTED_VALUE"""),246)</f>
        <v>246</v>
      </c>
      <c r="N433" s="45">
        <f ca="1">IFERROR(__xludf.DUMMYFUNCTION("""COMPUTED_VALUE"""),70.06)</f>
        <v>70.06</v>
      </c>
      <c r="O433" s="45">
        <f ca="1">IFERROR(__xludf.DUMMYFUNCTION("""COMPUTED_VALUE"""),0.395)</f>
        <v>0.39500000000000002</v>
      </c>
      <c r="P433" s="45" t="str">
        <f ca="1">IFERROR(__xludf.DUMMYFUNCTION("""COMPUTED_VALUE"""),"Colombo, LK")</f>
        <v>Colombo, LK</v>
      </c>
      <c r="Q433" s="45" t="str">
        <f ca="1">IFERROR(__xludf.DUMMYFUNCTION("""COMPUTED_VALUE"""),"New York, NY, US")</f>
        <v>New York, NY, US</v>
      </c>
      <c r="R433" s="44">
        <f ca="1">IFERROR(__xludf.DUMMYFUNCTION("""COMPUTED_VALUE"""),45824)</f>
        <v>45824</v>
      </c>
      <c r="S433" s="44">
        <f ca="1">IFERROR(__xludf.DUMMYFUNCTION("""COMPUTED_VALUE"""),45883)</f>
        <v>45883</v>
      </c>
      <c r="T433" s="45" t="str">
        <f ca="1">IFERROR(__xludf.DUMMYFUNCTION("""COMPUTED_VALUE"""),"Mississauga, ON, CA")</f>
        <v>Mississauga, ON, CA</v>
      </c>
      <c r="U433" s="45"/>
      <c r="V433" s="45"/>
      <c r="W433" s="45"/>
      <c r="X433" s="45"/>
      <c r="Y433" s="46">
        <f ca="1">IFERROR(__xludf.DUMMYFUNCTION("""COMPUTED_VALUE"""),45832)</f>
        <v>45832</v>
      </c>
      <c r="Z433" s="46">
        <f ca="1">IFERROR(__xludf.DUMMYFUNCTION("""COMPUTED_VALUE"""),45861)</f>
        <v>45861</v>
      </c>
      <c r="AA433" s="46">
        <f ca="1">IFERROR(__xludf.DUMMYFUNCTION("""COMPUTED_VALUE"""),45874)</f>
        <v>45874</v>
      </c>
      <c r="AB433" s="45" t="str">
        <f ca="1">IFERROR(__xludf.DUMMYFUNCTION("""COMPUTED_VALUE"""),"3500 Argentia Road")</f>
        <v>3500 Argentia Road</v>
      </c>
      <c r="AC433" s="45"/>
      <c r="AD433" s="45" t="str">
        <f ca="1">IFERROR(__xludf.DUMMYFUNCTION("""COMPUTED_VALUE"""),"OCEAN")</f>
        <v>OCEAN</v>
      </c>
      <c r="AE433" s="45" t="str">
        <f ca="1">IFERROR(__xludf.DUMMYFUNCTION("""COMPUTED_VALUE"""),"N")</f>
        <v>N</v>
      </c>
      <c r="AF433" s="45"/>
      <c r="AG433" s="49" t="str">
        <f ca="1">IFERROR(__xludf.DUMMYFUNCTION("IFNA(vlookup(H433,IMPORTRANGE(""1vUGwO1n0QQGx9kKbO0_M5gmuhXZ6-LaxQxgrmJnzgP0"",""'TP# look up'!A:C""),3,0),"""")"),"")</f>
        <v/>
      </c>
      <c r="AH433" s="49" t="str">
        <f t="shared" ca="1" si="6"/>
        <v>LW</v>
      </c>
    </row>
    <row r="434" spans="1:34" ht="12.75">
      <c r="A434" s="45" t="str">
        <f ca="1">IFERROR(__xludf.DUMMYFUNCTION("""COMPUTED_VALUE"""),"Colombo")</f>
        <v>Colombo</v>
      </c>
      <c r="B434" s="45"/>
      <c r="C434" s="45">
        <f ca="1">IFERROR(__xludf.DUMMYFUNCTION("""COMPUTED_VALUE"""),3254508)</f>
        <v>3254508</v>
      </c>
      <c r="D434" s="45"/>
      <c r="E434" s="45" t="str">
        <f ca="1">IFERROR(__xludf.DUMMYFUNCTION("""COMPUTED_VALUE"""),"CFS")</f>
        <v>CFS</v>
      </c>
      <c r="F434" s="45" t="str">
        <f ca="1">IFERROR(__xludf.DUMMYFUNCTION("""COMPUTED_VALUE"""),"MAS AMITY PTE LTD")</f>
        <v>MAS AMITY PTE LTD</v>
      </c>
      <c r="G434" s="45" t="str">
        <f ca="1">IFERROR(__xludf.DUMMYFUNCTION("""COMPUTED_VALUE"""),"MAS Active(Pvt) Ltd – CONTOURLINE")</f>
        <v>MAS Active(Pvt) Ltd – CONTOURLINE</v>
      </c>
      <c r="H434" s="43">
        <f ca="1">IFERROR(__xludf.DUMMYFUNCTION("""COMPUTED_VALUE"""),452914344646)</f>
        <v>452914344646</v>
      </c>
      <c r="I434" s="45">
        <f ca="1">IFERROR(__xludf.DUMMYFUNCTION("""COMPUTED_VALUE"""),19939843)</f>
        <v>19939843</v>
      </c>
      <c r="J434" s="45" t="str">
        <f ca="1">IFERROR(__xludf.DUMMYFUNCTION("""COMPUTED_VALUE"""),"LM7BI2S")</f>
        <v>LM7BI2S</v>
      </c>
      <c r="K434" s="45" t="str">
        <f ca="1">IFERROR(__xludf.DUMMYFUNCTION("""COMPUTED_VALUE"""),"LM7BI2S-068578")</f>
        <v>LM7BI2S-068578</v>
      </c>
      <c r="L434" s="45">
        <f ca="1">IFERROR(__xludf.DUMMYFUNCTION("""COMPUTED_VALUE"""),8)</f>
        <v>8</v>
      </c>
      <c r="M434" s="45">
        <f ca="1">IFERROR(__xludf.DUMMYFUNCTION("""COMPUTED_VALUE"""),399)</f>
        <v>399</v>
      </c>
      <c r="N434" s="45">
        <f ca="1">IFERROR(__xludf.DUMMYFUNCTION("""COMPUTED_VALUE"""),93.913)</f>
        <v>93.912999999999997</v>
      </c>
      <c r="O434" s="45">
        <f ca="1">IFERROR(__xludf.DUMMYFUNCTION("""COMPUTED_VALUE"""),0.632)</f>
        <v>0.63200000000000001</v>
      </c>
      <c r="P434" s="45" t="str">
        <f ca="1">IFERROR(__xludf.DUMMYFUNCTION("""COMPUTED_VALUE"""),"Colombo, LK")</f>
        <v>Colombo, LK</v>
      </c>
      <c r="Q434" s="45" t="str">
        <f ca="1">IFERROR(__xludf.DUMMYFUNCTION("""COMPUTED_VALUE"""),"New York, NY, US")</f>
        <v>New York, NY, US</v>
      </c>
      <c r="R434" s="44">
        <f ca="1">IFERROR(__xludf.DUMMYFUNCTION("""COMPUTED_VALUE"""),45824)</f>
        <v>45824</v>
      </c>
      <c r="S434" s="44">
        <f ca="1">IFERROR(__xludf.DUMMYFUNCTION("""COMPUTED_VALUE"""),45883)</f>
        <v>45883</v>
      </c>
      <c r="T434" s="45" t="str">
        <f ca="1">IFERROR(__xludf.DUMMYFUNCTION("""COMPUTED_VALUE"""),"Mississauga, ON, CA")</f>
        <v>Mississauga, ON, CA</v>
      </c>
      <c r="U434" s="45"/>
      <c r="V434" s="45"/>
      <c r="W434" s="45"/>
      <c r="X434" s="45"/>
      <c r="Y434" s="46">
        <f ca="1">IFERROR(__xludf.DUMMYFUNCTION("""COMPUTED_VALUE"""),45832)</f>
        <v>45832</v>
      </c>
      <c r="Z434" s="46">
        <f ca="1">IFERROR(__xludf.DUMMYFUNCTION("""COMPUTED_VALUE"""),45861)</f>
        <v>45861</v>
      </c>
      <c r="AA434" s="46">
        <f ca="1">IFERROR(__xludf.DUMMYFUNCTION("""COMPUTED_VALUE"""),45874)</f>
        <v>45874</v>
      </c>
      <c r="AB434" s="45" t="str">
        <f ca="1">IFERROR(__xludf.DUMMYFUNCTION("""COMPUTED_VALUE"""),"3500 Argentia Road")</f>
        <v>3500 Argentia Road</v>
      </c>
      <c r="AC434" s="45"/>
      <c r="AD434" s="45" t="str">
        <f ca="1">IFERROR(__xludf.DUMMYFUNCTION("""COMPUTED_VALUE"""),"OCEAN")</f>
        <v>OCEAN</v>
      </c>
      <c r="AE434" s="45" t="str">
        <f ca="1">IFERROR(__xludf.DUMMYFUNCTION("""COMPUTED_VALUE"""),"N")</f>
        <v>N</v>
      </c>
      <c r="AF434" s="45"/>
      <c r="AG434" s="49" t="str">
        <f ca="1">IFERROR(__xludf.DUMMYFUNCTION("IFNA(vlookup(H434,IMPORTRANGE(""1vUGwO1n0QQGx9kKbO0_M5gmuhXZ6-LaxQxgrmJnzgP0"",""'TP# look up'!A:C""),3,0),"""")"),"")</f>
        <v/>
      </c>
      <c r="AH434" s="49" t="str">
        <f t="shared" ca="1" si="6"/>
        <v>LM</v>
      </c>
    </row>
    <row r="435" spans="1:34" ht="12.75">
      <c r="A435" s="45" t="str">
        <f ca="1">IFERROR(__xludf.DUMMYFUNCTION("""COMPUTED_VALUE"""),"Colombo")</f>
        <v>Colombo</v>
      </c>
      <c r="B435" s="45"/>
      <c r="C435" s="45">
        <f ca="1">IFERROR(__xludf.DUMMYFUNCTION("""COMPUTED_VALUE"""),3254508)</f>
        <v>3254508</v>
      </c>
      <c r="D435" s="45"/>
      <c r="E435" s="45" t="str">
        <f ca="1">IFERROR(__xludf.DUMMYFUNCTION("""COMPUTED_VALUE"""),"CFS")</f>
        <v>CFS</v>
      </c>
      <c r="F435" s="45" t="str">
        <f ca="1">IFERROR(__xludf.DUMMYFUNCTION("""COMPUTED_VALUE"""),"MAS AMITY PTE LTD")</f>
        <v>MAS AMITY PTE LTD</v>
      </c>
      <c r="G435" s="45" t="str">
        <f ca="1">IFERROR(__xludf.DUMMYFUNCTION("""COMPUTED_VALUE"""),"MAS Active(Pvt) Ltd – CONTOURLINE")</f>
        <v>MAS Active(Pvt) Ltd – CONTOURLINE</v>
      </c>
      <c r="H435" s="43">
        <f ca="1">IFERROR(__xludf.DUMMYFUNCTION("""COMPUTED_VALUE"""),452914765943)</f>
        <v>452914765943</v>
      </c>
      <c r="I435" s="45">
        <f ca="1">IFERROR(__xludf.DUMMYFUNCTION("""COMPUTED_VALUE"""),19939735)</f>
        <v>19939735</v>
      </c>
      <c r="J435" s="45" t="str">
        <f ca="1">IFERROR(__xludf.DUMMYFUNCTION("""COMPUTED_VALUE"""),"LM3FBSS")</f>
        <v>LM3FBSS</v>
      </c>
      <c r="K435" s="45" t="str">
        <f ca="1">IFERROR(__xludf.DUMMYFUNCTION("""COMPUTED_VALUE"""),"LM3FBSS-035487")</f>
        <v>LM3FBSS-035487</v>
      </c>
      <c r="L435" s="45">
        <f ca="1">IFERROR(__xludf.DUMMYFUNCTION("""COMPUTED_VALUE"""),9)</f>
        <v>9</v>
      </c>
      <c r="M435" s="45">
        <f ca="1">IFERROR(__xludf.DUMMYFUNCTION("""COMPUTED_VALUE"""),350)</f>
        <v>350</v>
      </c>
      <c r="N435" s="45">
        <f ca="1">IFERROR(__xludf.DUMMYFUNCTION("""COMPUTED_VALUE"""),120.451)</f>
        <v>120.45099999999999</v>
      </c>
      <c r="O435" s="45">
        <f ca="1">IFERROR(__xludf.DUMMYFUNCTION("""COMPUTED_VALUE"""),0.711)</f>
        <v>0.71099999999999997</v>
      </c>
      <c r="P435" s="45" t="str">
        <f ca="1">IFERROR(__xludf.DUMMYFUNCTION("""COMPUTED_VALUE"""),"Colombo, LK")</f>
        <v>Colombo, LK</v>
      </c>
      <c r="Q435" s="45" t="str">
        <f ca="1">IFERROR(__xludf.DUMMYFUNCTION("""COMPUTED_VALUE"""),"New York, NY, US")</f>
        <v>New York, NY, US</v>
      </c>
      <c r="R435" s="44">
        <f ca="1">IFERROR(__xludf.DUMMYFUNCTION("""COMPUTED_VALUE"""),45824)</f>
        <v>45824</v>
      </c>
      <c r="S435" s="44">
        <f ca="1">IFERROR(__xludf.DUMMYFUNCTION("""COMPUTED_VALUE"""),45883)</f>
        <v>45883</v>
      </c>
      <c r="T435" s="45" t="str">
        <f ca="1">IFERROR(__xludf.DUMMYFUNCTION("""COMPUTED_VALUE"""),"Mississauga, ON, CA")</f>
        <v>Mississauga, ON, CA</v>
      </c>
      <c r="U435" s="45"/>
      <c r="V435" s="45"/>
      <c r="W435" s="45"/>
      <c r="X435" s="45"/>
      <c r="Y435" s="46">
        <f ca="1">IFERROR(__xludf.DUMMYFUNCTION("""COMPUTED_VALUE"""),45832)</f>
        <v>45832</v>
      </c>
      <c r="Z435" s="46">
        <f ca="1">IFERROR(__xludf.DUMMYFUNCTION("""COMPUTED_VALUE"""),45861)</f>
        <v>45861</v>
      </c>
      <c r="AA435" s="46">
        <f ca="1">IFERROR(__xludf.DUMMYFUNCTION("""COMPUTED_VALUE"""),45874)</f>
        <v>45874</v>
      </c>
      <c r="AB435" s="45" t="str">
        <f ca="1">IFERROR(__xludf.DUMMYFUNCTION("""COMPUTED_VALUE"""),"3500 Argentia Road")</f>
        <v>3500 Argentia Road</v>
      </c>
      <c r="AC435" s="45"/>
      <c r="AD435" s="45" t="str">
        <f ca="1">IFERROR(__xludf.DUMMYFUNCTION("""COMPUTED_VALUE"""),"OCEAN")</f>
        <v>OCEAN</v>
      </c>
      <c r="AE435" s="45" t="str">
        <f ca="1">IFERROR(__xludf.DUMMYFUNCTION("""COMPUTED_VALUE"""),"N")</f>
        <v>N</v>
      </c>
      <c r="AF435" s="45"/>
      <c r="AG435" s="49" t="str">
        <f ca="1">IFERROR(__xludf.DUMMYFUNCTION("IFNA(vlookup(H435,IMPORTRANGE(""1vUGwO1n0QQGx9kKbO0_M5gmuhXZ6-LaxQxgrmJnzgP0"",""'TP# look up'!A:C""),3,0),"""")"),"")</f>
        <v/>
      </c>
      <c r="AH435" s="49" t="str">
        <f t="shared" ca="1" si="6"/>
        <v>LM</v>
      </c>
    </row>
    <row r="436" spans="1:34" ht="12.75">
      <c r="A436" s="45" t="str">
        <f ca="1">IFERROR(__xludf.DUMMYFUNCTION("""COMPUTED_VALUE"""),"Colombo")</f>
        <v>Colombo</v>
      </c>
      <c r="B436" s="45"/>
      <c r="C436" s="45">
        <f ca="1">IFERROR(__xludf.DUMMYFUNCTION("""COMPUTED_VALUE"""),3254508)</f>
        <v>3254508</v>
      </c>
      <c r="D436" s="45"/>
      <c r="E436" s="45" t="str">
        <f ca="1">IFERROR(__xludf.DUMMYFUNCTION("""COMPUTED_VALUE"""),"CFS")</f>
        <v>CFS</v>
      </c>
      <c r="F436" s="45" t="str">
        <f ca="1">IFERROR(__xludf.DUMMYFUNCTION("""COMPUTED_VALUE"""),"MAS AMITY PTE LTD")</f>
        <v>MAS AMITY PTE LTD</v>
      </c>
      <c r="G436" s="45" t="str">
        <f ca="1">IFERROR(__xludf.DUMMYFUNCTION("""COMPUTED_VALUE"""),"MAS Active (Pvt) Ltd - Linea Intimo")</f>
        <v>MAS Active (Pvt) Ltd - Linea Intimo</v>
      </c>
      <c r="H436" s="43">
        <f ca="1">IFERROR(__xludf.DUMMYFUNCTION("""COMPUTED_VALUE"""),454698382746)</f>
        <v>454698382746</v>
      </c>
      <c r="I436" s="45">
        <f ca="1">IFERROR(__xludf.DUMMYFUNCTION("""COMPUTED_VALUE"""),19900473)</f>
        <v>19900473</v>
      </c>
      <c r="J436" s="45" t="str">
        <f ca="1">IFERROR(__xludf.DUMMYFUNCTION("""COMPUTED_VALUE"""),"LW3DOBS")</f>
        <v>LW3DOBS</v>
      </c>
      <c r="K436" s="45" t="str">
        <f ca="1">IFERROR(__xludf.DUMMYFUNCTION("""COMPUTED_VALUE"""),"LW3DOBS-035647")</f>
        <v>LW3DOBS-035647</v>
      </c>
      <c r="L436" s="45">
        <f ca="1">IFERROR(__xludf.DUMMYFUNCTION("""COMPUTED_VALUE"""),4)</f>
        <v>4</v>
      </c>
      <c r="M436" s="45">
        <f ca="1">IFERROR(__xludf.DUMMYFUNCTION("""COMPUTED_VALUE"""),157)</f>
        <v>157</v>
      </c>
      <c r="N436" s="45">
        <f ca="1">IFERROR(__xludf.DUMMYFUNCTION("""COMPUTED_VALUE"""),26.482)</f>
        <v>26.481999999999999</v>
      </c>
      <c r="O436" s="45">
        <f ca="1">IFERROR(__xludf.DUMMYFUNCTION("""COMPUTED_VALUE"""),0.237)</f>
        <v>0.23699999999999999</v>
      </c>
      <c r="P436" s="45" t="str">
        <f ca="1">IFERROR(__xludf.DUMMYFUNCTION("""COMPUTED_VALUE"""),"Colombo, LK")</f>
        <v>Colombo, LK</v>
      </c>
      <c r="Q436" s="45" t="str">
        <f ca="1">IFERROR(__xludf.DUMMYFUNCTION("""COMPUTED_VALUE"""),"New York, NY, US")</f>
        <v>New York, NY, US</v>
      </c>
      <c r="R436" s="44">
        <f ca="1">IFERROR(__xludf.DUMMYFUNCTION("""COMPUTED_VALUE"""),45824)</f>
        <v>45824</v>
      </c>
      <c r="S436" s="44">
        <f ca="1">IFERROR(__xludf.DUMMYFUNCTION("""COMPUTED_VALUE"""),45883)</f>
        <v>45883</v>
      </c>
      <c r="T436" s="45" t="str">
        <f ca="1">IFERROR(__xludf.DUMMYFUNCTION("""COMPUTED_VALUE"""),"Milton, ON, CA")</f>
        <v>Milton, ON, CA</v>
      </c>
      <c r="U436" s="45"/>
      <c r="V436" s="45"/>
      <c r="W436" s="45"/>
      <c r="X436" s="45"/>
      <c r="Y436" s="46">
        <f ca="1">IFERROR(__xludf.DUMMYFUNCTION("""COMPUTED_VALUE"""),45832)</f>
        <v>45832</v>
      </c>
      <c r="Z436" s="46">
        <f ca="1">IFERROR(__xludf.DUMMYFUNCTION("""COMPUTED_VALUE"""),45861)</f>
        <v>45861</v>
      </c>
      <c r="AA436" s="46">
        <f ca="1">IFERROR(__xludf.DUMMYFUNCTION("""COMPUTED_VALUE"""),45874)</f>
        <v>45874</v>
      </c>
      <c r="AB436" s="45" t="str">
        <f ca="1">IFERROR(__xludf.DUMMYFUNCTION("""COMPUTED_VALUE"""),"7211 Fifth Line")</f>
        <v>7211 Fifth Line</v>
      </c>
      <c r="AC436" s="45"/>
      <c r="AD436" s="45" t="str">
        <f ca="1">IFERROR(__xludf.DUMMYFUNCTION("""COMPUTED_VALUE"""),"OCEAN")</f>
        <v>OCEAN</v>
      </c>
      <c r="AE436" s="45" t="str">
        <f ca="1">IFERROR(__xludf.DUMMYFUNCTION("""COMPUTED_VALUE"""),"N")</f>
        <v>N</v>
      </c>
      <c r="AF436" s="45"/>
      <c r="AG436" s="49" t="str">
        <f ca="1">IFERROR(__xludf.DUMMYFUNCTION("IFNA(vlookup(H436,IMPORTRANGE(""1vUGwO1n0QQGx9kKbO0_M5gmuhXZ6-LaxQxgrmJnzgP0"",""'TP# look up'!A:C""),3,0),"""")"),"")</f>
        <v/>
      </c>
      <c r="AH436" s="49" t="str">
        <f t="shared" ca="1" si="6"/>
        <v>LW</v>
      </c>
    </row>
    <row r="437" spans="1:34" ht="12.75">
      <c r="A437" s="45" t="str">
        <f ca="1">IFERROR(__xludf.DUMMYFUNCTION("""COMPUTED_VALUE"""),"Colombo")</f>
        <v>Colombo</v>
      </c>
      <c r="B437" s="45"/>
      <c r="C437" s="45">
        <f ca="1">IFERROR(__xludf.DUMMYFUNCTION("""COMPUTED_VALUE"""),3254508)</f>
        <v>3254508</v>
      </c>
      <c r="D437" s="45"/>
      <c r="E437" s="45" t="str">
        <f ca="1">IFERROR(__xludf.DUMMYFUNCTION("""COMPUTED_VALUE"""),"CFS")</f>
        <v>CFS</v>
      </c>
      <c r="F437" s="45" t="str">
        <f ca="1">IFERROR(__xludf.DUMMYFUNCTION("""COMPUTED_VALUE"""),"MAS AMITY PTE LTD")</f>
        <v>MAS AMITY PTE LTD</v>
      </c>
      <c r="G437" s="45" t="str">
        <f ca="1">IFERROR(__xludf.DUMMYFUNCTION("""COMPUTED_VALUE"""),"MAS Active (Pvt) Ltd - Linea Intimo")</f>
        <v>MAS Active (Pvt) Ltd - Linea Intimo</v>
      </c>
      <c r="H437" s="43">
        <f ca="1">IFERROR(__xludf.DUMMYFUNCTION("""COMPUTED_VALUE"""),454698451896)</f>
        <v>454698451896</v>
      </c>
      <c r="I437" s="45">
        <f ca="1">IFERROR(__xludf.DUMMYFUNCTION("""COMPUTED_VALUE"""),19897814)</f>
        <v>19897814</v>
      </c>
      <c r="J437" s="45" t="str">
        <f ca="1">IFERROR(__xludf.DUMMYFUNCTION("""COMPUTED_VALUE"""),"LM3FHKS")</f>
        <v>LM3FHKS</v>
      </c>
      <c r="K437" s="45" t="str">
        <f ca="1">IFERROR(__xludf.DUMMYFUNCTION("""COMPUTED_VALUE"""),"LM3FHKS-4780")</f>
        <v>LM3FHKS-4780</v>
      </c>
      <c r="L437" s="45">
        <f ca="1">IFERROR(__xludf.DUMMYFUNCTION("""COMPUTED_VALUE"""),3)</f>
        <v>3</v>
      </c>
      <c r="M437" s="45">
        <f ca="1">IFERROR(__xludf.DUMMYFUNCTION("""COMPUTED_VALUE"""),95)</f>
        <v>95</v>
      </c>
      <c r="N437" s="45">
        <f ca="1">IFERROR(__xludf.DUMMYFUNCTION("""COMPUTED_VALUE"""),21.629)</f>
        <v>21.629000000000001</v>
      </c>
      <c r="O437" s="45">
        <f ca="1">IFERROR(__xludf.DUMMYFUNCTION("""COMPUTED_VALUE"""),0.158)</f>
        <v>0.158</v>
      </c>
      <c r="P437" s="45" t="str">
        <f ca="1">IFERROR(__xludf.DUMMYFUNCTION("""COMPUTED_VALUE"""),"Colombo, LK")</f>
        <v>Colombo, LK</v>
      </c>
      <c r="Q437" s="45" t="str">
        <f ca="1">IFERROR(__xludf.DUMMYFUNCTION("""COMPUTED_VALUE"""),"New York, NY, US")</f>
        <v>New York, NY, US</v>
      </c>
      <c r="R437" s="44">
        <f ca="1">IFERROR(__xludf.DUMMYFUNCTION("""COMPUTED_VALUE"""),45824)</f>
        <v>45824</v>
      </c>
      <c r="S437" s="44">
        <f ca="1">IFERROR(__xludf.DUMMYFUNCTION("""COMPUTED_VALUE"""),45883)</f>
        <v>45883</v>
      </c>
      <c r="T437" s="45" t="str">
        <f ca="1">IFERROR(__xludf.DUMMYFUNCTION("""COMPUTED_VALUE"""),"Milton, ON, CA")</f>
        <v>Milton, ON, CA</v>
      </c>
      <c r="U437" s="45"/>
      <c r="V437" s="45"/>
      <c r="W437" s="45"/>
      <c r="X437" s="45"/>
      <c r="Y437" s="46">
        <f ca="1">IFERROR(__xludf.DUMMYFUNCTION("""COMPUTED_VALUE"""),45832)</f>
        <v>45832</v>
      </c>
      <c r="Z437" s="46">
        <f ca="1">IFERROR(__xludf.DUMMYFUNCTION("""COMPUTED_VALUE"""),45861)</f>
        <v>45861</v>
      </c>
      <c r="AA437" s="46">
        <f ca="1">IFERROR(__xludf.DUMMYFUNCTION("""COMPUTED_VALUE"""),45874)</f>
        <v>45874</v>
      </c>
      <c r="AB437" s="45" t="str">
        <f ca="1">IFERROR(__xludf.DUMMYFUNCTION("""COMPUTED_VALUE"""),"7211 Fifth Line")</f>
        <v>7211 Fifth Line</v>
      </c>
      <c r="AC437" s="45"/>
      <c r="AD437" s="45" t="str">
        <f ca="1">IFERROR(__xludf.DUMMYFUNCTION("""COMPUTED_VALUE"""),"OCEAN")</f>
        <v>OCEAN</v>
      </c>
      <c r="AE437" s="45" t="str">
        <f ca="1">IFERROR(__xludf.DUMMYFUNCTION("""COMPUTED_VALUE"""),"N")</f>
        <v>N</v>
      </c>
      <c r="AF437" s="45"/>
      <c r="AG437" s="49" t="str">
        <f ca="1">IFERROR(__xludf.DUMMYFUNCTION("IFNA(vlookup(H437,IMPORTRANGE(""1vUGwO1n0QQGx9kKbO0_M5gmuhXZ6-LaxQxgrmJnzgP0"",""'TP# look up'!A:C""),3,0),"""")"),"")</f>
        <v/>
      </c>
      <c r="AH437" s="49" t="str">
        <f t="shared" ca="1" si="6"/>
        <v>LM</v>
      </c>
    </row>
    <row r="438" spans="1:34" ht="12.75">
      <c r="A438" s="45" t="str">
        <f ca="1">IFERROR(__xludf.DUMMYFUNCTION("""COMPUTED_VALUE"""),"Colombo")</f>
        <v>Colombo</v>
      </c>
      <c r="B438" s="45"/>
      <c r="C438" s="45">
        <f ca="1">IFERROR(__xludf.DUMMYFUNCTION("""COMPUTED_VALUE"""),3254508)</f>
        <v>3254508</v>
      </c>
      <c r="D438" s="45"/>
      <c r="E438" s="45" t="str">
        <f ca="1">IFERROR(__xludf.DUMMYFUNCTION("""COMPUTED_VALUE"""),"CFS")</f>
        <v>CFS</v>
      </c>
      <c r="F438" s="45" t="str">
        <f ca="1">IFERROR(__xludf.DUMMYFUNCTION("""COMPUTED_VALUE"""),"MAS AMITY PTE LTD")</f>
        <v>MAS AMITY PTE LTD</v>
      </c>
      <c r="G438" s="45" t="str">
        <f ca="1">IFERROR(__xludf.DUMMYFUNCTION("""COMPUTED_VALUE"""),"MAS Active (Pvt) Ltd - Linea Intimo")</f>
        <v>MAS Active (Pvt) Ltd - Linea Intimo</v>
      </c>
      <c r="H438" s="43">
        <f ca="1">IFERROR(__xludf.DUMMYFUNCTION("""COMPUTED_VALUE"""),454698452151)</f>
        <v>454698452151</v>
      </c>
      <c r="I438" s="45">
        <f ca="1">IFERROR(__xludf.DUMMYFUNCTION("""COMPUTED_VALUE"""),19897818)</f>
        <v>19897818</v>
      </c>
      <c r="J438" s="45" t="str">
        <f ca="1">IFERROR(__xludf.DUMMYFUNCTION("""COMPUTED_VALUE"""),"LM3FHKS")</f>
        <v>LM3FHKS</v>
      </c>
      <c r="K438" s="45" t="str">
        <f ca="1">IFERROR(__xludf.DUMMYFUNCTION("""COMPUTED_VALUE"""),"LM3FHKS-069299")</f>
        <v>LM3FHKS-069299</v>
      </c>
      <c r="L438" s="45">
        <f ca="1">IFERROR(__xludf.DUMMYFUNCTION("""COMPUTED_VALUE"""),3)</f>
        <v>3</v>
      </c>
      <c r="M438" s="45">
        <f ca="1">IFERROR(__xludf.DUMMYFUNCTION("""COMPUTED_VALUE"""),101)</f>
        <v>101</v>
      </c>
      <c r="N438" s="45">
        <f ca="1">IFERROR(__xludf.DUMMYFUNCTION("""COMPUTED_VALUE"""),22.839)</f>
        <v>22.838999999999999</v>
      </c>
      <c r="O438" s="45">
        <f ca="1">IFERROR(__xludf.DUMMYFUNCTION("""COMPUTED_VALUE"""),0.158)</f>
        <v>0.158</v>
      </c>
      <c r="P438" s="45" t="str">
        <f ca="1">IFERROR(__xludf.DUMMYFUNCTION("""COMPUTED_VALUE"""),"Colombo, LK")</f>
        <v>Colombo, LK</v>
      </c>
      <c r="Q438" s="45" t="str">
        <f ca="1">IFERROR(__xludf.DUMMYFUNCTION("""COMPUTED_VALUE"""),"New York, NY, US")</f>
        <v>New York, NY, US</v>
      </c>
      <c r="R438" s="44">
        <f ca="1">IFERROR(__xludf.DUMMYFUNCTION("""COMPUTED_VALUE"""),45824)</f>
        <v>45824</v>
      </c>
      <c r="S438" s="44">
        <f ca="1">IFERROR(__xludf.DUMMYFUNCTION("""COMPUTED_VALUE"""),45883)</f>
        <v>45883</v>
      </c>
      <c r="T438" s="45" t="str">
        <f ca="1">IFERROR(__xludf.DUMMYFUNCTION("""COMPUTED_VALUE"""),"Milton, ON, CA")</f>
        <v>Milton, ON, CA</v>
      </c>
      <c r="U438" s="45"/>
      <c r="V438" s="45"/>
      <c r="W438" s="45"/>
      <c r="X438" s="45"/>
      <c r="Y438" s="46">
        <f ca="1">IFERROR(__xludf.DUMMYFUNCTION("""COMPUTED_VALUE"""),45832)</f>
        <v>45832</v>
      </c>
      <c r="Z438" s="46">
        <f ca="1">IFERROR(__xludf.DUMMYFUNCTION("""COMPUTED_VALUE"""),45861)</f>
        <v>45861</v>
      </c>
      <c r="AA438" s="46">
        <f ca="1">IFERROR(__xludf.DUMMYFUNCTION("""COMPUTED_VALUE"""),45874)</f>
        <v>45874</v>
      </c>
      <c r="AB438" s="45" t="str">
        <f ca="1">IFERROR(__xludf.DUMMYFUNCTION("""COMPUTED_VALUE"""),"7211 Fifth Line")</f>
        <v>7211 Fifth Line</v>
      </c>
      <c r="AC438" s="45"/>
      <c r="AD438" s="45" t="str">
        <f ca="1">IFERROR(__xludf.DUMMYFUNCTION("""COMPUTED_VALUE"""),"OCEAN")</f>
        <v>OCEAN</v>
      </c>
      <c r="AE438" s="45" t="str">
        <f ca="1">IFERROR(__xludf.DUMMYFUNCTION("""COMPUTED_VALUE"""),"N")</f>
        <v>N</v>
      </c>
      <c r="AF438" s="45"/>
      <c r="AG438" s="49" t="str">
        <f ca="1">IFERROR(__xludf.DUMMYFUNCTION("IFNA(vlookup(H438,IMPORTRANGE(""1vUGwO1n0QQGx9kKbO0_M5gmuhXZ6-LaxQxgrmJnzgP0"",""'TP# look up'!A:C""),3,0),"""")"),"")</f>
        <v/>
      </c>
      <c r="AH438" s="49" t="str">
        <f t="shared" ca="1" si="6"/>
        <v>LM</v>
      </c>
    </row>
    <row r="439" spans="1:34" ht="12.75">
      <c r="A439" s="45" t="str">
        <f ca="1">IFERROR(__xludf.DUMMYFUNCTION("""COMPUTED_VALUE"""),"Colombo")</f>
        <v>Colombo</v>
      </c>
      <c r="B439" s="45"/>
      <c r="C439" s="45">
        <f ca="1">IFERROR(__xludf.DUMMYFUNCTION("""COMPUTED_VALUE"""),3254508)</f>
        <v>3254508</v>
      </c>
      <c r="D439" s="45"/>
      <c r="E439" s="45" t="str">
        <f ca="1">IFERROR(__xludf.DUMMYFUNCTION("""COMPUTED_VALUE"""),"CFS")</f>
        <v>CFS</v>
      </c>
      <c r="F439" s="45" t="str">
        <f ca="1">IFERROR(__xludf.DUMMYFUNCTION("""COMPUTED_VALUE"""),"MAS AMITY PTE LTD")</f>
        <v>MAS AMITY PTE LTD</v>
      </c>
      <c r="G439" s="45" t="str">
        <f ca="1">IFERROR(__xludf.DUMMYFUNCTION("""COMPUTED_VALUE"""),"MAS Active (Pvt) Ltd - Linea Intimo")</f>
        <v>MAS Active (Pvt) Ltd - Linea Intimo</v>
      </c>
      <c r="H439" s="43">
        <f ca="1">IFERROR(__xludf.DUMMYFUNCTION("""COMPUTED_VALUE"""),454698725219)</f>
        <v>454698725219</v>
      </c>
      <c r="I439" s="45">
        <f ca="1">IFERROR(__xludf.DUMMYFUNCTION("""COMPUTED_VALUE"""),19897806)</f>
        <v>19897806</v>
      </c>
      <c r="J439" s="45" t="str">
        <f ca="1">IFERROR(__xludf.DUMMYFUNCTION("""COMPUTED_VALUE"""),"LM3FG2S")</f>
        <v>LM3FG2S</v>
      </c>
      <c r="K439" s="45" t="str">
        <f ca="1">IFERROR(__xludf.DUMMYFUNCTION("""COMPUTED_VALUE"""),"LM3FG2S-0572")</f>
        <v>LM3FG2S-0572</v>
      </c>
      <c r="L439" s="45">
        <f ca="1">IFERROR(__xludf.DUMMYFUNCTION("""COMPUTED_VALUE"""),2)</f>
        <v>2</v>
      </c>
      <c r="M439" s="45">
        <f ca="1">IFERROR(__xludf.DUMMYFUNCTION("""COMPUTED_VALUE"""),164)</f>
        <v>164</v>
      </c>
      <c r="N439" s="45">
        <f ca="1">IFERROR(__xludf.DUMMYFUNCTION("""COMPUTED_VALUE"""),24.668)</f>
        <v>24.667999999999999</v>
      </c>
      <c r="O439" s="45">
        <f ca="1">IFERROR(__xludf.DUMMYFUNCTION("""COMPUTED_VALUE"""),0.158)</f>
        <v>0.158</v>
      </c>
      <c r="P439" s="45" t="str">
        <f ca="1">IFERROR(__xludf.DUMMYFUNCTION("""COMPUTED_VALUE"""),"Colombo, LK")</f>
        <v>Colombo, LK</v>
      </c>
      <c r="Q439" s="45" t="str">
        <f ca="1">IFERROR(__xludf.DUMMYFUNCTION("""COMPUTED_VALUE"""),"New York, NY, US")</f>
        <v>New York, NY, US</v>
      </c>
      <c r="R439" s="44">
        <f ca="1">IFERROR(__xludf.DUMMYFUNCTION("""COMPUTED_VALUE"""),45824)</f>
        <v>45824</v>
      </c>
      <c r="S439" s="44">
        <f ca="1">IFERROR(__xludf.DUMMYFUNCTION("""COMPUTED_VALUE"""),45883)</f>
        <v>45883</v>
      </c>
      <c r="T439" s="45" t="str">
        <f ca="1">IFERROR(__xludf.DUMMYFUNCTION("""COMPUTED_VALUE"""),"Milton, ON, CA")</f>
        <v>Milton, ON, CA</v>
      </c>
      <c r="U439" s="45"/>
      <c r="V439" s="45"/>
      <c r="W439" s="45"/>
      <c r="X439" s="45"/>
      <c r="Y439" s="46">
        <f ca="1">IFERROR(__xludf.DUMMYFUNCTION("""COMPUTED_VALUE"""),45832)</f>
        <v>45832</v>
      </c>
      <c r="Z439" s="46">
        <f ca="1">IFERROR(__xludf.DUMMYFUNCTION("""COMPUTED_VALUE"""),45861)</f>
        <v>45861</v>
      </c>
      <c r="AA439" s="46">
        <f ca="1">IFERROR(__xludf.DUMMYFUNCTION("""COMPUTED_VALUE"""),45874)</f>
        <v>45874</v>
      </c>
      <c r="AB439" s="45" t="str">
        <f ca="1">IFERROR(__xludf.DUMMYFUNCTION("""COMPUTED_VALUE"""),"7211 Fifth Line")</f>
        <v>7211 Fifth Line</v>
      </c>
      <c r="AC439" s="45"/>
      <c r="AD439" s="45" t="str">
        <f ca="1">IFERROR(__xludf.DUMMYFUNCTION("""COMPUTED_VALUE"""),"OCEAN")</f>
        <v>OCEAN</v>
      </c>
      <c r="AE439" s="45" t="str">
        <f ca="1">IFERROR(__xludf.DUMMYFUNCTION("""COMPUTED_VALUE"""),"N")</f>
        <v>N</v>
      </c>
      <c r="AF439" s="45"/>
      <c r="AG439" s="49" t="str">
        <f ca="1">IFERROR(__xludf.DUMMYFUNCTION("IFNA(vlookup(H439,IMPORTRANGE(""1vUGwO1n0QQGx9kKbO0_M5gmuhXZ6-LaxQxgrmJnzgP0"",""'TP# look up'!A:C""),3,0),"""")"),"")</f>
        <v/>
      </c>
      <c r="AH439" s="49" t="str">
        <f t="shared" ca="1" si="6"/>
        <v>LM</v>
      </c>
    </row>
    <row r="440" spans="1:34" ht="12.75">
      <c r="A440" s="45" t="str">
        <f ca="1">IFERROR(__xludf.DUMMYFUNCTION("""COMPUTED_VALUE"""),"Colombo")</f>
        <v>Colombo</v>
      </c>
      <c r="B440" s="45"/>
      <c r="C440" s="45">
        <f ca="1">IFERROR(__xludf.DUMMYFUNCTION("""COMPUTED_VALUE"""),3254508)</f>
        <v>3254508</v>
      </c>
      <c r="D440" s="45"/>
      <c r="E440" s="45" t="str">
        <f ca="1">IFERROR(__xludf.DUMMYFUNCTION("""COMPUTED_VALUE"""),"CFS")</f>
        <v>CFS</v>
      </c>
      <c r="F440" s="45" t="str">
        <f ca="1">IFERROR(__xludf.DUMMYFUNCTION("""COMPUTED_VALUE"""),"MAS AMITY PTE LTD")</f>
        <v>MAS AMITY PTE LTD</v>
      </c>
      <c r="G440" s="45" t="str">
        <f ca="1">IFERROR(__xludf.DUMMYFUNCTION("""COMPUTED_VALUE"""),"MAS Active (Pvt) Ltd - Linea Intimo")</f>
        <v>MAS Active (Pvt) Ltd - Linea Intimo</v>
      </c>
      <c r="H440" s="43">
        <f ca="1">IFERROR(__xludf.DUMMYFUNCTION("""COMPUTED_VALUE"""),454699451892)</f>
        <v>454699451892</v>
      </c>
      <c r="I440" s="45">
        <f ca="1">IFERROR(__xludf.DUMMYFUNCTION("""COMPUTED_VALUE"""),19897828)</f>
        <v>19897828</v>
      </c>
      <c r="J440" s="45" t="str">
        <f ca="1">IFERROR(__xludf.DUMMYFUNCTION("""COMPUTED_VALUE"""),"LM3FPES")</f>
        <v>LM3FPES</v>
      </c>
      <c r="K440" s="45" t="str">
        <f ca="1">IFERROR(__xludf.DUMMYFUNCTION("""COMPUTED_VALUE"""),"LM3FPES-042836")</f>
        <v>LM3FPES-042836</v>
      </c>
      <c r="L440" s="45">
        <f ca="1">IFERROR(__xludf.DUMMYFUNCTION("""COMPUTED_VALUE"""),6)</f>
        <v>6</v>
      </c>
      <c r="M440" s="45">
        <f ca="1">IFERROR(__xludf.DUMMYFUNCTION("""COMPUTED_VALUE"""),377)</f>
        <v>377</v>
      </c>
      <c r="N440" s="45">
        <f ca="1">IFERROR(__xludf.DUMMYFUNCTION("""COMPUTED_VALUE"""),63.954)</f>
        <v>63.954000000000001</v>
      </c>
      <c r="O440" s="45">
        <f ca="1">IFERROR(__xludf.DUMMYFUNCTION("""COMPUTED_VALUE"""),0.395)</f>
        <v>0.39500000000000002</v>
      </c>
      <c r="P440" s="45" t="str">
        <f ca="1">IFERROR(__xludf.DUMMYFUNCTION("""COMPUTED_VALUE"""),"Colombo, LK")</f>
        <v>Colombo, LK</v>
      </c>
      <c r="Q440" s="45" t="str">
        <f ca="1">IFERROR(__xludf.DUMMYFUNCTION("""COMPUTED_VALUE"""),"New York, NY, US")</f>
        <v>New York, NY, US</v>
      </c>
      <c r="R440" s="44">
        <f ca="1">IFERROR(__xludf.DUMMYFUNCTION("""COMPUTED_VALUE"""),45824)</f>
        <v>45824</v>
      </c>
      <c r="S440" s="44">
        <f ca="1">IFERROR(__xludf.DUMMYFUNCTION("""COMPUTED_VALUE"""),45883)</f>
        <v>45883</v>
      </c>
      <c r="T440" s="45" t="str">
        <f ca="1">IFERROR(__xludf.DUMMYFUNCTION("""COMPUTED_VALUE"""),"Milton, ON, CA")</f>
        <v>Milton, ON, CA</v>
      </c>
      <c r="U440" s="45"/>
      <c r="V440" s="45"/>
      <c r="W440" s="45"/>
      <c r="X440" s="45"/>
      <c r="Y440" s="46">
        <f ca="1">IFERROR(__xludf.DUMMYFUNCTION("""COMPUTED_VALUE"""),45832)</f>
        <v>45832</v>
      </c>
      <c r="Z440" s="46">
        <f ca="1">IFERROR(__xludf.DUMMYFUNCTION("""COMPUTED_VALUE"""),45861)</f>
        <v>45861</v>
      </c>
      <c r="AA440" s="46">
        <f ca="1">IFERROR(__xludf.DUMMYFUNCTION("""COMPUTED_VALUE"""),45874)</f>
        <v>45874</v>
      </c>
      <c r="AB440" s="45" t="str">
        <f ca="1">IFERROR(__xludf.DUMMYFUNCTION("""COMPUTED_VALUE"""),"7211 Fifth Line")</f>
        <v>7211 Fifth Line</v>
      </c>
      <c r="AC440" s="45"/>
      <c r="AD440" s="45" t="str">
        <f ca="1">IFERROR(__xludf.DUMMYFUNCTION("""COMPUTED_VALUE"""),"OCEAN")</f>
        <v>OCEAN</v>
      </c>
      <c r="AE440" s="45" t="str">
        <f ca="1">IFERROR(__xludf.DUMMYFUNCTION("""COMPUTED_VALUE"""),"N")</f>
        <v>N</v>
      </c>
      <c r="AF440" s="45"/>
      <c r="AG440" s="49" t="str">
        <f ca="1">IFERROR(__xludf.DUMMYFUNCTION("IFNA(vlookup(H440,IMPORTRANGE(""1vUGwO1n0QQGx9kKbO0_M5gmuhXZ6-LaxQxgrmJnzgP0"",""'TP# look up'!A:C""),3,0),"""")"),"")</f>
        <v/>
      </c>
      <c r="AH440" s="49" t="str">
        <f t="shared" ca="1" si="6"/>
        <v>LM</v>
      </c>
    </row>
    <row r="441" spans="1:34" ht="12.75">
      <c r="A441" s="45" t="str">
        <f ca="1">IFERROR(__xludf.DUMMYFUNCTION("""COMPUTED_VALUE"""),"Colombo")</f>
        <v>Colombo</v>
      </c>
      <c r="B441" s="45"/>
      <c r="C441" s="45">
        <f ca="1">IFERROR(__xludf.DUMMYFUNCTION("""COMPUTED_VALUE"""),3254508)</f>
        <v>3254508</v>
      </c>
      <c r="D441" s="45"/>
      <c r="E441" s="45" t="str">
        <f ca="1">IFERROR(__xludf.DUMMYFUNCTION("""COMPUTED_VALUE"""),"CFS")</f>
        <v>CFS</v>
      </c>
      <c r="F441" s="45" t="str">
        <f ca="1">IFERROR(__xludf.DUMMYFUNCTION("""COMPUTED_VALUE"""),"MAS AMITY PTE LTD")</f>
        <v>MAS AMITY PTE LTD</v>
      </c>
      <c r="G441" s="45" t="str">
        <f ca="1">IFERROR(__xludf.DUMMYFUNCTION("""COMPUTED_VALUE"""),"MAS Active (Pvt) Ltd - Linea Intimo")</f>
        <v>MAS Active (Pvt) Ltd - Linea Intimo</v>
      </c>
      <c r="H441" s="43">
        <f ca="1">IFERROR(__xludf.DUMMYFUNCTION("""COMPUTED_VALUE"""),454700125508)</f>
        <v>454700125508</v>
      </c>
      <c r="I441" s="45">
        <f ca="1">IFERROR(__xludf.DUMMYFUNCTION("""COMPUTED_VALUE"""),19900411)</f>
        <v>19900411</v>
      </c>
      <c r="J441" s="45" t="str">
        <f ca="1">IFERROR(__xludf.DUMMYFUNCTION("""COMPUTED_VALUE"""),"LW3DFMS")</f>
        <v>LW3DFMS</v>
      </c>
      <c r="K441" s="45" t="str">
        <f ca="1">IFERROR(__xludf.DUMMYFUNCTION("""COMPUTED_VALUE"""),"LW3DFMS-035647")</f>
        <v>LW3DFMS-035647</v>
      </c>
      <c r="L441" s="45">
        <f ca="1">IFERROR(__xludf.DUMMYFUNCTION("""COMPUTED_VALUE"""),1)</f>
        <v>1</v>
      </c>
      <c r="M441" s="45">
        <f ca="1">IFERROR(__xludf.DUMMYFUNCTION("""COMPUTED_VALUE"""),51)</f>
        <v>51</v>
      </c>
      <c r="N441" s="45">
        <f ca="1">IFERROR(__xludf.DUMMYFUNCTION("""COMPUTED_VALUE"""),7.042)</f>
        <v>7.0419999999999998</v>
      </c>
      <c r="O441" s="45">
        <f ca="1">IFERROR(__xludf.DUMMYFUNCTION("""COMPUTED_VALUE"""),0.079)</f>
        <v>7.9000000000000001E-2</v>
      </c>
      <c r="P441" s="45" t="str">
        <f ca="1">IFERROR(__xludf.DUMMYFUNCTION("""COMPUTED_VALUE"""),"Colombo, LK")</f>
        <v>Colombo, LK</v>
      </c>
      <c r="Q441" s="45" t="str">
        <f ca="1">IFERROR(__xludf.DUMMYFUNCTION("""COMPUTED_VALUE"""),"New York, NY, US")</f>
        <v>New York, NY, US</v>
      </c>
      <c r="R441" s="44">
        <f ca="1">IFERROR(__xludf.DUMMYFUNCTION("""COMPUTED_VALUE"""),45824)</f>
        <v>45824</v>
      </c>
      <c r="S441" s="44">
        <f ca="1">IFERROR(__xludf.DUMMYFUNCTION("""COMPUTED_VALUE"""),45883)</f>
        <v>45883</v>
      </c>
      <c r="T441" s="45" t="str">
        <f ca="1">IFERROR(__xludf.DUMMYFUNCTION("""COMPUTED_VALUE"""),"Milton, ON, CA")</f>
        <v>Milton, ON, CA</v>
      </c>
      <c r="U441" s="45"/>
      <c r="V441" s="45"/>
      <c r="W441" s="45"/>
      <c r="X441" s="45"/>
      <c r="Y441" s="46">
        <f ca="1">IFERROR(__xludf.DUMMYFUNCTION("""COMPUTED_VALUE"""),45832)</f>
        <v>45832</v>
      </c>
      <c r="Z441" s="46">
        <f ca="1">IFERROR(__xludf.DUMMYFUNCTION("""COMPUTED_VALUE"""),45861)</f>
        <v>45861</v>
      </c>
      <c r="AA441" s="46">
        <f ca="1">IFERROR(__xludf.DUMMYFUNCTION("""COMPUTED_VALUE"""),45874)</f>
        <v>45874</v>
      </c>
      <c r="AB441" s="45" t="str">
        <f ca="1">IFERROR(__xludf.DUMMYFUNCTION("""COMPUTED_VALUE"""),"7211 Fifth Line")</f>
        <v>7211 Fifth Line</v>
      </c>
      <c r="AC441" s="45"/>
      <c r="AD441" s="45" t="str">
        <f ca="1">IFERROR(__xludf.DUMMYFUNCTION("""COMPUTED_VALUE"""),"OCEAN")</f>
        <v>OCEAN</v>
      </c>
      <c r="AE441" s="45" t="str">
        <f ca="1">IFERROR(__xludf.DUMMYFUNCTION("""COMPUTED_VALUE"""),"N")</f>
        <v>N</v>
      </c>
      <c r="AF441" s="45"/>
      <c r="AG441" s="49" t="str">
        <f ca="1">IFERROR(__xludf.DUMMYFUNCTION("IFNA(vlookup(H441,IMPORTRANGE(""1vUGwO1n0QQGx9kKbO0_M5gmuhXZ6-LaxQxgrmJnzgP0"",""'TP# look up'!A:C""),3,0),"""")"),"")</f>
        <v/>
      </c>
      <c r="AH441" s="49" t="str">
        <f t="shared" ca="1" si="6"/>
        <v>LW</v>
      </c>
    </row>
    <row r="442" spans="1:34" ht="12.75">
      <c r="A442" s="45" t="str">
        <f ca="1">IFERROR(__xludf.DUMMYFUNCTION("""COMPUTED_VALUE"""),"Colombo")</f>
        <v>Colombo</v>
      </c>
      <c r="B442" s="45"/>
      <c r="C442" s="45">
        <f ca="1">IFERROR(__xludf.DUMMYFUNCTION("""COMPUTED_VALUE"""),3254508)</f>
        <v>3254508</v>
      </c>
      <c r="D442" s="45"/>
      <c r="E442" s="45" t="str">
        <f ca="1">IFERROR(__xludf.DUMMYFUNCTION("""COMPUTED_VALUE"""),"CFS")</f>
        <v>CFS</v>
      </c>
      <c r="F442" s="45" t="str">
        <f ca="1">IFERROR(__xludf.DUMMYFUNCTION("""COMPUTED_VALUE"""),"MAS AMITY PTE LTD")</f>
        <v>MAS AMITY PTE LTD</v>
      </c>
      <c r="G442" s="45" t="str">
        <f ca="1">IFERROR(__xludf.DUMMYFUNCTION("""COMPUTED_VALUE"""),"MAS Active (Pvt) Ltd - Linea Intimo")</f>
        <v>MAS Active (Pvt) Ltd - Linea Intimo</v>
      </c>
      <c r="H442" s="43">
        <f ca="1">IFERROR(__xludf.DUMMYFUNCTION("""COMPUTED_VALUE"""),454700362711)</f>
        <v>454700362711</v>
      </c>
      <c r="I442" s="45">
        <f ca="1">IFERROR(__xludf.DUMMYFUNCTION("""COMPUTED_VALUE"""),19900461)</f>
        <v>19900461</v>
      </c>
      <c r="J442" s="45" t="str">
        <f ca="1">IFERROR(__xludf.DUMMYFUNCTION("""COMPUTED_VALUE"""),"LW3DFNS")</f>
        <v>LW3DFNS</v>
      </c>
      <c r="K442" s="45" t="str">
        <f ca="1">IFERROR(__xludf.DUMMYFUNCTION("""COMPUTED_VALUE"""),"LW3DFNS-0572")</f>
        <v>LW3DFNS-0572</v>
      </c>
      <c r="L442" s="45">
        <f ca="1">IFERROR(__xludf.DUMMYFUNCTION("""COMPUTED_VALUE"""),9)</f>
        <v>9</v>
      </c>
      <c r="M442" s="45">
        <f ca="1">IFERROR(__xludf.DUMMYFUNCTION("""COMPUTED_VALUE"""),794)</f>
        <v>794</v>
      </c>
      <c r="N442" s="45">
        <f ca="1">IFERROR(__xludf.DUMMYFUNCTION("""COMPUTED_VALUE"""),95.38)</f>
        <v>95.38</v>
      </c>
      <c r="O442" s="45">
        <f ca="1">IFERROR(__xludf.DUMMYFUNCTION("""COMPUTED_VALUE"""),0.714)</f>
        <v>0.71399999999999997</v>
      </c>
      <c r="P442" s="45" t="str">
        <f ca="1">IFERROR(__xludf.DUMMYFUNCTION("""COMPUTED_VALUE"""),"Colombo, LK")</f>
        <v>Colombo, LK</v>
      </c>
      <c r="Q442" s="45" t="str">
        <f ca="1">IFERROR(__xludf.DUMMYFUNCTION("""COMPUTED_VALUE"""),"New York, NY, US")</f>
        <v>New York, NY, US</v>
      </c>
      <c r="R442" s="44">
        <f ca="1">IFERROR(__xludf.DUMMYFUNCTION("""COMPUTED_VALUE"""),45824)</f>
        <v>45824</v>
      </c>
      <c r="S442" s="44">
        <f ca="1">IFERROR(__xludf.DUMMYFUNCTION("""COMPUTED_VALUE"""),45883)</f>
        <v>45883</v>
      </c>
      <c r="T442" s="45" t="str">
        <f ca="1">IFERROR(__xludf.DUMMYFUNCTION("""COMPUTED_VALUE"""),"Milton, ON, CA")</f>
        <v>Milton, ON, CA</v>
      </c>
      <c r="U442" s="45"/>
      <c r="V442" s="45"/>
      <c r="W442" s="45"/>
      <c r="X442" s="45"/>
      <c r="Y442" s="46">
        <f ca="1">IFERROR(__xludf.DUMMYFUNCTION("""COMPUTED_VALUE"""),45832)</f>
        <v>45832</v>
      </c>
      <c r="Z442" s="46">
        <f ca="1">IFERROR(__xludf.DUMMYFUNCTION("""COMPUTED_VALUE"""),45861)</f>
        <v>45861</v>
      </c>
      <c r="AA442" s="46">
        <f ca="1">IFERROR(__xludf.DUMMYFUNCTION("""COMPUTED_VALUE"""),45874)</f>
        <v>45874</v>
      </c>
      <c r="AB442" s="45" t="str">
        <f ca="1">IFERROR(__xludf.DUMMYFUNCTION("""COMPUTED_VALUE"""),"7211 Fifth Line")</f>
        <v>7211 Fifth Line</v>
      </c>
      <c r="AC442" s="45"/>
      <c r="AD442" s="45" t="str">
        <f ca="1">IFERROR(__xludf.DUMMYFUNCTION("""COMPUTED_VALUE"""),"OCEAN")</f>
        <v>OCEAN</v>
      </c>
      <c r="AE442" s="45" t="str">
        <f ca="1">IFERROR(__xludf.DUMMYFUNCTION("""COMPUTED_VALUE"""),"N")</f>
        <v>N</v>
      </c>
      <c r="AF442" s="45"/>
      <c r="AG442" s="49" t="str">
        <f ca="1">IFERROR(__xludf.DUMMYFUNCTION("IFNA(vlookup(H442,IMPORTRANGE(""1vUGwO1n0QQGx9kKbO0_M5gmuhXZ6-LaxQxgrmJnzgP0"",""'TP# look up'!A:C""),3,0),"""")"),"")</f>
        <v/>
      </c>
      <c r="AH442" s="49" t="str">
        <f t="shared" ca="1" si="6"/>
        <v>LW</v>
      </c>
    </row>
    <row r="443" spans="1:34" ht="12.75">
      <c r="A443" s="45" t="str">
        <f ca="1">IFERROR(__xludf.DUMMYFUNCTION("""COMPUTED_VALUE"""),"Colombo")</f>
        <v>Colombo</v>
      </c>
      <c r="B443" s="45"/>
      <c r="C443" s="45">
        <f ca="1">IFERROR(__xludf.DUMMYFUNCTION("""COMPUTED_VALUE"""),3254508)</f>
        <v>3254508</v>
      </c>
      <c r="D443" s="45"/>
      <c r="E443" s="45" t="str">
        <f ca="1">IFERROR(__xludf.DUMMYFUNCTION("""COMPUTED_VALUE"""),"CFS")</f>
        <v>CFS</v>
      </c>
      <c r="F443" s="45" t="str">
        <f ca="1">IFERROR(__xludf.DUMMYFUNCTION("""COMPUTED_VALUE"""),"MAS AMITY PTE LTD")</f>
        <v>MAS AMITY PTE LTD</v>
      </c>
      <c r="G443" s="45" t="str">
        <f ca="1">IFERROR(__xludf.DUMMYFUNCTION("""COMPUTED_VALUE"""),"MAS Active (Pvt) Ltd - Linea Intimo")</f>
        <v>MAS Active (Pvt) Ltd - Linea Intimo</v>
      </c>
      <c r="H443" s="43">
        <f ca="1">IFERROR(__xludf.DUMMYFUNCTION("""COMPUTED_VALUE"""),454700762303)</f>
        <v>454700762303</v>
      </c>
      <c r="I443" s="45">
        <f ca="1">IFERROR(__xludf.DUMMYFUNCTION("""COMPUTED_VALUE"""),19900412)</f>
        <v>19900412</v>
      </c>
      <c r="J443" s="45" t="str">
        <f ca="1">IFERROR(__xludf.DUMMYFUNCTION("""COMPUTED_VALUE"""),"LW3DFMS")</f>
        <v>LW3DFMS</v>
      </c>
      <c r="K443" s="45" t="str">
        <f ca="1">IFERROR(__xludf.DUMMYFUNCTION("""COMPUTED_VALUE"""),"LW3DFMS-062658")</f>
        <v>LW3DFMS-062658</v>
      </c>
      <c r="L443" s="45">
        <f ca="1">IFERROR(__xludf.DUMMYFUNCTION("""COMPUTED_VALUE"""),6)</f>
        <v>6</v>
      </c>
      <c r="M443" s="45">
        <f ca="1">IFERROR(__xludf.DUMMYFUNCTION("""COMPUTED_VALUE"""),356)</f>
        <v>356</v>
      </c>
      <c r="N443" s="45">
        <f ca="1">IFERROR(__xludf.DUMMYFUNCTION("""COMPUTED_VALUE"""),46.725)</f>
        <v>46.725000000000001</v>
      </c>
      <c r="O443" s="45">
        <f ca="1">IFERROR(__xludf.DUMMYFUNCTION("""COMPUTED_VALUE"""),0.395)</f>
        <v>0.39500000000000002</v>
      </c>
      <c r="P443" s="45" t="str">
        <f ca="1">IFERROR(__xludf.DUMMYFUNCTION("""COMPUTED_VALUE"""),"Colombo, LK")</f>
        <v>Colombo, LK</v>
      </c>
      <c r="Q443" s="45" t="str">
        <f ca="1">IFERROR(__xludf.DUMMYFUNCTION("""COMPUTED_VALUE"""),"New York, NY, US")</f>
        <v>New York, NY, US</v>
      </c>
      <c r="R443" s="44">
        <f ca="1">IFERROR(__xludf.DUMMYFUNCTION("""COMPUTED_VALUE"""),45824)</f>
        <v>45824</v>
      </c>
      <c r="S443" s="44">
        <f ca="1">IFERROR(__xludf.DUMMYFUNCTION("""COMPUTED_VALUE"""),45883)</f>
        <v>45883</v>
      </c>
      <c r="T443" s="45" t="str">
        <f ca="1">IFERROR(__xludf.DUMMYFUNCTION("""COMPUTED_VALUE"""),"Milton, ON, CA")</f>
        <v>Milton, ON, CA</v>
      </c>
      <c r="U443" s="45"/>
      <c r="V443" s="45"/>
      <c r="W443" s="45"/>
      <c r="X443" s="45"/>
      <c r="Y443" s="46">
        <f ca="1">IFERROR(__xludf.DUMMYFUNCTION("""COMPUTED_VALUE"""),45832)</f>
        <v>45832</v>
      </c>
      <c r="Z443" s="46">
        <f ca="1">IFERROR(__xludf.DUMMYFUNCTION("""COMPUTED_VALUE"""),45861)</f>
        <v>45861</v>
      </c>
      <c r="AA443" s="46">
        <f ca="1">IFERROR(__xludf.DUMMYFUNCTION("""COMPUTED_VALUE"""),45874)</f>
        <v>45874</v>
      </c>
      <c r="AB443" s="45" t="str">
        <f ca="1">IFERROR(__xludf.DUMMYFUNCTION("""COMPUTED_VALUE"""),"7211 Fifth Line")</f>
        <v>7211 Fifth Line</v>
      </c>
      <c r="AC443" s="45"/>
      <c r="AD443" s="45" t="str">
        <f ca="1">IFERROR(__xludf.DUMMYFUNCTION("""COMPUTED_VALUE"""),"OCEAN")</f>
        <v>OCEAN</v>
      </c>
      <c r="AE443" s="45" t="str">
        <f ca="1">IFERROR(__xludf.DUMMYFUNCTION("""COMPUTED_VALUE"""),"N")</f>
        <v>N</v>
      </c>
      <c r="AF443" s="45"/>
      <c r="AG443" s="49" t="str">
        <f ca="1">IFERROR(__xludf.DUMMYFUNCTION("IFNA(vlookup(H443,IMPORTRANGE(""1vUGwO1n0QQGx9kKbO0_M5gmuhXZ6-LaxQxgrmJnzgP0"",""'TP# look up'!A:C""),3,0),"""")"),"")</f>
        <v/>
      </c>
      <c r="AH443" s="49" t="str">
        <f t="shared" ca="1" si="6"/>
        <v>LW</v>
      </c>
    </row>
    <row r="444" spans="1:34" ht="12.75">
      <c r="A444" s="45" t="str">
        <f ca="1">IFERROR(__xludf.DUMMYFUNCTION("""COMPUTED_VALUE"""),"Colombo")</f>
        <v>Colombo</v>
      </c>
      <c r="B444" s="45"/>
      <c r="C444" s="45">
        <f ca="1">IFERROR(__xludf.DUMMYFUNCTION("""COMPUTED_VALUE"""),3254508)</f>
        <v>3254508</v>
      </c>
      <c r="D444" s="45"/>
      <c r="E444" s="45" t="str">
        <f ca="1">IFERROR(__xludf.DUMMYFUNCTION("""COMPUTED_VALUE"""),"CFS")</f>
        <v>CFS</v>
      </c>
      <c r="F444" s="45" t="str">
        <f ca="1">IFERROR(__xludf.DUMMYFUNCTION("""COMPUTED_VALUE"""),"MAS AMITY PTE LTD")</f>
        <v>MAS AMITY PTE LTD</v>
      </c>
      <c r="G444" s="45" t="str">
        <f ca="1">IFERROR(__xludf.DUMMYFUNCTION("""COMPUTED_VALUE"""),"MAS Active (Pvt) Ltd - Linea Intimo")</f>
        <v>MAS Active (Pvt) Ltd - Linea Intimo</v>
      </c>
      <c r="H444" s="43">
        <f ca="1">IFERROR(__xludf.DUMMYFUNCTION("""COMPUTED_VALUE"""),454700903665)</f>
        <v>454700903665</v>
      </c>
      <c r="I444" s="45">
        <f ca="1">IFERROR(__xludf.DUMMYFUNCTION("""COMPUTED_VALUE"""),19900430)</f>
        <v>19900430</v>
      </c>
      <c r="J444" s="45" t="str">
        <f ca="1">IFERROR(__xludf.DUMMYFUNCTION("""COMPUTED_VALUE"""),"LW3DFMS")</f>
        <v>LW3DFMS</v>
      </c>
      <c r="K444" s="45" t="str">
        <f ca="1">IFERROR(__xludf.DUMMYFUNCTION("""COMPUTED_VALUE"""),"LW3DFMS-062659")</f>
        <v>LW3DFMS-062659</v>
      </c>
      <c r="L444" s="45">
        <f ca="1">IFERROR(__xludf.DUMMYFUNCTION("""COMPUTED_VALUE"""),8)</f>
        <v>8</v>
      </c>
      <c r="M444" s="45">
        <f ca="1">IFERROR(__xludf.DUMMYFUNCTION("""COMPUTED_VALUE"""),469)</f>
        <v>469</v>
      </c>
      <c r="N444" s="45">
        <f ca="1">IFERROR(__xludf.DUMMYFUNCTION("""COMPUTED_VALUE"""),61.232)</f>
        <v>61.231999999999999</v>
      </c>
      <c r="O444" s="45">
        <f ca="1">IFERROR(__xludf.DUMMYFUNCTION("""COMPUTED_VALUE"""),0.474)</f>
        <v>0.47399999999999998</v>
      </c>
      <c r="P444" s="45" t="str">
        <f ca="1">IFERROR(__xludf.DUMMYFUNCTION("""COMPUTED_VALUE"""),"Colombo, LK")</f>
        <v>Colombo, LK</v>
      </c>
      <c r="Q444" s="45" t="str">
        <f ca="1">IFERROR(__xludf.DUMMYFUNCTION("""COMPUTED_VALUE"""),"New York, NY, US")</f>
        <v>New York, NY, US</v>
      </c>
      <c r="R444" s="44">
        <f ca="1">IFERROR(__xludf.DUMMYFUNCTION("""COMPUTED_VALUE"""),45824)</f>
        <v>45824</v>
      </c>
      <c r="S444" s="44">
        <f ca="1">IFERROR(__xludf.DUMMYFUNCTION("""COMPUTED_VALUE"""),45883)</f>
        <v>45883</v>
      </c>
      <c r="T444" s="45" t="str">
        <f ca="1">IFERROR(__xludf.DUMMYFUNCTION("""COMPUTED_VALUE"""),"Milton, ON, CA")</f>
        <v>Milton, ON, CA</v>
      </c>
      <c r="U444" s="45"/>
      <c r="V444" s="45"/>
      <c r="W444" s="45"/>
      <c r="X444" s="45"/>
      <c r="Y444" s="46">
        <f ca="1">IFERROR(__xludf.DUMMYFUNCTION("""COMPUTED_VALUE"""),45832)</f>
        <v>45832</v>
      </c>
      <c r="Z444" s="46">
        <f ca="1">IFERROR(__xludf.DUMMYFUNCTION("""COMPUTED_VALUE"""),45861)</f>
        <v>45861</v>
      </c>
      <c r="AA444" s="46">
        <f ca="1">IFERROR(__xludf.DUMMYFUNCTION("""COMPUTED_VALUE"""),45874)</f>
        <v>45874</v>
      </c>
      <c r="AB444" s="45" t="str">
        <f ca="1">IFERROR(__xludf.DUMMYFUNCTION("""COMPUTED_VALUE"""),"7211 Fifth Line")</f>
        <v>7211 Fifth Line</v>
      </c>
      <c r="AC444" s="45"/>
      <c r="AD444" s="45" t="str">
        <f ca="1">IFERROR(__xludf.DUMMYFUNCTION("""COMPUTED_VALUE"""),"OCEAN")</f>
        <v>OCEAN</v>
      </c>
      <c r="AE444" s="45" t="str">
        <f ca="1">IFERROR(__xludf.DUMMYFUNCTION("""COMPUTED_VALUE"""),"N")</f>
        <v>N</v>
      </c>
      <c r="AF444" s="45"/>
      <c r="AG444" s="49" t="str">
        <f ca="1">IFERROR(__xludf.DUMMYFUNCTION("IFNA(vlookup(H444,IMPORTRANGE(""1vUGwO1n0QQGx9kKbO0_M5gmuhXZ6-LaxQxgrmJnzgP0"",""'TP# look up'!A:C""),3,0),"""")"),"")</f>
        <v/>
      </c>
      <c r="AH444" s="49" t="str">
        <f t="shared" ca="1" si="6"/>
        <v>LW</v>
      </c>
    </row>
    <row r="445" spans="1:34" ht="12.75">
      <c r="A445" s="45" t="str">
        <f ca="1">IFERROR(__xludf.DUMMYFUNCTION("""COMPUTED_VALUE"""),"Colombo")</f>
        <v>Colombo</v>
      </c>
      <c r="B445" s="45"/>
      <c r="C445" s="45">
        <f ca="1">IFERROR(__xludf.DUMMYFUNCTION("""COMPUTED_VALUE"""),3254508)</f>
        <v>3254508</v>
      </c>
      <c r="D445" s="45"/>
      <c r="E445" s="45" t="str">
        <f ca="1">IFERROR(__xludf.DUMMYFUNCTION("""COMPUTED_VALUE"""),"CFS")</f>
        <v>CFS</v>
      </c>
      <c r="F445" s="45" t="str">
        <f ca="1">IFERROR(__xludf.DUMMYFUNCTION("""COMPUTED_VALUE"""),"MAS AMITY PTE LTD")</f>
        <v>MAS AMITY PTE LTD</v>
      </c>
      <c r="G445" s="45" t="str">
        <f ca="1">IFERROR(__xludf.DUMMYFUNCTION("""COMPUTED_VALUE"""),"MAS Active (Pvt) Ltd - Linea Intimo")</f>
        <v>MAS Active (Pvt) Ltd - Linea Intimo</v>
      </c>
      <c r="H445" s="43">
        <f ca="1">IFERROR(__xludf.DUMMYFUNCTION("""COMPUTED_VALUE"""),454701117988)</f>
        <v>454701117988</v>
      </c>
      <c r="I445" s="45">
        <f ca="1">IFERROR(__xludf.DUMMYFUNCTION("""COMPUTED_VALUE"""),19900444)</f>
        <v>19900444</v>
      </c>
      <c r="J445" s="45" t="str">
        <f ca="1">IFERROR(__xludf.DUMMYFUNCTION("""COMPUTED_VALUE"""),"LW3DFMS")</f>
        <v>LW3DFMS</v>
      </c>
      <c r="K445" s="45" t="str">
        <f ca="1">IFERROR(__xludf.DUMMYFUNCTION("""COMPUTED_VALUE"""),"LW3DFMS-071178")</f>
        <v>LW3DFMS-071178</v>
      </c>
      <c r="L445" s="45">
        <f ca="1">IFERROR(__xludf.DUMMYFUNCTION("""COMPUTED_VALUE"""),2)</f>
        <v>2</v>
      </c>
      <c r="M445" s="45">
        <f ca="1">IFERROR(__xludf.DUMMYFUNCTION("""COMPUTED_VALUE"""),94)</f>
        <v>94</v>
      </c>
      <c r="N445" s="45">
        <f ca="1">IFERROR(__xludf.DUMMYFUNCTION("""COMPUTED_VALUE"""),12.34)</f>
        <v>12.34</v>
      </c>
      <c r="O445" s="45">
        <f ca="1">IFERROR(__xludf.DUMMYFUNCTION("""COMPUTED_VALUE"""),0.119)</f>
        <v>0.11899999999999999</v>
      </c>
      <c r="P445" s="45" t="str">
        <f ca="1">IFERROR(__xludf.DUMMYFUNCTION("""COMPUTED_VALUE"""),"Colombo, LK")</f>
        <v>Colombo, LK</v>
      </c>
      <c r="Q445" s="45" t="str">
        <f ca="1">IFERROR(__xludf.DUMMYFUNCTION("""COMPUTED_VALUE"""),"New York, NY, US")</f>
        <v>New York, NY, US</v>
      </c>
      <c r="R445" s="44">
        <f ca="1">IFERROR(__xludf.DUMMYFUNCTION("""COMPUTED_VALUE"""),45824)</f>
        <v>45824</v>
      </c>
      <c r="S445" s="44">
        <f ca="1">IFERROR(__xludf.DUMMYFUNCTION("""COMPUTED_VALUE"""),45883)</f>
        <v>45883</v>
      </c>
      <c r="T445" s="45" t="str">
        <f ca="1">IFERROR(__xludf.DUMMYFUNCTION("""COMPUTED_VALUE"""),"Milton, ON, CA")</f>
        <v>Milton, ON, CA</v>
      </c>
      <c r="U445" s="45"/>
      <c r="V445" s="45"/>
      <c r="W445" s="45"/>
      <c r="X445" s="45"/>
      <c r="Y445" s="46">
        <f ca="1">IFERROR(__xludf.DUMMYFUNCTION("""COMPUTED_VALUE"""),45832)</f>
        <v>45832</v>
      </c>
      <c r="Z445" s="46">
        <f ca="1">IFERROR(__xludf.DUMMYFUNCTION("""COMPUTED_VALUE"""),45861)</f>
        <v>45861</v>
      </c>
      <c r="AA445" s="46">
        <f ca="1">IFERROR(__xludf.DUMMYFUNCTION("""COMPUTED_VALUE"""),45874)</f>
        <v>45874</v>
      </c>
      <c r="AB445" s="45" t="str">
        <f ca="1">IFERROR(__xludf.DUMMYFUNCTION("""COMPUTED_VALUE"""),"7211 Fifth Line")</f>
        <v>7211 Fifth Line</v>
      </c>
      <c r="AC445" s="45"/>
      <c r="AD445" s="45" t="str">
        <f ca="1">IFERROR(__xludf.DUMMYFUNCTION("""COMPUTED_VALUE"""),"OCEAN")</f>
        <v>OCEAN</v>
      </c>
      <c r="AE445" s="45" t="str">
        <f ca="1">IFERROR(__xludf.DUMMYFUNCTION("""COMPUTED_VALUE"""),"N")</f>
        <v>N</v>
      </c>
      <c r="AF445" s="45"/>
      <c r="AG445" s="49" t="str">
        <f ca="1">IFERROR(__xludf.DUMMYFUNCTION("IFNA(vlookup(H445,IMPORTRANGE(""1vUGwO1n0QQGx9kKbO0_M5gmuhXZ6-LaxQxgrmJnzgP0"",""'TP# look up'!A:C""),3,0),"""")"),"")</f>
        <v/>
      </c>
      <c r="AH445" s="49" t="str">
        <f t="shared" ca="1" si="6"/>
        <v>LW</v>
      </c>
    </row>
    <row r="446" spans="1:34" ht="12.75">
      <c r="A446" s="45" t="str">
        <f ca="1">IFERROR(__xludf.DUMMYFUNCTION("""COMPUTED_VALUE"""),"Colombo")</f>
        <v>Colombo</v>
      </c>
      <c r="B446" s="45"/>
      <c r="C446" s="45">
        <f ca="1">IFERROR(__xludf.DUMMYFUNCTION("""COMPUTED_VALUE"""),3254508)</f>
        <v>3254508</v>
      </c>
      <c r="D446" s="45"/>
      <c r="E446" s="45" t="str">
        <f ca="1">IFERROR(__xludf.DUMMYFUNCTION("""COMPUTED_VALUE"""),"CFS")</f>
        <v>CFS</v>
      </c>
      <c r="F446" s="45" t="str">
        <f ca="1">IFERROR(__xludf.DUMMYFUNCTION("""COMPUTED_VALUE"""),"MAS AMITY PTE LTD")</f>
        <v>MAS AMITY PTE LTD</v>
      </c>
      <c r="G446" s="45" t="str">
        <f ca="1">IFERROR(__xludf.DUMMYFUNCTION("""COMPUTED_VALUE"""),"MAS Active (Pvt) Ltd - Linea Intimo")</f>
        <v>MAS Active (Pvt) Ltd - Linea Intimo</v>
      </c>
      <c r="H446" s="43">
        <f ca="1">IFERROR(__xludf.DUMMYFUNCTION("""COMPUTED_VALUE"""),454701118361)</f>
        <v>454701118361</v>
      </c>
      <c r="I446" s="45">
        <f ca="1">IFERROR(__xludf.DUMMYFUNCTION("""COMPUTED_VALUE"""),19900496)</f>
        <v>19900496</v>
      </c>
      <c r="J446" s="45" t="str">
        <f ca="1">IFERROR(__xludf.DUMMYFUNCTION("""COMPUTED_VALUE"""),"LW3JE9S")</f>
        <v>LW3JE9S</v>
      </c>
      <c r="K446" s="45" t="str">
        <f ca="1">IFERROR(__xludf.DUMMYFUNCTION("""COMPUTED_VALUE"""),"LW3JE9S-4780")</f>
        <v>LW3JE9S-4780</v>
      </c>
      <c r="L446" s="45">
        <f ca="1">IFERROR(__xludf.DUMMYFUNCTION("""COMPUTED_VALUE"""),11)</f>
        <v>11</v>
      </c>
      <c r="M446" s="45">
        <f ca="1">IFERROR(__xludf.DUMMYFUNCTION("""COMPUTED_VALUE"""),687)</f>
        <v>687</v>
      </c>
      <c r="N446" s="45">
        <f ca="1">IFERROR(__xludf.DUMMYFUNCTION("""COMPUTED_VALUE"""),126.54)</f>
        <v>126.54</v>
      </c>
      <c r="O446" s="45">
        <f ca="1">IFERROR(__xludf.DUMMYFUNCTION("""COMPUTED_VALUE"""),0.829)</f>
        <v>0.82899999999999996</v>
      </c>
      <c r="P446" s="45" t="str">
        <f ca="1">IFERROR(__xludf.DUMMYFUNCTION("""COMPUTED_VALUE"""),"Colombo, LK")</f>
        <v>Colombo, LK</v>
      </c>
      <c r="Q446" s="45" t="str">
        <f ca="1">IFERROR(__xludf.DUMMYFUNCTION("""COMPUTED_VALUE"""),"New York, NY, US")</f>
        <v>New York, NY, US</v>
      </c>
      <c r="R446" s="44">
        <f ca="1">IFERROR(__xludf.DUMMYFUNCTION("""COMPUTED_VALUE"""),45824)</f>
        <v>45824</v>
      </c>
      <c r="S446" s="44">
        <f ca="1">IFERROR(__xludf.DUMMYFUNCTION("""COMPUTED_VALUE"""),45883)</f>
        <v>45883</v>
      </c>
      <c r="T446" s="45" t="str">
        <f ca="1">IFERROR(__xludf.DUMMYFUNCTION("""COMPUTED_VALUE"""),"Milton, ON, CA")</f>
        <v>Milton, ON, CA</v>
      </c>
      <c r="U446" s="45"/>
      <c r="V446" s="45"/>
      <c r="W446" s="45"/>
      <c r="X446" s="45"/>
      <c r="Y446" s="46">
        <f ca="1">IFERROR(__xludf.DUMMYFUNCTION("""COMPUTED_VALUE"""),45832)</f>
        <v>45832</v>
      </c>
      <c r="Z446" s="46">
        <f ca="1">IFERROR(__xludf.DUMMYFUNCTION("""COMPUTED_VALUE"""),45861)</f>
        <v>45861</v>
      </c>
      <c r="AA446" s="46">
        <f ca="1">IFERROR(__xludf.DUMMYFUNCTION("""COMPUTED_VALUE"""),45874)</f>
        <v>45874</v>
      </c>
      <c r="AB446" s="45" t="str">
        <f ca="1">IFERROR(__xludf.DUMMYFUNCTION("""COMPUTED_VALUE"""),"7211 Fifth Line")</f>
        <v>7211 Fifth Line</v>
      </c>
      <c r="AC446" s="45"/>
      <c r="AD446" s="45" t="str">
        <f ca="1">IFERROR(__xludf.DUMMYFUNCTION("""COMPUTED_VALUE"""),"OCEAN")</f>
        <v>OCEAN</v>
      </c>
      <c r="AE446" s="45" t="str">
        <f ca="1">IFERROR(__xludf.DUMMYFUNCTION("""COMPUTED_VALUE"""),"N")</f>
        <v>N</v>
      </c>
      <c r="AF446" s="45"/>
      <c r="AG446" s="49" t="str">
        <f ca="1">IFERROR(__xludf.DUMMYFUNCTION("IFNA(vlookup(H446,IMPORTRANGE(""1vUGwO1n0QQGx9kKbO0_M5gmuhXZ6-LaxQxgrmJnzgP0"",""'TP# look up'!A:C""),3,0),"""")"),"")</f>
        <v/>
      </c>
      <c r="AH446" s="49" t="str">
        <f t="shared" ca="1" si="6"/>
        <v>LW</v>
      </c>
    </row>
    <row r="447" spans="1:34" ht="12.75">
      <c r="A447" s="45" t="str">
        <f ca="1">IFERROR(__xludf.DUMMYFUNCTION("""COMPUTED_VALUE"""),"Colombo")</f>
        <v>Colombo</v>
      </c>
      <c r="B447" s="45"/>
      <c r="C447" s="45">
        <f ca="1">IFERROR(__xludf.DUMMYFUNCTION("""COMPUTED_VALUE"""),3254508)</f>
        <v>3254508</v>
      </c>
      <c r="D447" s="45"/>
      <c r="E447" s="45" t="str">
        <f ca="1">IFERROR(__xludf.DUMMYFUNCTION("""COMPUTED_VALUE"""),"CFS")</f>
        <v>CFS</v>
      </c>
      <c r="F447" s="45" t="str">
        <f ca="1">IFERROR(__xludf.DUMMYFUNCTION("""COMPUTED_VALUE"""),"MAS AMITY PTE LTD")</f>
        <v>MAS AMITY PTE LTD</v>
      </c>
      <c r="G447" s="45" t="str">
        <f ca="1">IFERROR(__xludf.DUMMYFUNCTION("""COMPUTED_VALUE"""),"MAS Active (Pvt) Ltd - Linea Intimo")</f>
        <v>MAS Active (Pvt) Ltd - Linea Intimo</v>
      </c>
      <c r="H447" s="43">
        <f ca="1">IFERROR(__xludf.DUMMYFUNCTION("""COMPUTED_VALUE"""),454701233029)</f>
        <v>454701233029</v>
      </c>
      <c r="I447" s="45">
        <f ca="1">IFERROR(__xludf.DUMMYFUNCTION("""COMPUTED_VALUE"""),19900451)</f>
        <v>19900451</v>
      </c>
      <c r="J447" s="45" t="str">
        <f ca="1">IFERROR(__xludf.DUMMYFUNCTION("""COMPUTED_VALUE"""),"LW3DFNS")</f>
        <v>LW3DFNS</v>
      </c>
      <c r="K447" s="45" t="str">
        <f ca="1">IFERROR(__xludf.DUMMYFUNCTION("""COMPUTED_VALUE"""),"LW3DFNS-0572")</f>
        <v>LW3DFNS-0572</v>
      </c>
      <c r="L447" s="45">
        <f ca="1">IFERROR(__xludf.DUMMYFUNCTION("""COMPUTED_VALUE"""),18)</f>
        <v>18</v>
      </c>
      <c r="M447" s="45">
        <f ca="1">IFERROR(__xludf.DUMMYFUNCTION("""COMPUTED_VALUE"""),1695)</f>
        <v>1695</v>
      </c>
      <c r="N447" s="45">
        <f ca="1">IFERROR(__xludf.DUMMYFUNCTION("""COMPUTED_VALUE"""),198.66)</f>
        <v>198.66</v>
      </c>
      <c r="O447" s="45">
        <f ca="1">IFERROR(__xludf.DUMMYFUNCTION("""COMPUTED_VALUE"""),1.348)</f>
        <v>1.3480000000000001</v>
      </c>
      <c r="P447" s="45" t="str">
        <f ca="1">IFERROR(__xludf.DUMMYFUNCTION("""COMPUTED_VALUE"""),"Colombo, LK")</f>
        <v>Colombo, LK</v>
      </c>
      <c r="Q447" s="45" t="str">
        <f ca="1">IFERROR(__xludf.DUMMYFUNCTION("""COMPUTED_VALUE"""),"New York, NY, US")</f>
        <v>New York, NY, US</v>
      </c>
      <c r="R447" s="44">
        <f ca="1">IFERROR(__xludf.DUMMYFUNCTION("""COMPUTED_VALUE"""),45824)</f>
        <v>45824</v>
      </c>
      <c r="S447" s="44">
        <f ca="1">IFERROR(__xludf.DUMMYFUNCTION("""COMPUTED_VALUE"""),45883)</f>
        <v>45883</v>
      </c>
      <c r="T447" s="45" t="str">
        <f ca="1">IFERROR(__xludf.DUMMYFUNCTION("""COMPUTED_VALUE"""),"Milton, ON, CA")</f>
        <v>Milton, ON, CA</v>
      </c>
      <c r="U447" s="45"/>
      <c r="V447" s="45"/>
      <c r="W447" s="45"/>
      <c r="X447" s="45"/>
      <c r="Y447" s="46">
        <f ca="1">IFERROR(__xludf.DUMMYFUNCTION("""COMPUTED_VALUE"""),45832)</f>
        <v>45832</v>
      </c>
      <c r="Z447" s="46">
        <f ca="1">IFERROR(__xludf.DUMMYFUNCTION("""COMPUTED_VALUE"""),45861)</f>
        <v>45861</v>
      </c>
      <c r="AA447" s="46">
        <f ca="1">IFERROR(__xludf.DUMMYFUNCTION("""COMPUTED_VALUE"""),45874)</f>
        <v>45874</v>
      </c>
      <c r="AB447" s="45" t="str">
        <f ca="1">IFERROR(__xludf.DUMMYFUNCTION("""COMPUTED_VALUE"""),"7211 Fifth Line")</f>
        <v>7211 Fifth Line</v>
      </c>
      <c r="AC447" s="45"/>
      <c r="AD447" s="45" t="str">
        <f ca="1">IFERROR(__xludf.DUMMYFUNCTION("""COMPUTED_VALUE"""),"OCEAN")</f>
        <v>OCEAN</v>
      </c>
      <c r="AE447" s="45" t="str">
        <f ca="1">IFERROR(__xludf.DUMMYFUNCTION("""COMPUTED_VALUE"""),"N")</f>
        <v>N</v>
      </c>
      <c r="AF447" s="45"/>
      <c r="AG447" s="49" t="str">
        <f ca="1">IFERROR(__xludf.DUMMYFUNCTION("IFNA(vlookup(H447,IMPORTRANGE(""1vUGwO1n0QQGx9kKbO0_M5gmuhXZ6-LaxQxgrmJnzgP0"",""'TP# look up'!A:C""),3,0),"""")"),"")</f>
        <v/>
      </c>
      <c r="AH447" s="49" t="str">
        <f t="shared" ca="1" si="6"/>
        <v>LW</v>
      </c>
    </row>
    <row r="448" spans="1:34" ht="12.75">
      <c r="A448" s="45" t="str">
        <f ca="1">IFERROR(__xludf.DUMMYFUNCTION("""COMPUTED_VALUE"""),"Colombo")</f>
        <v>Colombo</v>
      </c>
      <c r="B448" s="45"/>
      <c r="C448" s="45">
        <f ca="1">IFERROR(__xludf.DUMMYFUNCTION("""COMPUTED_VALUE"""),3254508)</f>
        <v>3254508</v>
      </c>
      <c r="D448" s="45"/>
      <c r="E448" s="45" t="str">
        <f ca="1">IFERROR(__xludf.DUMMYFUNCTION("""COMPUTED_VALUE"""),"CFS")</f>
        <v>CFS</v>
      </c>
      <c r="F448" s="45" t="str">
        <f ca="1">IFERROR(__xludf.DUMMYFUNCTION("""COMPUTED_VALUE"""),"MAS AMITY PTE LTD")</f>
        <v>MAS AMITY PTE LTD</v>
      </c>
      <c r="G448" s="45" t="str">
        <f ca="1">IFERROR(__xludf.DUMMYFUNCTION("""COMPUTED_VALUE"""),"MAS Active (Pvt) Ltd - Linea Intimo")</f>
        <v>MAS Active (Pvt) Ltd - Linea Intimo</v>
      </c>
      <c r="H448" s="43">
        <f ca="1">IFERROR(__xludf.DUMMYFUNCTION("""COMPUTED_VALUE"""),454701612929)</f>
        <v>454701612929</v>
      </c>
      <c r="I448" s="45">
        <f ca="1">IFERROR(__xludf.DUMMYFUNCTION("""COMPUTED_VALUE"""),19900474)</f>
        <v>19900474</v>
      </c>
      <c r="J448" s="45" t="str">
        <f ca="1">IFERROR(__xludf.DUMMYFUNCTION("""COMPUTED_VALUE"""),"LW3DOBS")</f>
        <v>LW3DOBS</v>
      </c>
      <c r="K448" s="45" t="str">
        <f ca="1">IFERROR(__xludf.DUMMYFUNCTION("""COMPUTED_VALUE"""),"LW3DOBS-071365")</f>
        <v>LW3DOBS-071365</v>
      </c>
      <c r="L448" s="45">
        <f ca="1">IFERROR(__xludf.DUMMYFUNCTION("""COMPUTED_VALUE"""),5)</f>
        <v>5</v>
      </c>
      <c r="M448" s="45">
        <f ca="1">IFERROR(__xludf.DUMMYFUNCTION("""COMPUTED_VALUE"""),187)</f>
        <v>187</v>
      </c>
      <c r="N448" s="45">
        <f ca="1">IFERROR(__xludf.DUMMYFUNCTION("""COMPUTED_VALUE"""),32.222)</f>
        <v>32.222000000000001</v>
      </c>
      <c r="O448" s="45">
        <f ca="1">IFERROR(__xludf.DUMMYFUNCTION("""COMPUTED_VALUE"""),0.355)</f>
        <v>0.35499999999999998</v>
      </c>
      <c r="P448" s="45" t="str">
        <f ca="1">IFERROR(__xludf.DUMMYFUNCTION("""COMPUTED_VALUE"""),"Colombo, LK")</f>
        <v>Colombo, LK</v>
      </c>
      <c r="Q448" s="45" t="str">
        <f ca="1">IFERROR(__xludf.DUMMYFUNCTION("""COMPUTED_VALUE"""),"New York, NY, US")</f>
        <v>New York, NY, US</v>
      </c>
      <c r="R448" s="44">
        <f ca="1">IFERROR(__xludf.DUMMYFUNCTION("""COMPUTED_VALUE"""),45824)</f>
        <v>45824</v>
      </c>
      <c r="S448" s="44">
        <f ca="1">IFERROR(__xludf.DUMMYFUNCTION("""COMPUTED_VALUE"""),45883)</f>
        <v>45883</v>
      </c>
      <c r="T448" s="45" t="str">
        <f ca="1">IFERROR(__xludf.DUMMYFUNCTION("""COMPUTED_VALUE"""),"Milton, ON, CA")</f>
        <v>Milton, ON, CA</v>
      </c>
      <c r="U448" s="45"/>
      <c r="V448" s="45"/>
      <c r="W448" s="45"/>
      <c r="X448" s="45"/>
      <c r="Y448" s="46">
        <f ca="1">IFERROR(__xludf.DUMMYFUNCTION("""COMPUTED_VALUE"""),45832)</f>
        <v>45832</v>
      </c>
      <c r="Z448" s="46">
        <f ca="1">IFERROR(__xludf.DUMMYFUNCTION("""COMPUTED_VALUE"""),45861)</f>
        <v>45861</v>
      </c>
      <c r="AA448" s="46">
        <f ca="1">IFERROR(__xludf.DUMMYFUNCTION("""COMPUTED_VALUE"""),45874)</f>
        <v>45874</v>
      </c>
      <c r="AB448" s="45" t="str">
        <f ca="1">IFERROR(__xludf.DUMMYFUNCTION("""COMPUTED_VALUE"""),"7211 Fifth Line")</f>
        <v>7211 Fifth Line</v>
      </c>
      <c r="AC448" s="45"/>
      <c r="AD448" s="45" t="str">
        <f ca="1">IFERROR(__xludf.DUMMYFUNCTION("""COMPUTED_VALUE"""),"OCEAN")</f>
        <v>OCEAN</v>
      </c>
      <c r="AE448" s="45" t="str">
        <f ca="1">IFERROR(__xludf.DUMMYFUNCTION("""COMPUTED_VALUE"""),"N")</f>
        <v>N</v>
      </c>
      <c r="AF448" s="45"/>
      <c r="AG448" s="49" t="str">
        <f ca="1">IFERROR(__xludf.DUMMYFUNCTION("IFNA(vlookup(H448,IMPORTRANGE(""1vUGwO1n0QQGx9kKbO0_M5gmuhXZ6-LaxQxgrmJnzgP0"",""'TP# look up'!A:C""),3,0),"""")"),"")</f>
        <v/>
      </c>
      <c r="AH448" s="49" t="str">
        <f t="shared" ca="1" si="6"/>
        <v>LW</v>
      </c>
    </row>
    <row r="449" spans="1:34" ht="12.75">
      <c r="A449" s="45" t="str">
        <f ca="1">IFERROR(__xludf.DUMMYFUNCTION("""COMPUTED_VALUE"""),"Colombo")</f>
        <v>Colombo</v>
      </c>
      <c r="B449" s="45"/>
      <c r="C449" s="45">
        <f ca="1">IFERROR(__xludf.DUMMYFUNCTION("""COMPUTED_VALUE"""),3254508)</f>
        <v>3254508</v>
      </c>
      <c r="D449" s="45"/>
      <c r="E449" s="45" t="str">
        <f ca="1">IFERROR(__xludf.DUMMYFUNCTION("""COMPUTED_VALUE"""),"CFS")</f>
        <v>CFS</v>
      </c>
      <c r="F449" s="45" t="str">
        <f ca="1">IFERROR(__xludf.DUMMYFUNCTION("""COMPUTED_VALUE"""),"MAS AMITY PTE LTD")</f>
        <v>MAS AMITY PTE LTD</v>
      </c>
      <c r="G449" s="45" t="str">
        <f ca="1">IFERROR(__xludf.DUMMYFUNCTION("""COMPUTED_VALUE"""),"MAS Active (Pvt) Ltd - Linea Intimo")</f>
        <v>MAS Active (Pvt) Ltd - Linea Intimo</v>
      </c>
      <c r="H449" s="43">
        <f ca="1">IFERROR(__xludf.DUMMYFUNCTION("""COMPUTED_VALUE"""),454703725465)</f>
        <v>454703725465</v>
      </c>
      <c r="I449" s="45">
        <f ca="1">IFERROR(__xludf.DUMMYFUNCTION("""COMPUTED_VALUE"""),19911862)</f>
        <v>19911862</v>
      </c>
      <c r="J449" s="45" t="str">
        <f ca="1">IFERROR(__xludf.DUMMYFUNCTION("""COMPUTED_VALUE"""),"LW3JE9S")</f>
        <v>LW3JE9S</v>
      </c>
      <c r="K449" s="45" t="str">
        <f ca="1">IFERROR(__xludf.DUMMYFUNCTION("""COMPUTED_VALUE"""),"LW3JE9S-0572")</f>
        <v>LW3JE9S-0572</v>
      </c>
      <c r="L449" s="45">
        <f ca="1">IFERROR(__xludf.DUMMYFUNCTION("""COMPUTED_VALUE"""),5)</f>
        <v>5</v>
      </c>
      <c r="M449" s="45">
        <f ca="1">IFERROR(__xludf.DUMMYFUNCTION("""COMPUTED_VALUE"""),269)</f>
        <v>269</v>
      </c>
      <c r="N449" s="45">
        <f ca="1">IFERROR(__xludf.DUMMYFUNCTION("""COMPUTED_VALUE"""),53.487)</f>
        <v>53.487000000000002</v>
      </c>
      <c r="O449" s="45">
        <f ca="1">IFERROR(__xludf.DUMMYFUNCTION("""COMPUTED_VALUE"""),0.395)</f>
        <v>0.39500000000000002</v>
      </c>
      <c r="P449" s="45" t="str">
        <f ca="1">IFERROR(__xludf.DUMMYFUNCTION("""COMPUTED_VALUE"""),"Colombo, LK")</f>
        <v>Colombo, LK</v>
      </c>
      <c r="Q449" s="45" t="str">
        <f ca="1">IFERROR(__xludf.DUMMYFUNCTION("""COMPUTED_VALUE"""),"New York, NY, US")</f>
        <v>New York, NY, US</v>
      </c>
      <c r="R449" s="44">
        <f ca="1">IFERROR(__xludf.DUMMYFUNCTION("""COMPUTED_VALUE"""),45824)</f>
        <v>45824</v>
      </c>
      <c r="S449" s="44">
        <f ca="1">IFERROR(__xludf.DUMMYFUNCTION("""COMPUTED_VALUE"""),45883)</f>
        <v>45883</v>
      </c>
      <c r="T449" s="45" t="str">
        <f ca="1">IFERROR(__xludf.DUMMYFUNCTION("""COMPUTED_VALUE"""),"Mississauga, ON, CA")</f>
        <v>Mississauga, ON, CA</v>
      </c>
      <c r="U449" s="45"/>
      <c r="V449" s="45"/>
      <c r="W449" s="45"/>
      <c r="X449" s="45"/>
      <c r="Y449" s="46">
        <f ca="1">IFERROR(__xludf.DUMMYFUNCTION("""COMPUTED_VALUE"""),45832)</f>
        <v>45832</v>
      </c>
      <c r="Z449" s="46">
        <f ca="1">IFERROR(__xludf.DUMMYFUNCTION("""COMPUTED_VALUE"""),45861)</f>
        <v>45861</v>
      </c>
      <c r="AA449" s="46">
        <f ca="1">IFERROR(__xludf.DUMMYFUNCTION("""COMPUTED_VALUE"""),45874)</f>
        <v>45874</v>
      </c>
      <c r="AB449" s="45" t="str">
        <f ca="1">IFERROR(__xludf.DUMMYFUNCTION("""COMPUTED_VALUE"""),"3500 Argentia Road")</f>
        <v>3500 Argentia Road</v>
      </c>
      <c r="AC449" s="45"/>
      <c r="AD449" s="45" t="str">
        <f ca="1">IFERROR(__xludf.DUMMYFUNCTION("""COMPUTED_VALUE"""),"OCEAN")</f>
        <v>OCEAN</v>
      </c>
      <c r="AE449" s="45" t="str">
        <f ca="1">IFERROR(__xludf.DUMMYFUNCTION("""COMPUTED_VALUE"""),"N")</f>
        <v>N</v>
      </c>
      <c r="AF449" s="45"/>
      <c r="AG449" s="49" t="str">
        <f ca="1">IFERROR(__xludf.DUMMYFUNCTION("IFNA(vlookup(H449,IMPORTRANGE(""1vUGwO1n0QQGx9kKbO0_M5gmuhXZ6-LaxQxgrmJnzgP0"",""'TP# look up'!A:C""),3,0),"""")"),"")</f>
        <v/>
      </c>
      <c r="AH449" s="49" t="str">
        <f t="shared" ca="1" si="6"/>
        <v>LW</v>
      </c>
    </row>
    <row r="450" spans="1:34" ht="12.75">
      <c r="A450" s="45" t="str">
        <f ca="1">IFERROR(__xludf.DUMMYFUNCTION("""COMPUTED_VALUE"""),"Colombo")</f>
        <v>Colombo</v>
      </c>
      <c r="B450" s="45"/>
      <c r="C450" s="45">
        <f ca="1">IFERROR(__xludf.DUMMYFUNCTION("""COMPUTED_VALUE"""),3254508)</f>
        <v>3254508</v>
      </c>
      <c r="D450" s="45"/>
      <c r="E450" s="45" t="str">
        <f ca="1">IFERROR(__xludf.DUMMYFUNCTION("""COMPUTED_VALUE"""),"CFS")</f>
        <v>CFS</v>
      </c>
      <c r="F450" s="45" t="str">
        <f ca="1">IFERROR(__xludf.DUMMYFUNCTION("""COMPUTED_VALUE"""),"MAS AMITY PTE LTD")</f>
        <v>MAS AMITY PTE LTD</v>
      </c>
      <c r="G450" s="45" t="str">
        <f ca="1">IFERROR(__xludf.DUMMYFUNCTION("""COMPUTED_VALUE"""),"MAS Active (Pvt) Ltd - Linea Intimo")</f>
        <v>MAS Active (Pvt) Ltd - Linea Intimo</v>
      </c>
      <c r="H450" s="43">
        <f ca="1">IFERROR(__xludf.DUMMYFUNCTION("""COMPUTED_VALUE"""),454703726031)</f>
        <v>454703726031</v>
      </c>
      <c r="I450" s="45">
        <f ca="1">IFERROR(__xludf.DUMMYFUNCTION("""COMPUTED_VALUE"""),19911951)</f>
        <v>19911951</v>
      </c>
      <c r="J450" s="45" t="str">
        <f ca="1">IFERROR(__xludf.DUMMYFUNCTION("""COMPUTED_VALUE"""),"LM3F64S")</f>
        <v>LM3F64S</v>
      </c>
      <c r="K450" s="45" t="str">
        <f ca="1">IFERROR(__xludf.DUMMYFUNCTION("""COMPUTED_VALUE"""),"LM3F64S-071159")</f>
        <v>LM3F64S-071159</v>
      </c>
      <c r="L450" s="45">
        <f ca="1">IFERROR(__xludf.DUMMYFUNCTION("""COMPUTED_VALUE"""),3)</f>
        <v>3</v>
      </c>
      <c r="M450" s="45">
        <f ca="1">IFERROR(__xludf.DUMMYFUNCTION("""COMPUTED_VALUE"""),46)</f>
        <v>46</v>
      </c>
      <c r="N450" s="45">
        <f ca="1">IFERROR(__xludf.DUMMYFUNCTION("""COMPUTED_VALUE"""),12.385)</f>
        <v>12.385</v>
      </c>
      <c r="O450" s="45">
        <f ca="1">IFERROR(__xludf.DUMMYFUNCTION("""COMPUTED_VALUE"""),0.158)</f>
        <v>0.158</v>
      </c>
      <c r="P450" s="45" t="str">
        <f ca="1">IFERROR(__xludf.DUMMYFUNCTION("""COMPUTED_VALUE"""),"Colombo, LK")</f>
        <v>Colombo, LK</v>
      </c>
      <c r="Q450" s="45" t="str">
        <f ca="1">IFERROR(__xludf.DUMMYFUNCTION("""COMPUTED_VALUE"""),"New York, NY, US")</f>
        <v>New York, NY, US</v>
      </c>
      <c r="R450" s="44">
        <f ca="1">IFERROR(__xludf.DUMMYFUNCTION("""COMPUTED_VALUE"""),45824)</f>
        <v>45824</v>
      </c>
      <c r="S450" s="44">
        <f ca="1">IFERROR(__xludf.DUMMYFUNCTION("""COMPUTED_VALUE"""),45883)</f>
        <v>45883</v>
      </c>
      <c r="T450" s="45" t="str">
        <f ca="1">IFERROR(__xludf.DUMMYFUNCTION("""COMPUTED_VALUE"""),"Mississauga, ON, CA")</f>
        <v>Mississauga, ON, CA</v>
      </c>
      <c r="U450" s="45"/>
      <c r="V450" s="45"/>
      <c r="W450" s="45"/>
      <c r="X450" s="45"/>
      <c r="Y450" s="46">
        <f ca="1">IFERROR(__xludf.DUMMYFUNCTION("""COMPUTED_VALUE"""),45832)</f>
        <v>45832</v>
      </c>
      <c r="Z450" s="46">
        <f ca="1">IFERROR(__xludf.DUMMYFUNCTION("""COMPUTED_VALUE"""),45861)</f>
        <v>45861</v>
      </c>
      <c r="AA450" s="46">
        <f ca="1">IFERROR(__xludf.DUMMYFUNCTION("""COMPUTED_VALUE"""),45874)</f>
        <v>45874</v>
      </c>
      <c r="AB450" s="45" t="str">
        <f ca="1">IFERROR(__xludf.DUMMYFUNCTION("""COMPUTED_VALUE"""),"3500 Argentia Road")</f>
        <v>3500 Argentia Road</v>
      </c>
      <c r="AC450" s="45"/>
      <c r="AD450" s="45" t="str">
        <f ca="1">IFERROR(__xludf.DUMMYFUNCTION("""COMPUTED_VALUE"""),"OCEAN")</f>
        <v>OCEAN</v>
      </c>
      <c r="AE450" s="45" t="str">
        <f ca="1">IFERROR(__xludf.DUMMYFUNCTION("""COMPUTED_VALUE"""),"N")</f>
        <v>N</v>
      </c>
      <c r="AF450" s="45"/>
      <c r="AG450" s="49" t="str">
        <f ca="1">IFERROR(__xludf.DUMMYFUNCTION("IFNA(vlookup(H450,IMPORTRANGE(""1vUGwO1n0QQGx9kKbO0_M5gmuhXZ6-LaxQxgrmJnzgP0"",""'TP# look up'!A:C""),3,0),"""")"),"")</f>
        <v/>
      </c>
      <c r="AH450" s="49" t="str">
        <f t="shared" ref="AH450:AH513" ca="1" si="7">LEFT(J450,2)</f>
        <v>LM</v>
      </c>
    </row>
    <row r="451" spans="1:34" ht="12.75">
      <c r="A451" s="45" t="str">
        <f ca="1">IFERROR(__xludf.DUMMYFUNCTION("""COMPUTED_VALUE"""),"Colombo")</f>
        <v>Colombo</v>
      </c>
      <c r="B451" s="45"/>
      <c r="C451" s="45">
        <f ca="1">IFERROR(__xludf.DUMMYFUNCTION("""COMPUTED_VALUE"""),3254508)</f>
        <v>3254508</v>
      </c>
      <c r="D451" s="45"/>
      <c r="E451" s="45" t="str">
        <f ca="1">IFERROR(__xludf.DUMMYFUNCTION("""COMPUTED_VALUE"""),"CFS")</f>
        <v>CFS</v>
      </c>
      <c r="F451" s="45" t="str">
        <f ca="1">IFERROR(__xludf.DUMMYFUNCTION("""COMPUTED_VALUE"""),"MAS AMITY PTE LTD")</f>
        <v>MAS AMITY PTE LTD</v>
      </c>
      <c r="G451" s="45" t="str">
        <f ca="1">IFERROR(__xludf.DUMMYFUNCTION("""COMPUTED_VALUE"""),"MAS Active (Pvt) Ltd - Linea Intimo")</f>
        <v>MAS Active (Pvt) Ltd - Linea Intimo</v>
      </c>
      <c r="H451" s="43">
        <f ca="1">IFERROR(__xludf.DUMMYFUNCTION("""COMPUTED_VALUE"""),454704211021)</f>
        <v>454704211021</v>
      </c>
      <c r="I451" s="45">
        <f ca="1">IFERROR(__xludf.DUMMYFUNCTION("""COMPUTED_VALUE"""),19911845)</f>
        <v>19911845</v>
      </c>
      <c r="J451" s="45" t="str">
        <f ca="1">IFERROR(__xludf.DUMMYFUNCTION("""COMPUTED_VALUE"""),"LW3JE9S")</f>
        <v>LW3JE9S</v>
      </c>
      <c r="K451" s="45" t="str">
        <f ca="1">IFERROR(__xludf.DUMMYFUNCTION("""COMPUTED_VALUE"""),"LW3JE9S-042836")</f>
        <v>LW3JE9S-042836</v>
      </c>
      <c r="L451" s="45">
        <f ca="1">IFERROR(__xludf.DUMMYFUNCTION("""COMPUTED_VALUE"""),5)</f>
        <v>5</v>
      </c>
      <c r="M451" s="45">
        <f ca="1">IFERROR(__xludf.DUMMYFUNCTION("""COMPUTED_VALUE"""),203)</f>
        <v>203</v>
      </c>
      <c r="N451" s="45">
        <f ca="1">IFERROR(__xludf.DUMMYFUNCTION("""COMPUTED_VALUE"""),41.402)</f>
        <v>41.402000000000001</v>
      </c>
      <c r="O451" s="45">
        <f ca="1">IFERROR(__xludf.DUMMYFUNCTION("""COMPUTED_VALUE"""),0.355)</f>
        <v>0.35499999999999998</v>
      </c>
      <c r="P451" s="45" t="str">
        <f ca="1">IFERROR(__xludf.DUMMYFUNCTION("""COMPUTED_VALUE"""),"Colombo, LK")</f>
        <v>Colombo, LK</v>
      </c>
      <c r="Q451" s="45" t="str">
        <f ca="1">IFERROR(__xludf.DUMMYFUNCTION("""COMPUTED_VALUE"""),"New York, NY, US")</f>
        <v>New York, NY, US</v>
      </c>
      <c r="R451" s="44">
        <f ca="1">IFERROR(__xludf.DUMMYFUNCTION("""COMPUTED_VALUE"""),45824)</f>
        <v>45824</v>
      </c>
      <c r="S451" s="44">
        <f ca="1">IFERROR(__xludf.DUMMYFUNCTION("""COMPUTED_VALUE"""),45883)</f>
        <v>45883</v>
      </c>
      <c r="T451" s="45" t="str">
        <f ca="1">IFERROR(__xludf.DUMMYFUNCTION("""COMPUTED_VALUE"""),"Mississauga, ON, CA")</f>
        <v>Mississauga, ON, CA</v>
      </c>
      <c r="U451" s="45"/>
      <c r="V451" s="45"/>
      <c r="W451" s="45"/>
      <c r="X451" s="45"/>
      <c r="Y451" s="46">
        <f ca="1">IFERROR(__xludf.DUMMYFUNCTION("""COMPUTED_VALUE"""),45832)</f>
        <v>45832</v>
      </c>
      <c r="Z451" s="46">
        <f ca="1">IFERROR(__xludf.DUMMYFUNCTION("""COMPUTED_VALUE"""),45861)</f>
        <v>45861</v>
      </c>
      <c r="AA451" s="46">
        <f ca="1">IFERROR(__xludf.DUMMYFUNCTION("""COMPUTED_VALUE"""),45874)</f>
        <v>45874</v>
      </c>
      <c r="AB451" s="45" t="str">
        <f ca="1">IFERROR(__xludf.DUMMYFUNCTION("""COMPUTED_VALUE"""),"3500 Argentia Road")</f>
        <v>3500 Argentia Road</v>
      </c>
      <c r="AC451" s="45"/>
      <c r="AD451" s="45" t="str">
        <f ca="1">IFERROR(__xludf.DUMMYFUNCTION("""COMPUTED_VALUE"""),"OCEAN")</f>
        <v>OCEAN</v>
      </c>
      <c r="AE451" s="45" t="str">
        <f ca="1">IFERROR(__xludf.DUMMYFUNCTION("""COMPUTED_VALUE"""),"N")</f>
        <v>N</v>
      </c>
      <c r="AF451" s="45"/>
      <c r="AG451" s="49" t="str">
        <f ca="1">IFERROR(__xludf.DUMMYFUNCTION("IFNA(vlookup(H451,IMPORTRANGE(""1vUGwO1n0QQGx9kKbO0_M5gmuhXZ6-LaxQxgrmJnzgP0"",""'TP# look up'!A:C""),3,0),"""")"),"")</f>
        <v/>
      </c>
      <c r="AH451" s="49" t="str">
        <f t="shared" ca="1" si="7"/>
        <v>LW</v>
      </c>
    </row>
    <row r="452" spans="1:34" ht="12.75">
      <c r="A452" s="45" t="str">
        <f ca="1">IFERROR(__xludf.DUMMYFUNCTION("""COMPUTED_VALUE"""),"Colombo")</f>
        <v>Colombo</v>
      </c>
      <c r="B452" s="45"/>
      <c r="C452" s="45">
        <f ca="1">IFERROR(__xludf.DUMMYFUNCTION("""COMPUTED_VALUE"""),3254508)</f>
        <v>3254508</v>
      </c>
      <c r="D452" s="45"/>
      <c r="E452" s="45" t="str">
        <f ca="1">IFERROR(__xludf.DUMMYFUNCTION("""COMPUTED_VALUE"""),"CFS")</f>
        <v>CFS</v>
      </c>
      <c r="F452" s="45" t="str">
        <f ca="1">IFERROR(__xludf.DUMMYFUNCTION("""COMPUTED_VALUE"""),"MAS AMITY PTE LTD")</f>
        <v>MAS AMITY PTE LTD</v>
      </c>
      <c r="G452" s="45" t="str">
        <f ca="1">IFERROR(__xludf.DUMMYFUNCTION("""COMPUTED_VALUE"""),"MAS Active (Pvt) Ltd - Linea Intimo")</f>
        <v>MAS Active (Pvt) Ltd - Linea Intimo</v>
      </c>
      <c r="H452" s="43">
        <f ca="1">IFERROR(__xludf.DUMMYFUNCTION("""COMPUTED_VALUE"""),454705023730)</f>
        <v>454705023730</v>
      </c>
      <c r="I452" s="45">
        <f ca="1">IFERROR(__xludf.DUMMYFUNCTION("""COMPUTED_VALUE"""),19911878)</f>
        <v>19911878</v>
      </c>
      <c r="J452" s="45" t="str">
        <f ca="1">IFERROR(__xludf.DUMMYFUNCTION("""COMPUTED_VALUE"""),"LW3JE9S")</f>
        <v>LW3JE9S</v>
      </c>
      <c r="K452" s="45" t="str">
        <f ca="1">IFERROR(__xludf.DUMMYFUNCTION("""COMPUTED_VALUE"""),"LW3JE9S-012826")</f>
        <v>LW3JE9S-012826</v>
      </c>
      <c r="L452" s="45">
        <f ca="1">IFERROR(__xludf.DUMMYFUNCTION("""COMPUTED_VALUE"""),5)</f>
        <v>5</v>
      </c>
      <c r="M452" s="45">
        <f ca="1">IFERROR(__xludf.DUMMYFUNCTION("""COMPUTED_VALUE"""),215)</f>
        <v>215</v>
      </c>
      <c r="N452" s="45">
        <f ca="1">IFERROR(__xludf.DUMMYFUNCTION("""COMPUTED_VALUE"""),43.492)</f>
        <v>43.491999999999997</v>
      </c>
      <c r="O452" s="45">
        <f ca="1">IFERROR(__xludf.DUMMYFUNCTION("""COMPUTED_VALUE"""),0.355)</f>
        <v>0.35499999999999998</v>
      </c>
      <c r="P452" s="45" t="str">
        <f ca="1">IFERROR(__xludf.DUMMYFUNCTION("""COMPUTED_VALUE"""),"Colombo, LK")</f>
        <v>Colombo, LK</v>
      </c>
      <c r="Q452" s="45" t="str">
        <f ca="1">IFERROR(__xludf.DUMMYFUNCTION("""COMPUTED_VALUE"""),"New York, NY, US")</f>
        <v>New York, NY, US</v>
      </c>
      <c r="R452" s="44">
        <f ca="1">IFERROR(__xludf.DUMMYFUNCTION("""COMPUTED_VALUE"""),45824)</f>
        <v>45824</v>
      </c>
      <c r="S452" s="44">
        <f ca="1">IFERROR(__xludf.DUMMYFUNCTION("""COMPUTED_VALUE"""),45883)</f>
        <v>45883</v>
      </c>
      <c r="T452" s="45" t="str">
        <f ca="1">IFERROR(__xludf.DUMMYFUNCTION("""COMPUTED_VALUE"""),"Mississauga, ON, CA")</f>
        <v>Mississauga, ON, CA</v>
      </c>
      <c r="U452" s="45"/>
      <c r="V452" s="45"/>
      <c r="W452" s="45"/>
      <c r="X452" s="45"/>
      <c r="Y452" s="46">
        <f ca="1">IFERROR(__xludf.DUMMYFUNCTION("""COMPUTED_VALUE"""),45832)</f>
        <v>45832</v>
      </c>
      <c r="Z452" s="46">
        <f ca="1">IFERROR(__xludf.DUMMYFUNCTION("""COMPUTED_VALUE"""),45861)</f>
        <v>45861</v>
      </c>
      <c r="AA452" s="46">
        <f ca="1">IFERROR(__xludf.DUMMYFUNCTION("""COMPUTED_VALUE"""),45874)</f>
        <v>45874</v>
      </c>
      <c r="AB452" s="45" t="str">
        <f ca="1">IFERROR(__xludf.DUMMYFUNCTION("""COMPUTED_VALUE"""),"3500 Argentia Road")</f>
        <v>3500 Argentia Road</v>
      </c>
      <c r="AC452" s="45"/>
      <c r="AD452" s="45" t="str">
        <f ca="1">IFERROR(__xludf.DUMMYFUNCTION("""COMPUTED_VALUE"""),"OCEAN")</f>
        <v>OCEAN</v>
      </c>
      <c r="AE452" s="45" t="str">
        <f ca="1">IFERROR(__xludf.DUMMYFUNCTION("""COMPUTED_VALUE"""),"N")</f>
        <v>N</v>
      </c>
      <c r="AF452" s="45"/>
      <c r="AG452" s="49" t="str">
        <f ca="1">IFERROR(__xludf.DUMMYFUNCTION("IFNA(vlookup(H452,IMPORTRANGE(""1vUGwO1n0QQGx9kKbO0_M5gmuhXZ6-LaxQxgrmJnzgP0"",""'TP# look up'!A:C""),3,0),"""")"),"")</f>
        <v/>
      </c>
      <c r="AH452" s="49" t="str">
        <f t="shared" ca="1" si="7"/>
        <v>LW</v>
      </c>
    </row>
    <row r="453" spans="1:34" ht="12.75">
      <c r="A453" s="45" t="str">
        <f ca="1">IFERROR(__xludf.DUMMYFUNCTION("""COMPUTED_VALUE"""),"Colombo")</f>
        <v>Colombo</v>
      </c>
      <c r="B453" s="45"/>
      <c r="C453" s="45">
        <f ca="1">IFERROR(__xludf.DUMMYFUNCTION("""COMPUTED_VALUE"""),3254508)</f>
        <v>3254508</v>
      </c>
      <c r="D453" s="45"/>
      <c r="E453" s="45" t="str">
        <f ca="1">IFERROR(__xludf.DUMMYFUNCTION("""COMPUTED_VALUE"""),"CFS")</f>
        <v>CFS</v>
      </c>
      <c r="F453" s="45" t="str">
        <f ca="1">IFERROR(__xludf.DUMMYFUNCTION("""COMPUTED_VALUE"""),"MAS AMITY PTE LTD")</f>
        <v>MAS AMITY PTE LTD</v>
      </c>
      <c r="G453" s="45" t="str">
        <f ca="1">IFERROR(__xludf.DUMMYFUNCTION("""COMPUTED_VALUE"""),"MAS Active (Pvt) Ltd - Linea Intimo")</f>
        <v>MAS Active (Pvt) Ltd - Linea Intimo</v>
      </c>
      <c r="H453" s="43">
        <f ca="1">IFERROR(__xludf.DUMMYFUNCTION("""COMPUTED_VALUE"""),454705502633)</f>
        <v>454705502633</v>
      </c>
      <c r="I453" s="45">
        <f ca="1">IFERROR(__xludf.DUMMYFUNCTION("""COMPUTED_VALUE"""),19911967)</f>
        <v>19911967</v>
      </c>
      <c r="J453" s="45" t="str">
        <f ca="1">IFERROR(__xludf.DUMMYFUNCTION("""COMPUTED_VALUE"""),"LM3F64S")</f>
        <v>LM3F64S</v>
      </c>
      <c r="K453" s="45" t="str">
        <f ca="1">IFERROR(__xludf.DUMMYFUNCTION("""COMPUTED_VALUE"""),"LM3F64S-070110")</f>
        <v>LM3F64S-070110</v>
      </c>
      <c r="L453" s="45">
        <f ca="1">IFERROR(__xludf.DUMMYFUNCTION("""COMPUTED_VALUE"""),3)</f>
        <v>3</v>
      </c>
      <c r="M453" s="45">
        <f ca="1">IFERROR(__xludf.DUMMYFUNCTION("""COMPUTED_VALUE"""),70)</f>
        <v>70</v>
      </c>
      <c r="N453" s="45">
        <f ca="1">IFERROR(__xludf.DUMMYFUNCTION("""COMPUTED_VALUE"""),17.733)</f>
        <v>17.733000000000001</v>
      </c>
      <c r="O453" s="45">
        <f ca="1">IFERROR(__xludf.DUMMYFUNCTION("""COMPUTED_VALUE"""),0.197)</f>
        <v>0.19700000000000001</v>
      </c>
      <c r="P453" s="45" t="str">
        <f ca="1">IFERROR(__xludf.DUMMYFUNCTION("""COMPUTED_VALUE"""),"Colombo, LK")</f>
        <v>Colombo, LK</v>
      </c>
      <c r="Q453" s="45" t="str">
        <f ca="1">IFERROR(__xludf.DUMMYFUNCTION("""COMPUTED_VALUE"""),"New York, NY, US")</f>
        <v>New York, NY, US</v>
      </c>
      <c r="R453" s="44">
        <f ca="1">IFERROR(__xludf.DUMMYFUNCTION("""COMPUTED_VALUE"""),45824)</f>
        <v>45824</v>
      </c>
      <c r="S453" s="44">
        <f ca="1">IFERROR(__xludf.DUMMYFUNCTION("""COMPUTED_VALUE"""),45883)</f>
        <v>45883</v>
      </c>
      <c r="T453" s="45" t="str">
        <f ca="1">IFERROR(__xludf.DUMMYFUNCTION("""COMPUTED_VALUE"""),"Mississauga, ON, CA")</f>
        <v>Mississauga, ON, CA</v>
      </c>
      <c r="U453" s="45"/>
      <c r="V453" s="45"/>
      <c r="W453" s="45"/>
      <c r="X453" s="45"/>
      <c r="Y453" s="46">
        <f ca="1">IFERROR(__xludf.DUMMYFUNCTION("""COMPUTED_VALUE"""),45832)</f>
        <v>45832</v>
      </c>
      <c r="Z453" s="46">
        <f ca="1">IFERROR(__xludf.DUMMYFUNCTION("""COMPUTED_VALUE"""),45861)</f>
        <v>45861</v>
      </c>
      <c r="AA453" s="46">
        <f ca="1">IFERROR(__xludf.DUMMYFUNCTION("""COMPUTED_VALUE"""),45874)</f>
        <v>45874</v>
      </c>
      <c r="AB453" s="45" t="str">
        <f ca="1">IFERROR(__xludf.DUMMYFUNCTION("""COMPUTED_VALUE"""),"3500 Argentia Road")</f>
        <v>3500 Argentia Road</v>
      </c>
      <c r="AC453" s="45"/>
      <c r="AD453" s="45" t="str">
        <f ca="1">IFERROR(__xludf.DUMMYFUNCTION("""COMPUTED_VALUE"""),"OCEAN")</f>
        <v>OCEAN</v>
      </c>
      <c r="AE453" s="45" t="str">
        <f ca="1">IFERROR(__xludf.DUMMYFUNCTION("""COMPUTED_VALUE"""),"N")</f>
        <v>N</v>
      </c>
      <c r="AF453" s="45"/>
      <c r="AG453" s="49" t="str">
        <f ca="1">IFERROR(__xludf.DUMMYFUNCTION("IFNA(vlookup(H453,IMPORTRANGE(""1vUGwO1n0QQGx9kKbO0_M5gmuhXZ6-LaxQxgrmJnzgP0"",""'TP# look up'!A:C""),3,0),"""")"),"")</f>
        <v/>
      </c>
      <c r="AH453" s="49" t="str">
        <f t="shared" ca="1" si="7"/>
        <v>LM</v>
      </c>
    </row>
    <row r="454" spans="1:34" ht="12.75">
      <c r="A454" s="45" t="str">
        <f ca="1">IFERROR(__xludf.DUMMYFUNCTION("""COMPUTED_VALUE"""),"Colombo")</f>
        <v>Colombo</v>
      </c>
      <c r="B454" s="45"/>
      <c r="C454" s="45">
        <f ca="1">IFERROR(__xludf.DUMMYFUNCTION("""COMPUTED_VALUE"""),3254508)</f>
        <v>3254508</v>
      </c>
      <c r="D454" s="45"/>
      <c r="E454" s="45" t="str">
        <f ca="1">IFERROR(__xludf.DUMMYFUNCTION("""COMPUTED_VALUE"""),"CFS")</f>
        <v>CFS</v>
      </c>
      <c r="F454" s="45" t="str">
        <f ca="1">IFERROR(__xludf.DUMMYFUNCTION("""COMPUTED_VALUE"""),"MAS AMITY PTE LTD")</f>
        <v>MAS AMITY PTE LTD</v>
      </c>
      <c r="G454" s="45" t="str">
        <f ca="1">IFERROR(__xludf.DUMMYFUNCTION("""COMPUTED_VALUE"""),"MAS Active (Pvt) Ltd - Linea Intimo")</f>
        <v>MAS Active (Pvt) Ltd - Linea Intimo</v>
      </c>
      <c r="H454" s="43">
        <f ca="1">IFERROR(__xludf.DUMMYFUNCTION("""COMPUTED_VALUE"""),454705691334)</f>
        <v>454705691334</v>
      </c>
      <c r="I454" s="45">
        <f ca="1">IFERROR(__xludf.DUMMYFUNCTION("""COMPUTED_VALUE"""),19911975)</f>
        <v>19911975</v>
      </c>
      <c r="J454" s="45" t="str">
        <f ca="1">IFERROR(__xludf.DUMMYFUNCTION("""COMPUTED_VALUE"""),"LM3FG2S")</f>
        <v>LM3FG2S</v>
      </c>
      <c r="K454" s="45" t="str">
        <f ca="1">IFERROR(__xludf.DUMMYFUNCTION("""COMPUTED_VALUE"""),"LM3FG2S-0572")</f>
        <v>LM3FG2S-0572</v>
      </c>
      <c r="L454" s="45">
        <f ca="1">IFERROR(__xludf.DUMMYFUNCTION("""COMPUTED_VALUE"""),2)</f>
        <v>2</v>
      </c>
      <c r="M454" s="45">
        <f ca="1">IFERROR(__xludf.DUMMYFUNCTION("""COMPUTED_VALUE"""),128)</f>
        <v>128</v>
      </c>
      <c r="N454" s="45">
        <f ca="1">IFERROR(__xludf.DUMMYFUNCTION("""COMPUTED_VALUE"""),20.928)</f>
        <v>20.928000000000001</v>
      </c>
      <c r="O454" s="45">
        <f ca="1">IFERROR(__xludf.DUMMYFUNCTION("""COMPUTED_VALUE"""),0.158)</f>
        <v>0.158</v>
      </c>
      <c r="P454" s="45" t="str">
        <f ca="1">IFERROR(__xludf.DUMMYFUNCTION("""COMPUTED_VALUE"""),"Colombo, LK")</f>
        <v>Colombo, LK</v>
      </c>
      <c r="Q454" s="45" t="str">
        <f ca="1">IFERROR(__xludf.DUMMYFUNCTION("""COMPUTED_VALUE"""),"New York, NY, US")</f>
        <v>New York, NY, US</v>
      </c>
      <c r="R454" s="44">
        <f ca="1">IFERROR(__xludf.DUMMYFUNCTION("""COMPUTED_VALUE"""),45824)</f>
        <v>45824</v>
      </c>
      <c r="S454" s="44">
        <f ca="1">IFERROR(__xludf.DUMMYFUNCTION("""COMPUTED_VALUE"""),45883)</f>
        <v>45883</v>
      </c>
      <c r="T454" s="45" t="str">
        <f ca="1">IFERROR(__xludf.DUMMYFUNCTION("""COMPUTED_VALUE"""),"Mississauga, ON, CA")</f>
        <v>Mississauga, ON, CA</v>
      </c>
      <c r="U454" s="45"/>
      <c r="V454" s="45"/>
      <c r="W454" s="45"/>
      <c r="X454" s="45"/>
      <c r="Y454" s="46">
        <f ca="1">IFERROR(__xludf.DUMMYFUNCTION("""COMPUTED_VALUE"""),45832)</f>
        <v>45832</v>
      </c>
      <c r="Z454" s="46">
        <f ca="1">IFERROR(__xludf.DUMMYFUNCTION("""COMPUTED_VALUE"""),45861)</f>
        <v>45861</v>
      </c>
      <c r="AA454" s="46">
        <f ca="1">IFERROR(__xludf.DUMMYFUNCTION("""COMPUTED_VALUE"""),45874)</f>
        <v>45874</v>
      </c>
      <c r="AB454" s="45" t="str">
        <f ca="1">IFERROR(__xludf.DUMMYFUNCTION("""COMPUTED_VALUE"""),"3500 Argentia Road")</f>
        <v>3500 Argentia Road</v>
      </c>
      <c r="AC454" s="45"/>
      <c r="AD454" s="45" t="str">
        <f ca="1">IFERROR(__xludf.DUMMYFUNCTION("""COMPUTED_VALUE"""),"OCEAN")</f>
        <v>OCEAN</v>
      </c>
      <c r="AE454" s="45" t="str">
        <f ca="1">IFERROR(__xludf.DUMMYFUNCTION("""COMPUTED_VALUE"""),"N")</f>
        <v>N</v>
      </c>
      <c r="AF454" s="45"/>
      <c r="AG454" s="49" t="str">
        <f ca="1">IFERROR(__xludf.DUMMYFUNCTION("IFNA(vlookup(H454,IMPORTRANGE(""1vUGwO1n0QQGx9kKbO0_M5gmuhXZ6-LaxQxgrmJnzgP0"",""'TP# look up'!A:C""),3,0),"""")"),"")</f>
        <v/>
      </c>
      <c r="AH454" s="49" t="str">
        <f t="shared" ca="1" si="7"/>
        <v>LM</v>
      </c>
    </row>
    <row r="455" spans="1:34" ht="12.75">
      <c r="A455" s="45" t="str">
        <f ca="1">IFERROR(__xludf.DUMMYFUNCTION("""COMPUTED_VALUE"""),"Colombo")</f>
        <v>Colombo</v>
      </c>
      <c r="B455" s="45"/>
      <c r="C455" s="45">
        <f ca="1">IFERROR(__xludf.DUMMYFUNCTION("""COMPUTED_VALUE"""),3254508)</f>
        <v>3254508</v>
      </c>
      <c r="D455" s="45"/>
      <c r="E455" s="45" t="str">
        <f ca="1">IFERROR(__xludf.DUMMYFUNCTION("""COMPUTED_VALUE"""),"CFS")</f>
        <v>CFS</v>
      </c>
      <c r="F455" s="45" t="str">
        <f ca="1">IFERROR(__xludf.DUMMYFUNCTION("""COMPUTED_VALUE"""),"MAS AMITY PTE LTD")</f>
        <v>MAS AMITY PTE LTD</v>
      </c>
      <c r="G455" s="45" t="str">
        <f ca="1">IFERROR(__xludf.DUMMYFUNCTION("""COMPUTED_VALUE"""),"MAS Active (Pvt) Ltd - Linea Intimo")</f>
        <v>MAS Active (Pvt) Ltd - Linea Intimo</v>
      </c>
      <c r="H455" s="43">
        <f ca="1">IFERROR(__xludf.DUMMYFUNCTION("""COMPUTED_VALUE"""),454706023813)</f>
        <v>454706023813</v>
      </c>
      <c r="I455" s="45">
        <f ca="1">IFERROR(__xludf.DUMMYFUNCTION("""COMPUTED_VALUE"""),19912128)</f>
        <v>19912128</v>
      </c>
      <c r="J455" s="45" t="str">
        <f ca="1">IFERROR(__xludf.DUMMYFUNCTION("""COMPUTED_VALUE"""),"LM3FHKS")</f>
        <v>LM3FHKS</v>
      </c>
      <c r="K455" s="45" t="str">
        <f ca="1">IFERROR(__xludf.DUMMYFUNCTION("""COMPUTED_VALUE"""),"LM3FHKS-070561")</f>
        <v>LM3FHKS-070561</v>
      </c>
      <c r="L455" s="45">
        <f ca="1">IFERROR(__xludf.DUMMYFUNCTION("""COMPUTED_VALUE"""),2)</f>
        <v>2</v>
      </c>
      <c r="M455" s="45">
        <f ca="1">IFERROR(__xludf.DUMMYFUNCTION("""COMPUTED_VALUE"""),79)</f>
        <v>79</v>
      </c>
      <c r="N455" s="45">
        <f ca="1">IFERROR(__xludf.DUMMYFUNCTION("""COMPUTED_VALUE"""),17.236)</f>
        <v>17.236000000000001</v>
      </c>
      <c r="O455" s="45">
        <f ca="1">IFERROR(__xludf.DUMMYFUNCTION("""COMPUTED_VALUE"""),0.118)</f>
        <v>0.11799999999999999</v>
      </c>
      <c r="P455" s="45" t="str">
        <f ca="1">IFERROR(__xludf.DUMMYFUNCTION("""COMPUTED_VALUE"""),"Colombo, LK")</f>
        <v>Colombo, LK</v>
      </c>
      <c r="Q455" s="45" t="str">
        <f ca="1">IFERROR(__xludf.DUMMYFUNCTION("""COMPUTED_VALUE"""),"New York, NY, US")</f>
        <v>New York, NY, US</v>
      </c>
      <c r="R455" s="44">
        <f ca="1">IFERROR(__xludf.DUMMYFUNCTION("""COMPUTED_VALUE"""),45824)</f>
        <v>45824</v>
      </c>
      <c r="S455" s="44">
        <f ca="1">IFERROR(__xludf.DUMMYFUNCTION("""COMPUTED_VALUE"""),45883)</f>
        <v>45883</v>
      </c>
      <c r="T455" s="45" t="str">
        <f ca="1">IFERROR(__xludf.DUMMYFUNCTION("""COMPUTED_VALUE"""),"Mississauga, ON, CA")</f>
        <v>Mississauga, ON, CA</v>
      </c>
      <c r="U455" s="45"/>
      <c r="V455" s="45"/>
      <c r="W455" s="45"/>
      <c r="X455" s="45"/>
      <c r="Y455" s="46">
        <f ca="1">IFERROR(__xludf.DUMMYFUNCTION("""COMPUTED_VALUE"""),45832)</f>
        <v>45832</v>
      </c>
      <c r="Z455" s="46">
        <f ca="1">IFERROR(__xludf.DUMMYFUNCTION("""COMPUTED_VALUE"""),45861)</f>
        <v>45861</v>
      </c>
      <c r="AA455" s="46">
        <f ca="1">IFERROR(__xludf.DUMMYFUNCTION("""COMPUTED_VALUE"""),45874)</f>
        <v>45874</v>
      </c>
      <c r="AB455" s="45" t="str">
        <f ca="1">IFERROR(__xludf.DUMMYFUNCTION("""COMPUTED_VALUE"""),"3500 Argentia Road")</f>
        <v>3500 Argentia Road</v>
      </c>
      <c r="AC455" s="45"/>
      <c r="AD455" s="45" t="str">
        <f ca="1">IFERROR(__xludf.DUMMYFUNCTION("""COMPUTED_VALUE"""),"OCEAN")</f>
        <v>OCEAN</v>
      </c>
      <c r="AE455" s="45" t="str">
        <f ca="1">IFERROR(__xludf.DUMMYFUNCTION("""COMPUTED_VALUE"""),"N")</f>
        <v>N</v>
      </c>
      <c r="AF455" s="45"/>
      <c r="AG455" s="49" t="str">
        <f ca="1">IFERROR(__xludf.DUMMYFUNCTION("IFNA(vlookup(H455,IMPORTRANGE(""1vUGwO1n0QQGx9kKbO0_M5gmuhXZ6-LaxQxgrmJnzgP0"",""'TP# look up'!A:C""),3,0),"""")"),"")</f>
        <v/>
      </c>
      <c r="AH455" s="49" t="str">
        <f t="shared" ca="1" si="7"/>
        <v>LM</v>
      </c>
    </row>
    <row r="456" spans="1:34" ht="12.75">
      <c r="A456" s="45" t="str">
        <f ca="1">IFERROR(__xludf.DUMMYFUNCTION("""COMPUTED_VALUE"""),"Colombo")</f>
        <v>Colombo</v>
      </c>
      <c r="B456" s="45"/>
      <c r="C456" s="45">
        <f ca="1">IFERROR(__xludf.DUMMYFUNCTION("""COMPUTED_VALUE"""),3254508)</f>
        <v>3254508</v>
      </c>
      <c r="D456" s="45"/>
      <c r="E456" s="45" t="str">
        <f ca="1">IFERROR(__xludf.DUMMYFUNCTION("""COMPUTED_VALUE"""),"CFS")</f>
        <v>CFS</v>
      </c>
      <c r="F456" s="45" t="str">
        <f ca="1">IFERROR(__xludf.DUMMYFUNCTION("""COMPUTED_VALUE"""),"MAS AMITY PTE LTD")</f>
        <v>MAS AMITY PTE LTD</v>
      </c>
      <c r="G456" s="45" t="str">
        <f ca="1">IFERROR(__xludf.DUMMYFUNCTION("""COMPUTED_VALUE"""),"MAS Active (Pvt) Ltd - Linea Intimo")</f>
        <v>MAS Active (Pvt) Ltd - Linea Intimo</v>
      </c>
      <c r="H456" s="43">
        <f ca="1">IFERROR(__xludf.DUMMYFUNCTION("""COMPUTED_VALUE"""),454706080383)</f>
        <v>454706080383</v>
      </c>
      <c r="I456" s="45">
        <f ca="1">IFERROR(__xludf.DUMMYFUNCTION("""COMPUTED_VALUE"""),19912833)</f>
        <v>19912833</v>
      </c>
      <c r="J456" s="45" t="str">
        <f ca="1">IFERROR(__xludf.DUMMYFUNCTION("""COMPUTED_VALUE"""),"LW3DFLS")</f>
        <v>LW3DFLS</v>
      </c>
      <c r="K456" s="45" t="str">
        <f ca="1">IFERROR(__xludf.DUMMYFUNCTION("""COMPUTED_VALUE"""),"LW3DFLS-012826")</f>
        <v>LW3DFLS-012826</v>
      </c>
      <c r="L456" s="45">
        <f ca="1">IFERROR(__xludf.DUMMYFUNCTION("""COMPUTED_VALUE"""),10)</f>
        <v>10</v>
      </c>
      <c r="M456" s="45">
        <f ca="1">IFERROR(__xludf.DUMMYFUNCTION("""COMPUTED_VALUE"""),469)</f>
        <v>469</v>
      </c>
      <c r="N456" s="45">
        <f ca="1">IFERROR(__xludf.DUMMYFUNCTION("""COMPUTED_VALUE"""),87.441)</f>
        <v>87.441000000000003</v>
      </c>
      <c r="O456" s="45">
        <f ca="1">IFERROR(__xludf.DUMMYFUNCTION("""COMPUTED_VALUE"""),0.671)</f>
        <v>0.67100000000000004</v>
      </c>
      <c r="P456" s="45" t="str">
        <f ca="1">IFERROR(__xludf.DUMMYFUNCTION("""COMPUTED_VALUE"""),"Colombo, LK")</f>
        <v>Colombo, LK</v>
      </c>
      <c r="Q456" s="45" t="str">
        <f ca="1">IFERROR(__xludf.DUMMYFUNCTION("""COMPUTED_VALUE"""),"New York, NY, US")</f>
        <v>New York, NY, US</v>
      </c>
      <c r="R456" s="44">
        <f ca="1">IFERROR(__xludf.DUMMYFUNCTION("""COMPUTED_VALUE"""),45824)</f>
        <v>45824</v>
      </c>
      <c r="S456" s="44">
        <f ca="1">IFERROR(__xludf.DUMMYFUNCTION("""COMPUTED_VALUE"""),45883)</f>
        <v>45883</v>
      </c>
      <c r="T456" s="45" t="str">
        <f ca="1">IFERROR(__xludf.DUMMYFUNCTION("""COMPUTED_VALUE"""),"Mississauga, ON, CA")</f>
        <v>Mississauga, ON, CA</v>
      </c>
      <c r="U456" s="45"/>
      <c r="V456" s="45"/>
      <c r="W456" s="45"/>
      <c r="X456" s="45"/>
      <c r="Y456" s="46">
        <f ca="1">IFERROR(__xludf.DUMMYFUNCTION("""COMPUTED_VALUE"""),45832)</f>
        <v>45832</v>
      </c>
      <c r="Z456" s="46">
        <f ca="1">IFERROR(__xludf.DUMMYFUNCTION("""COMPUTED_VALUE"""),45861)</f>
        <v>45861</v>
      </c>
      <c r="AA456" s="46">
        <f ca="1">IFERROR(__xludf.DUMMYFUNCTION("""COMPUTED_VALUE"""),45874)</f>
        <v>45874</v>
      </c>
      <c r="AB456" s="45" t="str">
        <f ca="1">IFERROR(__xludf.DUMMYFUNCTION("""COMPUTED_VALUE"""),"3500 Argentia Road")</f>
        <v>3500 Argentia Road</v>
      </c>
      <c r="AC456" s="45"/>
      <c r="AD456" s="45" t="str">
        <f ca="1">IFERROR(__xludf.DUMMYFUNCTION("""COMPUTED_VALUE"""),"OCEAN")</f>
        <v>OCEAN</v>
      </c>
      <c r="AE456" s="45" t="str">
        <f ca="1">IFERROR(__xludf.DUMMYFUNCTION("""COMPUTED_VALUE"""),"N")</f>
        <v>N</v>
      </c>
      <c r="AF456" s="45"/>
      <c r="AG456" s="49" t="str">
        <f ca="1">IFERROR(__xludf.DUMMYFUNCTION("IFNA(vlookup(H456,IMPORTRANGE(""1vUGwO1n0QQGx9kKbO0_M5gmuhXZ6-LaxQxgrmJnzgP0"",""'TP# look up'!A:C""),3,0),"""")"),"")</f>
        <v/>
      </c>
      <c r="AH456" s="49" t="str">
        <f t="shared" ca="1" si="7"/>
        <v>LW</v>
      </c>
    </row>
    <row r="457" spans="1:34" ht="12.75">
      <c r="A457" s="45" t="str">
        <f ca="1">IFERROR(__xludf.DUMMYFUNCTION("""COMPUTED_VALUE"""),"Colombo")</f>
        <v>Colombo</v>
      </c>
      <c r="B457" s="45"/>
      <c r="C457" s="45">
        <f ca="1">IFERROR(__xludf.DUMMYFUNCTION("""COMPUTED_VALUE"""),3254508)</f>
        <v>3254508</v>
      </c>
      <c r="D457" s="45"/>
      <c r="E457" s="45" t="str">
        <f ca="1">IFERROR(__xludf.DUMMYFUNCTION("""COMPUTED_VALUE"""),"CFS")</f>
        <v>CFS</v>
      </c>
      <c r="F457" s="45" t="str">
        <f ca="1">IFERROR(__xludf.DUMMYFUNCTION("""COMPUTED_VALUE"""),"MAS AMITY PTE LTD")</f>
        <v>MAS AMITY PTE LTD</v>
      </c>
      <c r="G457" s="45" t="str">
        <f ca="1">IFERROR(__xludf.DUMMYFUNCTION("""COMPUTED_VALUE"""),"MAS Active (Pvt) Ltd - Linea Intimo")</f>
        <v>MAS Active (Pvt) Ltd - Linea Intimo</v>
      </c>
      <c r="H457" s="43">
        <f ca="1">IFERROR(__xludf.DUMMYFUNCTION("""COMPUTED_VALUE"""),454706121015)</f>
        <v>454706121015</v>
      </c>
      <c r="I457" s="45">
        <f ca="1">IFERROR(__xludf.DUMMYFUNCTION("""COMPUTED_VALUE"""),19912083)</f>
        <v>19912083</v>
      </c>
      <c r="J457" s="45" t="str">
        <f ca="1">IFERROR(__xludf.DUMMYFUNCTION("""COMPUTED_VALUE"""),"LM3FHKS")</f>
        <v>LM3FHKS</v>
      </c>
      <c r="K457" s="45" t="str">
        <f ca="1">IFERROR(__xludf.DUMMYFUNCTION("""COMPUTED_VALUE"""),"LM3FHKS-071162")</f>
        <v>LM3FHKS-071162</v>
      </c>
      <c r="L457" s="45">
        <f ca="1">IFERROR(__xludf.DUMMYFUNCTION("""COMPUTED_VALUE"""),2)</f>
        <v>2</v>
      </c>
      <c r="M457" s="45">
        <f ca="1">IFERROR(__xludf.DUMMYFUNCTION("""COMPUTED_VALUE"""),66)</f>
        <v>66</v>
      </c>
      <c r="N457" s="45">
        <f ca="1">IFERROR(__xludf.DUMMYFUNCTION("""COMPUTED_VALUE"""),14.717)</f>
        <v>14.717000000000001</v>
      </c>
      <c r="O457" s="45">
        <f ca="1">IFERROR(__xludf.DUMMYFUNCTION("""COMPUTED_VALUE"""),0.118)</f>
        <v>0.11799999999999999</v>
      </c>
      <c r="P457" s="45" t="str">
        <f ca="1">IFERROR(__xludf.DUMMYFUNCTION("""COMPUTED_VALUE"""),"Colombo, LK")</f>
        <v>Colombo, LK</v>
      </c>
      <c r="Q457" s="45" t="str">
        <f ca="1">IFERROR(__xludf.DUMMYFUNCTION("""COMPUTED_VALUE"""),"New York, NY, US")</f>
        <v>New York, NY, US</v>
      </c>
      <c r="R457" s="44">
        <f ca="1">IFERROR(__xludf.DUMMYFUNCTION("""COMPUTED_VALUE"""),45824)</f>
        <v>45824</v>
      </c>
      <c r="S457" s="44">
        <f ca="1">IFERROR(__xludf.DUMMYFUNCTION("""COMPUTED_VALUE"""),45883)</f>
        <v>45883</v>
      </c>
      <c r="T457" s="45" t="str">
        <f ca="1">IFERROR(__xludf.DUMMYFUNCTION("""COMPUTED_VALUE"""),"Mississauga, ON, CA")</f>
        <v>Mississauga, ON, CA</v>
      </c>
      <c r="U457" s="45"/>
      <c r="V457" s="45"/>
      <c r="W457" s="45"/>
      <c r="X457" s="45"/>
      <c r="Y457" s="46">
        <f ca="1">IFERROR(__xludf.DUMMYFUNCTION("""COMPUTED_VALUE"""),45832)</f>
        <v>45832</v>
      </c>
      <c r="Z457" s="46">
        <f ca="1">IFERROR(__xludf.DUMMYFUNCTION("""COMPUTED_VALUE"""),45861)</f>
        <v>45861</v>
      </c>
      <c r="AA457" s="46">
        <f ca="1">IFERROR(__xludf.DUMMYFUNCTION("""COMPUTED_VALUE"""),45874)</f>
        <v>45874</v>
      </c>
      <c r="AB457" s="45" t="str">
        <f ca="1">IFERROR(__xludf.DUMMYFUNCTION("""COMPUTED_VALUE"""),"3500 Argentia Road")</f>
        <v>3500 Argentia Road</v>
      </c>
      <c r="AC457" s="45"/>
      <c r="AD457" s="45" t="str">
        <f ca="1">IFERROR(__xludf.DUMMYFUNCTION("""COMPUTED_VALUE"""),"OCEAN")</f>
        <v>OCEAN</v>
      </c>
      <c r="AE457" s="45" t="str">
        <f ca="1">IFERROR(__xludf.DUMMYFUNCTION("""COMPUTED_VALUE"""),"N")</f>
        <v>N</v>
      </c>
      <c r="AF457" s="45"/>
      <c r="AG457" s="49" t="str">
        <f ca="1">IFERROR(__xludf.DUMMYFUNCTION("IFNA(vlookup(H457,IMPORTRANGE(""1vUGwO1n0QQGx9kKbO0_M5gmuhXZ6-LaxQxgrmJnzgP0"",""'TP# look up'!A:C""),3,0),"""")"),"")</f>
        <v/>
      </c>
      <c r="AH457" s="49" t="str">
        <f t="shared" ca="1" si="7"/>
        <v>LM</v>
      </c>
    </row>
    <row r="458" spans="1:34" ht="12.75">
      <c r="A458" s="45" t="str">
        <f ca="1">IFERROR(__xludf.DUMMYFUNCTION("""COMPUTED_VALUE"""),"Colombo")</f>
        <v>Colombo</v>
      </c>
      <c r="B458" s="45"/>
      <c r="C458" s="45">
        <f ca="1">IFERROR(__xludf.DUMMYFUNCTION("""COMPUTED_VALUE"""),3254508)</f>
        <v>3254508</v>
      </c>
      <c r="D458" s="45"/>
      <c r="E458" s="45" t="str">
        <f ca="1">IFERROR(__xludf.DUMMYFUNCTION("""COMPUTED_VALUE"""),"CFS")</f>
        <v>CFS</v>
      </c>
      <c r="F458" s="45" t="str">
        <f ca="1">IFERROR(__xludf.DUMMYFUNCTION("""COMPUTED_VALUE"""),"MAS AMITY PTE LTD")</f>
        <v>MAS AMITY PTE LTD</v>
      </c>
      <c r="G458" s="45" t="str">
        <f ca="1">IFERROR(__xludf.DUMMYFUNCTION("""COMPUTED_VALUE"""),"MAS Active (Pvt) Ltd - Linea Intimo")</f>
        <v>MAS Active (Pvt) Ltd - Linea Intimo</v>
      </c>
      <c r="H458" s="43">
        <f ca="1">IFERROR(__xludf.DUMMYFUNCTION("""COMPUTED_VALUE"""),454706405931)</f>
        <v>454706405931</v>
      </c>
      <c r="I458" s="45">
        <f ca="1">IFERROR(__xludf.DUMMYFUNCTION("""COMPUTED_VALUE"""),19913413)</f>
        <v>19913413</v>
      </c>
      <c r="J458" s="45" t="str">
        <f ca="1">IFERROR(__xludf.DUMMYFUNCTION("""COMPUTED_VALUE"""),"LW3JE9S")</f>
        <v>LW3JE9S</v>
      </c>
      <c r="K458" s="45" t="str">
        <f ca="1">IFERROR(__xludf.DUMMYFUNCTION("""COMPUTED_VALUE"""),"LW3JE9S-4780")</f>
        <v>LW3JE9S-4780</v>
      </c>
      <c r="L458" s="45">
        <f ca="1">IFERROR(__xludf.DUMMYFUNCTION("""COMPUTED_VALUE"""),11)</f>
        <v>11</v>
      </c>
      <c r="M458" s="45">
        <f ca="1">IFERROR(__xludf.DUMMYFUNCTION("""COMPUTED_VALUE"""),686)</f>
        <v>686</v>
      </c>
      <c r="N458" s="45">
        <f ca="1">IFERROR(__xludf.DUMMYFUNCTION("""COMPUTED_VALUE"""),132.919)</f>
        <v>132.91900000000001</v>
      </c>
      <c r="O458" s="45">
        <f ca="1">IFERROR(__xludf.DUMMYFUNCTION("""COMPUTED_VALUE"""),0.869)</f>
        <v>0.86899999999999999</v>
      </c>
      <c r="P458" s="45" t="str">
        <f ca="1">IFERROR(__xludf.DUMMYFUNCTION("""COMPUTED_VALUE"""),"Colombo, LK")</f>
        <v>Colombo, LK</v>
      </c>
      <c r="Q458" s="45" t="str">
        <f ca="1">IFERROR(__xludf.DUMMYFUNCTION("""COMPUTED_VALUE"""),"New York, NY, US")</f>
        <v>New York, NY, US</v>
      </c>
      <c r="R458" s="44">
        <f ca="1">IFERROR(__xludf.DUMMYFUNCTION("""COMPUTED_VALUE"""),45824)</f>
        <v>45824</v>
      </c>
      <c r="S458" s="44">
        <f ca="1">IFERROR(__xludf.DUMMYFUNCTION("""COMPUTED_VALUE"""),45883)</f>
        <v>45883</v>
      </c>
      <c r="T458" s="45" t="str">
        <f ca="1">IFERROR(__xludf.DUMMYFUNCTION("""COMPUTED_VALUE"""),"Mississauga, ON, CA")</f>
        <v>Mississauga, ON, CA</v>
      </c>
      <c r="U458" s="45"/>
      <c r="V458" s="45"/>
      <c r="W458" s="45"/>
      <c r="X458" s="45"/>
      <c r="Y458" s="46">
        <f ca="1">IFERROR(__xludf.DUMMYFUNCTION("""COMPUTED_VALUE"""),45832)</f>
        <v>45832</v>
      </c>
      <c r="Z458" s="46">
        <f ca="1">IFERROR(__xludf.DUMMYFUNCTION("""COMPUTED_VALUE"""),45861)</f>
        <v>45861</v>
      </c>
      <c r="AA458" s="46">
        <f ca="1">IFERROR(__xludf.DUMMYFUNCTION("""COMPUTED_VALUE"""),45874)</f>
        <v>45874</v>
      </c>
      <c r="AB458" s="45" t="str">
        <f ca="1">IFERROR(__xludf.DUMMYFUNCTION("""COMPUTED_VALUE"""),"3500 Argentia Road")</f>
        <v>3500 Argentia Road</v>
      </c>
      <c r="AC458" s="45"/>
      <c r="AD458" s="45" t="str">
        <f ca="1">IFERROR(__xludf.DUMMYFUNCTION("""COMPUTED_VALUE"""),"OCEAN")</f>
        <v>OCEAN</v>
      </c>
      <c r="AE458" s="45" t="str">
        <f ca="1">IFERROR(__xludf.DUMMYFUNCTION("""COMPUTED_VALUE"""),"N")</f>
        <v>N</v>
      </c>
      <c r="AF458" s="45"/>
      <c r="AG458" s="49" t="str">
        <f ca="1">IFERROR(__xludf.DUMMYFUNCTION("IFNA(vlookup(H458,IMPORTRANGE(""1vUGwO1n0QQGx9kKbO0_M5gmuhXZ6-LaxQxgrmJnzgP0"",""'TP# look up'!A:C""),3,0),"""")"),"")</f>
        <v/>
      </c>
      <c r="AH458" s="49" t="str">
        <f t="shared" ca="1" si="7"/>
        <v>LW</v>
      </c>
    </row>
    <row r="459" spans="1:34" ht="12.75">
      <c r="A459" s="45" t="str">
        <f ca="1">IFERROR(__xludf.DUMMYFUNCTION("""COMPUTED_VALUE"""),"Colombo")</f>
        <v>Colombo</v>
      </c>
      <c r="B459" s="45"/>
      <c r="C459" s="45">
        <f ca="1">IFERROR(__xludf.DUMMYFUNCTION("""COMPUTED_VALUE"""),3254508)</f>
        <v>3254508</v>
      </c>
      <c r="D459" s="45"/>
      <c r="E459" s="45" t="str">
        <f ca="1">IFERROR(__xludf.DUMMYFUNCTION("""COMPUTED_VALUE"""),"CFS")</f>
        <v>CFS</v>
      </c>
      <c r="F459" s="45" t="str">
        <f ca="1">IFERROR(__xludf.DUMMYFUNCTION("""COMPUTED_VALUE"""),"MAS AMITY PTE LTD")</f>
        <v>MAS AMITY PTE LTD</v>
      </c>
      <c r="G459" s="45" t="str">
        <f ca="1">IFERROR(__xludf.DUMMYFUNCTION("""COMPUTED_VALUE"""),"MAS Active (Pvt) Ltd - Linea Intimo")</f>
        <v>MAS Active (Pvt) Ltd - Linea Intimo</v>
      </c>
      <c r="H459" s="43">
        <f ca="1">IFERROR(__xludf.DUMMYFUNCTION("""COMPUTED_VALUE"""),454706712546)</f>
        <v>454706712546</v>
      </c>
      <c r="I459" s="45">
        <f ca="1">IFERROR(__xludf.DUMMYFUNCTION("""COMPUTED_VALUE"""),19913277)</f>
        <v>19913277</v>
      </c>
      <c r="J459" s="45" t="str">
        <f ca="1">IFERROR(__xludf.DUMMYFUNCTION("""COMPUTED_VALUE"""),"LW3FQHS")</f>
        <v>LW3FQHS</v>
      </c>
      <c r="K459" s="45" t="str">
        <f ca="1">IFERROR(__xludf.DUMMYFUNCTION("""COMPUTED_VALUE"""),"LW3FQHS-0572")</f>
        <v>LW3FQHS-0572</v>
      </c>
      <c r="L459" s="45">
        <f ca="1">IFERROR(__xludf.DUMMYFUNCTION("""COMPUTED_VALUE"""),9)</f>
        <v>9</v>
      </c>
      <c r="M459" s="45">
        <f ca="1">IFERROR(__xludf.DUMMYFUNCTION("""COMPUTED_VALUE"""),1031)</f>
        <v>1031</v>
      </c>
      <c r="N459" s="45">
        <f ca="1">IFERROR(__xludf.DUMMYFUNCTION("""COMPUTED_VALUE"""),101.09)</f>
        <v>101.09</v>
      </c>
      <c r="O459" s="45">
        <f ca="1">IFERROR(__xludf.DUMMYFUNCTION("""COMPUTED_VALUE"""),0.674)</f>
        <v>0.67400000000000004</v>
      </c>
      <c r="P459" s="45" t="str">
        <f ca="1">IFERROR(__xludf.DUMMYFUNCTION("""COMPUTED_VALUE"""),"Colombo, LK")</f>
        <v>Colombo, LK</v>
      </c>
      <c r="Q459" s="45" t="str">
        <f ca="1">IFERROR(__xludf.DUMMYFUNCTION("""COMPUTED_VALUE"""),"New York, NY, US")</f>
        <v>New York, NY, US</v>
      </c>
      <c r="R459" s="44">
        <f ca="1">IFERROR(__xludf.DUMMYFUNCTION("""COMPUTED_VALUE"""),45824)</f>
        <v>45824</v>
      </c>
      <c r="S459" s="44">
        <f ca="1">IFERROR(__xludf.DUMMYFUNCTION("""COMPUTED_VALUE"""),45883)</f>
        <v>45883</v>
      </c>
      <c r="T459" s="45" t="str">
        <f ca="1">IFERROR(__xludf.DUMMYFUNCTION("""COMPUTED_VALUE"""),"Mississauga, ON, CA")</f>
        <v>Mississauga, ON, CA</v>
      </c>
      <c r="U459" s="45"/>
      <c r="V459" s="45"/>
      <c r="W459" s="45"/>
      <c r="X459" s="45"/>
      <c r="Y459" s="46">
        <f ca="1">IFERROR(__xludf.DUMMYFUNCTION("""COMPUTED_VALUE"""),45832)</f>
        <v>45832</v>
      </c>
      <c r="Z459" s="46">
        <f ca="1">IFERROR(__xludf.DUMMYFUNCTION("""COMPUTED_VALUE"""),45861)</f>
        <v>45861</v>
      </c>
      <c r="AA459" s="46">
        <f ca="1">IFERROR(__xludf.DUMMYFUNCTION("""COMPUTED_VALUE"""),45874)</f>
        <v>45874</v>
      </c>
      <c r="AB459" s="45" t="str">
        <f ca="1">IFERROR(__xludf.DUMMYFUNCTION("""COMPUTED_VALUE"""),"3500 Argentia Road")</f>
        <v>3500 Argentia Road</v>
      </c>
      <c r="AC459" s="45"/>
      <c r="AD459" s="45" t="str">
        <f ca="1">IFERROR(__xludf.DUMMYFUNCTION("""COMPUTED_VALUE"""),"OCEAN")</f>
        <v>OCEAN</v>
      </c>
      <c r="AE459" s="45" t="str">
        <f ca="1">IFERROR(__xludf.DUMMYFUNCTION("""COMPUTED_VALUE"""),"N")</f>
        <v>N</v>
      </c>
      <c r="AF459" s="45"/>
      <c r="AG459" s="49" t="str">
        <f ca="1">IFERROR(__xludf.DUMMYFUNCTION("IFNA(vlookup(H459,IMPORTRANGE(""1vUGwO1n0QQGx9kKbO0_M5gmuhXZ6-LaxQxgrmJnzgP0"",""'TP# look up'!A:C""),3,0),"""")"),"")</f>
        <v/>
      </c>
      <c r="AH459" s="49" t="str">
        <f t="shared" ca="1" si="7"/>
        <v>LW</v>
      </c>
    </row>
    <row r="460" spans="1:34" ht="12.75">
      <c r="A460" s="45" t="str">
        <f ca="1">IFERROR(__xludf.DUMMYFUNCTION("""COMPUTED_VALUE"""),"Colombo")</f>
        <v>Colombo</v>
      </c>
      <c r="B460" s="45"/>
      <c r="C460" s="45">
        <f ca="1">IFERROR(__xludf.DUMMYFUNCTION("""COMPUTED_VALUE"""),3254508)</f>
        <v>3254508</v>
      </c>
      <c r="D460" s="45"/>
      <c r="E460" s="45" t="str">
        <f ca="1">IFERROR(__xludf.DUMMYFUNCTION("""COMPUTED_VALUE"""),"CFS")</f>
        <v>CFS</v>
      </c>
      <c r="F460" s="45" t="str">
        <f ca="1">IFERROR(__xludf.DUMMYFUNCTION("""COMPUTED_VALUE"""),"MAS AMITY PTE LTD")</f>
        <v>MAS AMITY PTE LTD</v>
      </c>
      <c r="G460" s="45" t="str">
        <f ca="1">IFERROR(__xludf.DUMMYFUNCTION("""COMPUTED_VALUE"""),"MAS Active (Pvt) Ltd - Linea Intimo")</f>
        <v>MAS Active (Pvt) Ltd - Linea Intimo</v>
      </c>
      <c r="H460" s="43">
        <f ca="1">IFERROR(__xludf.DUMMYFUNCTION("""COMPUTED_VALUE"""),454706949394)</f>
        <v>454706949394</v>
      </c>
      <c r="I460" s="45">
        <f ca="1">IFERROR(__xludf.DUMMYFUNCTION("""COMPUTED_VALUE"""),19913431)</f>
        <v>19913431</v>
      </c>
      <c r="J460" s="45" t="str">
        <f ca="1">IFERROR(__xludf.DUMMYFUNCTION("""COMPUTED_VALUE"""),"LW3JE9S")</f>
        <v>LW3JE9S</v>
      </c>
      <c r="K460" s="45" t="str">
        <f ca="1">IFERROR(__xludf.DUMMYFUNCTION("""COMPUTED_VALUE"""),"LW3JE9S-042836")</f>
        <v>LW3JE9S-042836</v>
      </c>
      <c r="L460" s="45">
        <f ca="1">IFERROR(__xludf.DUMMYFUNCTION("""COMPUTED_VALUE"""),6)</f>
        <v>6</v>
      </c>
      <c r="M460" s="45">
        <f ca="1">IFERROR(__xludf.DUMMYFUNCTION("""COMPUTED_VALUE"""),366)</f>
        <v>366</v>
      </c>
      <c r="N460" s="45">
        <f ca="1">IFERROR(__xludf.DUMMYFUNCTION("""COMPUTED_VALUE"""),71.025)</f>
        <v>71.025000000000006</v>
      </c>
      <c r="O460" s="45">
        <f ca="1">IFERROR(__xludf.DUMMYFUNCTION("""COMPUTED_VALUE"""),0.474)</f>
        <v>0.47399999999999998</v>
      </c>
      <c r="P460" s="45" t="str">
        <f ca="1">IFERROR(__xludf.DUMMYFUNCTION("""COMPUTED_VALUE"""),"Colombo, LK")</f>
        <v>Colombo, LK</v>
      </c>
      <c r="Q460" s="45" t="str">
        <f ca="1">IFERROR(__xludf.DUMMYFUNCTION("""COMPUTED_VALUE"""),"New York, NY, US")</f>
        <v>New York, NY, US</v>
      </c>
      <c r="R460" s="44">
        <f ca="1">IFERROR(__xludf.DUMMYFUNCTION("""COMPUTED_VALUE"""),45824)</f>
        <v>45824</v>
      </c>
      <c r="S460" s="44">
        <f ca="1">IFERROR(__xludf.DUMMYFUNCTION("""COMPUTED_VALUE"""),45883)</f>
        <v>45883</v>
      </c>
      <c r="T460" s="45" t="str">
        <f ca="1">IFERROR(__xludf.DUMMYFUNCTION("""COMPUTED_VALUE"""),"Mississauga, ON, CA")</f>
        <v>Mississauga, ON, CA</v>
      </c>
      <c r="U460" s="45"/>
      <c r="V460" s="45"/>
      <c r="W460" s="45"/>
      <c r="X460" s="45"/>
      <c r="Y460" s="46">
        <f ca="1">IFERROR(__xludf.DUMMYFUNCTION("""COMPUTED_VALUE"""),45832)</f>
        <v>45832</v>
      </c>
      <c r="Z460" s="46">
        <f ca="1">IFERROR(__xludf.DUMMYFUNCTION("""COMPUTED_VALUE"""),45861)</f>
        <v>45861</v>
      </c>
      <c r="AA460" s="46">
        <f ca="1">IFERROR(__xludf.DUMMYFUNCTION("""COMPUTED_VALUE"""),45874)</f>
        <v>45874</v>
      </c>
      <c r="AB460" s="45" t="str">
        <f ca="1">IFERROR(__xludf.DUMMYFUNCTION("""COMPUTED_VALUE"""),"3500 Argentia Road")</f>
        <v>3500 Argentia Road</v>
      </c>
      <c r="AC460" s="45"/>
      <c r="AD460" s="45" t="str">
        <f ca="1">IFERROR(__xludf.DUMMYFUNCTION("""COMPUTED_VALUE"""),"OCEAN")</f>
        <v>OCEAN</v>
      </c>
      <c r="AE460" s="45" t="str">
        <f ca="1">IFERROR(__xludf.DUMMYFUNCTION("""COMPUTED_VALUE"""),"N")</f>
        <v>N</v>
      </c>
      <c r="AF460" s="45"/>
      <c r="AG460" s="49" t="str">
        <f ca="1">IFERROR(__xludf.DUMMYFUNCTION("IFNA(vlookup(H460,IMPORTRANGE(""1vUGwO1n0QQGx9kKbO0_M5gmuhXZ6-LaxQxgrmJnzgP0"",""'TP# look up'!A:C""),3,0),"""")"),"")</f>
        <v/>
      </c>
      <c r="AH460" s="49" t="str">
        <f t="shared" ca="1" si="7"/>
        <v>LW</v>
      </c>
    </row>
    <row r="461" spans="1:34" ht="12.75">
      <c r="A461" s="45" t="str">
        <f ca="1">IFERROR(__xludf.DUMMYFUNCTION("""COMPUTED_VALUE"""),"Colombo")</f>
        <v>Colombo</v>
      </c>
      <c r="B461" s="45"/>
      <c r="C461" s="45">
        <f ca="1">IFERROR(__xludf.DUMMYFUNCTION("""COMPUTED_VALUE"""),3254508)</f>
        <v>3254508</v>
      </c>
      <c r="D461" s="45"/>
      <c r="E461" s="45" t="str">
        <f ca="1">IFERROR(__xludf.DUMMYFUNCTION("""COMPUTED_VALUE"""),"CFS")</f>
        <v>CFS</v>
      </c>
      <c r="F461" s="45" t="str">
        <f ca="1">IFERROR(__xludf.DUMMYFUNCTION("""COMPUTED_VALUE"""),"MAS AMITY PTE LTD")</f>
        <v>MAS AMITY PTE LTD</v>
      </c>
      <c r="G461" s="45" t="str">
        <f ca="1">IFERROR(__xludf.DUMMYFUNCTION("""COMPUTED_VALUE"""),"MAS Active (Pvt) Ltd - Linea Intimo")</f>
        <v>MAS Active (Pvt) Ltd - Linea Intimo</v>
      </c>
      <c r="H461" s="43">
        <f ca="1">IFERROR(__xludf.DUMMYFUNCTION("""COMPUTED_VALUE"""),454707107149)</f>
        <v>454707107149</v>
      </c>
      <c r="I461" s="45">
        <f ca="1">IFERROR(__xludf.DUMMYFUNCTION("""COMPUTED_VALUE"""),19913463)</f>
        <v>19913463</v>
      </c>
      <c r="J461" s="45" t="str">
        <f ca="1">IFERROR(__xludf.DUMMYFUNCTION("""COMPUTED_VALUE"""),"LM1364S")</f>
        <v>LM1364S</v>
      </c>
      <c r="K461" s="45" t="str">
        <f ca="1">IFERROR(__xludf.DUMMYFUNCTION("""COMPUTED_VALUE"""),"LM1364S-070561")</f>
        <v>LM1364S-070561</v>
      </c>
      <c r="L461" s="45">
        <f ca="1">IFERROR(__xludf.DUMMYFUNCTION("""COMPUTED_VALUE"""),4)</f>
        <v>4</v>
      </c>
      <c r="M461" s="45">
        <f ca="1">IFERROR(__xludf.DUMMYFUNCTION("""COMPUTED_VALUE"""),232)</f>
        <v>232</v>
      </c>
      <c r="N461" s="45">
        <f ca="1">IFERROR(__xludf.DUMMYFUNCTION("""COMPUTED_VALUE"""),35.936)</f>
        <v>35.936</v>
      </c>
      <c r="O461" s="45">
        <f ca="1">IFERROR(__xludf.DUMMYFUNCTION("""COMPUTED_VALUE"""),0.316)</f>
        <v>0.316</v>
      </c>
      <c r="P461" s="45" t="str">
        <f ca="1">IFERROR(__xludf.DUMMYFUNCTION("""COMPUTED_VALUE"""),"Colombo, LK")</f>
        <v>Colombo, LK</v>
      </c>
      <c r="Q461" s="45" t="str">
        <f ca="1">IFERROR(__xludf.DUMMYFUNCTION("""COMPUTED_VALUE"""),"New York, NY, US")</f>
        <v>New York, NY, US</v>
      </c>
      <c r="R461" s="44">
        <f ca="1">IFERROR(__xludf.DUMMYFUNCTION("""COMPUTED_VALUE"""),45824)</f>
        <v>45824</v>
      </c>
      <c r="S461" s="44">
        <f ca="1">IFERROR(__xludf.DUMMYFUNCTION("""COMPUTED_VALUE"""),45883)</f>
        <v>45883</v>
      </c>
      <c r="T461" s="45" t="str">
        <f ca="1">IFERROR(__xludf.DUMMYFUNCTION("""COMPUTED_VALUE"""),"Mississauga, ON, CA")</f>
        <v>Mississauga, ON, CA</v>
      </c>
      <c r="U461" s="45"/>
      <c r="V461" s="45"/>
      <c r="W461" s="45"/>
      <c r="X461" s="45"/>
      <c r="Y461" s="46">
        <f ca="1">IFERROR(__xludf.DUMMYFUNCTION("""COMPUTED_VALUE"""),45832)</f>
        <v>45832</v>
      </c>
      <c r="Z461" s="46">
        <f ca="1">IFERROR(__xludf.DUMMYFUNCTION("""COMPUTED_VALUE"""),45861)</f>
        <v>45861</v>
      </c>
      <c r="AA461" s="46">
        <f ca="1">IFERROR(__xludf.DUMMYFUNCTION("""COMPUTED_VALUE"""),45874)</f>
        <v>45874</v>
      </c>
      <c r="AB461" s="45" t="str">
        <f ca="1">IFERROR(__xludf.DUMMYFUNCTION("""COMPUTED_VALUE"""),"3500 Argentia Road")</f>
        <v>3500 Argentia Road</v>
      </c>
      <c r="AC461" s="45"/>
      <c r="AD461" s="45" t="str">
        <f ca="1">IFERROR(__xludf.DUMMYFUNCTION("""COMPUTED_VALUE"""),"OCEAN")</f>
        <v>OCEAN</v>
      </c>
      <c r="AE461" s="45" t="str">
        <f ca="1">IFERROR(__xludf.DUMMYFUNCTION("""COMPUTED_VALUE"""),"N")</f>
        <v>N</v>
      </c>
      <c r="AF461" s="45"/>
      <c r="AG461" s="49" t="str">
        <f ca="1">IFERROR(__xludf.DUMMYFUNCTION("IFNA(vlookup(H461,IMPORTRANGE(""1vUGwO1n0QQGx9kKbO0_M5gmuhXZ6-LaxQxgrmJnzgP0"",""'TP# look up'!A:C""),3,0),"""")"),"")</f>
        <v/>
      </c>
      <c r="AH461" s="49" t="str">
        <f t="shared" ca="1" si="7"/>
        <v>LM</v>
      </c>
    </row>
    <row r="462" spans="1:34" ht="12.75">
      <c r="A462" s="45" t="str">
        <f ca="1">IFERROR(__xludf.DUMMYFUNCTION("""COMPUTED_VALUE"""),"Colombo")</f>
        <v>Colombo</v>
      </c>
      <c r="B462" s="45"/>
      <c r="C462" s="45">
        <f ca="1">IFERROR(__xludf.DUMMYFUNCTION("""COMPUTED_VALUE"""),3254508)</f>
        <v>3254508</v>
      </c>
      <c r="D462" s="45"/>
      <c r="E462" s="45" t="str">
        <f ca="1">IFERROR(__xludf.DUMMYFUNCTION("""COMPUTED_VALUE"""),"CFS")</f>
        <v>CFS</v>
      </c>
      <c r="F462" s="45" t="str">
        <f ca="1">IFERROR(__xludf.DUMMYFUNCTION("""COMPUTED_VALUE"""),"MAS AMITY PTE LTD")</f>
        <v>MAS AMITY PTE LTD</v>
      </c>
      <c r="G462" s="45" t="str">
        <f ca="1">IFERROR(__xludf.DUMMYFUNCTION("""COMPUTED_VALUE"""),"MAS Active (Pvt) Ltd - Linea Intimo")</f>
        <v>MAS Active (Pvt) Ltd - Linea Intimo</v>
      </c>
      <c r="H462" s="43">
        <f ca="1">IFERROR(__xludf.DUMMYFUNCTION("""COMPUTED_VALUE"""),454707657000)</f>
        <v>454707657000</v>
      </c>
      <c r="I462" s="45">
        <f ca="1">IFERROR(__xludf.DUMMYFUNCTION("""COMPUTED_VALUE"""),19913514)</f>
        <v>19913514</v>
      </c>
      <c r="J462" s="45" t="str">
        <f ca="1">IFERROR(__xludf.DUMMYFUNCTION("""COMPUTED_VALUE"""),"LM3FHKS")</f>
        <v>LM3FHKS</v>
      </c>
      <c r="K462" s="45" t="str">
        <f ca="1">IFERROR(__xludf.DUMMYFUNCTION("""COMPUTED_VALUE"""),"LM3FHKS-071162")</f>
        <v>LM3FHKS-071162</v>
      </c>
      <c r="L462" s="45">
        <f ca="1">IFERROR(__xludf.DUMMYFUNCTION("""COMPUTED_VALUE"""),6)</f>
        <v>6</v>
      </c>
      <c r="M462" s="45">
        <f ca="1">IFERROR(__xludf.DUMMYFUNCTION("""COMPUTED_VALUE"""),275)</f>
        <v>275</v>
      </c>
      <c r="N462" s="45">
        <f ca="1">IFERROR(__xludf.DUMMYFUNCTION("""COMPUTED_VALUE"""),60.972)</f>
        <v>60.972000000000001</v>
      </c>
      <c r="O462" s="45">
        <f ca="1">IFERROR(__xludf.DUMMYFUNCTION("""COMPUTED_VALUE"""),0.395)</f>
        <v>0.39500000000000002</v>
      </c>
      <c r="P462" s="45" t="str">
        <f ca="1">IFERROR(__xludf.DUMMYFUNCTION("""COMPUTED_VALUE"""),"Colombo, LK")</f>
        <v>Colombo, LK</v>
      </c>
      <c r="Q462" s="45" t="str">
        <f ca="1">IFERROR(__xludf.DUMMYFUNCTION("""COMPUTED_VALUE"""),"New York, NY, US")</f>
        <v>New York, NY, US</v>
      </c>
      <c r="R462" s="44">
        <f ca="1">IFERROR(__xludf.DUMMYFUNCTION("""COMPUTED_VALUE"""),45824)</f>
        <v>45824</v>
      </c>
      <c r="S462" s="44">
        <f ca="1">IFERROR(__xludf.DUMMYFUNCTION("""COMPUTED_VALUE"""),45883)</f>
        <v>45883</v>
      </c>
      <c r="T462" s="45" t="str">
        <f ca="1">IFERROR(__xludf.DUMMYFUNCTION("""COMPUTED_VALUE"""),"Mississauga, ON, CA")</f>
        <v>Mississauga, ON, CA</v>
      </c>
      <c r="U462" s="45"/>
      <c r="V462" s="45"/>
      <c r="W462" s="45"/>
      <c r="X462" s="45"/>
      <c r="Y462" s="46">
        <f ca="1">IFERROR(__xludf.DUMMYFUNCTION("""COMPUTED_VALUE"""),45832)</f>
        <v>45832</v>
      </c>
      <c r="Z462" s="46">
        <f ca="1">IFERROR(__xludf.DUMMYFUNCTION("""COMPUTED_VALUE"""),45861)</f>
        <v>45861</v>
      </c>
      <c r="AA462" s="46">
        <f ca="1">IFERROR(__xludf.DUMMYFUNCTION("""COMPUTED_VALUE"""),45874)</f>
        <v>45874</v>
      </c>
      <c r="AB462" s="45" t="str">
        <f ca="1">IFERROR(__xludf.DUMMYFUNCTION("""COMPUTED_VALUE"""),"3500 Argentia Road")</f>
        <v>3500 Argentia Road</v>
      </c>
      <c r="AC462" s="45"/>
      <c r="AD462" s="45" t="str">
        <f ca="1">IFERROR(__xludf.DUMMYFUNCTION("""COMPUTED_VALUE"""),"OCEAN")</f>
        <v>OCEAN</v>
      </c>
      <c r="AE462" s="45" t="str">
        <f ca="1">IFERROR(__xludf.DUMMYFUNCTION("""COMPUTED_VALUE"""),"N")</f>
        <v>N</v>
      </c>
      <c r="AF462" s="45"/>
      <c r="AG462" s="49" t="str">
        <f ca="1">IFERROR(__xludf.DUMMYFUNCTION("IFNA(vlookup(H462,IMPORTRANGE(""1vUGwO1n0QQGx9kKbO0_M5gmuhXZ6-LaxQxgrmJnzgP0"",""'TP# look up'!A:C""),3,0),"""")"),"")</f>
        <v/>
      </c>
      <c r="AH462" s="49" t="str">
        <f t="shared" ca="1" si="7"/>
        <v>LM</v>
      </c>
    </row>
    <row r="463" spans="1:34" ht="12.75">
      <c r="A463" s="45" t="str">
        <f ca="1">IFERROR(__xludf.DUMMYFUNCTION("""COMPUTED_VALUE"""),"Colombo")</f>
        <v>Colombo</v>
      </c>
      <c r="B463" s="45"/>
      <c r="C463" s="45">
        <f ca="1">IFERROR(__xludf.DUMMYFUNCTION("""COMPUTED_VALUE"""),3254508)</f>
        <v>3254508</v>
      </c>
      <c r="D463" s="45"/>
      <c r="E463" s="45" t="str">
        <f ca="1">IFERROR(__xludf.DUMMYFUNCTION("""COMPUTED_VALUE"""),"CFS")</f>
        <v>CFS</v>
      </c>
      <c r="F463" s="45" t="str">
        <f ca="1">IFERROR(__xludf.DUMMYFUNCTION("""COMPUTED_VALUE"""),"MAS AMITY PTE LTD")</f>
        <v>MAS AMITY PTE LTD</v>
      </c>
      <c r="G463" s="45" t="str">
        <f ca="1">IFERROR(__xludf.DUMMYFUNCTION("""COMPUTED_VALUE"""),"MAS Active (Pvt) Ltd - Linea Intimo")</f>
        <v>MAS Active (Pvt) Ltd - Linea Intimo</v>
      </c>
      <c r="H463" s="43">
        <f ca="1">IFERROR(__xludf.DUMMYFUNCTION("""COMPUTED_VALUE"""),454707704516)</f>
        <v>454707704516</v>
      </c>
      <c r="I463" s="45">
        <f ca="1">IFERROR(__xludf.DUMMYFUNCTION("""COMPUTED_VALUE"""),19913502)</f>
        <v>19913502</v>
      </c>
      <c r="J463" s="45" t="str">
        <f ca="1">IFERROR(__xludf.DUMMYFUNCTION("""COMPUTED_VALUE"""),"LM3FHKS")</f>
        <v>LM3FHKS</v>
      </c>
      <c r="K463" s="45" t="str">
        <f ca="1">IFERROR(__xludf.DUMMYFUNCTION("""COMPUTED_VALUE"""),"LM3FHKS-069299")</f>
        <v>LM3FHKS-069299</v>
      </c>
      <c r="L463" s="45">
        <f ca="1">IFERROR(__xludf.DUMMYFUNCTION("""COMPUTED_VALUE"""),7)</f>
        <v>7</v>
      </c>
      <c r="M463" s="45">
        <f ca="1">IFERROR(__xludf.DUMMYFUNCTION("""COMPUTED_VALUE"""),374)</f>
        <v>374</v>
      </c>
      <c r="N463" s="45">
        <f ca="1">IFERROR(__xludf.DUMMYFUNCTION("""COMPUTED_VALUE"""),81.849)</f>
        <v>81.849000000000004</v>
      </c>
      <c r="O463" s="45">
        <f ca="1">IFERROR(__xludf.DUMMYFUNCTION("""COMPUTED_VALUE"""),0.474)</f>
        <v>0.47399999999999998</v>
      </c>
      <c r="P463" s="45" t="str">
        <f ca="1">IFERROR(__xludf.DUMMYFUNCTION("""COMPUTED_VALUE"""),"Colombo, LK")</f>
        <v>Colombo, LK</v>
      </c>
      <c r="Q463" s="45" t="str">
        <f ca="1">IFERROR(__xludf.DUMMYFUNCTION("""COMPUTED_VALUE"""),"New York, NY, US")</f>
        <v>New York, NY, US</v>
      </c>
      <c r="R463" s="44">
        <f ca="1">IFERROR(__xludf.DUMMYFUNCTION("""COMPUTED_VALUE"""),45824)</f>
        <v>45824</v>
      </c>
      <c r="S463" s="44">
        <f ca="1">IFERROR(__xludf.DUMMYFUNCTION("""COMPUTED_VALUE"""),45883)</f>
        <v>45883</v>
      </c>
      <c r="T463" s="45" t="str">
        <f ca="1">IFERROR(__xludf.DUMMYFUNCTION("""COMPUTED_VALUE"""),"Mississauga, ON, CA")</f>
        <v>Mississauga, ON, CA</v>
      </c>
      <c r="U463" s="45"/>
      <c r="V463" s="45"/>
      <c r="W463" s="45"/>
      <c r="X463" s="45"/>
      <c r="Y463" s="46">
        <f ca="1">IFERROR(__xludf.DUMMYFUNCTION("""COMPUTED_VALUE"""),45832)</f>
        <v>45832</v>
      </c>
      <c r="Z463" s="46">
        <f ca="1">IFERROR(__xludf.DUMMYFUNCTION("""COMPUTED_VALUE"""),45861)</f>
        <v>45861</v>
      </c>
      <c r="AA463" s="46">
        <f ca="1">IFERROR(__xludf.DUMMYFUNCTION("""COMPUTED_VALUE"""),45874)</f>
        <v>45874</v>
      </c>
      <c r="AB463" s="45" t="str">
        <f ca="1">IFERROR(__xludf.DUMMYFUNCTION("""COMPUTED_VALUE"""),"3500 Argentia Road")</f>
        <v>3500 Argentia Road</v>
      </c>
      <c r="AC463" s="45"/>
      <c r="AD463" s="45" t="str">
        <f ca="1">IFERROR(__xludf.DUMMYFUNCTION("""COMPUTED_VALUE"""),"OCEAN")</f>
        <v>OCEAN</v>
      </c>
      <c r="AE463" s="45" t="str">
        <f ca="1">IFERROR(__xludf.DUMMYFUNCTION("""COMPUTED_VALUE"""),"N")</f>
        <v>N</v>
      </c>
      <c r="AF463" s="45"/>
      <c r="AG463" s="49" t="str">
        <f ca="1">IFERROR(__xludf.DUMMYFUNCTION("IFNA(vlookup(H463,IMPORTRANGE(""1vUGwO1n0QQGx9kKbO0_M5gmuhXZ6-LaxQxgrmJnzgP0"",""'TP# look up'!A:C""),3,0),"""")"),"")</f>
        <v/>
      </c>
      <c r="AH463" s="49" t="str">
        <f t="shared" ca="1" si="7"/>
        <v>LM</v>
      </c>
    </row>
    <row r="464" spans="1:34" ht="12.75">
      <c r="A464" s="45" t="str">
        <f ca="1">IFERROR(__xludf.DUMMYFUNCTION("""COMPUTED_VALUE"""),"Colombo")</f>
        <v>Colombo</v>
      </c>
      <c r="B464" s="45"/>
      <c r="C464" s="45">
        <f ca="1">IFERROR(__xludf.DUMMYFUNCTION("""COMPUTED_VALUE"""),3254508)</f>
        <v>3254508</v>
      </c>
      <c r="D464" s="45"/>
      <c r="E464" s="45" t="str">
        <f ca="1">IFERROR(__xludf.DUMMYFUNCTION("""COMPUTED_VALUE"""),"CFS")</f>
        <v>CFS</v>
      </c>
      <c r="F464" s="45" t="str">
        <f ca="1">IFERROR(__xludf.DUMMYFUNCTION("""COMPUTED_VALUE"""),"MAS AMITY PTE LTD")</f>
        <v>MAS AMITY PTE LTD</v>
      </c>
      <c r="G464" s="45" t="str">
        <f ca="1">IFERROR(__xludf.DUMMYFUNCTION("""COMPUTED_VALUE"""),"MAS Active (Pvt) Ltd - Linea Intimo")</f>
        <v>MAS Active (Pvt) Ltd - Linea Intimo</v>
      </c>
      <c r="H464" s="43">
        <f ca="1">IFERROR(__xludf.DUMMYFUNCTION("""COMPUTED_VALUE"""),454707967199)</f>
        <v>454707967199</v>
      </c>
      <c r="I464" s="45">
        <f ca="1">IFERROR(__xludf.DUMMYFUNCTION("""COMPUTED_VALUE"""),19918362)</f>
        <v>19918362</v>
      </c>
      <c r="J464" s="45" t="str">
        <f ca="1">IFERROR(__xludf.DUMMYFUNCTION("""COMPUTED_VALUE"""),"LW3DFLS")</f>
        <v>LW3DFLS</v>
      </c>
      <c r="K464" s="45" t="str">
        <f ca="1">IFERROR(__xludf.DUMMYFUNCTION("""COMPUTED_VALUE"""),"LW3DFLS-0572")</f>
        <v>LW3DFLS-0572</v>
      </c>
      <c r="L464" s="45">
        <f ca="1">IFERROR(__xludf.DUMMYFUNCTION("""COMPUTED_VALUE"""),7)</f>
        <v>7</v>
      </c>
      <c r="M464" s="45">
        <f ca="1">IFERROR(__xludf.DUMMYFUNCTION("""COMPUTED_VALUE"""),292)</f>
        <v>292</v>
      </c>
      <c r="N464" s="45">
        <f ca="1">IFERROR(__xludf.DUMMYFUNCTION("""COMPUTED_VALUE"""),56.03)</f>
        <v>56.03</v>
      </c>
      <c r="O464" s="45">
        <f ca="1">IFERROR(__xludf.DUMMYFUNCTION("""COMPUTED_VALUE"""),0.434)</f>
        <v>0.434</v>
      </c>
      <c r="P464" s="45" t="str">
        <f ca="1">IFERROR(__xludf.DUMMYFUNCTION("""COMPUTED_VALUE"""),"Colombo, LK")</f>
        <v>Colombo, LK</v>
      </c>
      <c r="Q464" s="45" t="str">
        <f ca="1">IFERROR(__xludf.DUMMYFUNCTION("""COMPUTED_VALUE"""),"New York, NY, US")</f>
        <v>New York, NY, US</v>
      </c>
      <c r="R464" s="44">
        <f ca="1">IFERROR(__xludf.DUMMYFUNCTION("""COMPUTED_VALUE"""),45824)</f>
        <v>45824</v>
      </c>
      <c r="S464" s="44">
        <f ca="1">IFERROR(__xludf.DUMMYFUNCTION("""COMPUTED_VALUE"""),45883)</f>
        <v>45883</v>
      </c>
      <c r="T464" s="45" t="str">
        <f ca="1">IFERROR(__xludf.DUMMYFUNCTION("""COMPUTED_VALUE"""),"Mississauga, ON, CA")</f>
        <v>Mississauga, ON, CA</v>
      </c>
      <c r="U464" s="45"/>
      <c r="V464" s="45"/>
      <c r="W464" s="45"/>
      <c r="X464" s="45"/>
      <c r="Y464" s="46">
        <f ca="1">IFERROR(__xludf.DUMMYFUNCTION("""COMPUTED_VALUE"""),45832)</f>
        <v>45832</v>
      </c>
      <c r="Z464" s="46">
        <f ca="1">IFERROR(__xludf.DUMMYFUNCTION("""COMPUTED_VALUE"""),45861)</f>
        <v>45861</v>
      </c>
      <c r="AA464" s="46">
        <f ca="1">IFERROR(__xludf.DUMMYFUNCTION("""COMPUTED_VALUE"""),45874)</f>
        <v>45874</v>
      </c>
      <c r="AB464" s="45" t="str">
        <f ca="1">IFERROR(__xludf.DUMMYFUNCTION("""COMPUTED_VALUE"""),"3500 Argentia Road")</f>
        <v>3500 Argentia Road</v>
      </c>
      <c r="AC464" s="45"/>
      <c r="AD464" s="45" t="str">
        <f ca="1">IFERROR(__xludf.DUMMYFUNCTION("""COMPUTED_VALUE"""),"OCEAN")</f>
        <v>OCEAN</v>
      </c>
      <c r="AE464" s="45" t="str">
        <f ca="1">IFERROR(__xludf.DUMMYFUNCTION("""COMPUTED_VALUE"""),"N")</f>
        <v>N</v>
      </c>
      <c r="AF464" s="45"/>
      <c r="AG464" s="49" t="str">
        <f ca="1">IFERROR(__xludf.DUMMYFUNCTION("IFNA(vlookup(H464,IMPORTRANGE(""1vUGwO1n0QQGx9kKbO0_M5gmuhXZ6-LaxQxgrmJnzgP0"",""'TP# look up'!A:C""),3,0),"""")"),"")</f>
        <v/>
      </c>
      <c r="AH464" s="49" t="str">
        <f t="shared" ca="1" si="7"/>
        <v>LW</v>
      </c>
    </row>
    <row r="465" spans="1:34" ht="12.75">
      <c r="A465" s="45" t="str">
        <f ca="1">IFERROR(__xludf.DUMMYFUNCTION("""COMPUTED_VALUE"""),"Colombo")</f>
        <v>Colombo</v>
      </c>
      <c r="B465" s="45"/>
      <c r="C465" s="45">
        <f ca="1">IFERROR(__xludf.DUMMYFUNCTION("""COMPUTED_VALUE"""),3254508)</f>
        <v>3254508</v>
      </c>
      <c r="D465" s="45"/>
      <c r="E465" s="45" t="str">
        <f ca="1">IFERROR(__xludf.DUMMYFUNCTION("""COMPUTED_VALUE"""),"CFS")</f>
        <v>CFS</v>
      </c>
      <c r="F465" s="45" t="str">
        <f ca="1">IFERROR(__xludf.DUMMYFUNCTION("""COMPUTED_VALUE"""),"MAS AMITY PTE LTD")</f>
        <v>MAS AMITY PTE LTD</v>
      </c>
      <c r="G465" s="45" t="str">
        <f ca="1">IFERROR(__xludf.DUMMYFUNCTION("""COMPUTED_VALUE"""),"MAS Active (Pvt) Ltd - Linea Intimo")</f>
        <v>MAS Active (Pvt) Ltd - Linea Intimo</v>
      </c>
      <c r="H465" s="43">
        <f ca="1">IFERROR(__xludf.DUMMYFUNCTION("""COMPUTED_VALUE"""),454708168021)</f>
        <v>454708168021</v>
      </c>
      <c r="I465" s="45">
        <f ca="1">IFERROR(__xludf.DUMMYFUNCTION("""COMPUTED_VALUE"""),19918384)</f>
        <v>19918384</v>
      </c>
      <c r="J465" s="45" t="str">
        <f ca="1">IFERROR(__xludf.DUMMYFUNCTION("""COMPUTED_VALUE"""),"LW3DFLS")</f>
        <v>LW3DFLS</v>
      </c>
      <c r="K465" s="45" t="str">
        <f ca="1">IFERROR(__xludf.DUMMYFUNCTION("""COMPUTED_VALUE"""),"LW3DFLS-012826")</f>
        <v>LW3DFLS-012826</v>
      </c>
      <c r="L465" s="45">
        <f ca="1">IFERROR(__xludf.DUMMYFUNCTION("""COMPUTED_VALUE"""),6)</f>
        <v>6</v>
      </c>
      <c r="M465" s="45">
        <f ca="1">IFERROR(__xludf.DUMMYFUNCTION("""COMPUTED_VALUE"""),228)</f>
        <v>228</v>
      </c>
      <c r="N465" s="45">
        <f ca="1">IFERROR(__xludf.DUMMYFUNCTION("""COMPUTED_VALUE"""),44.476)</f>
        <v>44.475999999999999</v>
      </c>
      <c r="O465" s="45">
        <f ca="1">IFERROR(__xludf.DUMMYFUNCTION("""COMPUTED_VALUE"""),0.395)</f>
        <v>0.39500000000000002</v>
      </c>
      <c r="P465" s="45" t="str">
        <f ca="1">IFERROR(__xludf.DUMMYFUNCTION("""COMPUTED_VALUE"""),"Colombo, LK")</f>
        <v>Colombo, LK</v>
      </c>
      <c r="Q465" s="45" t="str">
        <f ca="1">IFERROR(__xludf.DUMMYFUNCTION("""COMPUTED_VALUE"""),"New York, NY, US")</f>
        <v>New York, NY, US</v>
      </c>
      <c r="R465" s="44">
        <f ca="1">IFERROR(__xludf.DUMMYFUNCTION("""COMPUTED_VALUE"""),45824)</f>
        <v>45824</v>
      </c>
      <c r="S465" s="44">
        <f ca="1">IFERROR(__xludf.DUMMYFUNCTION("""COMPUTED_VALUE"""),45883)</f>
        <v>45883</v>
      </c>
      <c r="T465" s="45" t="str">
        <f ca="1">IFERROR(__xludf.DUMMYFUNCTION("""COMPUTED_VALUE"""),"Mississauga, ON, CA")</f>
        <v>Mississauga, ON, CA</v>
      </c>
      <c r="U465" s="45"/>
      <c r="V465" s="45"/>
      <c r="W465" s="45"/>
      <c r="X465" s="45"/>
      <c r="Y465" s="46">
        <f ca="1">IFERROR(__xludf.DUMMYFUNCTION("""COMPUTED_VALUE"""),45832)</f>
        <v>45832</v>
      </c>
      <c r="Z465" s="46">
        <f ca="1">IFERROR(__xludf.DUMMYFUNCTION("""COMPUTED_VALUE"""),45861)</f>
        <v>45861</v>
      </c>
      <c r="AA465" s="46">
        <f ca="1">IFERROR(__xludf.DUMMYFUNCTION("""COMPUTED_VALUE"""),45874)</f>
        <v>45874</v>
      </c>
      <c r="AB465" s="45" t="str">
        <f ca="1">IFERROR(__xludf.DUMMYFUNCTION("""COMPUTED_VALUE"""),"3500 Argentia Road")</f>
        <v>3500 Argentia Road</v>
      </c>
      <c r="AC465" s="45"/>
      <c r="AD465" s="45" t="str">
        <f ca="1">IFERROR(__xludf.DUMMYFUNCTION("""COMPUTED_VALUE"""),"OCEAN")</f>
        <v>OCEAN</v>
      </c>
      <c r="AE465" s="45" t="str">
        <f ca="1">IFERROR(__xludf.DUMMYFUNCTION("""COMPUTED_VALUE"""),"N")</f>
        <v>N</v>
      </c>
      <c r="AF465" s="45"/>
      <c r="AG465" s="49" t="str">
        <f ca="1">IFERROR(__xludf.DUMMYFUNCTION("IFNA(vlookup(H465,IMPORTRANGE(""1vUGwO1n0QQGx9kKbO0_M5gmuhXZ6-LaxQxgrmJnzgP0"",""'TP# look up'!A:C""),3,0),"""")"),"")</f>
        <v/>
      </c>
      <c r="AH465" s="49" t="str">
        <f t="shared" ca="1" si="7"/>
        <v>LW</v>
      </c>
    </row>
    <row r="466" spans="1:34" ht="12.75">
      <c r="A466" s="45" t="str">
        <f ca="1">IFERROR(__xludf.DUMMYFUNCTION("""COMPUTED_VALUE"""),"Colombo")</f>
        <v>Colombo</v>
      </c>
      <c r="B466" s="45"/>
      <c r="C466" s="45">
        <f ca="1">IFERROR(__xludf.DUMMYFUNCTION("""COMPUTED_VALUE"""),3254508)</f>
        <v>3254508</v>
      </c>
      <c r="D466" s="45"/>
      <c r="E466" s="45" t="str">
        <f ca="1">IFERROR(__xludf.DUMMYFUNCTION("""COMPUTED_VALUE"""),"CFS")</f>
        <v>CFS</v>
      </c>
      <c r="F466" s="45" t="str">
        <f ca="1">IFERROR(__xludf.DUMMYFUNCTION("""COMPUTED_VALUE"""),"MAS AMITY PTE LTD")</f>
        <v>MAS AMITY PTE LTD</v>
      </c>
      <c r="G466" s="45" t="str">
        <f ca="1">IFERROR(__xludf.DUMMYFUNCTION("""COMPUTED_VALUE"""),"MAS Active (Pvt) Ltd - Linea Intimo")</f>
        <v>MAS Active (Pvt) Ltd - Linea Intimo</v>
      </c>
      <c r="H466" s="43">
        <f ca="1">IFERROR(__xludf.DUMMYFUNCTION("""COMPUTED_VALUE"""),454708616885)</f>
        <v>454708616885</v>
      </c>
      <c r="I466" s="45">
        <f ca="1">IFERROR(__xludf.DUMMYFUNCTION("""COMPUTED_VALUE"""),19918474)</f>
        <v>19918474</v>
      </c>
      <c r="J466" s="45" t="str">
        <f ca="1">IFERROR(__xludf.DUMMYFUNCTION("""COMPUTED_VALUE"""),"LW3FQHS")</f>
        <v>LW3FQHS</v>
      </c>
      <c r="K466" s="45" t="str">
        <f ca="1">IFERROR(__xludf.DUMMYFUNCTION("""COMPUTED_VALUE"""),"LW3FQHS-0572")</f>
        <v>LW3FQHS-0572</v>
      </c>
      <c r="L466" s="45">
        <f ca="1">IFERROR(__xludf.DUMMYFUNCTION("""COMPUTED_VALUE"""),4)</f>
        <v>4</v>
      </c>
      <c r="M466" s="45">
        <f ca="1">IFERROR(__xludf.DUMMYFUNCTION("""COMPUTED_VALUE"""),250)</f>
        <v>250</v>
      </c>
      <c r="N466" s="45">
        <f ca="1">IFERROR(__xludf.DUMMYFUNCTION("""COMPUTED_VALUE"""),26.556)</f>
        <v>26.556000000000001</v>
      </c>
      <c r="O466" s="45">
        <f ca="1">IFERROR(__xludf.DUMMYFUNCTION("""COMPUTED_VALUE"""),0.237)</f>
        <v>0.23699999999999999</v>
      </c>
      <c r="P466" s="45" t="str">
        <f ca="1">IFERROR(__xludf.DUMMYFUNCTION("""COMPUTED_VALUE"""),"Colombo, LK")</f>
        <v>Colombo, LK</v>
      </c>
      <c r="Q466" s="45" t="str">
        <f ca="1">IFERROR(__xludf.DUMMYFUNCTION("""COMPUTED_VALUE"""),"New York, NY, US")</f>
        <v>New York, NY, US</v>
      </c>
      <c r="R466" s="44">
        <f ca="1">IFERROR(__xludf.DUMMYFUNCTION("""COMPUTED_VALUE"""),45824)</f>
        <v>45824</v>
      </c>
      <c r="S466" s="44">
        <f ca="1">IFERROR(__xludf.DUMMYFUNCTION("""COMPUTED_VALUE"""),45883)</f>
        <v>45883</v>
      </c>
      <c r="T466" s="45" t="str">
        <f ca="1">IFERROR(__xludf.DUMMYFUNCTION("""COMPUTED_VALUE"""),"Mississauga, ON, CA")</f>
        <v>Mississauga, ON, CA</v>
      </c>
      <c r="U466" s="45"/>
      <c r="V466" s="45"/>
      <c r="W466" s="45"/>
      <c r="X466" s="45"/>
      <c r="Y466" s="46">
        <f ca="1">IFERROR(__xludf.DUMMYFUNCTION("""COMPUTED_VALUE"""),45832)</f>
        <v>45832</v>
      </c>
      <c r="Z466" s="46">
        <f ca="1">IFERROR(__xludf.DUMMYFUNCTION("""COMPUTED_VALUE"""),45861)</f>
        <v>45861</v>
      </c>
      <c r="AA466" s="46">
        <f ca="1">IFERROR(__xludf.DUMMYFUNCTION("""COMPUTED_VALUE"""),45874)</f>
        <v>45874</v>
      </c>
      <c r="AB466" s="45" t="str">
        <f ca="1">IFERROR(__xludf.DUMMYFUNCTION("""COMPUTED_VALUE"""),"3500 Argentia Road")</f>
        <v>3500 Argentia Road</v>
      </c>
      <c r="AC466" s="45"/>
      <c r="AD466" s="45" t="str">
        <f ca="1">IFERROR(__xludf.DUMMYFUNCTION("""COMPUTED_VALUE"""),"OCEAN")</f>
        <v>OCEAN</v>
      </c>
      <c r="AE466" s="45" t="str">
        <f ca="1">IFERROR(__xludf.DUMMYFUNCTION("""COMPUTED_VALUE"""),"N")</f>
        <v>N</v>
      </c>
      <c r="AF466" s="45"/>
      <c r="AG466" s="49" t="str">
        <f ca="1">IFERROR(__xludf.DUMMYFUNCTION("IFNA(vlookup(H466,IMPORTRANGE(""1vUGwO1n0QQGx9kKbO0_M5gmuhXZ6-LaxQxgrmJnzgP0"",""'TP# look up'!A:C""),3,0),"""")"),"")</f>
        <v/>
      </c>
      <c r="AH466" s="49" t="str">
        <f t="shared" ca="1" si="7"/>
        <v>LW</v>
      </c>
    </row>
    <row r="467" spans="1:34" ht="12.75">
      <c r="A467" s="45" t="str">
        <f ca="1">IFERROR(__xludf.DUMMYFUNCTION("""COMPUTED_VALUE"""),"Colombo")</f>
        <v>Colombo</v>
      </c>
      <c r="B467" s="45"/>
      <c r="C467" s="45">
        <f ca="1">IFERROR(__xludf.DUMMYFUNCTION("""COMPUTED_VALUE"""),3254508)</f>
        <v>3254508</v>
      </c>
      <c r="D467" s="45"/>
      <c r="E467" s="45" t="str">
        <f ca="1">IFERROR(__xludf.DUMMYFUNCTION("""COMPUTED_VALUE"""),"CFS")</f>
        <v>CFS</v>
      </c>
      <c r="F467" s="45" t="str">
        <f ca="1">IFERROR(__xludf.DUMMYFUNCTION("""COMPUTED_VALUE"""),"MAS AMITY PTE LTD")</f>
        <v>MAS AMITY PTE LTD</v>
      </c>
      <c r="G467" s="45" t="str">
        <f ca="1">IFERROR(__xludf.DUMMYFUNCTION("""COMPUTED_VALUE"""),"MAS Active (Pvt) Ltd - Linea Intimo")</f>
        <v>MAS Active (Pvt) Ltd - Linea Intimo</v>
      </c>
      <c r="H467" s="43">
        <f ca="1">IFERROR(__xludf.DUMMYFUNCTION("""COMPUTED_VALUE"""),454708617020)</f>
        <v>454708617020</v>
      </c>
      <c r="I467" s="45">
        <f ca="1">IFERROR(__xludf.DUMMYFUNCTION("""COMPUTED_VALUE"""),19918434)</f>
        <v>19918434</v>
      </c>
      <c r="J467" s="45" t="str">
        <f ca="1">IFERROR(__xludf.DUMMYFUNCTION("""COMPUTED_VALUE"""),"LW3DFNS")</f>
        <v>LW3DFNS</v>
      </c>
      <c r="K467" s="45" t="str">
        <f ca="1">IFERROR(__xludf.DUMMYFUNCTION("""COMPUTED_VALUE"""),"LW3DFNS-0572")</f>
        <v>LW3DFNS-0572</v>
      </c>
      <c r="L467" s="45">
        <f ca="1">IFERROR(__xludf.DUMMYFUNCTION("""COMPUTED_VALUE"""),3)</f>
        <v>3</v>
      </c>
      <c r="M467" s="45">
        <f ca="1">IFERROR(__xludf.DUMMYFUNCTION("""COMPUTED_VALUE"""),263)</f>
        <v>263</v>
      </c>
      <c r="N467" s="45">
        <f ca="1">IFERROR(__xludf.DUMMYFUNCTION("""COMPUTED_VALUE"""),27.09)</f>
        <v>27.09</v>
      </c>
      <c r="O467" s="45">
        <f ca="1">IFERROR(__xludf.DUMMYFUNCTION("""COMPUTED_VALUE"""),0.198)</f>
        <v>0.19800000000000001</v>
      </c>
      <c r="P467" s="45" t="str">
        <f ca="1">IFERROR(__xludf.DUMMYFUNCTION("""COMPUTED_VALUE"""),"Colombo, LK")</f>
        <v>Colombo, LK</v>
      </c>
      <c r="Q467" s="45" t="str">
        <f ca="1">IFERROR(__xludf.DUMMYFUNCTION("""COMPUTED_VALUE"""),"New York, NY, US")</f>
        <v>New York, NY, US</v>
      </c>
      <c r="R467" s="44">
        <f ca="1">IFERROR(__xludf.DUMMYFUNCTION("""COMPUTED_VALUE"""),45824)</f>
        <v>45824</v>
      </c>
      <c r="S467" s="44">
        <f ca="1">IFERROR(__xludf.DUMMYFUNCTION("""COMPUTED_VALUE"""),45883)</f>
        <v>45883</v>
      </c>
      <c r="T467" s="45" t="str">
        <f ca="1">IFERROR(__xludf.DUMMYFUNCTION("""COMPUTED_VALUE"""),"Mississauga, ON, CA")</f>
        <v>Mississauga, ON, CA</v>
      </c>
      <c r="U467" s="45"/>
      <c r="V467" s="45"/>
      <c r="W467" s="45"/>
      <c r="X467" s="45"/>
      <c r="Y467" s="46">
        <f ca="1">IFERROR(__xludf.DUMMYFUNCTION("""COMPUTED_VALUE"""),45832)</f>
        <v>45832</v>
      </c>
      <c r="Z467" s="46">
        <f ca="1">IFERROR(__xludf.DUMMYFUNCTION("""COMPUTED_VALUE"""),45861)</f>
        <v>45861</v>
      </c>
      <c r="AA467" s="46">
        <f ca="1">IFERROR(__xludf.DUMMYFUNCTION("""COMPUTED_VALUE"""),45874)</f>
        <v>45874</v>
      </c>
      <c r="AB467" s="45" t="str">
        <f ca="1">IFERROR(__xludf.DUMMYFUNCTION("""COMPUTED_VALUE"""),"3500 Argentia Road")</f>
        <v>3500 Argentia Road</v>
      </c>
      <c r="AC467" s="45"/>
      <c r="AD467" s="45" t="str">
        <f ca="1">IFERROR(__xludf.DUMMYFUNCTION("""COMPUTED_VALUE"""),"OCEAN")</f>
        <v>OCEAN</v>
      </c>
      <c r="AE467" s="45" t="str">
        <f ca="1">IFERROR(__xludf.DUMMYFUNCTION("""COMPUTED_VALUE"""),"N")</f>
        <v>N</v>
      </c>
      <c r="AF467" s="45"/>
      <c r="AG467" s="49" t="str">
        <f ca="1">IFERROR(__xludf.DUMMYFUNCTION("IFNA(vlookup(H467,IMPORTRANGE(""1vUGwO1n0QQGx9kKbO0_M5gmuhXZ6-LaxQxgrmJnzgP0"",""'TP# look up'!A:C""),3,0),"""")"),"")</f>
        <v/>
      </c>
      <c r="AH467" s="49" t="str">
        <f t="shared" ca="1" si="7"/>
        <v>LW</v>
      </c>
    </row>
    <row r="468" spans="1:34" ht="12.75">
      <c r="A468" s="45" t="str">
        <f ca="1">IFERROR(__xludf.DUMMYFUNCTION("""COMPUTED_VALUE"""),"Colombo")</f>
        <v>Colombo</v>
      </c>
      <c r="B468" s="45"/>
      <c r="C468" s="45">
        <f ca="1">IFERROR(__xludf.DUMMYFUNCTION("""COMPUTED_VALUE"""),3254508)</f>
        <v>3254508</v>
      </c>
      <c r="D468" s="45"/>
      <c r="E468" s="45" t="str">
        <f ca="1">IFERROR(__xludf.DUMMYFUNCTION("""COMPUTED_VALUE"""),"CFS")</f>
        <v>CFS</v>
      </c>
      <c r="F468" s="45" t="str">
        <f ca="1">IFERROR(__xludf.DUMMYFUNCTION("""COMPUTED_VALUE"""),"MAS AMITY PTE LTD")</f>
        <v>MAS AMITY PTE LTD</v>
      </c>
      <c r="G468" s="45" t="str">
        <f ca="1">IFERROR(__xludf.DUMMYFUNCTION("""COMPUTED_VALUE"""),"MAS Active (Pvt) Ltd - Linea Intimo")</f>
        <v>MAS Active (Pvt) Ltd - Linea Intimo</v>
      </c>
      <c r="H468" s="43">
        <f ca="1">IFERROR(__xludf.DUMMYFUNCTION("""COMPUTED_VALUE"""),454708657110)</f>
        <v>454708657110</v>
      </c>
      <c r="I468" s="45">
        <f ca="1">IFERROR(__xludf.DUMMYFUNCTION("""COMPUTED_VALUE"""),19918549)</f>
        <v>19918549</v>
      </c>
      <c r="J468" s="45" t="str">
        <f ca="1">IFERROR(__xludf.DUMMYFUNCTION("""COMPUTED_VALUE"""),"LM1364S")</f>
        <v>LM1364S</v>
      </c>
      <c r="K468" s="45" t="str">
        <f ca="1">IFERROR(__xludf.DUMMYFUNCTION("""COMPUTED_VALUE"""),"LM1364S-070561")</f>
        <v>LM1364S-070561</v>
      </c>
      <c r="L468" s="45">
        <f ca="1">IFERROR(__xludf.DUMMYFUNCTION("""COMPUTED_VALUE"""),2)</f>
        <v>2</v>
      </c>
      <c r="M468" s="45">
        <f ca="1">IFERROR(__xludf.DUMMYFUNCTION("""COMPUTED_VALUE"""),76)</f>
        <v>76</v>
      </c>
      <c r="N468" s="45">
        <f ca="1">IFERROR(__xludf.DUMMYFUNCTION("""COMPUTED_VALUE"""),12.189)</f>
        <v>12.189</v>
      </c>
      <c r="O468" s="45">
        <f ca="1">IFERROR(__xludf.DUMMYFUNCTION("""COMPUTED_VALUE"""),0.118)</f>
        <v>0.11799999999999999</v>
      </c>
      <c r="P468" s="45" t="str">
        <f ca="1">IFERROR(__xludf.DUMMYFUNCTION("""COMPUTED_VALUE"""),"Colombo, LK")</f>
        <v>Colombo, LK</v>
      </c>
      <c r="Q468" s="45" t="str">
        <f ca="1">IFERROR(__xludf.DUMMYFUNCTION("""COMPUTED_VALUE"""),"New York, NY, US")</f>
        <v>New York, NY, US</v>
      </c>
      <c r="R468" s="44">
        <f ca="1">IFERROR(__xludf.DUMMYFUNCTION("""COMPUTED_VALUE"""),45824)</f>
        <v>45824</v>
      </c>
      <c r="S468" s="44">
        <f ca="1">IFERROR(__xludf.DUMMYFUNCTION("""COMPUTED_VALUE"""),45883)</f>
        <v>45883</v>
      </c>
      <c r="T468" s="45" t="str">
        <f ca="1">IFERROR(__xludf.DUMMYFUNCTION("""COMPUTED_VALUE"""),"Mississauga, ON, CA")</f>
        <v>Mississauga, ON, CA</v>
      </c>
      <c r="U468" s="45"/>
      <c r="V468" s="45"/>
      <c r="W468" s="45"/>
      <c r="X468" s="45"/>
      <c r="Y468" s="46">
        <f ca="1">IFERROR(__xludf.DUMMYFUNCTION("""COMPUTED_VALUE"""),45832)</f>
        <v>45832</v>
      </c>
      <c r="Z468" s="46">
        <f ca="1">IFERROR(__xludf.DUMMYFUNCTION("""COMPUTED_VALUE"""),45861)</f>
        <v>45861</v>
      </c>
      <c r="AA468" s="46">
        <f ca="1">IFERROR(__xludf.DUMMYFUNCTION("""COMPUTED_VALUE"""),45874)</f>
        <v>45874</v>
      </c>
      <c r="AB468" s="45" t="str">
        <f ca="1">IFERROR(__xludf.DUMMYFUNCTION("""COMPUTED_VALUE"""),"3500 Argentia Road")</f>
        <v>3500 Argentia Road</v>
      </c>
      <c r="AC468" s="45"/>
      <c r="AD468" s="45" t="str">
        <f ca="1">IFERROR(__xludf.DUMMYFUNCTION("""COMPUTED_VALUE"""),"OCEAN")</f>
        <v>OCEAN</v>
      </c>
      <c r="AE468" s="45" t="str">
        <f ca="1">IFERROR(__xludf.DUMMYFUNCTION("""COMPUTED_VALUE"""),"N")</f>
        <v>N</v>
      </c>
      <c r="AF468" s="45"/>
      <c r="AG468" s="49" t="str">
        <f ca="1">IFERROR(__xludf.DUMMYFUNCTION("IFNA(vlookup(H468,IMPORTRANGE(""1vUGwO1n0QQGx9kKbO0_M5gmuhXZ6-LaxQxgrmJnzgP0"",""'TP# look up'!A:C""),3,0),"""")"),"")</f>
        <v/>
      </c>
      <c r="AH468" s="49" t="str">
        <f t="shared" ca="1" si="7"/>
        <v>LM</v>
      </c>
    </row>
    <row r="469" spans="1:34" ht="12.75">
      <c r="A469" s="45" t="str">
        <f ca="1">IFERROR(__xludf.DUMMYFUNCTION("""COMPUTED_VALUE"""),"Colombo")</f>
        <v>Colombo</v>
      </c>
      <c r="B469" s="45"/>
      <c r="C469" s="45">
        <f ca="1">IFERROR(__xludf.DUMMYFUNCTION("""COMPUTED_VALUE"""),3254508)</f>
        <v>3254508</v>
      </c>
      <c r="D469" s="45"/>
      <c r="E469" s="45" t="str">
        <f ca="1">IFERROR(__xludf.DUMMYFUNCTION("""COMPUTED_VALUE"""),"CFS")</f>
        <v>CFS</v>
      </c>
      <c r="F469" s="45" t="str">
        <f ca="1">IFERROR(__xludf.DUMMYFUNCTION("""COMPUTED_VALUE"""),"MAS AMITY PTE LTD")</f>
        <v>MAS AMITY PTE LTD</v>
      </c>
      <c r="G469" s="45" t="str">
        <f ca="1">IFERROR(__xludf.DUMMYFUNCTION("""COMPUTED_VALUE"""),"MAS Active (Pvt) Ltd - Linea Intimo")</f>
        <v>MAS Active (Pvt) Ltd - Linea Intimo</v>
      </c>
      <c r="H469" s="43">
        <f ca="1">IFERROR(__xludf.DUMMYFUNCTION("""COMPUTED_VALUE"""),454708773563)</f>
        <v>454708773563</v>
      </c>
      <c r="I469" s="45">
        <f ca="1">IFERROR(__xludf.DUMMYFUNCTION("""COMPUTED_VALUE"""),19918537)</f>
        <v>19918537</v>
      </c>
      <c r="J469" s="45" t="str">
        <f ca="1">IFERROR(__xludf.DUMMYFUNCTION("""COMPUTED_VALUE"""),"LM1364S")</f>
        <v>LM1364S</v>
      </c>
      <c r="K469" s="45" t="str">
        <f ca="1">IFERROR(__xludf.DUMMYFUNCTION("""COMPUTED_VALUE"""),"LM1364S-4780")</f>
        <v>LM1364S-4780</v>
      </c>
      <c r="L469" s="45">
        <f ca="1">IFERROR(__xludf.DUMMYFUNCTION("""COMPUTED_VALUE"""),2)</f>
        <v>2</v>
      </c>
      <c r="M469" s="45">
        <f ca="1">IFERROR(__xludf.DUMMYFUNCTION("""COMPUTED_VALUE"""),99)</f>
        <v>99</v>
      </c>
      <c r="N469" s="45">
        <f ca="1">IFERROR(__xludf.DUMMYFUNCTION("""COMPUTED_VALUE"""),15.328)</f>
        <v>15.327999999999999</v>
      </c>
      <c r="O469" s="45">
        <f ca="1">IFERROR(__xludf.DUMMYFUNCTION("""COMPUTED_VALUE"""),0.118)</f>
        <v>0.11799999999999999</v>
      </c>
      <c r="P469" s="45" t="str">
        <f ca="1">IFERROR(__xludf.DUMMYFUNCTION("""COMPUTED_VALUE"""),"Colombo, LK")</f>
        <v>Colombo, LK</v>
      </c>
      <c r="Q469" s="45" t="str">
        <f ca="1">IFERROR(__xludf.DUMMYFUNCTION("""COMPUTED_VALUE"""),"New York, NY, US")</f>
        <v>New York, NY, US</v>
      </c>
      <c r="R469" s="44">
        <f ca="1">IFERROR(__xludf.DUMMYFUNCTION("""COMPUTED_VALUE"""),45824)</f>
        <v>45824</v>
      </c>
      <c r="S469" s="44">
        <f ca="1">IFERROR(__xludf.DUMMYFUNCTION("""COMPUTED_VALUE"""),45883)</f>
        <v>45883</v>
      </c>
      <c r="T469" s="45" t="str">
        <f ca="1">IFERROR(__xludf.DUMMYFUNCTION("""COMPUTED_VALUE"""),"Mississauga, ON, CA")</f>
        <v>Mississauga, ON, CA</v>
      </c>
      <c r="U469" s="45"/>
      <c r="V469" s="45"/>
      <c r="W469" s="45"/>
      <c r="X469" s="45"/>
      <c r="Y469" s="46">
        <f ca="1">IFERROR(__xludf.DUMMYFUNCTION("""COMPUTED_VALUE"""),45832)</f>
        <v>45832</v>
      </c>
      <c r="Z469" s="46">
        <f ca="1">IFERROR(__xludf.DUMMYFUNCTION("""COMPUTED_VALUE"""),45861)</f>
        <v>45861</v>
      </c>
      <c r="AA469" s="46">
        <f ca="1">IFERROR(__xludf.DUMMYFUNCTION("""COMPUTED_VALUE"""),45874)</f>
        <v>45874</v>
      </c>
      <c r="AB469" s="45" t="str">
        <f ca="1">IFERROR(__xludf.DUMMYFUNCTION("""COMPUTED_VALUE"""),"3500 Argentia Road")</f>
        <v>3500 Argentia Road</v>
      </c>
      <c r="AC469" s="45"/>
      <c r="AD469" s="45" t="str">
        <f ca="1">IFERROR(__xludf.DUMMYFUNCTION("""COMPUTED_VALUE"""),"OCEAN")</f>
        <v>OCEAN</v>
      </c>
      <c r="AE469" s="45" t="str">
        <f ca="1">IFERROR(__xludf.DUMMYFUNCTION("""COMPUTED_VALUE"""),"N")</f>
        <v>N</v>
      </c>
      <c r="AF469" s="45"/>
      <c r="AG469" s="49" t="str">
        <f ca="1">IFERROR(__xludf.DUMMYFUNCTION("IFNA(vlookup(H469,IMPORTRANGE(""1vUGwO1n0QQGx9kKbO0_M5gmuhXZ6-LaxQxgrmJnzgP0"",""'TP# look up'!A:C""),3,0),"""")"),"")</f>
        <v/>
      </c>
      <c r="AH469" s="49" t="str">
        <f t="shared" ca="1" si="7"/>
        <v>LM</v>
      </c>
    </row>
    <row r="470" spans="1:34" ht="12.75">
      <c r="A470" s="45" t="str">
        <f ca="1">IFERROR(__xludf.DUMMYFUNCTION("""COMPUTED_VALUE"""),"Colombo")</f>
        <v>Colombo</v>
      </c>
      <c r="B470" s="45"/>
      <c r="C470" s="45">
        <f ca="1">IFERROR(__xludf.DUMMYFUNCTION("""COMPUTED_VALUE"""),3254508)</f>
        <v>3254508</v>
      </c>
      <c r="D470" s="45"/>
      <c r="E470" s="45" t="str">
        <f ca="1">IFERROR(__xludf.DUMMYFUNCTION("""COMPUTED_VALUE"""),"CFS")</f>
        <v>CFS</v>
      </c>
      <c r="F470" s="45" t="str">
        <f ca="1">IFERROR(__xludf.DUMMYFUNCTION("""COMPUTED_VALUE"""),"MAS AMITY PTE LTD")</f>
        <v>MAS AMITY PTE LTD</v>
      </c>
      <c r="G470" s="45" t="str">
        <f ca="1">IFERROR(__xludf.DUMMYFUNCTION("""COMPUTED_VALUE"""),"MAS Active (Pvt) Ltd - Linea Intimo")</f>
        <v>MAS Active (Pvt) Ltd - Linea Intimo</v>
      </c>
      <c r="H470" s="43">
        <f ca="1">IFERROR(__xludf.DUMMYFUNCTION("""COMPUTED_VALUE"""),454708903460)</f>
        <v>454708903460</v>
      </c>
      <c r="I470" s="45">
        <f ca="1">IFERROR(__xludf.DUMMYFUNCTION("""COMPUTED_VALUE"""),19918559)</f>
        <v>19918559</v>
      </c>
      <c r="J470" s="45" t="str">
        <f ca="1">IFERROR(__xludf.DUMMYFUNCTION("""COMPUTED_VALUE"""),"LM3F64S")</f>
        <v>LM3F64S</v>
      </c>
      <c r="K470" s="45" t="str">
        <f ca="1">IFERROR(__xludf.DUMMYFUNCTION("""COMPUTED_VALUE"""),"LM3F64S-4780")</f>
        <v>LM3F64S-4780</v>
      </c>
      <c r="L470" s="45">
        <f ca="1">IFERROR(__xludf.DUMMYFUNCTION("""COMPUTED_VALUE"""),4)</f>
        <v>4</v>
      </c>
      <c r="M470" s="45">
        <f ca="1">IFERROR(__xludf.DUMMYFUNCTION("""COMPUTED_VALUE"""),94)</f>
        <v>94</v>
      </c>
      <c r="N470" s="45">
        <f ca="1">IFERROR(__xludf.DUMMYFUNCTION("""COMPUTED_VALUE"""),23.88)</f>
        <v>23.88</v>
      </c>
      <c r="O470" s="45">
        <f ca="1">IFERROR(__xludf.DUMMYFUNCTION("""COMPUTED_VALUE"""),0.276)</f>
        <v>0.27600000000000002</v>
      </c>
      <c r="P470" s="45" t="str">
        <f ca="1">IFERROR(__xludf.DUMMYFUNCTION("""COMPUTED_VALUE"""),"Colombo, LK")</f>
        <v>Colombo, LK</v>
      </c>
      <c r="Q470" s="45" t="str">
        <f ca="1">IFERROR(__xludf.DUMMYFUNCTION("""COMPUTED_VALUE"""),"New York, NY, US")</f>
        <v>New York, NY, US</v>
      </c>
      <c r="R470" s="44">
        <f ca="1">IFERROR(__xludf.DUMMYFUNCTION("""COMPUTED_VALUE"""),45824)</f>
        <v>45824</v>
      </c>
      <c r="S470" s="44">
        <f ca="1">IFERROR(__xludf.DUMMYFUNCTION("""COMPUTED_VALUE"""),45883)</f>
        <v>45883</v>
      </c>
      <c r="T470" s="45" t="str">
        <f ca="1">IFERROR(__xludf.DUMMYFUNCTION("""COMPUTED_VALUE"""),"Mississauga, ON, CA")</f>
        <v>Mississauga, ON, CA</v>
      </c>
      <c r="U470" s="45"/>
      <c r="V470" s="45"/>
      <c r="W470" s="45"/>
      <c r="X470" s="45"/>
      <c r="Y470" s="46">
        <f ca="1">IFERROR(__xludf.DUMMYFUNCTION("""COMPUTED_VALUE"""),45832)</f>
        <v>45832</v>
      </c>
      <c r="Z470" s="46">
        <f ca="1">IFERROR(__xludf.DUMMYFUNCTION("""COMPUTED_VALUE"""),45861)</f>
        <v>45861</v>
      </c>
      <c r="AA470" s="46">
        <f ca="1">IFERROR(__xludf.DUMMYFUNCTION("""COMPUTED_VALUE"""),45874)</f>
        <v>45874</v>
      </c>
      <c r="AB470" s="45" t="str">
        <f ca="1">IFERROR(__xludf.DUMMYFUNCTION("""COMPUTED_VALUE"""),"3500 Argentia Road")</f>
        <v>3500 Argentia Road</v>
      </c>
      <c r="AC470" s="45"/>
      <c r="AD470" s="45" t="str">
        <f ca="1">IFERROR(__xludf.DUMMYFUNCTION("""COMPUTED_VALUE"""),"OCEAN")</f>
        <v>OCEAN</v>
      </c>
      <c r="AE470" s="45" t="str">
        <f ca="1">IFERROR(__xludf.DUMMYFUNCTION("""COMPUTED_VALUE"""),"N")</f>
        <v>N</v>
      </c>
      <c r="AF470" s="45"/>
      <c r="AG470" s="49" t="str">
        <f ca="1">IFERROR(__xludf.DUMMYFUNCTION("IFNA(vlookup(H470,IMPORTRANGE(""1vUGwO1n0QQGx9kKbO0_M5gmuhXZ6-LaxQxgrmJnzgP0"",""'TP# look up'!A:C""),3,0),"""")"),"")</f>
        <v/>
      </c>
      <c r="AH470" s="49" t="str">
        <f t="shared" ca="1" si="7"/>
        <v>LM</v>
      </c>
    </row>
    <row r="471" spans="1:34" ht="12.75">
      <c r="A471" s="45" t="str">
        <f ca="1">IFERROR(__xludf.DUMMYFUNCTION("""COMPUTED_VALUE"""),"Colombo")</f>
        <v>Colombo</v>
      </c>
      <c r="B471" s="45"/>
      <c r="C471" s="45">
        <f ca="1">IFERROR(__xludf.DUMMYFUNCTION("""COMPUTED_VALUE"""),3254508)</f>
        <v>3254508</v>
      </c>
      <c r="D471" s="45"/>
      <c r="E471" s="45" t="str">
        <f ca="1">IFERROR(__xludf.DUMMYFUNCTION("""COMPUTED_VALUE"""),"CFS")</f>
        <v>CFS</v>
      </c>
      <c r="F471" s="45" t="str">
        <f ca="1">IFERROR(__xludf.DUMMYFUNCTION("""COMPUTED_VALUE"""),"MAS AMITY PTE LTD")</f>
        <v>MAS AMITY PTE LTD</v>
      </c>
      <c r="G471" s="45" t="str">
        <f ca="1">IFERROR(__xludf.DUMMYFUNCTION("""COMPUTED_VALUE"""),"MAS Active (Pvt) Ltd - Linea Intimo")</f>
        <v>MAS Active (Pvt) Ltd - Linea Intimo</v>
      </c>
      <c r="H471" s="43">
        <f ca="1">IFERROR(__xludf.DUMMYFUNCTION("""COMPUTED_VALUE"""),454709130141)</f>
        <v>454709130141</v>
      </c>
      <c r="I471" s="45">
        <f ca="1">IFERROR(__xludf.DUMMYFUNCTION("""COMPUTED_VALUE"""),19918612)</f>
        <v>19918612</v>
      </c>
      <c r="J471" s="45" t="str">
        <f ca="1">IFERROR(__xludf.DUMMYFUNCTION("""COMPUTED_VALUE"""),"LM3FHKS")</f>
        <v>LM3FHKS</v>
      </c>
      <c r="K471" s="45" t="str">
        <f ca="1">IFERROR(__xludf.DUMMYFUNCTION("""COMPUTED_VALUE"""),"LM3FHKS-4780")</f>
        <v>LM3FHKS-4780</v>
      </c>
      <c r="L471" s="45">
        <f ca="1">IFERROR(__xludf.DUMMYFUNCTION("""COMPUTED_VALUE"""),4)</f>
        <v>4</v>
      </c>
      <c r="M471" s="45">
        <f ca="1">IFERROR(__xludf.DUMMYFUNCTION("""COMPUTED_VALUE"""),142)</f>
        <v>142</v>
      </c>
      <c r="N471" s="45">
        <f ca="1">IFERROR(__xludf.DUMMYFUNCTION("""COMPUTED_VALUE"""),31.698)</f>
        <v>31.698</v>
      </c>
      <c r="O471" s="45">
        <f ca="1">IFERROR(__xludf.DUMMYFUNCTION("""COMPUTED_VALUE"""),0.276)</f>
        <v>0.27600000000000002</v>
      </c>
      <c r="P471" s="45" t="str">
        <f ca="1">IFERROR(__xludf.DUMMYFUNCTION("""COMPUTED_VALUE"""),"Colombo, LK")</f>
        <v>Colombo, LK</v>
      </c>
      <c r="Q471" s="45" t="str">
        <f ca="1">IFERROR(__xludf.DUMMYFUNCTION("""COMPUTED_VALUE"""),"New York, NY, US")</f>
        <v>New York, NY, US</v>
      </c>
      <c r="R471" s="44">
        <f ca="1">IFERROR(__xludf.DUMMYFUNCTION("""COMPUTED_VALUE"""),45824)</f>
        <v>45824</v>
      </c>
      <c r="S471" s="44">
        <f ca="1">IFERROR(__xludf.DUMMYFUNCTION("""COMPUTED_VALUE"""),45883)</f>
        <v>45883</v>
      </c>
      <c r="T471" s="45" t="str">
        <f ca="1">IFERROR(__xludf.DUMMYFUNCTION("""COMPUTED_VALUE"""),"Mississauga, ON, CA")</f>
        <v>Mississauga, ON, CA</v>
      </c>
      <c r="U471" s="45"/>
      <c r="V471" s="45"/>
      <c r="W471" s="45"/>
      <c r="X471" s="45"/>
      <c r="Y471" s="46">
        <f ca="1">IFERROR(__xludf.DUMMYFUNCTION("""COMPUTED_VALUE"""),45832)</f>
        <v>45832</v>
      </c>
      <c r="Z471" s="46">
        <f ca="1">IFERROR(__xludf.DUMMYFUNCTION("""COMPUTED_VALUE"""),45861)</f>
        <v>45861</v>
      </c>
      <c r="AA471" s="46">
        <f ca="1">IFERROR(__xludf.DUMMYFUNCTION("""COMPUTED_VALUE"""),45874)</f>
        <v>45874</v>
      </c>
      <c r="AB471" s="45" t="str">
        <f ca="1">IFERROR(__xludf.DUMMYFUNCTION("""COMPUTED_VALUE"""),"3500 Argentia Road")</f>
        <v>3500 Argentia Road</v>
      </c>
      <c r="AC471" s="45"/>
      <c r="AD471" s="45" t="str">
        <f ca="1">IFERROR(__xludf.DUMMYFUNCTION("""COMPUTED_VALUE"""),"OCEAN")</f>
        <v>OCEAN</v>
      </c>
      <c r="AE471" s="45" t="str">
        <f ca="1">IFERROR(__xludf.DUMMYFUNCTION("""COMPUTED_VALUE"""),"N")</f>
        <v>N</v>
      </c>
      <c r="AF471" s="45"/>
      <c r="AG471" s="49" t="str">
        <f ca="1">IFERROR(__xludf.DUMMYFUNCTION("IFNA(vlookup(H471,IMPORTRANGE(""1vUGwO1n0QQGx9kKbO0_M5gmuhXZ6-LaxQxgrmJnzgP0"",""'TP# look up'!A:C""),3,0),"""")"),"")</f>
        <v/>
      </c>
      <c r="AH471" s="49" t="str">
        <f t="shared" ca="1" si="7"/>
        <v>LM</v>
      </c>
    </row>
    <row r="472" spans="1:34" ht="12.75">
      <c r="A472" s="45" t="str">
        <f ca="1">IFERROR(__xludf.DUMMYFUNCTION("""COMPUTED_VALUE"""),"Colombo")</f>
        <v>Colombo</v>
      </c>
      <c r="B472" s="45"/>
      <c r="C472" s="45">
        <f ca="1">IFERROR(__xludf.DUMMYFUNCTION("""COMPUTED_VALUE"""),3254508)</f>
        <v>3254508</v>
      </c>
      <c r="D472" s="45"/>
      <c r="E472" s="45" t="str">
        <f ca="1">IFERROR(__xludf.DUMMYFUNCTION("""COMPUTED_VALUE"""),"CFS")</f>
        <v>CFS</v>
      </c>
      <c r="F472" s="45" t="str">
        <f ca="1">IFERROR(__xludf.DUMMYFUNCTION("""COMPUTED_VALUE"""),"MAS AMITY PTE LTD")</f>
        <v>MAS AMITY PTE LTD</v>
      </c>
      <c r="G472" s="45" t="str">
        <f ca="1">IFERROR(__xludf.DUMMYFUNCTION("""COMPUTED_VALUE"""),"MAS Active (Pvt) Ltd - Linea Intimo")</f>
        <v>MAS Active (Pvt) Ltd - Linea Intimo</v>
      </c>
      <c r="H472" s="43">
        <f ca="1">IFERROR(__xludf.DUMMYFUNCTION("""COMPUTED_VALUE"""),454709285841)</f>
        <v>454709285841</v>
      </c>
      <c r="I472" s="45">
        <f ca="1">IFERROR(__xludf.DUMMYFUNCTION("""COMPUTED_VALUE"""),19918585)</f>
        <v>19918585</v>
      </c>
      <c r="J472" s="45" t="str">
        <f ca="1">IFERROR(__xludf.DUMMYFUNCTION("""COMPUTED_VALUE"""),"LM3F64S")</f>
        <v>LM3F64S</v>
      </c>
      <c r="K472" s="45" t="str">
        <f ca="1">IFERROR(__xludf.DUMMYFUNCTION("""COMPUTED_VALUE"""),"LM3F64S-070561")</f>
        <v>LM3F64S-070561</v>
      </c>
      <c r="L472" s="45">
        <f ca="1">IFERROR(__xludf.DUMMYFUNCTION("""COMPUTED_VALUE"""),3)</f>
        <v>3</v>
      </c>
      <c r="M472" s="45">
        <f ca="1">IFERROR(__xludf.DUMMYFUNCTION("""COMPUTED_VALUE"""),63)</f>
        <v>63</v>
      </c>
      <c r="N472" s="45">
        <f ca="1">IFERROR(__xludf.DUMMYFUNCTION("""COMPUTED_VALUE"""),16.25)</f>
        <v>16.25</v>
      </c>
      <c r="O472" s="45">
        <f ca="1">IFERROR(__xludf.DUMMYFUNCTION("""COMPUTED_VALUE"""),0.197)</f>
        <v>0.19700000000000001</v>
      </c>
      <c r="P472" s="45" t="str">
        <f ca="1">IFERROR(__xludf.DUMMYFUNCTION("""COMPUTED_VALUE"""),"Colombo, LK")</f>
        <v>Colombo, LK</v>
      </c>
      <c r="Q472" s="45" t="str">
        <f ca="1">IFERROR(__xludf.DUMMYFUNCTION("""COMPUTED_VALUE"""),"New York, NY, US")</f>
        <v>New York, NY, US</v>
      </c>
      <c r="R472" s="44">
        <f ca="1">IFERROR(__xludf.DUMMYFUNCTION("""COMPUTED_VALUE"""),45824)</f>
        <v>45824</v>
      </c>
      <c r="S472" s="44">
        <f ca="1">IFERROR(__xludf.DUMMYFUNCTION("""COMPUTED_VALUE"""),45883)</f>
        <v>45883</v>
      </c>
      <c r="T472" s="45" t="str">
        <f ca="1">IFERROR(__xludf.DUMMYFUNCTION("""COMPUTED_VALUE"""),"Mississauga, ON, CA")</f>
        <v>Mississauga, ON, CA</v>
      </c>
      <c r="U472" s="45"/>
      <c r="V472" s="45"/>
      <c r="W472" s="45"/>
      <c r="X472" s="45"/>
      <c r="Y472" s="46">
        <f ca="1">IFERROR(__xludf.DUMMYFUNCTION("""COMPUTED_VALUE"""),45832)</f>
        <v>45832</v>
      </c>
      <c r="Z472" s="46">
        <f ca="1">IFERROR(__xludf.DUMMYFUNCTION("""COMPUTED_VALUE"""),45861)</f>
        <v>45861</v>
      </c>
      <c r="AA472" s="46">
        <f ca="1">IFERROR(__xludf.DUMMYFUNCTION("""COMPUTED_VALUE"""),45874)</f>
        <v>45874</v>
      </c>
      <c r="AB472" s="45" t="str">
        <f ca="1">IFERROR(__xludf.DUMMYFUNCTION("""COMPUTED_VALUE"""),"3500 Argentia Road")</f>
        <v>3500 Argentia Road</v>
      </c>
      <c r="AC472" s="45"/>
      <c r="AD472" s="45" t="str">
        <f ca="1">IFERROR(__xludf.DUMMYFUNCTION("""COMPUTED_VALUE"""),"OCEAN")</f>
        <v>OCEAN</v>
      </c>
      <c r="AE472" s="45" t="str">
        <f ca="1">IFERROR(__xludf.DUMMYFUNCTION("""COMPUTED_VALUE"""),"N")</f>
        <v>N</v>
      </c>
      <c r="AF472" s="45"/>
      <c r="AG472" s="49" t="str">
        <f ca="1">IFERROR(__xludf.DUMMYFUNCTION("IFNA(vlookup(H472,IMPORTRANGE(""1vUGwO1n0QQGx9kKbO0_M5gmuhXZ6-LaxQxgrmJnzgP0"",""'TP# look up'!A:C""),3,0),"""")"),"")</f>
        <v/>
      </c>
      <c r="AH472" s="49" t="str">
        <f t="shared" ca="1" si="7"/>
        <v>LM</v>
      </c>
    </row>
    <row r="473" spans="1:34" ht="12.75">
      <c r="A473" s="45" t="str">
        <f ca="1">IFERROR(__xludf.DUMMYFUNCTION("""COMPUTED_VALUE"""),"Colombo")</f>
        <v>Colombo</v>
      </c>
      <c r="B473" s="45"/>
      <c r="C473" s="45">
        <f ca="1">IFERROR(__xludf.DUMMYFUNCTION("""COMPUTED_VALUE"""),3254508)</f>
        <v>3254508</v>
      </c>
      <c r="D473" s="45"/>
      <c r="E473" s="45" t="str">
        <f ca="1">IFERROR(__xludf.DUMMYFUNCTION("""COMPUTED_VALUE"""),"CFS")</f>
        <v>CFS</v>
      </c>
      <c r="F473" s="45" t="str">
        <f ca="1">IFERROR(__xludf.DUMMYFUNCTION("""COMPUTED_VALUE"""),"MAS AMITY PTE LTD")</f>
        <v>MAS AMITY PTE LTD</v>
      </c>
      <c r="G473" s="45" t="str">
        <f ca="1">IFERROR(__xludf.DUMMYFUNCTION("""COMPUTED_VALUE"""),"MAS Active (Pvt) Ltd - Linea Intimo")</f>
        <v>MAS Active (Pvt) Ltd - Linea Intimo</v>
      </c>
      <c r="H473" s="43">
        <f ca="1">IFERROR(__xludf.DUMMYFUNCTION("""COMPUTED_VALUE"""),454709307367)</f>
        <v>454709307367</v>
      </c>
      <c r="I473" s="45">
        <f ca="1">IFERROR(__xludf.DUMMYFUNCTION("""COMPUTED_VALUE"""),19918638)</f>
        <v>19918638</v>
      </c>
      <c r="J473" s="45" t="str">
        <f ca="1">IFERROR(__xludf.DUMMYFUNCTION("""COMPUTED_VALUE"""),"LM3FIKS")</f>
        <v>LM3FIKS</v>
      </c>
      <c r="K473" s="45" t="str">
        <f ca="1">IFERROR(__xludf.DUMMYFUNCTION("""COMPUTED_VALUE"""),"LM3FIKS-4780")</f>
        <v>LM3FIKS-4780</v>
      </c>
      <c r="L473" s="45">
        <f ca="1">IFERROR(__xludf.DUMMYFUNCTION("""COMPUTED_VALUE"""),2)</f>
        <v>2</v>
      </c>
      <c r="M473" s="45">
        <f ca="1">IFERROR(__xludf.DUMMYFUNCTION("""COMPUTED_VALUE"""),68)</f>
        <v>68</v>
      </c>
      <c r="N473" s="45">
        <f ca="1">IFERROR(__xludf.DUMMYFUNCTION("""COMPUTED_VALUE"""),13.341)</f>
        <v>13.340999999999999</v>
      </c>
      <c r="O473" s="45">
        <f ca="1">IFERROR(__xludf.DUMMYFUNCTION("""COMPUTED_VALUE"""),0.118)</f>
        <v>0.11799999999999999</v>
      </c>
      <c r="P473" s="45" t="str">
        <f ca="1">IFERROR(__xludf.DUMMYFUNCTION("""COMPUTED_VALUE"""),"Colombo, LK")</f>
        <v>Colombo, LK</v>
      </c>
      <c r="Q473" s="45" t="str">
        <f ca="1">IFERROR(__xludf.DUMMYFUNCTION("""COMPUTED_VALUE"""),"New York, NY, US")</f>
        <v>New York, NY, US</v>
      </c>
      <c r="R473" s="44">
        <f ca="1">IFERROR(__xludf.DUMMYFUNCTION("""COMPUTED_VALUE"""),45824)</f>
        <v>45824</v>
      </c>
      <c r="S473" s="44">
        <f ca="1">IFERROR(__xludf.DUMMYFUNCTION("""COMPUTED_VALUE"""),45883)</f>
        <v>45883</v>
      </c>
      <c r="T473" s="45" t="str">
        <f ca="1">IFERROR(__xludf.DUMMYFUNCTION("""COMPUTED_VALUE"""),"Mississauga, ON, CA")</f>
        <v>Mississauga, ON, CA</v>
      </c>
      <c r="U473" s="45"/>
      <c r="V473" s="45"/>
      <c r="W473" s="45"/>
      <c r="X473" s="45"/>
      <c r="Y473" s="46">
        <f ca="1">IFERROR(__xludf.DUMMYFUNCTION("""COMPUTED_VALUE"""),45832)</f>
        <v>45832</v>
      </c>
      <c r="Z473" s="46">
        <f ca="1">IFERROR(__xludf.DUMMYFUNCTION("""COMPUTED_VALUE"""),45861)</f>
        <v>45861</v>
      </c>
      <c r="AA473" s="46">
        <f ca="1">IFERROR(__xludf.DUMMYFUNCTION("""COMPUTED_VALUE"""),45874)</f>
        <v>45874</v>
      </c>
      <c r="AB473" s="45" t="str">
        <f ca="1">IFERROR(__xludf.DUMMYFUNCTION("""COMPUTED_VALUE"""),"3500 Argentia Road")</f>
        <v>3500 Argentia Road</v>
      </c>
      <c r="AC473" s="45"/>
      <c r="AD473" s="45" t="str">
        <f ca="1">IFERROR(__xludf.DUMMYFUNCTION("""COMPUTED_VALUE"""),"OCEAN")</f>
        <v>OCEAN</v>
      </c>
      <c r="AE473" s="45" t="str">
        <f ca="1">IFERROR(__xludf.DUMMYFUNCTION("""COMPUTED_VALUE"""),"N")</f>
        <v>N</v>
      </c>
      <c r="AF473" s="45"/>
      <c r="AG473" s="49" t="str">
        <f ca="1">IFERROR(__xludf.DUMMYFUNCTION("IFNA(vlookup(H473,IMPORTRANGE(""1vUGwO1n0QQGx9kKbO0_M5gmuhXZ6-LaxQxgrmJnzgP0"",""'TP# look up'!A:C""),3,0),"""")"),"")</f>
        <v/>
      </c>
      <c r="AH473" s="49" t="str">
        <f t="shared" ca="1" si="7"/>
        <v>LM</v>
      </c>
    </row>
    <row r="474" spans="1:34" ht="12.75">
      <c r="A474" s="45" t="str">
        <f ca="1">IFERROR(__xludf.DUMMYFUNCTION("""COMPUTED_VALUE"""),"Colombo")</f>
        <v>Colombo</v>
      </c>
      <c r="B474" s="45"/>
      <c r="C474" s="45">
        <f ca="1">IFERROR(__xludf.DUMMYFUNCTION("""COMPUTED_VALUE"""),3254508)</f>
        <v>3254508</v>
      </c>
      <c r="D474" s="45"/>
      <c r="E474" s="45" t="str">
        <f ca="1">IFERROR(__xludf.DUMMYFUNCTION("""COMPUTED_VALUE"""),"CFS")</f>
        <v>CFS</v>
      </c>
      <c r="F474" s="45" t="str">
        <f ca="1">IFERROR(__xludf.DUMMYFUNCTION("""COMPUTED_VALUE"""),"MAS AMITY PTE LTD")</f>
        <v>MAS AMITY PTE LTD</v>
      </c>
      <c r="G474" s="45" t="str">
        <f ca="1">IFERROR(__xludf.DUMMYFUNCTION("""COMPUTED_VALUE"""),"MAS Active (Pvt) Ltd - Linea Intimo")</f>
        <v>MAS Active (Pvt) Ltd - Linea Intimo</v>
      </c>
      <c r="H474" s="43">
        <f ca="1">IFERROR(__xludf.DUMMYFUNCTION("""COMPUTED_VALUE"""),454709477054)</f>
        <v>454709477054</v>
      </c>
      <c r="I474" s="45">
        <f ca="1">IFERROR(__xludf.DUMMYFUNCTION("""COMPUTED_VALUE"""),19918654)</f>
        <v>19918654</v>
      </c>
      <c r="J474" s="45" t="str">
        <f ca="1">IFERROR(__xludf.DUMMYFUNCTION("""COMPUTED_VALUE"""),"LM3FPES")</f>
        <v>LM3FPES</v>
      </c>
      <c r="K474" s="45" t="str">
        <f ca="1">IFERROR(__xludf.DUMMYFUNCTION("""COMPUTED_VALUE"""),"LM3FPES-042836")</f>
        <v>LM3FPES-042836</v>
      </c>
      <c r="L474" s="45">
        <f ca="1">IFERROR(__xludf.DUMMYFUNCTION("""COMPUTED_VALUE"""),3)</f>
        <v>3</v>
      </c>
      <c r="M474" s="45">
        <f ca="1">IFERROR(__xludf.DUMMYFUNCTION("""COMPUTED_VALUE"""),125)</f>
        <v>125</v>
      </c>
      <c r="N474" s="45">
        <f ca="1">IFERROR(__xludf.DUMMYFUNCTION("""COMPUTED_VALUE"""),21.785)</f>
        <v>21.785</v>
      </c>
      <c r="O474" s="45">
        <f ca="1">IFERROR(__xludf.DUMMYFUNCTION("""COMPUTED_VALUE"""),0.158)</f>
        <v>0.158</v>
      </c>
      <c r="P474" s="45" t="str">
        <f ca="1">IFERROR(__xludf.DUMMYFUNCTION("""COMPUTED_VALUE"""),"Colombo, LK")</f>
        <v>Colombo, LK</v>
      </c>
      <c r="Q474" s="45" t="str">
        <f ca="1">IFERROR(__xludf.DUMMYFUNCTION("""COMPUTED_VALUE"""),"New York, NY, US")</f>
        <v>New York, NY, US</v>
      </c>
      <c r="R474" s="44">
        <f ca="1">IFERROR(__xludf.DUMMYFUNCTION("""COMPUTED_VALUE"""),45824)</f>
        <v>45824</v>
      </c>
      <c r="S474" s="44">
        <f ca="1">IFERROR(__xludf.DUMMYFUNCTION("""COMPUTED_VALUE"""),45883)</f>
        <v>45883</v>
      </c>
      <c r="T474" s="45" t="str">
        <f ca="1">IFERROR(__xludf.DUMMYFUNCTION("""COMPUTED_VALUE"""),"Mississauga, ON, CA")</f>
        <v>Mississauga, ON, CA</v>
      </c>
      <c r="U474" s="45"/>
      <c r="V474" s="45"/>
      <c r="W474" s="45"/>
      <c r="X474" s="45"/>
      <c r="Y474" s="46">
        <f ca="1">IFERROR(__xludf.DUMMYFUNCTION("""COMPUTED_VALUE"""),45832)</f>
        <v>45832</v>
      </c>
      <c r="Z474" s="46">
        <f ca="1">IFERROR(__xludf.DUMMYFUNCTION("""COMPUTED_VALUE"""),45861)</f>
        <v>45861</v>
      </c>
      <c r="AA474" s="46">
        <f ca="1">IFERROR(__xludf.DUMMYFUNCTION("""COMPUTED_VALUE"""),45874)</f>
        <v>45874</v>
      </c>
      <c r="AB474" s="45" t="str">
        <f ca="1">IFERROR(__xludf.DUMMYFUNCTION("""COMPUTED_VALUE"""),"3500 Argentia Road")</f>
        <v>3500 Argentia Road</v>
      </c>
      <c r="AC474" s="45"/>
      <c r="AD474" s="45" t="str">
        <f ca="1">IFERROR(__xludf.DUMMYFUNCTION("""COMPUTED_VALUE"""),"OCEAN")</f>
        <v>OCEAN</v>
      </c>
      <c r="AE474" s="45" t="str">
        <f ca="1">IFERROR(__xludf.DUMMYFUNCTION("""COMPUTED_VALUE"""),"N")</f>
        <v>N</v>
      </c>
      <c r="AF474" s="45"/>
      <c r="AG474" s="49" t="str">
        <f ca="1">IFERROR(__xludf.DUMMYFUNCTION("IFNA(vlookup(H474,IMPORTRANGE(""1vUGwO1n0QQGx9kKbO0_M5gmuhXZ6-LaxQxgrmJnzgP0"",""'TP# look up'!A:C""),3,0),"""")"),"")</f>
        <v/>
      </c>
      <c r="AH474" s="49" t="str">
        <f t="shared" ca="1" si="7"/>
        <v>LM</v>
      </c>
    </row>
    <row r="475" spans="1:34" ht="12.75">
      <c r="A475" s="45" t="str">
        <f ca="1">IFERROR(__xludf.DUMMYFUNCTION("""COMPUTED_VALUE"""),"Colombo")</f>
        <v>Colombo</v>
      </c>
      <c r="B475" s="45"/>
      <c r="C475" s="45">
        <f ca="1">IFERROR(__xludf.DUMMYFUNCTION("""COMPUTED_VALUE"""),3254508)</f>
        <v>3254508</v>
      </c>
      <c r="D475" s="45"/>
      <c r="E475" s="45" t="str">
        <f ca="1">IFERROR(__xludf.DUMMYFUNCTION("""COMPUTED_VALUE"""),"CFS")</f>
        <v>CFS</v>
      </c>
      <c r="F475" s="45" t="str">
        <f ca="1">IFERROR(__xludf.DUMMYFUNCTION("""COMPUTED_VALUE"""),"MAS AMITY PTE LTD")</f>
        <v>MAS AMITY PTE LTD</v>
      </c>
      <c r="G475" s="45" t="str">
        <f ca="1">IFERROR(__xludf.DUMMYFUNCTION("""COMPUTED_VALUE"""),"MAS Active (Pvt) Ltd - Linea Intimo")</f>
        <v>MAS Active (Pvt) Ltd - Linea Intimo</v>
      </c>
      <c r="H475" s="43">
        <f ca="1">IFERROR(__xludf.DUMMYFUNCTION("""COMPUTED_VALUE"""),454709781645)</f>
        <v>454709781645</v>
      </c>
      <c r="I475" s="45">
        <f ca="1">IFERROR(__xludf.DUMMYFUNCTION("""COMPUTED_VALUE"""),19918778)</f>
        <v>19918778</v>
      </c>
      <c r="J475" s="45" t="str">
        <f ca="1">IFERROR(__xludf.DUMMYFUNCTION("""COMPUTED_VALUE"""),"LW3DFLS")</f>
        <v>LW3DFLS</v>
      </c>
      <c r="K475" s="45" t="str">
        <f ca="1">IFERROR(__xludf.DUMMYFUNCTION("""COMPUTED_VALUE"""),"LW3DFLS-0572")</f>
        <v>LW3DFLS-0572</v>
      </c>
      <c r="L475" s="45">
        <f ca="1">IFERROR(__xludf.DUMMYFUNCTION("""COMPUTED_VALUE"""),13)</f>
        <v>13</v>
      </c>
      <c r="M475" s="45">
        <f ca="1">IFERROR(__xludf.DUMMYFUNCTION("""COMPUTED_VALUE"""),699)</f>
        <v>699</v>
      </c>
      <c r="N475" s="45">
        <f ca="1">IFERROR(__xludf.DUMMYFUNCTION("""COMPUTED_VALUE"""),128.646)</f>
        <v>128.64599999999999</v>
      </c>
      <c r="O475" s="45">
        <f ca="1">IFERROR(__xludf.DUMMYFUNCTION("""COMPUTED_VALUE"""),0.908)</f>
        <v>0.90800000000000003</v>
      </c>
      <c r="P475" s="45" t="str">
        <f ca="1">IFERROR(__xludf.DUMMYFUNCTION("""COMPUTED_VALUE"""),"Colombo, LK")</f>
        <v>Colombo, LK</v>
      </c>
      <c r="Q475" s="45" t="str">
        <f ca="1">IFERROR(__xludf.DUMMYFUNCTION("""COMPUTED_VALUE"""),"New York, NY, US")</f>
        <v>New York, NY, US</v>
      </c>
      <c r="R475" s="44">
        <f ca="1">IFERROR(__xludf.DUMMYFUNCTION("""COMPUTED_VALUE"""),45824)</f>
        <v>45824</v>
      </c>
      <c r="S475" s="44">
        <f ca="1">IFERROR(__xludf.DUMMYFUNCTION("""COMPUTED_VALUE"""),45883)</f>
        <v>45883</v>
      </c>
      <c r="T475" s="45" t="str">
        <f ca="1">IFERROR(__xludf.DUMMYFUNCTION("""COMPUTED_VALUE"""),"Mississauga, ON, CA")</f>
        <v>Mississauga, ON, CA</v>
      </c>
      <c r="U475" s="45"/>
      <c r="V475" s="45"/>
      <c r="W475" s="45"/>
      <c r="X475" s="45"/>
      <c r="Y475" s="46">
        <f ca="1">IFERROR(__xludf.DUMMYFUNCTION("""COMPUTED_VALUE"""),45832)</f>
        <v>45832</v>
      </c>
      <c r="Z475" s="46">
        <f ca="1">IFERROR(__xludf.DUMMYFUNCTION("""COMPUTED_VALUE"""),45861)</f>
        <v>45861</v>
      </c>
      <c r="AA475" s="46">
        <f ca="1">IFERROR(__xludf.DUMMYFUNCTION("""COMPUTED_VALUE"""),45874)</f>
        <v>45874</v>
      </c>
      <c r="AB475" s="45" t="str">
        <f ca="1">IFERROR(__xludf.DUMMYFUNCTION("""COMPUTED_VALUE"""),"3500 Argentia Road")</f>
        <v>3500 Argentia Road</v>
      </c>
      <c r="AC475" s="45"/>
      <c r="AD475" s="45" t="str">
        <f ca="1">IFERROR(__xludf.DUMMYFUNCTION("""COMPUTED_VALUE"""),"OCEAN")</f>
        <v>OCEAN</v>
      </c>
      <c r="AE475" s="45" t="str">
        <f ca="1">IFERROR(__xludf.DUMMYFUNCTION("""COMPUTED_VALUE"""),"N")</f>
        <v>N</v>
      </c>
      <c r="AF475" s="45"/>
      <c r="AG475" s="49" t="str">
        <f ca="1">IFERROR(__xludf.DUMMYFUNCTION("IFNA(vlookup(H475,IMPORTRANGE(""1vUGwO1n0QQGx9kKbO0_M5gmuhXZ6-LaxQxgrmJnzgP0"",""'TP# look up'!A:C""),3,0),"""")"),"")</f>
        <v/>
      </c>
      <c r="AH475" s="49" t="str">
        <f t="shared" ca="1" si="7"/>
        <v>LW</v>
      </c>
    </row>
    <row r="476" spans="1:34" ht="12.75">
      <c r="A476" s="45" t="str">
        <f ca="1">IFERROR(__xludf.DUMMYFUNCTION("""COMPUTED_VALUE"""),"Colombo")</f>
        <v>Colombo</v>
      </c>
      <c r="B476" s="45"/>
      <c r="C476" s="45">
        <f ca="1">IFERROR(__xludf.DUMMYFUNCTION("""COMPUTED_VALUE"""),3254508)</f>
        <v>3254508</v>
      </c>
      <c r="D476" s="45"/>
      <c r="E476" s="45" t="str">
        <f ca="1">IFERROR(__xludf.DUMMYFUNCTION("""COMPUTED_VALUE"""),"CFS")</f>
        <v>CFS</v>
      </c>
      <c r="F476" s="45" t="str">
        <f ca="1">IFERROR(__xludf.DUMMYFUNCTION("""COMPUTED_VALUE"""),"MAS AMITY PTE LTD")</f>
        <v>MAS AMITY PTE LTD</v>
      </c>
      <c r="G476" s="45" t="str">
        <f ca="1">IFERROR(__xludf.DUMMYFUNCTION("""COMPUTED_VALUE"""),"MAS Active (Pvt) Ltd - Linea Intimo")</f>
        <v>MAS Active (Pvt) Ltd - Linea Intimo</v>
      </c>
      <c r="H476" s="43">
        <f ca="1">IFERROR(__xludf.DUMMYFUNCTION("""COMPUTED_VALUE"""),454709782023)</f>
        <v>454709782023</v>
      </c>
      <c r="I476" s="45">
        <f ca="1">IFERROR(__xludf.DUMMYFUNCTION("""COMPUTED_VALUE"""),19918920)</f>
        <v>19918920</v>
      </c>
      <c r="J476" s="45" t="str">
        <f ca="1">IFERROR(__xludf.DUMMYFUNCTION("""COMPUTED_VALUE"""),"LW3FQHS")</f>
        <v>LW3FQHS</v>
      </c>
      <c r="K476" s="45" t="str">
        <f ca="1">IFERROR(__xludf.DUMMYFUNCTION("""COMPUTED_VALUE"""),"LW3FQHS-012826")</f>
        <v>LW3FQHS-012826</v>
      </c>
      <c r="L476" s="45">
        <f ca="1">IFERROR(__xludf.DUMMYFUNCTION("""COMPUTED_VALUE"""),8)</f>
        <v>8</v>
      </c>
      <c r="M476" s="45">
        <f ca="1">IFERROR(__xludf.DUMMYFUNCTION("""COMPUTED_VALUE"""),847)</f>
        <v>847</v>
      </c>
      <c r="N476" s="45">
        <f ca="1">IFERROR(__xludf.DUMMYFUNCTION("""COMPUTED_VALUE"""),84.045)</f>
        <v>84.045000000000002</v>
      </c>
      <c r="O476" s="45">
        <f ca="1">IFERROR(__xludf.DUMMYFUNCTION("""COMPUTED_VALUE"""),0.592)</f>
        <v>0.59199999999999997</v>
      </c>
      <c r="P476" s="45" t="str">
        <f ca="1">IFERROR(__xludf.DUMMYFUNCTION("""COMPUTED_VALUE"""),"Colombo, LK")</f>
        <v>Colombo, LK</v>
      </c>
      <c r="Q476" s="45" t="str">
        <f ca="1">IFERROR(__xludf.DUMMYFUNCTION("""COMPUTED_VALUE"""),"New York, NY, US")</f>
        <v>New York, NY, US</v>
      </c>
      <c r="R476" s="44">
        <f ca="1">IFERROR(__xludf.DUMMYFUNCTION("""COMPUTED_VALUE"""),45824)</f>
        <v>45824</v>
      </c>
      <c r="S476" s="44">
        <f ca="1">IFERROR(__xludf.DUMMYFUNCTION("""COMPUTED_VALUE"""),45883)</f>
        <v>45883</v>
      </c>
      <c r="T476" s="45" t="str">
        <f ca="1">IFERROR(__xludf.DUMMYFUNCTION("""COMPUTED_VALUE"""),"Mississauga, ON, CA")</f>
        <v>Mississauga, ON, CA</v>
      </c>
      <c r="U476" s="45"/>
      <c r="V476" s="45"/>
      <c r="W476" s="45"/>
      <c r="X476" s="45"/>
      <c r="Y476" s="46">
        <f ca="1">IFERROR(__xludf.DUMMYFUNCTION("""COMPUTED_VALUE"""),45832)</f>
        <v>45832</v>
      </c>
      <c r="Z476" s="46">
        <f ca="1">IFERROR(__xludf.DUMMYFUNCTION("""COMPUTED_VALUE"""),45861)</f>
        <v>45861</v>
      </c>
      <c r="AA476" s="46">
        <f ca="1">IFERROR(__xludf.DUMMYFUNCTION("""COMPUTED_VALUE"""),45874)</f>
        <v>45874</v>
      </c>
      <c r="AB476" s="45" t="str">
        <f ca="1">IFERROR(__xludf.DUMMYFUNCTION("""COMPUTED_VALUE"""),"3500 Argentia Road")</f>
        <v>3500 Argentia Road</v>
      </c>
      <c r="AC476" s="45"/>
      <c r="AD476" s="45" t="str">
        <f ca="1">IFERROR(__xludf.DUMMYFUNCTION("""COMPUTED_VALUE"""),"OCEAN")</f>
        <v>OCEAN</v>
      </c>
      <c r="AE476" s="45" t="str">
        <f ca="1">IFERROR(__xludf.DUMMYFUNCTION("""COMPUTED_VALUE"""),"N")</f>
        <v>N</v>
      </c>
      <c r="AF476" s="45"/>
      <c r="AG476" s="49" t="str">
        <f ca="1">IFERROR(__xludf.DUMMYFUNCTION("IFNA(vlookup(H476,IMPORTRANGE(""1vUGwO1n0QQGx9kKbO0_M5gmuhXZ6-LaxQxgrmJnzgP0"",""'TP# look up'!A:C""),3,0),"""")"),"")</f>
        <v/>
      </c>
      <c r="AH476" s="49" t="str">
        <f t="shared" ca="1" si="7"/>
        <v>LW</v>
      </c>
    </row>
    <row r="477" spans="1:34" ht="12.75">
      <c r="A477" s="45" t="str">
        <f ca="1">IFERROR(__xludf.DUMMYFUNCTION("""COMPUTED_VALUE"""),"Colombo")</f>
        <v>Colombo</v>
      </c>
      <c r="B477" s="45"/>
      <c r="C477" s="45">
        <f ca="1">IFERROR(__xludf.DUMMYFUNCTION("""COMPUTED_VALUE"""),3254508)</f>
        <v>3254508</v>
      </c>
      <c r="D477" s="45"/>
      <c r="E477" s="45" t="str">
        <f ca="1">IFERROR(__xludf.DUMMYFUNCTION("""COMPUTED_VALUE"""),"CFS")</f>
        <v>CFS</v>
      </c>
      <c r="F477" s="45" t="str">
        <f ca="1">IFERROR(__xludf.DUMMYFUNCTION("""COMPUTED_VALUE"""),"MAS AMITY PTE LTD")</f>
        <v>MAS AMITY PTE LTD</v>
      </c>
      <c r="G477" s="45" t="str">
        <f ca="1">IFERROR(__xludf.DUMMYFUNCTION("""COMPUTED_VALUE"""),"MAS Active (Pvt) Ltd - Linea Intimo")</f>
        <v>MAS Active (Pvt) Ltd - Linea Intimo</v>
      </c>
      <c r="H477" s="43">
        <f ca="1">IFERROR(__xludf.DUMMYFUNCTION("""COMPUTED_VALUE"""),454710211186)</f>
        <v>454710211186</v>
      </c>
      <c r="I477" s="45">
        <f ca="1">IFERROR(__xludf.DUMMYFUNCTION("""COMPUTED_VALUE"""),19919209)</f>
        <v>19919209</v>
      </c>
      <c r="J477" s="45" t="str">
        <f ca="1">IFERROR(__xludf.DUMMYFUNCTION("""COMPUTED_VALUE"""),"LM1364S")</f>
        <v>LM1364S</v>
      </c>
      <c r="K477" s="45" t="str">
        <f ca="1">IFERROR(__xludf.DUMMYFUNCTION("""COMPUTED_VALUE"""),"LM1364S-4780")</f>
        <v>LM1364S-4780</v>
      </c>
      <c r="L477" s="45">
        <f ca="1">IFERROR(__xludf.DUMMYFUNCTION("""COMPUTED_VALUE"""),7)</f>
        <v>7</v>
      </c>
      <c r="M477" s="45">
        <f ca="1">IFERROR(__xludf.DUMMYFUNCTION("""COMPUTED_VALUE"""),409)</f>
        <v>409</v>
      </c>
      <c r="N477" s="45">
        <f ca="1">IFERROR(__xludf.DUMMYFUNCTION("""COMPUTED_VALUE"""),62.688)</f>
        <v>62.688000000000002</v>
      </c>
      <c r="O477" s="45">
        <f ca="1">IFERROR(__xludf.DUMMYFUNCTION("""COMPUTED_VALUE"""),0.474)</f>
        <v>0.47399999999999998</v>
      </c>
      <c r="P477" s="45" t="str">
        <f ca="1">IFERROR(__xludf.DUMMYFUNCTION("""COMPUTED_VALUE"""),"Colombo, LK")</f>
        <v>Colombo, LK</v>
      </c>
      <c r="Q477" s="45" t="str">
        <f ca="1">IFERROR(__xludf.DUMMYFUNCTION("""COMPUTED_VALUE"""),"New York, NY, US")</f>
        <v>New York, NY, US</v>
      </c>
      <c r="R477" s="44">
        <f ca="1">IFERROR(__xludf.DUMMYFUNCTION("""COMPUTED_VALUE"""),45824)</f>
        <v>45824</v>
      </c>
      <c r="S477" s="44">
        <f ca="1">IFERROR(__xludf.DUMMYFUNCTION("""COMPUTED_VALUE"""),45883)</f>
        <v>45883</v>
      </c>
      <c r="T477" s="45" t="str">
        <f ca="1">IFERROR(__xludf.DUMMYFUNCTION("""COMPUTED_VALUE"""),"Mississauga, ON, CA")</f>
        <v>Mississauga, ON, CA</v>
      </c>
      <c r="U477" s="45"/>
      <c r="V477" s="45"/>
      <c r="W477" s="45"/>
      <c r="X477" s="45"/>
      <c r="Y477" s="46">
        <f ca="1">IFERROR(__xludf.DUMMYFUNCTION("""COMPUTED_VALUE"""),45832)</f>
        <v>45832</v>
      </c>
      <c r="Z477" s="46">
        <f ca="1">IFERROR(__xludf.DUMMYFUNCTION("""COMPUTED_VALUE"""),45861)</f>
        <v>45861</v>
      </c>
      <c r="AA477" s="46">
        <f ca="1">IFERROR(__xludf.DUMMYFUNCTION("""COMPUTED_VALUE"""),45874)</f>
        <v>45874</v>
      </c>
      <c r="AB477" s="45" t="str">
        <f ca="1">IFERROR(__xludf.DUMMYFUNCTION("""COMPUTED_VALUE"""),"3500 Argentia Road")</f>
        <v>3500 Argentia Road</v>
      </c>
      <c r="AC477" s="45"/>
      <c r="AD477" s="45" t="str">
        <f ca="1">IFERROR(__xludf.DUMMYFUNCTION("""COMPUTED_VALUE"""),"OCEAN")</f>
        <v>OCEAN</v>
      </c>
      <c r="AE477" s="45" t="str">
        <f ca="1">IFERROR(__xludf.DUMMYFUNCTION("""COMPUTED_VALUE"""),"N")</f>
        <v>N</v>
      </c>
      <c r="AF477" s="45"/>
      <c r="AG477" s="49" t="str">
        <f ca="1">IFERROR(__xludf.DUMMYFUNCTION("IFNA(vlookup(H477,IMPORTRANGE(""1vUGwO1n0QQGx9kKbO0_M5gmuhXZ6-LaxQxgrmJnzgP0"",""'TP# look up'!A:C""),3,0),"""")"),"")</f>
        <v/>
      </c>
      <c r="AH477" s="49" t="str">
        <f t="shared" ca="1" si="7"/>
        <v>LM</v>
      </c>
    </row>
    <row r="478" spans="1:34" ht="12.75">
      <c r="A478" s="45" t="str">
        <f ca="1">IFERROR(__xludf.DUMMYFUNCTION("""COMPUTED_VALUE"""),"Colombo")</f>
        <v>Colombo</v>
      </c>
      <c r="B478" s="45"/>
      <c r="C478" s="45">
        <f ca="1">IFERROR(__xludf.DUMMYFUNCTION("""COMPUTED_VALUE"""),3254508)</f>
        <v>3254508</v>
      </c>
      <c r="D478" s="45"/>
      <c r="E478" s="45" t="str">
        <f ca="1">IFERROR(__xludf.DUMMYFUNCTION("""COMPUTED_VALUE"""),"CFS")</f>
        <v>CFS</v>
      </c>
      <c r="F478" s="45" t="str">
        <f ca="1">IFERROR(__xludf.DUMMYFUNCTION("""COMPUTED_VALUE"""),"MAS AMITY PTE LTD")</f>
        <v>MAS AMITY PTE LTD</v>
      </c>
      <c r="G478" s="45" t="str">
        <f ca="1">IFERROR(__xludf.DUMMYFUNCTION("""COMPUTED_VALUE"""),"MAS Active (Pvt) Ltd - Linea Intimo")</f>
        <v>MAS Active (Pvt) Ltd - Linea Intimo</v>
      </c>
      <c r="H478" s="43">
        <f ca="1">IFERROR(__xludf.DUMMYFUNCTION("""COMPUTED_VALUE"""),454710569610)</f>
        <v>454710569610</v>
      </c>
      <c r="I478" s="45">
        <f ca="1">IFERROR(__xludf.DUMMYFUNCTION("""COMPUTED_VALUE"""),19919241)</f>
        <v>19919241</v>
      </c>
      <c r="J478" s="45" t="str">
        <f ca="1">IFERROR(__xludf.DUMMYFUNCTION("""COMPUTED_VALUE"""),"LM1364S")</f>
        <v>LM1364S</v>
      </c>
      <c r="K478" s="45" t="str">
        <f ca="1">IFERROR(__xludf.DUMMYFUNCTION("""COMPUTED_VALUE"""),"LM1364S-071159")</f>
        <v>LM1364S-071159</v>
      </c>
      <c r="L478" s="45">
        <f ca="1">IFERROR(__xludf.DUMMYFUNCTION("""COMPUTED_VALUE"""),3)</f>
        <v>3</v>
      </c>
      <c r="M478" s="45">
        <f ca="1">IFERROR(__xludf.DUMMYFUNCTION("""COMPUTED_VALUE"""),162)</f>
        <v>162</v>
      </c>
      <c r="N478" s="45">
        <f ca="1">IFERROR(__xludf.DUMMYFUNCTION("""COMPUTED_VALUE"""),25.299)</f>
        <v>25.298999999999999</v>
      </c>
      <c r="O478" s="45">
        <f ca="1">IFERROR(__xludf.DUMMYFUNCTION("""COMPUTED_VALUE"""),0.237)</f>
        <v>0.23699999999999999</v>
      </c>
      <c r="P478" s="45" t="str">
        <f ca="1">IFERROR(__xludf.DUMMYFUNCTION("""COMPUTED_VALUE"""),"Colombo, LK")</f>
        <v>Colombo, LK</v>
      </c>
      <c r="Q478" s="45" t="str">
        <f ca="1">IFERROR(__xludf.DUMMYFUNCTION("""COMPUTED_VALUE"""),"New York, NY, US")</f>
        <v>New York, NY, US</v>
      </c>
      <c r="R478" s="44">
        <f ca="1">IFERROR(__xludf.DUMMYFUNCTION("""COMPUTED_VALUE"""),45824)</f>
        <v>45824</v>
      </c>
      <c r="S478" s="44">
        <f ca="1">IFERROR(__xludf.DUMMYFUNCTION("""COMPUTED_VALUE"""),45883)</f>
        <v>45883</v>
      </c>
      <c r="T478" s="45" t="str">
        <f ca="1">IFERROR(__xludf.DUMMYFUNCTION("""COMPUTED_VALUE"""),"Mississauga, ON, CA")</f>
        <v>Mississauga, ON, CA</v>
      </c>
      <c r="U478" s="45"/>
      <c r="V478" s="45"/>
      <c r="W478" s="45"/>
      <c r="X478" s="45"/>
      <c r="Y478" s="46">
        <f ca="1">IFERROR(__xludf.DUMMYFUNCTION("""COMPUTED_VALUE"""),45832)</f>
        <v>45832</v>
      </c>
      <c r="Z478" s="46">
        <f ca="1">IFERROR(__xludf.DUMMYFUNCTION("""COMPUTED_VALUE"""),45861)</f>
        <v>45861</v>
      </c>
      <c r="AA478" s="46">
        <f ca="1">IFERROR(__xludf.DUMMYFUNCTION("""COMPUTED_VALUE"""),45874)</f>
        <v>45874</v>
      </c>
      <c r="AB478" s="45" t="str">
        <f ca="1">IFERROR(__xludf.DUMMYFUNCTION("""COMPUTED_VALUE"""),"3500 Argentia Road")</f>
        <v>3500 Argentia Road</v>
      </c>
      <c r="AC478" s="45"/>
      <c r="AD478" s="45" t="str">
        <f ca="1">IFERROR(__xludf.DUMMYFUNCTION("""COMPUTED_VALUE"""),"OCEAN")</f>
        <v>OCEAN</v>
      </c>
      <c r="AE478" s="45" t="str">
        <f ca="1">IFERROR(__xludf.DUMMYFUNCTION("""COMPUTED_VALUE"""),"N")</f>
        <v>N</v>
      </c>
      <c r="AF478" s="45"/>
      <c r="AG478" s="49" t="str">
        <f ca="1">IFERROR(__xludf.DUMMYFUNCTION("IFNA(vlookup(H478,IMPORTRANGE(""1vUGwO1n0QQGx9kKbO0_M5gmuhXZ6-LaxQxgrmJnzgP0"",""'TP# look up'!A:C""),3,0),"""")"),"")</f>
        <v/>
      </c>
      <c r="AH478" s="49" t="str">
        <f t="shared" ca="1" si="7"/>
        <v>LM</v>
      </c>
    </row>
    <row r="479" spans="1:34" ht="12.75">
      <c r="A479" s="45" t="str">
        <f ca="1">IFERROR(__xludf.DUMMYFUNCTION("""COMPUTED_VALUE"""),"Colombo")</f>
        <v>Colombo</v>
      </c>
      <c r="B479" s="45"/>
      <c r="C479" s="45">
        <f ca="1">IFERROR(__xludf.DUMMYFUNCTION("""COMPUTED_VALUE"""),3254508)</f>
        <v>3254508</v>
      </c>
      <c r="D479" s="45"/>
      <c r="E479" s="45" t="str">
        <f ca="1">IFERROR(__xludf.DUMMYFUNCTION("""COMPUTED_VALUE"""),"CFS")</f>
        <v>CFS</v>
      </c>
      <c r="F479" s="45" t="str">
        <f ca="1">IFERROR(__xludf.DUMMYFUNCTION("""COMPUTED_VALUE"""),"MAS AMITY PTE LTD")</f>
        <v>MAS AMITY PTE LTD</v>
      </c>
      <c r="G479" s="45" t="str">
        <f ca="1">IFERROR(__xludf.DUMMYFUNCTION("""COMPUTED_VALUE"""),"MAS Active (Pvt) Ltd - Linea Intimo")</f>
        <v>MAS Active (Pvt) Ltd - Linea Intimo</v>
      </c>
      <c r="H479" s="43">
        <f ca="1">IFERROR(__xludf.DUMMYFUNCTION("""COMPUTED_VALUE"""),454710569927)</f>
        <v>454710569927</v>
      </c>
      <c r="I479" s="45">
        <f ca="1">IFERROR(__xludf.DUMMYFUNCTION("""COMPUTED_VALUE"""),19919259)</f>
        <v>19919259</v>
      </c>
      <c r="J479" s="45" t="str">
        <f ca="1">IFERROR(__xludf.DUMMYFUNCTION("""COMPUTED_VALUE"""),"LM3F64S")</f>
        <v>LM3F64S</v>
      </c>
      <c r="K479" s="45" t="str">
        <f ca="1">IFERROR(__xludf.DUMMYFUNCTION("""COMPUTED_VALUE"""),"LM3F64S-4780")</f>
        <v>LM3F64S-4780</v>
      </c>
      <c r="L479" s="45">
        <f ca="1">IFERROR(__xludf.DUMMYFUNCTION("""COMPUTED_VALUE"""),12)</f>
        <v>12</v>
      </c>
      <c r="M479" s="45">
        <f ca="1">IFERROR(__xludf.DUMMYFUNCTION("""COMPUTED_VALUE"""),386)</f>
        <v>386</v>
      </c>
      <c r="N479" s="45">
        <f ca="1">IFERROR(__xludf.DUMMYFUNCTION("""COMPUTED_VALUE"""),95.786)</f>
        <v>95.786000000000001</v>
      </c>
      <c r="O479" s="45">
        <f ca="1">IFERROR(__xludf.DUMMYFUNCTION("""COMPUTED_VALUE"""),0.948)</f>
        <v>0.94799999999999995</v>
      </c>
      <c r="P479" s="45" t="str">
        <f ca="1">IFERROR(__xludf.DUMMYFUNCTION("""COMPUTED_VALUE"""),"Colombo, LK")</f>
        <v>Colombo, LK</v>
      </c>
      <c r="Q479" s="45" t="str">
        <f ca="1">IFERROR(__xludf.DUMMYFUNCTION("""COMPUTED_VALUE"""),"New York, NY, US")</f>
        <v>New York, NY, US</v>
      </c>
      <c r="R479" s="44">
        <f ca="1">IFERROR(__xludf.DUMMYFUNCTION("""COMPUTED_VALUE"""),45824)</f>
        <v>45824</v>
      </c>
      <c r="S479" s="44">
        <f ca="1">IFERROR(__xludf.DUMMYFUNCTION("""COMPUTED_VALUE"""),45883)</f>
        <v>45883</v>
      </c>
      <c r="T479" s="45" t="str">
        <f ca="1">IFERROR(__xludf.DUMMYFUNCTION("""COMPUTED_VALUE"""),"Mississauga, ON, CA")</f>
        <v>Mississauga, ON, CA</v>
      </c>
      <c r="U479" s="45"/>
      <c r="V479" s="45"/>
      <c r="W479" s="45"/>
      <c r="X479" s="45"/>
      <c r="Y479" s="46">
        <f ca="1">IFERROR(__xludf.DUMMYFUNCTION("""COMPUTED_VALUE"""),45832)</f>
        <v>45832</v>
      </c>
      <c r="Z479" s="46">
        <f ca="1">IFERROR(__xludf.DUMMYFUNCTION("""COMPUTED_VALUE"""),45861)</f>
        <v>45861</v>
      </c>
      <c r="AA479" s="46">
        <f ca="1">IFERROR(__xludf.DUMMYFUNCTION("""COMPUTED_VALUE"""),45874)</f>
        <v>45874</v>
      </c>
      <c r="AB479" s="45" t="str">
        <f ca="1">IFERROR(__xludf.DUMMYFUNCTION("""COMPUTED_VALUE"""),"3500 Argentia Road")</f>
        <v>3500 Argentia Road</v>
      </c>
      <c r="AC479" s="45"/>
      <c r="AD479" s="45" t="str">
        <f ca="1">IFERROR(__xludf.DUMMYFUNCTION("""COMPUTED_VALUE"""),"OCEAN")</f>
        <v>OCEAN</v>
      </c>
      <c r="AE479" s="45" t="str">
        <f ca="1">IFERROR(__xludf.DUMMYFUNCTION("""COMPUTED_VALUE"""),"N")</f>
        <v>N</v>
      </c>
      <c r="AF479" s="45"/>
      <c r="AG479" s="49" t="str">
        <f ca="1">IFERROR(__xludf.DUMMYFUNCTION("IFNA(vlookup(H479,IMPORTRANGE(""1vUGwO1n0QQGx9kKbO0_M5gmuhXZ6-LaxQxgrmJnzgP0"",""'TP# look up'!A:C""),3,0),"""")"),"")</f>
        <v/>
      </c>
      <c r="AH479" s="49" t="str">
        <f t="shared" ca="1" si="7"/>
        <v>LM</v>
      </c>
    </row>
    <row r="480" spans="1:34" ht="12.75">
      <c r="A480" s="45" t="str">
        <f ca="1">IFERROR(__xludf.DUMMYFUNCTION("""COMPUTED_VALUE"""),"Colombo")</f>
        <v>Colombo</v>
      </c>
      <c r="B480" s="45"/>
      <c r="C480" s="45">
        <f ca="1">IFERROR(__xludf.DUMMYFUNCTION("""COMPUTED_VALUE"""),3254508)</f>
        <v>3254508</v>
      </c>
      <c r="D480" s="45"/>
      <c r="E480" s="45" t="str">
        <f ca="1">IFERROR(__xludf.DUMMYFUNCTION("""COMPUTED_VALUE"""),"CFS")</f>
        <v>CFS</v>
      </c>
      <c r="F480" s="45" t="str">
        <f ca="1">IFERROR(__xludf.DUMMYFUNCTION("""COMPUTED_VALUE"""),"MAS AMITY PTE LTD")</f>
        <v>MAS AMITY PTE LTD</v>
      </c>
      <c r="G480" s="45" t="str">
        <f ca="1">IFERROR(__xludf.DUMMYFUNCTION("""COMPUTED_VALUE"""),"MAS Active (Pvt) Ltd - Linea Intimo")</f>
        <v>MAS Active (Pvt) Ltd - Linea Intimo</v>
      </c>
      <c r="H480" s="43">
        <f ca="1">IFERROR(__xludf.DUMMYFUNCTION("""COMPUTED_VALUE"""),454710728906)</f>
        <v>454710728906</v>
      </c>
      <c r="I480" s="45">
        <f ca="1">IFERROR(__xludf.DUMMYFUNCTION("""COMPUTED_VALUE"""),19919281)</f>
        <v>19919281</v>
      </c>
      <c r="J480" s="45" t="str">
        <f ca="1">IFERROR(__xludf.DUMMYFUNCTION("""COMPUTED_VALUE"""),"LM3F64S")</f>
        <v>LM3F64S</v>
      </c>
      <c r="K480" s="45" t="str">
        <f ca="1">IFERROR(__xludf.DUMMYFUNCTION("""COMPUTED_VALUE"""),"LM3F64S-071162")</f>
        <v>LM3F64S-071162</v>
      </c>
      <c r="L480" s="45">
        <f ca="1">IFERROR(__xludf.DUMMYFUNCTION("""COMPUTED_VALUE"""),9)</f>
        <v>9</v>
      </c>
      <c r="M480" s="45">
        <f ca="1">IFERROR(__xludf.DUMMYFUNCTION("""COMPUTED_VALUE"""),248)</f>
        <v>248</v>
      </c>
      <c r="N480" s="45">
        <f ca="1">IFERROR(__xludf.DUMMYFUNCTION("""COMPUTED_VALUE"""),62.689)</f>
        <v>62.689</v>
      </c>
      <c r="O480" s="45">
        <f ca="1">IFERROR(__xludf.DUMMYFUNCTION("""COMPUTED_VALUE"""),0.671)</f>
        <v>0.67100000000000004</v>
      </c>
      <c r="P480" s="45" t="str">
        <f ca="1">IFERROR(__xludf.DUMMYFUNCTION("""COMPUTED_VALUE"""),"Colombo, LK")</f>
        <v>Colombo, LK</v>
      </c>
      <c r="Q480" s="45" t="str">
        <f ca="1">IFERROR(__xludf.DUMMYFUNCTION("""COMPUTED_VALUE"""),"New York, NY, US")</f>
        <v>New York, NY, US</v>
      </c>
      <c r="R480" s="44">
        <f ca="1">IFERROR(__xludf.DUMMYFUNCTION("""COMPUTED_VALUE"""),45824)</f>
        <v>45824</v>
      </c>
      <c r="S480" s="44">
        <f ca="1">IFERROR(__xludf.DUMMYFUNCTION("""COMPUTED_VALUE"""),45883)</f>
        <v>45883</v>
      </c>
      <c r="T480" s="45" t="str">
        <f ca="1">IFERROR(__xludf.DUMMYFUNCTION("""COMPUTED_VALUE"""),"Mississauga, ON, CA")</f>
        <v>Mississauga, ON, CA</v>
      </c>
      <c r="U480" s="45"/>
      <c r="V480" s="45"/>
      <c r="W480" s="45"/>
      <c r="X480" s="45"/>
      <c r="Y480" s="46">
        <f ca="1">IFERROR(__xludf.DUMMYFUNCTION("""COMPUTED_VALUE"""),45832)</f>
        <v>45832</v>
      </c>
      <c r="Z480" s="46">
        <f ca="1">IFERROR(__xludf.DUMMYFUNCTION("""COMPUTED_VALUE"""),45861)</f>
        <v>45861</v>
      </c>
      <c r="AA480" s="46">
        <f ca="1">IFERROR(__xludf.DUMMYFUNCTION("""COMPUTED_VALUE"""),45874)</f>
        <v>45874</v>
      </c>
      <c r="AB480" s="45" t="str">
        <f ca="1">IFERROR(__xludf.DUMMYFUNCTION("""COMPUTED_VALUE"""),"3500 Argentia Road")</f>
        <v>3500 Argentia Road</v>
      </c>
      <c r="AC480" s="45"/>
      <c r="AD480" s="45" t="str">
        <f ca="1">IFERROR(__xludf.DUMMYFUNCTION("""COMPUTED_VALUE"""),"OCEAN")</f>
        <v>OCEAN</v>
      </c>
      <c r="AE480" s="45" t="str">
        <f ca="1">IFERROR(__xludf.DUMMYFUNCTION("""COMPUTED_VALUE"""),"N")</f>
        <v>N</v>
      </c>
      <c r="AF480" s="45"/>
      <c r="AG480" s="49" t="str">
        <f ca="1">IFERROR(__xludf.DUMMYFUNCTION("IFNA(vlookup(H480,IMPORTRANGE(""1vUGwO1n0QQGx9kKbO0_M5gmuhXZ6-LaxQxgrmJnzgP0"",""'TP# look up'!A:C""),3,0),"""")"),"")</f>
        <v/>
      </c>
      <c r="AH480" s="49" t="str">
        <f t="shared" ca="1" si="7"/>
        <v>LM</v>
      </c>
    </row>
    <row r="481" spans="1:34" ht="12.75">
      <c r="A481" s="45" t="str">
        <f ca="1">IFERROR(__xludf.DUMMYFUNCTION("""COMPUTED_VALUE"""),"Colombo")</f>
        <v>Colombo</v>
      </c>
      <c r="B481" s="45"/>
      <c r="C481" s="45">
        <f ca="1">IFERROR(__xludf.DUMMYFUNCTION("""COMPUTED_VALUE"""),3254508)</f>
        <v>3254508</v>
      </c>
      <c r="D481" s="45"/>
      <c r="E481" s="45" t="str">
        <f ca="1">IFERROR(__xludf.DUMMYFUNCTION("""COMPUTED_VALUE"""),"CFS")</f>
        <v>CFS</v>
      </c>
      <c r="F481" s="45" t="str">
        <f ca="1">IFERROR(__xludf.DUMMYFUNCTION("""COMPUTED_VALUE"""),"MAS AMITY PTE LTD")</f>
        <v>MAS AMITY PTE LTD</v>
      </c>
      <c r="G481" s="45" t="str">
        <f ca="1">IFERROR(__xludf.DUMMYFUNCTION("""COMPUTED_VALUE"""),"MAS Active (Pvt) Ltd - Linea Intimo")</f>
        <v>MAS Active (Pvt) Ltd - Linea Intimo</v>
      </c>
      <c r="H481" s="43">
        <f ca="1">IFERROR(__xludf.DUMMYFUNCTION("""COMPUTED_VALUE"""),454711375758)</f>
        <v>454711375758</v>
      </c>
      <c r="I481" s="45">
        <f ca="1">IFERROR(__xludf.DUMMYFUNCTION("""COMPUTED_VALUE"""),19919305)</f>
        <v>19919305</v>
      </c>
      <c r="J481" s="45" t="str">
        <f ca="1">IFERROR(__xludf.DUMMYFUNCTION("""COMPUTED_VALUE"""),"LM3F64S")</f>
        <v>LM3F64S</v>
      </c>
      <c r="K481" s="45" t="str">
        <f ca="1">IFERROR(__xludf.DUMMYFUNCTION("""COMPUTED_VALUE"""),"LM3F64S-070561")</f>
        <v>LM3F64S-070561</v>
      </c>
      <c r="L481" s="45">
        <f ca="1">IFERROR(__xludf.DUMMYFUNCTION("""COMPUTED_VALUE"""),9)</f>
        <v>9</v>
      </c>
      <c r="M481" s="45">
        <f ca="1">IFERROR(__xludf.DUMMYFUNCTION("""COMPUTED_VALUE"""),263)</f>
        <v>263</v>
      </c>
      <c r="N481" s="45">
        <f ca="1">IFERROR(__xludf.DUMMYFUNCTION("""COMPUTED_VALUE"""),65.877)</f>
        <v>65.876999999999995</v>
      </c>
      <c r="O481" s="45">
        <f ca="1">IFERROR(__xludf.DUMMYFUNCTION("""COMPUTED_VALUE"""),0.671)</f>
        <v>0.67100000000000004</v>
      </c>
      <c r="P481" s="45" t="str">
        <f ca="1">IFERROR(__xludf.DUMMYFUNCTION("""COMPUTED_VALUE"""),"Colombo, LK")</f>
        <v>Colombo, LK</v>
      </c>
      <c r="Q481" s="45" t="str">
        <f ca="1">IFERROR(__xludf.DUMMYFUNCTION("""COMPUTED_VALUE"""),"New York, NY, US")</f>
        <v>New York, NY, US</v>
      </c>
      <c r="R481" s="44">
        <f ca="1">IFERROR(__xludf.DUMMYFUNCTION("""COMPUTED_VALUE"""),45824)</f>
        <v>45824</v>
      </c>
      <c r="S481" s="44">
        <f ca="1">IFERROR(__xludf.DUMMYFUNCTION("""COMPUTED_VALUE"""),45883)</f>
        <v>45883</v>
      </c>
      <c r="T481" s="45" t="str">
        <f ca="1">IFERROR(__xludf.DUMMYFUNCTION("""COMPUTED_VALUE"""),"Mississauga, ON, CA")</f>
        <v>Mississauga, ON, CA</v>
      </c>
      <c r="U481" s="45"/>
      <c r="V481" s="45"/>
      <c r="W481" s="45"/>
      <c r="X481" s="45"/>
      <c r="Y481" s="46">
        <f ca="1">IFERROR(__xludf.DUMMYFUNCTION("""COMPUTED_VALUE"""),45832)</f>
        <v>45832</v>
      </c>
      <c r="Z481" s="46">
        <f ca="1">IFERROR(__xludf.DUMMYFUNCTION("""COMPUTED_VALUE"""),45861)</f>
        <v>45861</v>
      </c>
      <c r="AA481" s="46">
        <f ca="1">IFERROR(__xludf.DUMMYFUNCTION("""COMPUTED_VALUE"""),45874)</f>
        <v>45874</v>
      </c>
      <c r="AB481" s="45" t="str">
        <f ca="1">IFERROR(__xludf.DUMMYFUNCTION("""COMPUTED_VALUE"""),"3500 Argentia Road")</f>
        <v>3500 Argentia Road</v>
      </c>
      <c r="AC481" s="45"/>
      <c r="AD481" s="45" t="str">
        <f ca="1">IFERROR(__xludf.DUMMYFUNCTION("""COMPUTED_VALUE"""),"OCEAN")</f>
        <v>OCEAN</v>
      </c>
      <c r="AE481" s="45" t="str">
        <f ca="1">IFERROR(__xludf.DUMMYFUNCTION("""COMPUTED_VALUE"""),"N")</f>
        <v>N</v>
      </c>
      <c r="AF481" s="45"/>
      <c r="AG481" s="49" t="str">
        <f ca="1">IFERROR(__xludf.DUMMYFUNCTION("IFNA(vlookup(H481,IMPORTRANGE(""1vUGwO1n0QQGx9kKbO0_M5gmuhXZ6-LaxQxgrmJnzgP0"",""'TP# look up'!A:C""),3,0),"""")"),"")</f>
        <v/>
      </c>
      <c r="AH481" s="49" t="str">
        <f t="shared" ca="1" si="7"/>
        <v>LM</v>
      </c>
    </row>
    <row r="482" spans="1:34" ht="12.75">
      <c r="A482" s="45" t="str">
        <f ca="1">IFERROR(__xludf.DUMMYFUNCTION("""COMPUTED_VALUE"""),"Colombo")</f>
        <v>Colombo</v>
      </c>
      <c r="B482" s="45"/>
      <c r="C482" s="45">
        <f ca="1">IFERROR(__xludf.DUMMYFUNCTION("""COMPUTED_VALUE"""),3254508)</f>
        <v>3254508</v>
      </c>
      <c r="D482" s="45"/>
      <c r="E482" s="45" t="str">
        <f ca="1">IFERROR(__xludf.DUMMYFUNCTION("""COMPUTED_VALUE"""),"CFS")</f>
        <v>CFS</v>
      </c>
      <c r="F482" s="45" t="str">
        <f ca="1">IFERROR(__xludf.DUMMYFUNCTION("""COMPUTED_VALUE"""),"MAS AMITY PTE LTD")</f>
        <v>MAS AMITY PTE LTD</v>
      </c>
      <c r="G482" s="45" t="str">
        <f ca="1">IFERROR(__xludf.DUMMYFUNCTION("""COMPUTED_VALUE"""),"MAS Active (Pvt) Ltd - Linea Intimo")</f>
        <v>MAS Active (Pvt) Ltd - Linea Intimo</v>
      </c>
      <c r="H482" s="43">
        <f ca="1">IFERROR(__xludf.DUMMYFUNCTION("""COMPUTED_VALUE"""),454714025577)</f>
        <v>454714025577</v>
      </c>
      <c r="I482" s="45">
        <f ca="1">IFERROR(__xludf.DUMMYFUNCTION("""COMPUTED_VALUE"""),19920272)</f>
        <v>19920272</v>
      </c>
      <c r="J482" s="45" t="str">
        <f ca="1">IFERROR(__xludf.DUMMYFUNCTION("""COMPUTED_VALUE"""),"LW3DFKS")</f>
        <v>LW3DFKS</v>
      </c>
      <c r="K482" s="45" t="str">
        <f ca="1">IFERROR(__xludf.DUMMYFUNCTION("""COMPUTED_VALUE"""),"LW3DFKS-4780")</f>
        <v>LW3DFKS-4780</v>
      </c>
      <c r="L482" s="45">
        <f ca="1">IFERROR(__xludf.DUMMYFUNCTION("""COMPUTED_VALUE"""),12)</f>
        <v>12</v>
      </c>
      <c r="M482" s="45">
        <f ca="1">IFERROR(__xludf.DUMMYFUNCTION("""COMPUTED_VALUE"""),589)</f>
        <v>589</v>
      </c>
      <c r="N482" s="45">
        <f ca="1">IFERROR(__xludf.DUMMYFUNCTION("""COMPUTED_VALUE"""),106.758)</f>
        <v>106.758</v>
      </c>
      <c r="O482" s="45">
        <f ca="1">IFERROR(__xludf.DUMMYFUNCTION("""COMPUTED_VALUE"""),0.829)</f>
        <v>0.82899999999999996</v>
      </c>
      <c r="P482" s="45" t="str">
        <f ca="1">IFERROR(__xludf.DUMMYFUNCTION("""COMPUTED_VALUE"""),"Colombo, LK")</f>
        <v>Colombo, LK</v>
      </c>
      <c r="Q482" s="45" t="str">
        <f ca="1">IFERROR(__xludf.DUMMYFUNCTION("""COMPUTED_VALUE"""),"New York, NY, US")</f>
        <v>New York, NY, US</v>
      </c>
      <c r="R482" s="44">
        <f ca="1">IFERROR(__xludf.DUMMYFUNCTION("""COMPUTED_VALUE"""),45824)</f>
        <v>45824</v>
      </c>
      <c r="S482" s="44">
        <f ca="1">IFERROR(__xludf.DUMMYFUNCTION("""COMPUTED_VALUE"""),45883)</f>
        <v>45883</v>
      </c>
      <c r="T482" s="45" t="str">
        <f ca="1">IFERROR(__xludf.DUMMYFUNCTION("""COMPUTED_VALUE"""),"Mississauga, ON, CA")</f>
        <v>Mississauga, ON, CA</v>
      </c>
      <c r="U482" s="45"/>
      <c r="V482" s="45"/>
      <c r="W482" s="45"/>
      <c r="X482" s="45"/>
      <c r="Y482" s="46">
        <f ca="1">IFERROR(__xludf.DUMMYFUNCTION("""COMPUTED_VALUE"""),45832)</f>
        <v>45832</v>
      </c>
      <c r="Z482" s="46">
        <f ca="1">IFERROR(__xludf.DUMMYFUNCTION("""COMPUTED_VALUE"""),45861)</f>
        <v>45861</v>
      </c>
      <c r="AA482" s="46">
        <f ca="1">IFERROR(__xludf.DUMMYFUNCTION("""COMPUTED_VALUE"""),45874)</f>
        <v>45874</v>
      </c>
      <c r="AB482" s="45" t="str">
        <f ca="1">IFERROR(__xludf.DUMMYFUNCTION("""COMPUTED_VALUE"""),"3500 Argentia Road")</f>
        <v>3500 Argentia Road</v>
      </c>
      <c r="AC482" s="45"/>
      <c r="AD482" s="45" t="str">
        <f ca="1">IFERROR(__xludf.DUMMYFUNCTION("""COMPUTED_VALUE"""),"OCEAN")</f>
        <v>OCEAN</v>
      </c>
      <c r="AE482" s="45" t="str">
        <f ca="1">IFERROR(__xludf.DUMMYFUNCTION("""COMPUTED_VALUE"""),"N")</f>
        <v>N</v>
      </c>
      <c r="AF482" s="45"/>
      <c r="AG482" s="49" t="str">
        <f ca="1">IFERROR(__xludf.DUMMYFUNCTION("IFNA(vlookup(H482,IMPORTRANGE(""1vUGwO1n0QQGx9kKbO0_M5gmuhXZ6-LaxQxgrmJnzgP0"",""'TP# look up'!A:C""),3,0),"""")"),"")</f>
        <v/>
      </c>
      <c r="AH482" s="49" t="str">
        <f t="shared" ca="1" si="7"/>
        <v>LW</v>
      </c>
    </row>
    <row r="483" spans="1:34" ht="12.75">
      <c r="A483" s="45" t="str">
        <f ca="1">IFERROR(__xludf.DUMMYFUNCTION("""COMPUTED_VALUE"""),"Colombo")</f>
        <v>Colombo</v>
      </c>
      <c r="B483" s="45"/>
      <c r="C483" s="45">
        <f ca="1">IFERROR(__xludf.DUMMYFUNCTION("""COMPUTED_VALUE"""),3254508)</f>
        <v>3254508</v>
      </c>
      <c r="D483" s="45"/>
      <c r="E483" s="45" t="str">
        <f ca="1">IFERROR(__xludf.DUMMYFUNCTION("""COMPUTED_VALUE"""),"CFS")</f>
        <v>CFS</v>
      </c>
      <c r="F483" s="45" t="str">
        <f ca="1">IFERROR(__xludf.DUMMYFUNCTION("""COMPUTED_VALUE"""),"MAS AMITY PTE LTD")</f>
        <v>MAS AMITY PTE LTD</v>
      </c>
      <c r="G483" s="45" t="str">
        <f ca="1">IFERROR(__xludf.DUMMYFUNCTION("""COMPUTED_VALUE"""),"MAS Active (Pvt) Ltd - Linea Intimo")</f>
        <v>MAS Active (Pvt) Ltd - Linea Intimo</v>
      </c>
      <c r="H483" s="43">
        <f ca="1">IFERROR(__xludf.DUMMYFUNCTION("""COMPUTED_VALUE"""),454714622428)</f>
        <v>454714622428</v>
      </c>
      <c r="I483" s="45">
        <f ca="1">IFERROR(__xludf.DUMMYFUNCTION("""COMPUTED_VALUE"""),19920327)</f>
        <v>19920327</v>
      </c>
      <c r="J483" s="45" t="str">
        <f ca="1">IFERROR(__xludf.DUMMYFUNCTION("""COMPUTED_VALUE"""),"LM1364S")</f>
        <v>LM1364S</v>
      </c>
      <c r="K483" s="45" t="str">
        <f ca="1">IFERROR(__xludf.DUMMYFUNCTION("""COMPUTED_VALUE"""),"LM1364S-071162")</f>
        <v>LM1364S-071162</v>
      </c>
      <c r="L483" s="45">
        <f ca="1">IFERROR(__xludf.DUMMYFUNCTION("""COMPUTED_VALUE"""),2)</f>
        <v>2</v>
      </c>
      <c r="M483" s="45">
        <f ca="1">IFERROR(__xludf.DUMMYFUNCTION("""COMPUTED_VALUE"""),73)</f>
        <v>73</v>
      </c>
      <c r="N483" s="45">
        <f ca="1">IFERROR(__xludf.DUMMYFUNCTION("""COMPUTED_VALUE"""),11.809)</f>
        <v>11.808999999999999</v>
      </c>
      <c r="O483" s="45">
        <f ca="1">IFERROR(__xludf.DUMMYFUNCTION("""COMPUTED_VALUE"""),0.118)</f>
        <v>0.11799999999999999</v>
      </c>
      <c r="P483" s="45" t="str">
        <f ca="1">IFERROR(__xludf.DUMMYFUNCTION("""COMPUTED_VALUE"""),"Colombo, LK")</f>
        <v>Colombo, LK</v>
      </c>
      <c r="Q483" s="45" t="str">
        <f ca="1">IFERROR(__xludf.DUMMYFUNCTION("""COMPUTED_VALUE"""),"New York, NY, US")</f>
        <v>New York, NY, US</v>
      </c>
      <c r="R483" s="44">
        <f ca="1">IFERROR(__xludf.DUMMYFUNCTION("""COMPUTED_VALUE"""),45824)</f>
        <v>45824</v>
      </c>
      <c r="S483" s="44">
        <f ca="1">IFERROR(__xludf.DUMMYFUNCTION("""COMPUTED_VALUE"""),45883)</f>
        <v>45883</v>
      </c>
      <c r="T483" s="45" t="str">
        <f ca="1">IFERROR(__xludf.DUMMYFUNCTION("""COMPUTED_VALUE"""),"Mississauga, ON, CA")</f>
        <v>Mississauga, ON, CA</v>
      </c>
      <c r="U483" s="45"/>
      <c r="V483" s="45"/>
      <c r="W483" s="45"/>
      <c r="X483" s="45"/>
      <c r="Y483" s="46">
        <f ca="1">IFERROR(__xludf.DUMMYFUNCTION("""COMPUTED_VALUE"""),45832)</f>
        <v>45832</v>
      </c>
      <c r="Z483" s="46">
        <f ca="1">IFERROR(__xludf.DUMMYFUNCTION("""COMPUTED_VALUE"""),45861)</f>
        <v>45861</v>
      </c>
      <c r="AA483" s="46">
        <f ca="1">IFERROR(__xludf.DUMMYFUNCTION("""COMPUTED_VALUE"""),45874)</f>
        <v>45874</v>
      </c>
      <c r="AB483" s="45" t="str">
        <f ca="1">IFERROR(__xludf.DUMMYFUNCTION("""COMPUTED_VALUE"""),"3500 Argentia Road")</f>
        <v>3500 Argentia Road</v>
      </c>
      <c r="AC483" s="45"/>
      <c r="AD483" s="45" t="str">
        <f ca="1">IFERROR(__xludf.DUMMYFUNCTION("""COMPUTED_VALUE"""),"OCEAN")</f>
        <v>OCEAN</v>
      </c>
      <c r="AE483" s="45" t="str">
        <f ca="1">IFERROR(__xludf.DUMMYFUNCTION("""COMPUTED_VALUE"""),"N")</f>
        <v>N</v>
      </c>
      <c r="AF483" s="45"/>
      <c r="AG483" s="49" t="str">
        <f ca="1">IFERROR(__xludf.DUMMYFUNCTION("IFNA(vlookup(H483,IMPORTRANGE(""1vUGwO1n0QQGx9kKbO0_M5gmuhXZ6-LaxQxgrmJnzgP0"",""'TP# look up'!A:C""),3,0),"""")"),"")</f>
        <v/>
      </c>
      <c r="AH483" s="49" t="str">
        <f t="shared" ca="1" si="7"/>
        <v>LM</v>
      </c>
    </row>
    <row r="484" spans="1:34" ht="12.75">
      <c r="A484" s="45" t="str">
        <f ca="1">IFERROR(__xludf.DUMMYFUNCTION("""COMPUTED_VALUE"""),"Colombo")</f>
        <v>Colombo</v>
      </c>
      <c r="B484" s="45"/>
      <c r="C484" s="45">
        <f ca="1">IFERROR(__xludf.DUMMYFUNCTION("""COMPUTED_VALUE"""),3254508)</f>
        <v>3254508</v>
      </c>
      <c r="D484" s="45"/>
      <c r="E484" s="45" t="str">
        <f ca="1">IFERROR(__xludf.DUMMYFUNCTION("""COMPUTED_VALUE"""),"CFS")</f>
        <v>CFS</v>
      </c>
      <c r="F484" s="45" t="str">
        <f ca="1">IFERROR(__xludf.DUMMYFUNCTION("""COMPUTED_VALUE"""),"MAS AMITY PTE LTD")</f>
        <v>MAS AMITY PTE LTD</v>
      </c>
      <c r="G484" s="45" t="str">
        <f ca="1">IFERROR(__xludf.DUMMYFUNCTION("""COMPUTED_VALUE"""),"MAS Active (Pvt) Ltd - Linea Intimo")</f>
        <v>MAS Active (Pvt) Ltd - Linea Intimo</v>
      </c>
      <c r="H484" s="43">
        <f ca="1">IFERROR(__xludf.DUMMYFUNCTION("""COMPUTED_VALUE"""),454714661923)</f>
        <v>454714661923</v>
      </c>
      <c r="I484" s="45">
        <f ca="1">IFERROR(__xludf.DUMMYFUNCTION("""COMPUTED_VALUE"""),19920296)</f>
        <v>19920296</v>
      </c>
      <c r="J484" s="45" t="str">
        <f ca="1">IFERROR(__xludf.DUMMYFUNCTION("""COMPUTED_VALUE"""),"LW3FQHS")</f>
        <v>LW3FQHS</v>
      </c>
      <c r="K484" s="45" t="str">
        <f ca="1">IFERROR(__xludf.DUMMYFUNCTION("""COMPUTED_VALUE"""),"LW3FQHS-012826")</f>
        <v>LW3FQHS-012826</v>
      </c>
      <c r="L484" s="45">
        <f ca="1">IFERROR(__xludf.DUMMYFUNCTION("""COMPUTED_VALUE"""),3)</f>
        <v>3</v>
      </c>
      <c r="M484" s="45">
        <f ca="1">IFERROR(__xludf.DUMMYFUNCTION("""COMPUTED_VALUE"""),221)</f>
        <v>221</v>
      </c>
      <c r="N484" s="45">
        <f ca="1">IFERROR(__xludf.DUMMYFUNCTION("""COMPUTED_VALUE"""),23.134)</f>
        <v>23.134</v>
      </c>
      <c r="O484" s="45">
        <f ca="1">IFERROR(__xludf.DUMMYFUNCTION("""COMPUTED_VALUE"""),0.197)</f>
        <v>0.19700000000000001</v>
      </c>
      <c r="P484" s="45" t="str">
        <f ca="1">IFERROR(__xludf.DUMMYFUNCTION("""COMPUTED_VALUE"""),"Colombo, LK")</f>
        <v>Colombo, LK</v>
      </c>
      <c r="Q484" s="45" t="str">
        <f ca="1">IFERROR(__xludf.DUMMYFUNCTION("""COMPUTED_VALUE"""),"New York, NY, US")</f>
        <v>New York, NY, US</v>
      </c>
      <c r="R484" s="44">
        <f ca="1">IFERROR(__xludf.DUMMYFUNCTION("""COMPUTED_VALUE"""),45824)</f>
        <v>45824</v>
      </c>
      <c r="S484" s="44">
        <f ca="1">IFERROR(__xludf.DUMMYFUNCTION("""COMPUTED_VALUE"""),45883)</f>
        <v>45883</v>
      </c>
      <c r="T484" s="45" t="str">
        <f ca="1">IFERROR(__xludf.DUMMYFUNCTION("""COMPUTED_VALUE"""),"Mississauga, ON, CA")</f>
        <v>Mississauga, ON, CA</v>
      </c>
      <c r="U484" s="45"/>
      <c r="V484" s="45"/>
      <c r="W484" s="45"/>
      <c r="X484" s="45"/>
      <c r="Y484" s="46">
        <f ca="1">IFERROR(__xludf.DUMMYFUNCTION("""COMPUTED_VALUE"""),45832)</f>
        <v>45832</v>
      </c>
      <c r="Z484" s="46">
        <f ca="1">IFERROR(__xludf.DUMMYFUNCTION("""COMPUTED_VALUE"""),45861)</f>
        <v>45861</v>
      </c>
      <c r="AA484" s="46">
        <f ca="1">IFERROR(__xludf.DUMMYFUNCTION("""COMPUTED_VALUE"""),45874)</f>
        <v>45874</v>
      </c>
      <c r="AB484" s="45" t="str">
        <f ca="1">IFERROR(__xludf.DUMMYFUNCTION("""COMPUTED_VALUE"""),"3500 Argentia Road")</f>
        <v>3500 Argentia Road</v>
      </c>
      <c r="AC484" s="45"/>
      <c r="AD484" s="45" t="str">
        <f ca="1">IFERROR(__xludf.DUMMYFUNCTION("""COMPUTED_VALUE"""),"OCEAN")</f>
        <v>OCEAN</v>
      </c>
      <c r="AE484" s="45" t="str">
        <f ca="1">IFERROR(__xludf.DUMMYFUNCTION("""COMPUTED_VALUE"""),"N")</f>
        <v>N</v>
      </c>
      <c r="AF484" s="45"/>
      <c r="AG484" s="49" t="str">
        <f ca="1">IFERROR(__xludf.DUMMYFUNCTION("IFNA(vlookup(H484,IMPORTRANGE(""1vUGwO1n0QQGx9kKbO0_M5gmuhXZ6-LaxQxgrmJnzgP0"",""'TP# look up'!A:C""),3,0),"""")"),"")</f>
        <v/>
      </c>
      <c r="AH484" s="49" t="str">
        <f t="shared" ca="1" si="7"/>
        <v>LW</v>
      </c>
    </row>
    <row r="485" spans="1:34" ht="12.75">
      <c r="A485" s="45" t="str">
        <f ca="1">IFERROR(__xludf.DUMMYFUNCTION("""COMPUTED_VALUE"""),"Colombo")</f>
        <v>Colombo</v>
      </c>
      <c r="B485" s="45"/>
      <c r="C485" s="45">
        <f ca="1">IFERROR(__xludf.DUMMYFUNCTION("""COMPUTED_VALUE"""),3254508)</f>
        <v>3254508</v>
      </c>
      <c r="D485" s="45"/>
      <c r="E485" s="45" t="str">
        <f ca="1">IFERROR(__xludf.DUMMYFUNCTION("""COMPUTED_VALUE"""),"CFS")</f>
        <v>CFS</v>
      </c>
      <c r="F485" s="45" t="str">
        <f ca="1">IFERROR(__xludf.DUMMYFUNCTION("""COMPUTED_VALUE"""),"MAS AMITY PTE LTD")</f>
        <v>MAS AMITY PTE LTD</v>
      </c>
      <c r="G485" s="45" t="str">
        <f ca="1">IFERROR(__xludf.DUMMYFUNCTION("""COMPUTED_VALUE"""),"MAS Active (Pvt) Ltd - Linea Intimo")</f>
        <v>MAS Active (Pvt) Ltd - Linea Intimo</v>
      </c>
      <c r="H485" s="43">
        <f ca="1">IFERROR(__xludf.DUMMYFUNCTION("""COMPUTED_VALUE"""),454714789370)</f>
        <v>454714789370</v>
      </c>
      <c r="I485" s="45">
        <f ca="1">IFERROR(__xludf.DUMMYFUNCTION("""COMPUTED_VALUE"""),19920309)</f>
        <v>19920309</v>
      </c>
      <c r="J485" s="45" t="str">
        <f ca="1">IFERROR(__xludf.DUMMYFUNCTION("""COMPUTED_VALUE"""),"LW3JE9S")</f>
        <v>LW3JE9S</v>
      </c>
      <c r="K485" s="45" t="str">
        <f ca="1">IFERROR(__xludf.DUMMYFUNCTION("""COMPUTED_VALUE"""),"LW3JE9S-4780")</f>
        <v>LW3JE9S-4780</v>
      </c>
      <c r="L485" s="45">
        <f ca="1">IFERROR(__xludf.DUMMYFUNCTION("""COMPUTED_VALUE"""),9)</f>
        <v>9</v>
      </c>
      <c r="M485" s="45">
        <f ca="1">IFERROR(__xludf.DUMMYFUNCTION("""COMPUTED_VALUE"""),488)</f>
        <v>488</v>
      </c>
      <c r="N485" s="45">
        <f ca="1">IFERROR(__xludf.DUMMYFUNCTION("""COMPUTED_VALUE"""),96.388)</f>
        <v>96.388000000000005</v>
      </c>
      <c r="O485" s="45">
        <f ca="1">IFERROR(__xludf.DUMMYFUNCTION("""COMPUTED_VALUE"""),0.632)</f>
        <v>0.63200000000000001</v>
      </c>
      <c r="P485" s="45" t="str">
        <f ca="1">IFERROR(__xludf.DUMMYFUNCTION("""COMPUTED_VALUE"""),"Colombo, LK")</f>
        <v>Colombo, LK</v>
      </c>
      <c r="Q485" s="45" t="str">
        <f ca="1">IFERROR(__xludf.DUMMYFUNCTION("""COMPUTED_VALUE"""),"New York, NY, US")</f>
        <v>New York, NY, US</v>
      </c>
      <c r="R485" s="44">
        <f ca="1">IFERROR(__xludf.DUMMYFUNCTION("""COMPUTED_VALUE"""),45824)</f>
        <v>45824</v>
      </c>
      <c r="S485" s="44">
        <f ca="1">IFERROR(__xludf.DUMMYFUNCTION("""COMPUTED_VALUE"""),45883)</f>
        <v>45883</v>
      </c>
      <c r="T485" s="45" t="str">
        <f ca="1">IFERROR(__xludf.DUMMYFUNCTION("""COMPUTED_VALUE"""),"Mississauga, ON, CA")</f>
        <v>Mississauga, ON, CA</v>
      </c>
      <c r="U485" s="45"/>
      <c r="V485" s="45"/>
      <c r="W485" s="45"/>
      <c r="X485" s="45"/>
      <c r="Y485" s="46">
        <f ca="1">IFERROR(__xludf.DUMMYFUNCTION("""COMPUTED_VALUE"""),45832)</f>
        <v>45832</v>
      </c>
      <c r="Z485" s="46">
        <f ca="1">IFERROR(__xludf.DUMMYFUNCTION("""COMPUTED_VALUE"""),45861)</f>
        <v>45861</v>
      </c>
      <c r="AA485" s="46">
        <f ca="1">IFERROR(__xludf.DUMMYFUNCTION("""COMPUTED_VALUE"""),45874)</f>
        <v>45874</v>
      </c>
      <c r="AB485" s="45" t="str">
        <f ca="1">IFERROR(__xludf.DUMMYFUNCTION("""COMPUTED_VALUE"""),"3500 Argentia Road")</f>
        <v>3500 Argentia Road</v>
      </c>
      <c r="AC485" s="45"/>
      <c r="AD485" s="45" t="str">
        <f ca="1">IFERROR(__xludf.DUMMYFUNCTION("""COMPUTED_VALUE"""),"OCEAN")</f>
        <v>OCEAN</v>
      </c>
      <c r="AE485" s="45" t="str">
        <f ca="1">IFERROR(__xludf.DUMMYFUNCTION("""COMPUTED_VALUE"""),"N")</f>
        <v>N</v>
      </c>
      <c r="AF485" s="45"/>
      <c r="AG485" s="49" t="str">
        <f ca="1">IFERROR(__xludf.DUMMYFUNCTION("IFNA(vlookup(H485,IMPORTRANGE(""1vUGwO1n0QQGx9kKbO0_M5gmuhXZ6-LaxQxgrmJnzgP0"",""'TP# look up'!A:C""),3,0),"""")"),"")</f>
        <v/>
      </c>
      <c r="AH485" s="49" t="str">
        <f t="shared" ca="1" si="7"/>
        <v>LW</v>
      </c>
    </row>
    <row r="486" spans="1:34" ht="12.75">
      <c r="A486" s="45" t="str">
        <f ca="1">IFERROR(__xludf.DUMMYFUNCTION("""COMPUTED_VALUE"""),"Colombo")</f>
        <v>Colombo</v>
      </c>
      <c r="B486" s="45"/>
      <c r="C486" s="45">
        <f ca="1">IFERROR(__xludf.DUMMYFUNCTION("""COMPUTED_VALUE"""),3254508)</f>
        <v>3254508</v>
      </c>
      <c r="D486" s="45"/>
      <c r="E486" s="45" t="str">
        <f ca="1">IFERROR(__xludf.DUMMYFUNCTION("""COMPUTED_VALUE"""),"CFS")</f>
        <v>CFS</v>
      </c>
      <c r="F486" s="45" t="str">
        <f ca="1">IFERROR(__xludf.DUMMYFUNCTION("""COMPUTED_VALUE"""),"MAS AMITY PTE LTD")</f>
        <v>MAS AMITY PTE LTD</v>
      </c>
      <c r="G486" s="45" t="str">
        <f ca="1">IFERROR(__xludf.DUMMYFUNCTION("""COMPUTED_VALUE"""),"MAS Active (Pvt) Ltd - Linea Intimo")</f>
        <v>MAS Active (Pvt) Ltd - Linea Intimo</v>
      </c>
      <c r="H486" s="43">
        <f ca="1">IFERROR(__xludf.DUMMYFUNCTION("""COMPUTED_VALUE"""),454714960542)</f>
        <v>454714960542</v>
      </c>
      <c r="I486" s="45">
        <f ca="1">IFERROR(__xludf.DUMMYFUNCTION("""COMPUTED_VALUE"""),19920323)</f>
        <v>19920323</v>
      </c>
      <c r="J486" s="45" t="str">
        <f ca="1">IFERROR(__xludf.DUMMYFUNCTION("""COMPUTED_VALUE"""),"LM1364S")</f>
        <v>LM1364S</v>
      </c>
      <c r="K486" s="45" t="str">
        <f ca="1">IFERROR(__xludf.DUMMYFUNCTION("""COMPUTED_VALUE"""),"LM1364S-071159")</f>
        <v>LM1364S-071159</v>
      </c>
      <c r="L486" s="45">
        <f ca="1">IFERROR(__xludf.DUMMYFUNCTION("""COMPUTED_VALUE"""),1)</f>
        <v>1</v>
      </c>
      <c r="M486" s="45">
        <f ca="1">IFERROR(__xludf.DUMMYFUNCTION("""COMPUTED_VALUE"""),57)</f>
        <v>57</v>
      </c>
      <c r="N486" s="45">
        <f ca="1">IFERROR(__xludf.DUMMYFUNCTION("""COMPUTED_VALUE"""),8.823)</f>
        <v>8.8230000000000004</v>
      </c>
      <c r="O486" s="45">
        <f ca="1">IFERROR(__xludf.DUMMYFUNCTION("""COMPUTED_VALUE"""),0.079)</f>
        <v>7.9000000000000001E-2</v>
      </c>
      <c r="P486" s="45" t="str">
        <f ca="1">IFERROR(__xludf.DUMMYFUNCTION("""COMPUTED_VALUE"""),"Colombo, LK")</f>
        <v>Colombo, LK</v>
      </c>
      <c r="Q486" s="45" t="str">
        <f ca="1">IFERROR(__xludf.DUMMYFUNCTION("""COMPUTED_VALUE"""),"New York, NY, US")</f>
        <v>New York, NY, US</v>
      </c>
      <c r="R486" s="44">
        <f ca="1">IFERROR(__xludf.DUMMYFUNCTION("""COMPUTED_VALUE"""),45824)</f>
        <v>45824</v>
      </c>
      <c r="S486" s="44">
        <f ca="1">IFERROR(__xludf.DUMMYFUNCTION("""COMPUTED_VALUE"""),45883)</f>
        <v>45883</v>
      </c>
      <c r="T486" s="45" t="str">
        <f ca="1">IFERROR(__xludf.DUMMYFUNCTION("""COMPUTED_VALUE"""),"Mississauga, ON, CA")</f>
        <v>Mississauga, ON, CA</v>
      </c>
      <c r="U486" s="45"/>
      <c r="V486" s="45"/>
      <c r="W486" s="45"/>
      <c r="X486" s="45"/>
      <c r="Y486" s="46">
        <f ca="1">IFERROR(__xludf.DUMMYFUNCTION("""COMPUTED_VALUE"""),45832)</f>
        <v>45832</v>
      </c>
      <c r="Z486" s="46">
        <f ca="1">IFERROR(__xludf.DUMMYFUNCTION("""COMPUTED_VALUE"""),45861)</f>
        <v>45861</v>
      </c>
      <c r="AA486" s="46">
        <f ca="1">IFERROR(__xludf.DUMMYFUNCTION("""COMPUTED_VALUE"""),45874)</f>
        <v>45874</v>
      </c>
      <c r="AB486" s="45" t="str">
        <f ca="1">IFERROR(__xludf.DUMMYFUNCTION("""COMPUTED_VALUE"""),"3500 Argentia Road")</f>
        <v>3500 Argentia Road</v>
      </c>
      <c r="AC486" s="45"/>
      <c r="AD486" s="45" t="str">
        <f ca="1">IFERROR(__xludf.DUMMYFUNCTION("""COMPUTED_VALUE"""),"OCEAN")</f>
        <v>OCEAN</v>
      </c>
      <c r="AE486" s="45" t="str">
        <f ca="1">IFERROR(__xludf.DUMMYFUNCTION("""COMPUTED_VALUE"""),"N")</f>
        <v>N</v>
      </c>
      <c r="AF486" s="45"/>
      <c r="AG486" s="49" t="str">
        <f ca="1">IFERROR(__xludf.DUMMYFUNCTION("IFNA(vlookup(H486,IMPORTRANGE(""1vUGwO1n0QQGx9kKbO0_M5gmuhXZ6-LaxQxgrmJnzgP0"",""'TP# look up'!A:C""),3,0),"""")"),"")</f>
        <v/>
      </c>
      <c r="AH486" s="49" t="str">
        <f t="shared" ca="1" si="7"/>
        <v>LM</v>
      </c>
    </row>
    <row r="487" spans="1:34" ht="12.75">
      <c r="A487" s="45" t="str">
        <f ca="1">IFERROR(__xludf.DUMMYFUNCTION("""COMPUTED_VALUE"""),"Colombo")</f>
        <v>Colombo</v>
      </c>
      <c r="B487" s="45"/>
      <c r="C487" s="45">
        <f ca="1">IFERROR(__xludf.DUMMYFUNCTION("""COMPUTED_VALUE"""),3254508)</f>
        <v>3254508</v>
      </c>
      <c r="D487" s="45"/>
      <c r="E487" s="45" t="str">
        <f ca="1">IFERROR(__xludf.DUMMYFUNCTION("""COMPUTED_VALUE"""),"CFS")</f>
        <v>CFS</v>
      </c>
      <c r="F487" s="45" t="str">
        <f ca="1">IFERROR(__xludf.DUMMYFUNCTION("""COMPUTED_VALUE"""),"MAS AMITY PTE LTD")</f>
        <v>MAS AMITY PTE LTD</v>
      </c>
      <c r="G487" s="45" t="str">
        <f ca="1">IFERROR(__xludf.DUMMYFUNCTION("""COMPUTED_VALUE"""),"MAS Active (Pvt) Ltd - Linea Intimo")</f>
        <v>MAS Active (Pvt) Ltd - Linea Intimo</v>
      </c>
      <c r="H487" s="43">
        <f ca="1">IFERROR(__xludf.DUMMYFUNCTION("""COMPUTED_VALUE"""),454714967164)</f>
        <v>454714967164</v>
      </c>
      <c r="I487" s="45">
        <f ca="1">IFERROR(__xludf.DUMMYFUNCTION("""COMPUTED_VALUE"""),19920331)</f>
        <v>19920331</v>
      </c>
      <c r="J487" s="45" t="str">
        <f ca="1">IFERROR(__xludf.DUMMYFUNCTION("""COMPUTED_VALUE"""),"LM3F64S")</f>
        <v>LM3F64S</v>
      </c>
      <c r="K487" s="45" t="str">
        <f ca="1">IFERROR(__xludf.DUMMYFUNCTION("""COMPUTED_VALUE"""),"LM3F64S-071162")</f>
        <v>LM3F64S-071162</v>
      </c>
      <c r="L487" s="45">
        <f ca="1">IFERROR(__xludf.DUMMYFUNCTION("""COMPUTED_VALUE"""),3)</f>
        <v>3</v>
      </c>
      <c r="M487" s="45">
        <f ca="1">IFERROR(__xludf.DUMMYFUNCTION("""COMPUTED_VALUE"""),60)</f>
        <v>60</v>
      </c>
      <c r="N487" s="45">
        <f ca="1">IFERROR(__xludf.DUMMYFUNCTION("""COMPUTED_VALUE"""),15.613)</f>
        <v>15.613</v>
      </c>
      <c r="O487" s="45">
        <f ca="1">IFERROR(__xludf.DUMMYFUNCTION("""COMPUTED_VALUE"""),0.197)</f>
        <v>0.19700000000000001</v>
      </c>
      <c r="P487" s="45" t="str">
        <f ca="1">IFERROR(__xludf.DUMMYFUNCTION("""COMPUTED_VALUE"""),"Colombo, LK")</f>
        <v>Colombo, LK</v>
      </c>
      <c r="Q487" s="45" t="str">
        <f ca="1">IFERROR(__xludf.DUMMYFUNCTION("""COMPUTED_VALUE"""),"New York, NY, US")</f>
        <v>New York, NY, US</v>
      </c>
      <c r="R487" s="44">
        <f ca="1">IFERROR(__xludf.DUMMYFUNCTION("""COMPUTED_VALUE"""),45824)</f>
        <v>45824</v>
      </c>
      <c r="S487" s="44">
        <f ca="1">IFERROR(__xludf.DUMMYFUNCTION("""COMPUTED_VALUE"""),45883)</f>
        <v>45883</v>
      </c>
      <c r="T487" s="45" t="str">
        <f ca="1">IFERROR(__xludf.DUMMYFUNCTION("""COMPUTED_VALUE"""),"Mississauga, ON, CA")</f>
        <v>Mississauga, ON, CA</v>
      </c>
      <c r="U487" s="45"/>
      <c r="V487" s="45"/>
      <c r="W487" s="45"/>
      <c r="X487" s="45"/>
      <c r="Y487" s="46">
        <f ca="1">IFERROR(__xludf.DUMMYFUNCTION("""COMPUTED_VALUE"""),45832)</f>
        <v>45832</v>
      </c>
      <c r="Z487" s="46">
        <f ca="1">IFERROR(__xludf.DUMMYFUNCTION("""COMPUTED_VALUE"""),45861)</f>
        <v>45861</v>
      </c>
      <c r="AA487" s="46">
        <f ca="1">IFERROR(__xludf.DUMMYFUNCTION("""COMPUTED_VALUE"""),45874)</f>
        <v>45874</v>
      </c>
      <c r="AB487" s="45" t="str">
        <f ca="1">IFERROR(__xludf.DUMMYFUNCTION("""COMPUTED_VALUE"""),"3500 Argentia Road")</f>
        <v>3500 Argentia Road</v>
      </c>
      <c r="AC487" s="45"/>
      <c r="AD487" s="45" t="str">
        <f ca="1">IFERROR(__xludf.DUMMYFUNCTION("""COMPUTED_VALUE"""),"OCEAN")</f>
        <v>OCEAN</v>
      </c>
      <c r="AE487" s="45" t="str">
        <f ca="1">IFERROR(__xludf.DUMMYFUNCTION("""COMPUTED_VALUE"""),"N")</f>
        <v>N</v>
      </c>
      <c r="AF487" s="45"/>
      <c r="AG487" s="49" t="str">
        <f ca="1">IFERROR(__xludf.DUMMYFUNCTION("IFNA(vlookup(H487,IMPORTRANGE(""1vUGwO1n0QQGx9kKbO0_M5gmuhXZ6-LaxQxgrmJnzgP0"",""'TP# look up'!A:C""),3,0),"""")"),"")</f>
        <v/>
      </c>
      <c r="AH487" s="49" t="str">
        <f t="shared" ca="1" si="7"/>
        <v>LM</v>
      </c>
    </row>
    <row r="488" spans="1:34" ht="12.75">
      <c r="A488" s="45" t="str">
        <f ca="1">IFERROR(__xludf.DUMMYFUNCTION("""COMPUTED_VALUE"""),"Colombo")</f>
        <v>Colombo</v>
      </c>
      <c r="B488" s="45"/>
      <c r="C488" s="45">
        <f ca="1">IFERROR(__xludf.DUMMYFUNCTION("""COMPUTED_VALUE"""),3254508)</f>
        <v>3254508</v>
      </c>
      <c r="D488" s="45"/>
      <c r="E488" s="45" t="str">
        <f ca="1">IFERROR(__xludf.DUMMYFUNCTION("""COMPUTED_VALUE"""),"CFS")</f>
        <v>CFS</v>
      </c>
      <c r="F488" s="45" t="str">
        <f ca="1">IFERROR(__xludf.DUMMYFUNCTION("""COMPUTED_VALUE"""),"MAS AMITY PTE LTD")</f>
        <v>MAS AMITY PTE LTD</v>
      </c>
      <c r="G488" s="45" t="str">
        <f ca="1">IFERROR(__xludf.DUMMYFUNCTION("""COMPUTED_VALUE"""),"MAS Active (Pvt) Ltd - Linea Intimo")</f>
        <v>MAS Active (Pvt) Ltd - Linea Intimo</v>
      </c>
      <c r="H488" s="43">
        <f ca="1">IFERROR(__xludf.DUMMYFUNCTION("""COMPUTED_VALUE"""),454715072465)</f>
        <v>454715072465</v>
      </c>
      <c r="I488" s="45">
        <f ca="1">IFERROR(__xludf.DUMMYFUNCTION("""COMPUTED_VALUE"""),19920345)</f>
        <v>19920345</v>
      </c>
      <c r="J488" s="45" t="str">
        <f ca="1">IFERROR(__xludf.DUMMYFUNCTION("""COMPUTED_VALUE"""),"LM3FHKS")</f>
        <v>LM3FHKS</v>
      </c>
      <c r="K488" s="45" t="str">
        <f ca="1">IFERROR(__xludf.DUMMYFUNCTION("""COMPUTED_VALUE"""),"LM3FHKS-069299")</f>
        <v>LM3FHKS-069299</v>
      </c>
      <c r="L488" s="45">
        <f ca="1">IFERROR(__xludf.DUMMYFUNCTION("""COMPUTED_VALUE"""),3)</f>
        <v>3</v>
      </c>
      <c r="M488" s="45">
        <f ca="1">IFERROR(__xludf.DUMMYFUNCTION("""COMPUTED_VALUE"""),90)</f>
        <v>90</v>
      </c>
      <c r="N488" s="45">
        <f ca="1">IFERROR(__xludf.DUMMYFUNCTION("""COMPUTED_VALUE"""),20.204)</f>
        <v>20.204000000000001</v>
      </c>
      <c r="O488" s="45">
        <f ca="1">IFERROR(__xludf.DUMMYFUNCTION("""COMPUTED_VALUE"""),0.158)</f>
        <v>0.158</v>
      </c>
      <c r="P488" s="45" t="str">
        <f ca="1">IFERROR(__xludf.DUMMYFUNCTION("""COMPUTED_VALUE"""),"Colombo, LK")</f>
        <v>Colombo, LK</v>
      </c>
      <c r="Q488" s="45" t="str">
        <f ca="1">IFERROR(__xludf.DUMMYFUNCTION("""COMPUTED_VALUE"""),"New York, NY, US")</f>
        <v>New York, NY, US</v>
      </c>
      <c r="R488" s="44">
        <f ca="1">IFERROR(__xludf.DUMMYFUNCTION("""COMPUTED_VALUE"""),45824)</f>
        <v>45824</v>
      </c>
      <c r="S488" s="44">
        <f ca="1">IFERROR(__xludf.DUMMYFUNCTION("""COMPUTED_VALUE"""),45883)</f>
        <v>45883</v>
      </c>
      <c r="T488" s="45" t="str">
        <f ca="1">IFERROR(__xludf.DUMMYFUNCTION("""COMPUTED_VALUE"""),"Mississauga, ON, CA")</f>
        <v>Mississauga, ON, CA</v>
      </c>
      <c r="U488" s="45"/>
      <c r="V488" s="45"/>
      <c r="W488" s="45"/>
      <c r="X488" s="45"/>
      <c r="Y488" s="46">
        <f ca="1">IFERROR(__xludf.DUMMYFUNCTION("""COMPUTED_VALUE"""),45832)</f>
        <v>45832</v>
      </c>
      <c r="Z488" s="46">
        <f ca="1">IFERROR(__xludf.DUMMYFUNCTION("""COMPUTED_VALUE"""),45861)</f>
        <v>45861</v>
      </c>
      <c r="AA488" s="46">
        <f ca="1">IFERROR(__xludf.DUMMYFUNCTION("""COMPUTED_VALUE"""),45874)</f>
        <v>45874</v>
      </c>
      <c r="AB488" s="45" t="str">
        <f ca="1">IFERROR(__xludf.DUMMYFUNCTION("""COMPUTED_VALUE"""),"3500 Argentia Road")</f>
        <v>3500 Argentia Road</v>
      </c>
      <c r="AC488" s="45"/>
      <c r="AD488" s="45" t="str">
        <f ca="1">IFERROR(__xludf.DUMMYFUNCTION("""COMPUTED_VALUE"""),"OCEAN")</f>
        <v>OCEAN</v>
      </c>
      <c r="AE488" s="45" t="str">
        <f ca="1">IFERROR(__xludf.DUMMYFUNCTION("""COMPUTED_VALUE"""),"N")</f>
        <v>N</v>
      </c>
      <c r="AF488" s="45"/>
      <c r="AG488" s="49" t="str">
        <f ca="1">IFERROR(__xludf.DUMMYFUNCTION("IFNA(vlookup(H488,IMPORTRANGE(""1vUGwO1n0QQGx9kKbO0_M5gmuhXZ6-LaxQxgrmJnzgP0"",""'TP# look up'!A:C""),3,0),"""")"),"")</f>
        <v/>
      </c>
      <c r="AH488" s="49" t="str">
        <f t="shared" ca="1" si="7"/>
        <v>LM</v>
      </c>
    </row>
    <row r="489" spans="1:34" ht="12.75">
      <c r="A489" s="45" t="str">
        <f ca="1">IFERROR(__xludf.DUMMYFUNCTION("""COMPUTED_VALUE"""),"Colombo")</f>
        <v>Colombo</v>
      </c>
      <c r="B489" s="45"/>
      <c r="C489" s="45">
        <f ca="1">IFERROR(__xludf.DUMMYFUNCTION("""COMPUTED_VALUE"""),3254508)</f>
        <v>3254508</v>
      </c>
      <c r="D489" s="45"/>
      <c r="E489" s="45" t="str">
        <f ca="1">IFERROR(__xludf.DUMMYFUNCTION("""COMPUTED_VALUE"""),"CFS")</f>
        <v>CFS</v>
      </c>
      <c r="F489" s="45" t="str">
        <f ca="1">IFERROR(__xludf.DUMMYFUNCTION("""COMPUTED_VALUE"""),"MAS AMITY PTE LTD")</f>
        <v>MAS AMITY PTE LTD</v>
      </c>
      <c r="G489" s="45" t="str">
        <f ca="1">IFERROR(__xludf.DUMMYFUNCTION("""COMPUTED_VALUE"""),"MAS Active (Pvt) Ltd - Linea Intimo")</f>
        <v>MAS Active (Pvt) Ltd - Linea Intimo</v>
      </c>
      <c r="H489" s="43">
        <f ca="1">IFERROR(__xludf.DUMMYFUNCTION("""COMPUTED_VALUE"""),454715264989)</f>
        <v>454715264989</v>
      </c>
      <c r="I489" s="45">
        <f ca="1">IFERROR(__xludf.DUMMYFUNCTION("""COMPUTED_VALUE"""),19920351)</f>
        <v>19920351</v>
      </c>
      <c r="J489" s="45" t="str">
        <f ca="1">IFERROR(__xludf.DUMMYFUNCTION("""COMPUTED_VALUE"""),"LM3FHKS")</f>
        <v>LM3FHKS</v>
      </c>
      <c r="K489" s="45" t="str">
        <f ca="1">IFERROR(__xludf.DUMMYFUNCTION("""COMPUTED_VALUE"""),"LM3FHKS-071159")</f>
        <v>LM3FHKS-071159</v>
      </c>
      <c r="L489" s="45">
        <f ca="1">IFERROR(__xludf.DUMMYFUNCTION("""COMPUTED_VALUE"""),1)</f>
        <v>1</v>
      </c>
      <c r="M489" s="45">
        <f ca="1">IFERROR(__xludf.DUMMYFUNCTION("""COMPUTED_VALUE"""),50)</f>
        <v>50</v>
      </c>
      <c r="N489" s="45">
        <f ca="1">IFERROR(__xludf.DUMMYFUNCTION("""COMPUTED_VALUE"""),10.845)</f>
        <v>10.845000000000001</v>
      </c>
      <c r="O489" s="45">
        <f ca="1">IFERROR(__xludf.DUMMYFUNCTION("""COMPUTED_VALUE"""),0.079)</f>
        <v>7.9000000000000001E-2</v>
      </c>
      <c r="P489" s="45" t="str">
        <f ca="1">IFERROR(__xludf.DUMMYFUNCTION("""COMPUTED_VALUE"""),"Colombo, LK")</f>
        <v>Colombo, LK</v>
      </c>
      <c r="Q489" s="45" t="str">
        <f ca="1">IFERROR(__xludf.DUMMYFUNCTION("""COMPUTED_VALUE"""),"New York, NY, US")</f>
        <v>New York, NY, US</v>
      </c>
      <c r="R489" s="44">
        <f ca="1">IFERROR(__xludf.DUMMYFUNCTION("""COMPUTED_VALUE"""),45824)</f>
        <v>45824</v>
      </c>
      <c r="S489" s="44">
        <f ca="1">IFERROR(__xludf.DUMMYFUNCTION("""COMPUTED_VALUE"""),45883)</f>
        <v>45883</v>
      </c>
      <c r="T489" s="45" t="str">
        <f ca="1">IFERROR(__xludf.DUMMYFUNCTION("""COMPUTED_VALUE"""),"Mississauga, ON, CA")</f>
        <v>Mississauga, ON, CA</v>
      </c>
      <c r="U489" s="45"/>
      <c r="V489" s="45"/>
      <c r="W489" s="45"/>
      <c r="X489" s="45"/>
      <c r="Y489" s="46">
        <f ca="1">IFERROR(__xludf.DUMMYFUNCTION("""COMPUTED_VALUE"""),45832)</f>
        <v>45832</v>
      </c>
      <c r="Z489" s="46">
        <f ca="1">IFERROR(__xludf.DUMMYFUNCTION("""COMPUTED_VALUE"""),45861)</f>
        <v>45861</v>
      </c>
      <c r="AA489" s="46">
        <f ca="1">IFERROR(__xludf.DUMMYFUNCTION("""COMPUTED_VALUE"""),45874)</f>
        <v>45874</v>
      </c>
      <c r="AB489" s="45" t="str">
        <f ca="1">IFERROR(__xludf.DUMMYFUNCTION("""COMPUTED_VALUE"""),"3500 Argentia Road")</f>
        <v>3500 Argentia Road</v>
      </c>
      <c r="AC489" s="45"/>
      <c r="AD489" s="45" t="str">
        <f ca="1">IFERROR(__xludf.DUMMYFUNCTION("""COMPUTED_VALUE"""),"OCEAN")</f>
        <v>OCEAN</v>
      </c>
      <c r="AE489" s="45" t="str">
        <f ca="1">IFERROR(__xludf.DUMMYFUNCTION("""COMPUTED_VALUE"""),"N")</f>
        <v>N</v>
      </c>
      <c r="AF489" s="45"/>
      <c r="AG489" s="49" t="str">
        <f ca="1">IFERROR(__xludf.DUMMYFUNCTION("IFNA(vlookup(H489,IMPORTRANGE(""1vUGwO1n0QQGx9kKbO0_M5gmuhXZ6-LaxQxgrmJnzgP0"",""'TP# look up'!A:C""),3,0),"""")"),"")</f>
        <v/>
      </c>
      <c r="AH489" s="49" t="str">
        <f t="shared" ca="1" si="7"/>
        <v>LM</v>
      </c>
    </row>
    <row r="490" spans="1:34" ht="12.75">
      <c r="A490" s="45" t="str">
        <f ca="1">IFERROR(__xludf.DUMMYFUNCTION("""COMPUTED_VALUE"""),"Colombo")</f>
        <v>Colombo</v>
      </c>
      <c r="B490" s="45"/>
      <c r="C490" s="45">
        <f ca="1">IFERROR(__xludf.DUMMYFUNCTION("""COMPUTED_VALUE"""),3254508)</f>
        <v>3254508</v>
      </c>
      <c r="D490" s="45"/>
      <c r="E490" s="45" t="str">
        <f ca="1">IFERROR(__xludf.DUMMYFUNCTION("""COMPUTED_VALUE"""),"CFS")</f>
        <v>CFS</v>
      </c>
      <c r="F490" s="45" t="str">
        <f ca="1">IFERROR(__xludf.DUMMYFUNCTION("""COMPUTED_VALUE"""),"MAS AMITY PTE LTD")</f>
        <v>MAS AMITY PTE LTD</v>
      </c>
      <c r="G490" s="45" t="str">
        <f ca="1">IFERROR(__xludf.DUMMYFUNCTION("""COMPUTED_VALUE"""),"MAS Active (Pvt) Ltd - Linea Intimo")</f>
        <v>MAS Active (Pvt) Ltd - Linea Intimo</v>
      </c>
      <c r="H490" s="43">
        <f ca="1">IFERROR(__xludf.DUMMYFUNCTION("""COMPUTED_VALUE"""),454715350749)</f>
        <v>454715350749</v>
      </c>
      <c r="I490" s="45">
        <f ca="1">IFERROR(__xludf.DUMMYFUNCTION("""COMPUTED_VALUE"""),19920359)</f>
        <v>19920359</v>
      </c>
      <c r="J490" s="45" t="str">
        <f ca="1">IFERROR(__xludf.DUMMYFUNCTION("""COMPUTED_VALUE"""),"LM3FIKS")</f>
        <v>LM3FIKS</v>
      </c>
      <c r="K490" s="45" t="str">
        <f ca="1">IFERROR(__xludf.DUMMYFUNCTION("""COMPUTED_VALUE"""),"LM3FIKS-070561")</f>
        <v>LM3FIKS-070561</v>
      </c>
      <c r="L490" s="45">
        <f ca="1">IFERROR(__xludf.DUMMYFUNCTION("""COMPUTED_VALUE"""),1)</f>
        <v>1</v>
      </c>
      <c r="M490" s="45">
        <f ca="1">IFERROR(__xludf.DUMMYFUNCTION("""COMPUTED_VALUE"""),52)</f>
        <v>52</v>
      </c>
      <c r="N490" s="45">
        <f ca="1">IFERROR(__xludf.DUMMYFUNCTION("""COMPUTED_VALUE"""),9.859)</f>
        <v>9.859</v>
      </c>
      <c r="O490" s="45">
        <f ca="1">IFERROR(__xludf.DUMMYFUNCTION("""COMPUTED_VALUE"""),0.079)</f>
        <v>7.9000000000000001E-2</v>
      </c>
      <c r="P490" s="45" t="str">
        <f ca="1">IFERROR(__xludf.DUMMYFUNCTION("""COMPUTED_VALUE"""),"Colombo, LK")</f>
        <v>Colombo, LK</v>
      </c>
      <c r="Q490" s="45" t="str">
        <f ca="1">IFERROR(__xludf.DUMMYFUNCTION("""COMPUTED_VALUE"""),"New York, NY, US")</f>
        <v>New York, NY, US</v>
      </c>
      <c r="R490" s="44">
        <f ca="1">IFERROR(__xludf.DUMMYFUNCTION("""COMPUTED_VALUE"""),45824)</f>
        <v>45824</v>
      </c>
      <c r="S490" s="44">
        <f ca="1">IFERROR(__xludf.DUMMYFUNCTION("""COMPUTED_VALUE"""),45883)</f>
        <v>45883</v>
      </c>
      <c r="T490" s="45" t="str">
        <f ca="1">IFERROR(__xludf.DUMMYFUNCTION("""COMPUTED_VALUE"""),"Mississauga, ON, CA")</f>
        <v>Mississauga, ON, CA</v>
      </c>
      <c r="U490" s="45"/>
      <c r="V490" s="45"/>
      <c r="W490" s="45"/>
      <c r="X490" s="45"/>
      <c r="Y490" s="46">
        <f ca="1">IFERROR(__xludf.DUMMYFUNCTION("""COMPUTED_VALUE"""),45832)</f>
        <v>45832</v>
      </c>
      <c r="Z490" s="46">
        <f ca="1">IFERROR(__xludf.DUMMYFUNCTION("""COMPUTED_VALUE"""),45861)</f>
        <v>45861</v>
      </c>
      <c r="AA490" s="46">
        <f ca="1">IFERROR(__xludf.DUMMYFUNCTION("""COMPUTED_VALUE"""),45874)</f>
        <v>45874</v>
      </c>
      <c r="AB490" s="45" t="str">
        <f ca="1">IFERROR(__xludf.DUMMYFUNCTION("""COMPUTED_VALUE"""),"3500 Argentia Road")</f>
        <v>3500 Argentia Road</v>
      </c>
      <c r="AC490" s="45"/>
      <c r="AD490" s="45" t="str">
        <f ca="1">IFERROR(__xludf.DUMMYFUNCTION("""COMPUTED_VALUE"""),"OCEAN")</f>
        <v>OCEAN</v>
      </c>
      <c r="AE490" s="45" t="str">
        <f ca="1">IFERROR(__xludf.DUMMYFUNCTION("""COMPUTED_VALUE"""),"N")</f>
        <v>N</v>
      </c>
      <c r="AF490" s="45"/>
      <c r="AG490" s="49" t="str">
        <f ca="1">IFERROR(__xludf.DUMMYFUNCTION("IFNA(vlookup(H490,IMPORTRANGE(""1vUGwO1n0QQGx9kKbO0_M5gmuhXZ6-LaxQxgrmJnzgP0"",""'TP# look up'!A:C""),3,0),"""")"),"")</f>
        <v/>
      </c>
      <c r="AH490" s="49" t="str">
        <f t="shared" ca="1" si="7"/>
        <v>LM</v>
      </c>
    </row>
    <row r="491" spans="1:34" ht="12.75">
      <c r="A491" s="45" t="str">
        <f ca="1">IFERROR(__xludf.DUMMYFUNCTION("""COMPUTED_VALUE"""),"Colombo")</f>
        <v>Colombo</v>
      </c>
      <c r="B491" s="45"/>
      <c r="C491" s="45">
        <f ca="1">IFERROR(__xludf.DUMMYFUNCTION("""COMPUTED_VALUE"""),3254508)</f>
        <v>3254508</v>
      </c>
      <c r="D491" s="45"/>
      <c r="E491" s="45" t="str">
        <f ca="1">IFERROR(__xludf.DUMMYFUNCTION("""COMPUTED_VALUE"""),"CFS")</f>
        <v>CFS</v>
      </c>
      <c r="F491" s="45" t="str">
        <f ca="1">IFERROR(__xludf.DUMMYFUNCTION("""COMPUTED_VALUE"""),"MAS AMITY PTE LTD")</f>
        <v>MAS AMITY PTE LTD</v>
      </c>
      <c r="G491" s="45" t="str">
        <f ca="1">IFERROR(__xludf.DUMMYFUNCTION("""COMPUTED_VALUE"""),"MAS Active (Pvt) Ltd - Linea Intimo")</f>
        <v>MAS Active (Pvt) Ltd - Linea Intimo</v>
      </c>
      <c r="H491" s="43">
        <f ca="1">IFERROR(__xludf.DUMMYFUNCTION("""COMPUTED_VALUE"""),454715529553)</f>
        <v>454715529553</v>
      </c>
      <c r="I491" s="45">
        <f ca="1">IFERROR(__xludf.DUMMYFUNCTION("""COMPUTED_VALUE"""),19920368)</f>
        <v>19920368</v>
      </c>
      <c r="J491" s="45" t="str">
        <f ca="1">IFERROR(__xludf.DUMMYFUNCTION("""COMPUTED_VALUE"""),"LW3DFKS")</f>
        <v>LW3DFKS</v>
      </c>
      <c r="K491" s="45" t="str">
        <f ca="1">IFERROR(__xludf.DUMMYFUNCTION("""COMPUTED_VALUE"""),"LW3DFKS-4780")</f>
        <v>LW3DFKS-4780</v>
      </c>
      <c r="L491" s="45">
        <f ca="1">IFERROR(__xludf.DUMMYFUNCTION("""COMPUTED_VALUE"""),21)</f>
        <v>21</v>
      </c>
      <c r="M491" s="45">
        <f ca="1">IFERROR(__xludf.DUMMYFUNCTION("""COMPUTED_VALUE"""),1226)</f>
        <v>1226</v>
      </c>
      <c r="N491" s="45">
        <f ca="1">IFERROR(__xludf.DUMMYFUNCTION("""COMPUTED_VALUE"""),215.35)</f>
        <v>215.35</v>
      </c>
      <c r="O491" s="45">
        <f ca="1">IFERROR(__xludf.DUMMYFUNCTION("""COMPUTED_VALUE"""),1.58)</f>
        <v>1.58</v>
      </c>
      <c r="P491" s="45" t="str">
        <f ca="1">IFERROR(__xludf.DUMMYFUNCTION("""COMPUTED_VALUE"""),"Colombo, LK")</f>
        <v>Colombo, LK</v>
      </c>
      <c r="Q491" s="45" t="str">
        <f ca="1">IFERROR(__xludf.DUMMYFUNCTION("""COMPUTED_VALUE"""),"New York, NY, US")</f>
        <v>New York, NY, US</v>
      </c>
      <c r="R491" s="44">
        <f ca="1">IFERROR(__xludf.DUMMYFUNCTION("""COMPUTED_VALUE"""),45824)</f>
        <v>45824</v>
      </c>
      <c r="S491" s="44">
        <f ca="1">IFERROR(__xludf.DUMMYFUNCTION("""COMPUTED_VALUE"""),45883)</f>
        <v>45883</v>
      </c>
      <c r="T491" s="45" t="str">
        <f ca="1">IFERROR(__xludf.DUMMYFUNCTION("""COMPUTED_VALUE"""),"Mississauga, ON, CA")</f>
        <v>Mississauga, ON, CA</v>
      </c>
      <c r="U491" s="45"/>
      <c r="V491" s="45"/>
      <c r="W491" s="45"/>
      <c r="X491" s="45"/>
      <c r="Y491" s="46">
        <f ca="1">IFERROR(__xludf.DUMMYFUNCTION("""COMPUTED_VALUE"""),45832)</f>
        <v>45832</v>
      </c>
      <c r="Z491" s="46">
        <f ca="1">IFERROR(__xludf.DUMMYFUNCTION("""COMPUTED_VALUE"""),45861)</f>
        <v>45861</v>
      </c>
      <c r="AA491" s="46">
        <f ca="1">IFERROR(__xludf.DUMMYFUNCTION("""COMPUTED_VALUE"""),45874)</f>
        <v>45874</v>
      </c>
      <c r="AB491" s="45" t="str">
        <f ca="1">IFERROR(__xludf.DUMMYFUNCTION("""COMPUTED_VALUE"""),"3500 Argentia Road")</f>
        <v>3500 Argentia Road</v>
      </c>
      <c r="AC491" s="45"/>
      <c r="AD491" s="45" t="str">
        <f ca="1">IFERROR(__xludf.DUMMYFUNCTION("""COMPUTED_VALUE"""),"OCEAN")</f>
        <v>OCEAN</v>
      </c>
      <c r="AE491" s="45" t="str">
        <f ca="1">IFERROR(__xludf.DUMMYFUNCTION("""COMPUTED_VALUE"""),"N")</f>
        <v>N</v>
      </c>
      <c r="AF491" s="45"/>
      <c r="AG491" s="49" t="str">
        <f ca="1">IFERROR(__xludf.DUMMYFUNCTION("IFNA(vlookup(H491,IMPORTRANGE(""1vUGwO1n0QQGx9kKbO0_M5gmuhXZ6-LaxQxgrmJnzgP0"",""'TP# look up'!A:C""),3,0),"""")"),"")</f>
        <v/>
      </c>
      <c r="AH491" s="49" t="str">
        <f t="shared" ca="1" si="7"/>
        <v>LW</v>
      </c>
    </row>
    <row r="492" spans="1:34" ht="12.75">
      <c r="A492" s="45" t="str">
        <f ca="1">IFERROR(__xludf.DUMMYFUNCTION("""COMPUTED_VALUE"""),"Colombo")</f>
        <v>Colombo</v>
      </c>
      <c r="B492" s="45"/>
      <c r="C492" s="45">
        <f ca="1">IFERROR(__xludf.DUMMYFUNCTION("""COMPUTED_VALUE"""),3254508)</f>
        <v>3254508</v>
      </c>
      <c r="D492" s="45"/>
      <c r="E492" s="45" t="str">
        <f ca="1">IFERROR(__xludf.DUMMYFUNCTION("""COMPUTED_VALUE"""),"CFS")</f>
        <v>CFS</v>
      </c>
      <c r="F492" s="45" t="str">
        <f ca="1">IFERROR(__xludf.DUMMYFUNCTION("""COMPUTED_VALUE"""),"MAS AMITY PTE LTD")</f>
        <v>MAS AMITY PTE LTD</v>
      </c>
      <c r="G492" s="45" t="str">
        <f ca="1">IFERROR(__xludf.DUMMYFUNCTION("""COMPUTED_VALUE"""),"MAS Active (Pvt) Ltd - Linea Intimo")</f>
        <v>MAS Active (Pvt) Ltd - Linea Intimo</v>
      </c>
      <c r="H492" s="43">
        <f ca="1">IFERROR(__xludf.DUMMYFUNCTION("""COMPUTED_VALUE"""),454715880007)</f>
        <v>454715880007</v>
      </c>
      <c r="I492" s="45">
        <f ca="1">IFERROR(__xludf.DUMMYFUNCTION("""COMPUTED_VALUE"""),19920486)</f>
        <v>19920486</v>
      </c>
      <c r="J492" s="45" t="str">
        <f ca="1">IFERROR(__xludf.DUMMYFUNCTION("""COMPUTED_VALUE"""),"LW3JE9S")</f>
        <v>LW3JE9S</v>
      </c>
      <c r="K492" s="45" t="str">
        <f ca="1">IFERROR(__xludf.DUMMYFUNCTION("""COMPUTED_VALUE"""),"LW3JE9S-012826")</f>
        <v>LW3JE9S-012826</v>
      </c>
      <c r="L492" s="45">
        <f ca="1">IFERROR(__xludf.DUMMYFUNCTION("""COMPUTED_VALUE"""),8)</f>
        <v>8</v>
      </c>
      <c r="M492" s="45">
        <f ca="1">IFERROR(__xludf.DUMMYFUNCTION("""COMPUTED_VALUE"""),445)</f>
        <v>445</v>
      </c>
      <c r="N492" s="45">
        <f ca="1">IFERROR(__xludf.DUMMYFUNCTION("""COMPUTED_VALUE"""),86.557)</f>
        <v>86.557000000000002</v>
      </c>
      <c r="O492" s="45">
        <f ca="1">IFERROR(__xludf.DUMMYFUNCTION("""COMPUTED_VALUE"""),0.553)</f>
        <v>0.55300000000000005</v>
      </c>
      <c r="P492" s="45" t="str">
        <f ca="1">IFERROR(__xludf.DUMMYFUNCTION("""COMPUTED_VALUE"""),"Colombo, LK")</f>
        <v>Colombo, LK</v>
      </c>
      <c r="Q492" s="45" t="str">
        <f ca="1">IFERROR(__xludf.DUMMYFUNCTION("""COMPUTED_VALUE"""),"New York, NY, US")</f>
        <v>New York, NY, US</v>
      </c>
      <c r="R492" s="44">
        <f ca="1">IFERROR(__xludf.DUMMYFUNCTION("""COMPUTED_VALUE"""),45824)</f>
        <v>45824</v>
      </c>
      <c r="S492" s="44">
        <f ca="1">IFERROR(__xludf.DUMMYFUNCTION("""COMPUTED_VALUE"""),45883)</f>
        <v>45883</v>
      </c>
      <c r="T492" s="45" t="str">
        <f ca="1">IFERROR(__xludf.DUMMYFUNCTION("""COMPUTED_VALUE"""),"Mississauga, ON, CA")</f>
        <v>Mississauga, ON, CA</v>
      </c>
      <c r="U492" s="45"/>
      <c r="V492" s="45"/>
      <c r="W492" s="45"/>
      <c r="X492" s="45"/>
      <c r="Y492" s="46">
        <f ca="1">IFERROR(__xludf.DUMMYFUNCTION("""COMPUTED_VALUE"""),45832)</f>
        <v>45832</v>
      </c>
      <c r="Z492" s="46">
        <f ca="1">IFERROR(__xludf.DUMMYFUNCTION("""COMPUTED_VALUE"""),45861)</f>
        <v>45861</v>
      </c>
      <c r="AA492" s="46">
        <f ca="1">IFERROR(__xludf.DUMMYFUNCTION("""COMPUTED_VALUE"""),45874)</f>
        <v>45874</v>
      </c>
      <c r="AB492" s="45" t="str">
        <f ca="1">IFERROR(__xludf.DUMMYFUNCTION("""COMPUTED_VALUE"""),"3500 Argentia Road")</f>
        <v>3500 Argentia Road</v>
      </c>
      <c r="AC492" s="45"/>
      <c r="AD492" s="45" t="str">
        <f ca="1">IFERROR(__xludf.DUMMYFUNCTION("""COMPUTED_VALUE"""),"OCEAN")</f>
        <v>OCEAN</v>
      </c>
      <c r="AE492" s="45" t="str">
        <f ca="1">IFERROR(__xludf.DUMMYFUNCTION("""COMPUTED_VALUE"""),"N")</f>
        <v>N</v>
      </c>
      <c r="AF492" s="45"/>
      <c r="AG492" s="49" t="str">
        <f ca="1">IFERROR(__xludf.DUMMYFUNCTION("IFNA(vlookup(H492,IMPORTRANGE(""1vUGwO1n0QQGx9kKbO0_M5gmuhXZ6-LaxQxgrmJnzgP0"",""'TP# look up'!A:C""),3,0),"""")"),"")</f>
        <v/>
      </c>
      <c r="AH492" s="49" t="str">
        <f t="shared" ca="1" si="7"/>
        <v>LW</v>
      </c>
    </row>
    <row r="493" spans="1:34" ht="12.75">
      <c r="A493" s="45" t="str">
        <f ca="1">IFERROR(__xludf.DUMMYFUNCTION("""COMPUTED_VALUE"""),"Colombo")</f>
        <v>Colombo</v>
      </c>
      <c r="B493" s="45"/>
      <c r="C493" s="45">
        <f ca="1">IFERROR(__xludf.DUMMYFUNCTION("""COMPUTED_VALUE"""),3254508)</f>
        <v>3254508</v>
      </c>
      <c r="D493" s="45"/>
      <c r="E493" s="45" t="str">
        <f ca="1">IFERROR(__xludf.DUMMYFUNCTION("""COMPUTED_VALUE"""),"CFS")</f>
        <v>CFS</v>
      </c>
      <c r="F493" s="45" t="str">
        <f ca="1">IFERROR(__xludf.DUMMYFUNCTION("""COMPUTED_VALUE"""),"MAS AMITY PTE LTD")</f>
        <v>MAS AMITY PTE LTD</v>
      </c>
      <c r="G493" s="45" t="str">
        <f ca="1">IFERROR(__xludf.DUMMYFUNCTION("""COMPUTED_VALUE"""),"MAS Active (Pvt) Ltd - Linea Intimo")</f>
        <v>MAS Active (Pvt) Ltd - Linea Intimo</v>
      </c>
      <c r="H493" s="43">
        <f ca="1">IFERROR(__xludf.DUMMYFUNCTION("""COMPUTED_VALUE"""),454715944362)</f>
        <v>454715944362</v>
      </c>
      <c r="I493" s="45">
        <f ca="1">IFERROR(__xludf.DUMMYFUNCTION("""COMPUTED_VALUE"""),19920468)</f>
        <v>19920468</v>
      </c>
      <c r="J493" s="45" t="str">
        <f ca="1">IFERROR(__xludf.DUMMYFUNCTION("""COMPUTED_VALUE"""),"LW3JE9S")</f>
        <v>LW3JE9S</v>
      </c>
      <c r="K493" s="45" t="str">
        <f ca="1">IFERROR(__xludf.DUMMYFUNCTION("""COMPUTED_VALUE"""),"LW3JE9S-0572")</f>
        <v>LW3JE9S-0572</v>
      </c>
      <c r="L493" s="45">
        <f ca="1">IFERROR(__xludf.DUMMYFUNCTION("""COMPUTED_VALUE"""),8)</f>
        <v>8</v>
      </c>
      <c r="M493" s="45">
        <f ca="1">IFERROR(__xludf.DUMMYFUNCTION("""COMPUTED_VALUE"""),447)</f>
        <v>447</v>
      </c>
      <c r="N493" s="45">
        <f ca="1">IFERROR(__xludf.DUMMYFUNCTION("""COMPUTED_VALUE"""),86.902)</f>
        <v>86.902000000000001</v>
      </c>
      <c r="O493" s="45">
        <f ca="1">IFERROR(__xludf.DUMMYFUNCTION("""COMPUTED_VALUE"""),0.553)</f>
        <v>0.55300000000000005</v>
      </c>
      <c r="P493" s="45" t="str">
        <f ca="1">IFERROR(__xludf.DUMMYFUNCTION("""COMPUTED_VALUE"""),"Colombo, LK")</f>
        <v>Colombo, LK</v>
      </c>
      <c r="Q493" s="45" t="str">
        <f ca="1">IFERROR(__xludf.DUMMYFUNCTION("""COMPUTED_VALUE"""),"New York, NY, US")</f>
        <v>New York, NY, US</v>
      </c>
      <c r="R493" s="44">
        <f ca="1">IFERROR(__xludf.DUMMYFUNCTION("""COMPUTED_VALUE"""),45824)</f>
        <v>45824</v>
      </c>
      <c r="S493" s="44">
        <f ca="1">IFERROR(__xludf.DUMMYFUNCTION("""COMPUTED_VALUE"""),45883)</f>
        <v>45883</v>
      </c>
      <c r="T493" s="45" t="str">
        <f ca="1">IFERROR(__xludf.DUMMYFUNCTION("""COMPUTED_VALUE"""),"Mississauga, ON, CA")</f>
        <v>Mississauga, ON, CA</v>
      </c>
      <c r="U493" s="45"/>
      <c r="V493" s="45"/>
      <c r="W493" s="45"/>
      <c r="X493" s="45"/>
      <c r="Y493" s="46">
        <f ca="1">IFERROR(__xludf.DUMMYFUNCTION("""COMPUTED_VALUE"""),45832)</f>
        <v>45832</v>
      </c>
      <c r="Z493" s="46">
        <f ca="1">IFERROR(__xludf.DUMMYFUNCTION("""COMPUTED_VALUE"""),45861)</f>
        <v>45861</v>
      </c>
      <c r="AA493" s="46">
        <f ca="1">IFERROR(__xludf.DUMMYFUNCTION("""COMPUTED_VALUE"""),45874)</f>
        <v>45874</v>
      </c>
      <c r="AB493" s="45" t="str">
        <f ca="1">IFERROR(__xludf.DUMMYFUNCTION("""COMPUTED_VALUE"""),"3500 Argentia Road")</f>
        <v>3500 Argentia Road</v>
      </c>
      <c r="AC493" s="45"/>
      <c r="AD493" s="45" t="str">
        <f ca="1">IFERROR(__xludf.DUMMYFUNCTION("""COMPUTED_VALUE"""),"OCEAN")</f>
        <v>OCEAN</v>
      </c>
      <c r="AE493" s="45" t="str">
        <f ca="1">IFERROR(__xludf.DUMMYFUNCTION("""COMPUTED_VALUE"""),"N")</f>
        <v>N</v>
      </c>
      <c r="AF493" s="45"/>
      <c r="AG493" s="49" t="str">
        <f ca="1">IFERROR(__xludf.DUMMYFUNCTION("IFNA(vlookup(H493,IMPORTRANGE(""1vUGwO1n0QQGx9kKbO0_M5gmuhXZ6-LaxQxgrmJnzgP0"",""'TP# look up'!A:C""),3,0),"""")"),"")</f>
        <v/>
      </c>
      <c r="AH493" s="49" t="str">
        <f t="shared" ca="1" si="7"/>
        <v>LW</v>
      </c>
    </row>
    <row r="494" spans="1:34" ht="12.75">
      <c r="A494" s="45" t="str">
        <f ca="1">IFERROR(__xludf.DUMMYFUNCTION("""COMPUTED_VALUE"""),"Colombo")</f>
        <v>Colombo</v>
      </c>
      <c r="B494" s="45"/>
      <c r="C494" s="45">
        <f ca="1">IFERROR(__xludf.DUMMYFUNCTION("""COMPUTED_VALUE"""),3254508)</f>
        <v>3254508</v>
      </c>
      <c r="D494" s="45"/>
      <c r="E494" s="45" t="str">
        <f ca="1">IFERROR(__xludf.DUMMYFUNCTION("""COMPUTED_VALUE"""),"CFS")</f>
        <v>CFS</v>
      </c>
      <c r="F494" s="45" t="str">
        <f ca="1">IFERROR(__xludf.DUMMYFUNCTION("""COMPUTED_VALUE"""),"MAS AMITY PTE LTD")</f>
        <v>MAS AMITY PTE LTD</v>
      </c>
      <c r="G494" s="45" t="str">
        <f ca="1">IFERROR(__xludf.DUMMYFUNCTION("""COMPUTED_VALUE"""),"MAS Active (Pvt) Ltd - Linea Intimo")</f>
        <v>MAS Active (Pvt) Ltd - Linea Intimo</v>
      </c>
      <c r="H494" s="43">
        <f ca="1">IFERROR(__xludf.DUMMYFUNCTION("""COMPUTED_VALUE"""),454716220598)</f>
        <v>454716220598</v>
      </c>
      <c r="I494" s="45">
        <f ca="1">IFERROR(__xludf.DUMMYFUNCTION("""COMPUTED_VALUE"""),19920517)</f>
        <v>19920517</v>
      </c>
      <c r="J494" s="45" t="str">
        <f ca="1">IFERROR(__xludf.DUMMYFUNCTION("""COMPUTED_VALUE"""),"LM1364S")</f>
        <v>LM1364S</v>
      </c>
      <c r="K494" s="45" t="str">
        <f ca="1">IFERROR(__xludf.DUMMYFUNCTION("""COMPUTED_VALUE"""),"LM1364S-071162")</f>
        <v>LM1364S-071162</v>
      </c>
      <c r="L494" s="45">
        <f ca="1">IFERROR(__xludf.DUMMYFUNCTION("""COMPUTED_VALUE"""),4)</f>
        <v>4</v>
      </c>
      <c r="M494" s="45">
        <f ca="1">IFERROR(__xludf.DUMMYFUNCTION("""COMPUTED_VALUE"""),194)</f>
        <v>194</v>
      </c>
      <c r="N494" s="45">
        <f ca="1">IFERROR(__xludf.DUMMYFUNCTION("""COMPUTED_VALUE"""),30.452)</f>
        <v>30.452000000000002</v>
      </c>
      <c r="O494" s="45">
        <f ca="1">IFERROR(__xludf.DUMMYFUNCTION("""COMPUTED_VALUE"""),0.276)</f>
        <v>0.27600000000000002</v>
      </c>
      <c r="P494" s="45" t="str">
        <f ca="1">IFERROR(__xludf.DUMMYFUNCTION("""COMPUTED_VALUE"""),"Colombo, LK")</f>
        <v>Colombo, LK</v>
      </c>
      <c r="Q494" s="45" t="str">
        <f ca="1">IFERROR(__xludf.DUMMYFUNCTION("""COMPUTED_VALUE"""),"New York, NY, US")</f>
        <v>New York, NY, US</v>
      </c>
      <c r="R494" s="44">
        <f ca="1">IFERROR(__xludf.DUMMYFUNCTION("""COMPUTED_VALUE"""),45824)</f>
        <v>45824</v>
      </c>
      <c r="S494" s="44">
        <f ca="1">IFERROR(__xludf.DUMMYFUNCTION("""COMPUTED_VALUE"""),45883)</f>
        <v>45883</v>
      </c>
      <c r="T494" s="45" t="str">
        <f ca="1">IFERROR(__xludf.DUMMYFUNCTION("""COMPUTED_VALUE"""),"Mississauga, ON, CA")</f>
        <v>Mississauga, ON, CA</v>
      </c>
      <c r="U494" s="45"/>
      <c r="V494" s="45"/>
      <c r="W494" s="45"/>
      <c r="X494" s="45"/>
      <c r="Y494" s="46">
        <f ca="1">IFERROR(__xludf.DUMMYFUNCTION("""COMPUTED_VALUE"""),45832)</f>
        <v>45832</v>
      </c>
      <c r="Z494" s="46">
        <f ca="1">IFERROR(__xludf.DUMMYFUNCTION("""COMPUTED_VALUE"""),45861)</f>
        <v>45861</v>
      </c>
      <c r="AA494" s="46">
        <f ca="1">IFERROR(__xludf.DUMMYFUNCTION("""COMPUTED_VALUE"""),45874)</f>
        <v>45874</v>
      </c>
      <c r="AB494" s="45" t="str">
        <f ca="1">IFERROR(__xludf.DUMMYFUNCTION("""COMPUTED_VALUE"""),"3500 Argentia Road")</f>
        <v>3500 Argentia Road</v>
      </c>
      <c r="AC494" s="45"/>
      <c r="AD494" s="45" t="str">
        <f ca="1">IFERROR(__xludf.DUMMYFUNCTION("""COMPUTED_VALUE"""),"OCEAN")</f>
        <v>OCEAN</v>
      </c>
      <c r="AE494" s="45" t="str">
        <f ca="1">IFERROR(__xludf.DUMMYFUNCTION("""COMPUTED_VALUE"""),"N")</f>
        <v>N</v>
      </c>
      <c r="AF494" s="45"/>
      <c r="AG494" s="49" t="str">
        <f ca="1">IFERROR(__xludf.DUMMYFUNCTION("IFNA(vlookup(H494,IMPORTRANGE(""1vUGwO1n0QQGx9kKbO0_M5gmuhXZ6-LaxQxgrmJnzgP0"",""'TP# look up'!A:C""),3,0),"""")"),"")</f>
        <v/>
      </c>
      <c r="AH494" s="49" t="str">
        <f t="shared" ca="1" si="7"/>
        <v>LM</v>
      </c>
    </row>
    <row r="495" spans="1:34" ht="12.75">
      <c r="A495" s="45" t="str">
        <f ca="1">IFERROR(__xludf.DUMMYFUNCTION("""COMPUTED_VALUE"""),"Colombo")</f>
        <v>Colombo</v>
      </c>
      <c r="B495" s="45"/>
      <c r="C495" s="45">
        <f ca="1">IFERROR(__xludf.DUMMYFUNCTION("""COMPUTED_VALUE"""),3254508)</f>
        <v>3254508</v>
      </c>
      <c r="D495" s="45"/>
      <c r="E495" s="45" t="str">
        <f ca="1">IFERROR(__xludf.DUMMYFUNCTION("""COMPUTED_VALUE"""),"CFS")</f>
        <v>CFS</v>
      </c>
      <c r="F495" s="45" t="str">
        <f ca="1">IFERROR(__xludf.DUMMYFUNCTION("""COMPUTED_VALUE"""),"MAS AMITY PTE LTD")</f>
        <v>MAS AMITY PTE LTD</v>
      </c>
      <c r="G495" s="45" t="str">
        <f ca="1">IFERROR(__xludf.DUMMYFUNCTION("""COMPUTED_VALUE"""),"MAS Active (Pvt) Ltd - Linea Intimo")</f>
        <v>MAS Active (Pvt) Ltd - Linea Intimo</v>
      </c>
      <c r="H495" s="43">
        <f ca="1">IFERROR(__xludf.DUMMYFUNCTION("""COMPUTED_VALUE"""),454716420390)</f>
        <v>454716420390</v>
      </c>
      <c r="I495" s="45">
        <f ca="1">IFERROR(__xludf.DUMMYFUNCTION("""COMPUTED_VALUE"""),19920529)</f>
        <v>19920529</v>
      </c>
      <c r="J495" s="45" t="str">
        <f ca="1">IFERROR(__xludf.DUMMYFUNCTION("""COMPUTED_VALUE"""),"LM3F64S")</f>
        <v>LM3F64S</v>
      </c>
      <c r="K495" s="45" t="str">
        <f ca="1">IFERROR(__xludf.DUMMYFUNCTION("""COMPUTED_VALUE"""),"LM3F64S-071159")</f>
        <v>LM3F64S-071159</v>
      </c>
      <c r="L495" s="45">
        <f ca="1">IFERROR(__xludf.DUMMYFUNCTION("""COMPUTED_VALUE"""),7)</f>
        <v>7</v>
      </c>
      <c r="M495" s="45">
        <f ca="1">IFERROR(__xludf.DUMMYFUNCTION("""COMPUTED_VALUE"""),200)</f>
        <v>200</v>
      </c>
      <c r="N495" s="45">
        <f ca="1">IFERROR(__xludf.DUMMYFUNCTION("""COMPUTED_VALUE"""),49.911)</f>
        <v>49.911000000000001</v>
      </c>
      <c r="O495" s="45">
        <f ca="1">IFERROR(__xludf.DUMMYFUNCTION("""COMPUTED_VALUE"""),0.474)</f>
        <v>0.47399999999999998</v>
      </c>
      <c r="P495" s="45" t="str">
        <f ca="1">IFERROR(__xludf.DUMMYFUNCTION("""COMPUTED_VALUE"""),"Colombo, LK")</f>
        <v>Colombo, LK</v>
      </c>
      <c r="Q495" s="45" t="str">
        <f ca="1">IFERROR(__xludf.DUMMYFUNCTION("""COMPUTED_VALUE"""),"New York, NY, US")</f>
        <v>New York, NY, US</v>
      </c>
      <c r="R495" s="44">
        <f ca="1">IFERROR(__xludf.DUMMYFUNCTION("""COMPUTED_VALUE"""),45824)</f>
        <v>45824</v>
      </c>
      <c r="S495" s="44">
        <f ca="1">IFERROR(__xludf.DUMMYFUNCTION("""COMPUTED_VALUE"""),45883)</f>
        <v>45883</v>
      </c>
      <c r="T495" s="45" t="str">
        <f ca="1">IFERROR(__xludf.DUMMYFUNCTION("""COMPUTED_VALUE"""),"Mississauga, ON, CA")</f>
        <v>Mississauga, ON, CA</v>
      </c>
      <c r="U495" s="45"/>
      <c r="V495" s="45"/>
      <c r="W495" s="45"/>
      <c r="X495" s="45"/>
      <c r="Y495" s="46">
        <f ca="1">IFERROR(__xludf.DUMMYFUNCTION("""COMPUTED_VALUE"""),45832)</f>
        <v>45832</v>
      </c>
      <c r="Z495" s="46">
        <f ca="1">IFERROR(__xludf.DUMMYFUNCTION("""COMPUTED_VALUE"""),45861)</f>
        <v>45861</v>
      </c>
      <c r="AA495" s="46">
        <f ca="1">IFERROR(__xludf.DUMMYFUNCTION("""COMPUTED_VALUE"""),45874)</f>
        <v>45874</v>
      </c>
      <c r="AB495" s="45" t="str">
        <f ca="1">IFERROR(__xludf.DUMMYFUNCTION("""COMPUTED_VALUE"""),"3500 Argentia Road")</f>
        <v>3500 Argentia Road</v>
      </c>
      <c r="AC495" s="45"/>
      <c r="AD495" s="45" t="str">
        <f ca="1">IFERROR(__xludf.DUMMYFUNCTION("""COMPUTED_VALUE"""),"OCEAN")</f>
        <v>OCEAN</v>
      </c>
      <c r="AE495" s="45" t="str">
        <f ca="1">IFERROR(__xludf.DUMMYFUNCTION("""COMPUTED_VALUE"""),"N")</f>
        <v>N</v>
      </c>
      <c r="AF495" s="45"/>
      <c r="AG495" s="49" t="str">
        <f ca="1">IFERROR(__xludf.DUMMYFUNCTION("IFNA(vlookup(H495,IMPORTRANGE(""1vUGwO1n0QQGx9kKbO0_M5gmuhXZ6-LaxQxgrmJnzgP0"",""'TP# look up'!A:C""),3,0),"""")"),"")</f>
        <v/>
      </c>
      <c r="AH495" s="49" t="str">
        <f t="shared" ca="1" si="7"/>
        <v>LM</v>
      </c>
    </row>
    <row r="496" spans="1:34" ht="12.75">
      <c r="A496" s="45" t="str">
        <f ca="1">IFERROR(__xludf.DUMMYFUNCTION("""COMPUTED_VALUE"""),"Colombo")</f>
        <v>Colombo</v>
      </c>
      <c r="B496" s="45"/>
      <c r="C496" s="45">
        <f ca="1">IFERROR(__xludf.DUMMYFUNCTION("""COMPUTED_VALUE"""),3254508)</f>
        <v>3254508</v>
      </c>
      <c r="D496" s="45"/>
      <c r="E496" s="45" t="str">
        <f ca="1">IFERROR(__xludf.DUMMYFUNCTION("""COMPUTED_VALUE"""),"CFS")</f>
        <v>CFS</v>
      </c>
      <c r="F496" s="45" t="str">
        <f ca="1">IFERROR(__xludf.DUMMYFUNCTION("""COMPUTED_VALUE"""),"MAS AMITY PTE LTD")</f>
        <v>MAS AMITY PTE LTD</v>
      </c>
      <c r="G496" s="45" t="str">
        <f ca="1">IFERROR(__xludf.DUMMYFUNCTION("""COMPUTED_VALUE"""),"MAS Active (Pvt) Ltd - Linea Intimo")</f>
        <v>MAS Active (Pvt) Ltd - Linea Intimo</v>
      </c>
      <c r="H496" s="43">
        <f ca="1">IFERROR(__xludf.DUMMYFUNCTION("""COMPUTED_VALUE"""),454716539002)</f>
        <v>454716539002</v>
      </c>
      <c r="I496" s="45">
        <f ca="1">IFERROR(__xludf.DUMMYFUNCTION("""COMPUTED_VALUE"""),19920541)</f>
        <v>19920541</v>
      </c>
      <c r="J496" s="45" t="str">
        <f ca="1">IFERROR(__xludf.DUMMYFUNCTION("""COMPUTED_VALUE"""),"LM3F64S")</f>
        <v>LM3F64S</v>
      </c>
      <c r="K496" s="45" t="str">
        <f ca="1">IFERROR(__xludf.DUMMYFUNCTION("""COMPUTED_VALUE"""),"LM3F64S-070110")</f>
        <v>LM3F64S-070110</v>
      </c>
      <c r="L496" s="45">
        <f ca="1">IFERROR(__xludf.DUMMYFUNCTION("""COMPUTED_VALUE"""),6)</f>
        <v>6</v>
      </c>
      <c r="M496" s="45">
        <f ca="1">IFERROR(__xludf.DUMMYFUNCTION("""COMPUTED_VALUE"""),176)</f>
        <v>176</v>
      </c>
      <c r="N496" s="45">
        <f ca="1">IFERROR(__xludf.DUMMYFUNCTION("""COMPUTED_VALUE"""),43.959)</f>
        <v>43.959000000000003</v>
      </c>
      <c r="O496" s="45">
        <f ca="1">IFERROR(__xludf.DUMMYFUNCTION("""COMPUTED_VALUE"""),0.434)</f>
        <v>0.434</v>
      </c>
      <c r="P496" s="45" t="str">
        <f ca="1">IFERROR(__xludf.DUMMYFUNCTION("""COMPUTED_VALUE"""),"Colombo, LK")</f>
        <v>Colombo, LK</v>
      </c>
      <c r="Q496" s="45" t="str">
        <f ca="1">IFERROR(__xludf.DUMMYFUNCTION("""COMPUTED_VALUE"""),"New York, NY, US")</f>
        <v>New York, NY, US</v>
      </c>
      <c r="R496" s="44">
        <f ca="1">IFERROR(__xludf.DUMMYFUNCTION("""COMPUTED_VALUE"""),45824)</f>
        <v>45824</v>
      </c>
      <c r="S496" s="44">
        <f ca="1">IFERROR(__xludf.DUMMYFUNCTION("""COMPUTED_VALUE"""),45883)</f>
        <v>45883</v>
      </c>
      <c r="T496" s="45" t="str">
        <f ca="1">IFERROR(__xludf.DUMMYFUNCTION("""COMPUTED_VALUE"""),"Mississauga, ON, CA")</f>
        <v>Mississauga, ON, CA</v>
      </c>
      <c r="U496" s="45"/>
      <c r="V496" s="45"/>
      <c r="W496" s="45"/>
      <c r="X496" s="45"/>
      <c r="Y496" s="46">
        <f ca="1">IFERROR(__xludf.DUMMYFUNCTION("""COMPUTED_VALUE"""),45832)</f>
        <v>45832</v>
      </c>
      <c r="Z496" s="46">
        <f ca="1">IFERROR(__xludf.DUMMYFUNCTION("""COMPUTED_VALUE"""),45861)</f>
        <v>45861</v>
      </c>
      <c r="AA496" s="46">
        <f ca="1">IFERROR(__xludf.DUMMYFUNCTION("""COMPUTED_VALUE"""),45874)</f>
        <v>45874</v>
      </c>
      <c r="AB496" s="45" t="str">
        <f ca="1">IFERROR(__xludf.DUMMYFUNCTION("""COMPUTED_VALUE"""),"3500 Argentia Road")</f>
        <v>3500 Argentia Road</v>
      </c>
      <c r="AC496" s="45"/>
      <c r="AD496" s="45" t="str">
        <f ca="1">IFERROR(__xludf.DUMMYFUNCTION("""COMPUTED_VALUE"""),"OCEAN")</f>
        <v>OCEAN</v>
      </c>
      <c r="AE496" s="45" t="str">
        <f ca="1">IFERROR(__xludf.DUMMYFUNCTION("""COMPUTED_VALUE"""),"N")</f>
        <v>N</v>
      </c>
      <c r="AF496" s="45"/>
      <c r="AG496" s="49" t="str">
        <f ca="1">IFERROR(__xludf.DUMMYFUNCTION("IFNA(vlookup(H496,IMPORTRANGE(""1vUGwO1n0QQGx9kKbO0_M5gmuhXZ6-LaxQxgrmJnzgP0"",""'TP# look up'!A:C""),3,0),"""")"),"")</f>
        <v/>
      </c>
      <c r="AH496" s="49" t="str">
        <f t="shared" ca="1" si="7"/>
        <v>LM</v>
      </c>
    </row>
    <row r="497" spans="1:34" ht="12.75">
      <c r="A497" s="45" t="str">
        <f ca="1">IFERROR(__xludf.DUMMYFUNCTION("""COMPUTED_VALUE"""),"Colombo")</f>
        <v>Colombo</v>
      </c>
      <c r="B497" s="45"/>
      <c r="C497" s="45">
        <f ca="1">IFERROR(__xludf.DUMMYFUNCTION("""COMPUTED_VALUE"""),3254508)</f>
        <v>3254508</v>
      </c>
      <c r="D497" s="45"/>
      <c r="E497" s="45" t="str">
        <f ca="1">IFERROR(__xludf.DUMMYFUNCTION("""COMPUTED_VALUE"""),"CFS")</f>
        <v>CFS</v>
      </c>
      <c r="F497" s="45" t="str">
        <f ca="1">IFERROR(__xludf.DUMMYFUNCTION("""COMPUTED_VALUE"""),"MAS AMITY PTE LTD")</f>
        <v>MAS AMITY PTE LTD</v>
      </c>
      <c r="G497" s="45" t="str">
        <f ca="1">IFERROR(__xludf.DUMMYFUNCTION("""COMPUTED_VALUE"""),"MAS Active (Pvt) Ltd - Linea Intimo")</f>
        <v>MAS Active (Pvt) Ltd - Linea Intimo</v>
      </c>
      <c r="H497" s="43">
        <f ca="1">IFERROR(__xludf.DUMMYFUNCTION("""COMPUTED_VALUE"""),454716985952)</f>
        <v>454716985952</v>
      </c>
      <c r="I497" s="45">
        <f ca="1">IFERROR(__xludf.DUMMYFUNCTION("""COMPUTED_VALUE"""),19920587)</f>
        <v>19920587</v>
      </c>
      <c r="J497" s="45" t="str">
        <f ca="1">IFERROR(__xludf.DUMMYFUNCTION("""COMPUTED_VALUE"""),"LM3FIKS")</f>
        <v>LM3FIKS</v>
      </c>
      <c r="K497" s="45" t="str">
        <f ca="1">IFERROR(__xludf.DUMMYFUNCTION("""COMPUTED_VALUE"""),"LM3FIKS-070561")</f>
        <v>LM3FIKS-070561</v>
      </c>
      <c r="L497" s="45">
        <f ca="1">IFERROR(__xludf.DUMMYFUNCTION("""COMPUTED_VALUE"""),3)</f>
        <v>3</v>
      </c>
      <c r="M497" s="45">
        <f ca="1">IFERROR(__xludf.DUMMYFUNCTION("""COMPUTED_VALUE"""),157)</f>
        <v>157</v>
      </c>
      <c r="N497" s="45">
        <f ca="1">IFERROR(__xludf.DUMMYFUNCTION("""COMPUTED_VALUE"""),29.829)</f>
        <v>29.829000000000001</v>
      </c>
      <c r="O497" s="45">
        <f ca="1">IFERROR(__xludf.DUMMYFUNCTION("""COMPUTED_VALUE"""),0.197)</f>
        <v>0.19700000000000001</v>
      </c>
      <c r="P497" s="45" t="str">
        <f ca="1">IFERROR(__xludf.DUMMYFUNCTION("""COMPUTED_VALUE"""),"Colombo, LK")</f>
        <v>Colombo, LK</v>
      </c>
      <c r="Q497" s="45" t="str">
        <f ca="1">IFERROR(__xludf.DUMMYFUNCTION("""COMPUTED_VALUE"""),"New York, NY, US")</f>
        <v>New York, NY, US</v>
      </c>
      <c r="R497" s="44">
        <f ca="1">IFERROR(__xludf.DUMMYFUNCTION("""COMPUTED_VALUE"""),45824)</f>
        <v>45824</v>
      </c>
      <c r="S497" s="44">
        <f ca="1">IFERROR(__xludf.DUMMYFUNCTION("""COMPUTED_VALUE"""),45883)</f>
        <v>45883</v>
      </c>
      <c r="T497" s="45" t="str">
        <f ca="1">IFERROR(__xludf.DUMMYFUNCTION("""COMPUTED_VALUE"""),"Mississauga, ON, CA")</f>
        <v>Mississauga, ON, CA</v>
      </c>
      <c r="U497" s="45"/>
      <c r="V497" s="45"/>
      <c r="W497" s="45"/>
      <c r="X497" s="45"/>
      <c r="Y497" s="46">
        <f ca="1">IFERROR(__xludf.DUMMYFUNCTION("""COMPUTED_VALUE"""),45832)</f>
        <v>45832</v>
      </c>
      <c r="Z497" s="46">
        <f ca="1">IFERROR(__xludf.DUMMYFUNCTION("""COMPUTED_VALUE"""),45861)</f>
        <v>45861</v>
      </c>
      <c r="AA497" s="46">
        <f ca="1">IFERROR(__xludf.DUMMYFUNCTION("""COMPUTED_VALUE"""),45874)</f>
        <v>45874</v>
      </c>
      <c r="AB497" s="45" t="str">
        <f ca="1">IFERROR(__xludf.DUMMYFUNCTION("""COMPUTED_VALUE"""),"3500 Argentia Road")</f>
        <v>3500 Argentia Road</v>
      </c>
      <c r="AC497" s="45"/>
      <c r="AD497" s="45" t="str">
        <f ca="1">IFERROR(__xludf.DUMMYFUNCTION("""COMPUTED_VALUE"""),"OCEAN")</f>
        <v>OCEAN</v>
      </c>
      <c r="AE497" s="45" t="str">
        <f ca="1">IFERROR(__xludf.DUMMYFUNCTION("""COMPUTED_VALUE"""),"N")</f>
        <v>N</v>
      </c>
      <c r="AF497" s="45"/>
      <c r="AG497" s="49" t="str">
        <f ca="1">IFERROR(__xludf.DUMMYFUNCTION("IFNA(vlookup(H497,IMPORTRANGE(""1vUGwO1n0QQGx9kKbO0_M5gmuhXZ6-LaxQxgrmJnzgP0"",""'TP# look up'!A:C""),3,0),"""")"),"")</f>
        <v/>
      </c>
      <c r="AH497" s="49" t="str">
        <f t="shared" ca="1" si="7"/>
        <v>LM</v>
      </c>
    </row>
    <row r="498" spans="1:34" ht="12.75">
      <c r="A498" s="45" t="str">
        <f ca="1">IFERROR(__xludf.DUMMYFUNCTION("""COMPUTED_VALUE"""),"Colombo")</f>
        <v>Colombo</v>
      </c>
      <c r="B498" s="45"/>
      <c r="C498" s="45">
        <f ca="1">IFERROR(__xludf.DUMMYFUNCTION("""COMPUTED_VALUE"""),3254508)</f>
        <v>3254508</v>
      </c>
      <c r="D498" s="45"/>
      <c r="E498" s="45" t="str">
        <f ca="1">IFERROR(__xludf.DUMMYFUNCTION("""COMPUTED_VALUE"""),"CFS")</f>
        <v>CFS</v>
      </c>
      <c r="F498" s="45" t="str">
        <f ca="1">IFERROR(__xludf.DUMMYFUNCTION("""COMPUTED_VALUE"""),"MAS AMITY PTE LTD")</f>
        <v>MAS AMITY PTE LTD</v>
      </c>
      <c r="G498" s="45" t="str">
        <f ca="1">IFERROR(__xludf.DUMMYFUNCTION("""COMPUTED_VALUE"""),"MAS Active (Pvt) Ltd - Linea Intimo")</f>
        <v>MAS Active (Pvt) Ltd - Linea Intimo</v>
      </c>
      <c r="H498" s="43">
        <f ca="1">IFERROR(__xludf.DUMMYFUNCTION("""COMPUTED_VALUE"""),454719838375)</f>
        <v>454719838375</v>
      </c>
      <c r="I498" s="45">
        <f ca="1">IFERROR(__xludf.DUMMYFUNCTION("""COMPUTED_VALUE"""),19924393)</f>
        <v>19924393</v>
      </c>
      <c r="J498" s="45" t="str">
        <f ca="1">IFERROR(__xludf.DUMMYFUNCTION("""COMPUTED_VALUE"""),"LM3FHKS")</f>
        <v>LM3FHKS</v>
      </c>
      <c r="K498" s="45" t="str">
        <f ca="1">IFERROR(__xludf.DUMMYFUNCTION("""COMPUTED_VALUE"""),"LM3FHKS-4780")</f>
        <v>LM3FHKS-4780</v>
      </c>
      <c r="L498" s="45">
        <f ca="1">IFERROR(__xludf.DUMMYFUNCTION("""COMPUTED_VALUE"""),10)</f>
        <v>10</v>
      </c>
      <c r="M498" s="45">
        <f ca="1">IFERROR(__xludf.DUMMYFUNCTION("""COMPUTED_VALUE"""),584)</f>
        <v>584</v>
      </c>
      <c r="N498" s="45">
        <f ca="1">IFERROR(__xludf.DUMMYFUNCTION("""COMPUTED_VALUE"""),127.663)</f>
        <v>127.663</v>
      </c>
      <c r="O498" s="45">
        <f ca="1">IFERROR(__xludf.DUMMYFUNCTION("""COMPUTED_VALUE"""),0.79)</f>
        <v>0.79</v>
      </c>
      <c r="P498" s="45" t="str">
        <f ca="1">IFERROR(__xludf.DUMMYFUNCTION("""COMPUTED_VALUE"""),"Colombo, LK")</f>
        <v>Colombo, LK</v>
      </c>
      <c r="Q498" s="45" t="str">
        <f ca="1">IFERROR(__xludf.DUMMYFUNCTION("""COMPUTED_VALUE"""),"New York, NY, US")</f>
        <v>New York, NY, US</v>
      </c>
      <c r="R498" s="44">
        <f ca="1">IFERROR(__xludf.DUMMYFUNCTION("""COMPUTED_VALUE"""),45824)</f>
        <v>45824</v>
      </c>
      <c r="S498" s="44">
        <f ca="1">IFERROR(__xludf.DUMMYFUNCTION("""COMPUTED_VALUE"""),45883)</f>
        <v>45883</v>
      </c>
      <c r="T498" s="45" t="str">
        <f ca="1">IFERROR(__xludf.DUMMYFUNCTION("""COMPUTED_VALUE"""),"Mississauga, ON, CA")</f>
        <v>Mississauga, ON, CA</v>
      </c>
      <c r="U498" s="45"/>
      <c r="V498" s="45"/>
      <c r="W498" s="45"/>
      <c r="X498" s="45"/>
      <c r="Y498" s="46">
        <f ca="1">IFERROR(__xludf.DUMMYFUNCTION("""COMPUTED_VALUE"""),45832)</f>
        <v>45832</v>
      </c>
      <c r="Z498" s="46">
        <f ca="1">IFERROR(__xludf.DUMMYFUNCTION("""COMPUTED_VALUE"""),45861)</f>
        <v>45861</v>
      </c>
      <c r="AA498" s="46">
        <f ca="1">IFERROR(__xludf.DUMMYFUNCTION("""COMPUTED_VALUE"""),45874)</f>
        <v>45874</v>
      </c>
      <c r="AB498" s="45" t="str">
        <f ca="1">IFERROR(__xludf.DUMMYFUNCTION("""COMPUTED_VALUE"""),"3500 Argentia Road")</f>
        <v>3500 Argentia Road</v>
      </c>
      <c r="AC498" s="45"/>
      <c r="AD498" s="45" t="str">
        <f ca="1">IFERROR(__xludf.DUMMYFUNCTION("""COMPUTED_VALUE"""),"OCEAN")</f>
        <v>OCEAN</v>
      </c>
      <c r="AE498" s="45" t="str">
        <f ca="1">IFERROR(__xludf.DUMMYFUNCTION("""COMPUTED_VALUE"""),"N")</f>
        <v>N</v>
      </c>
      <c r="AF498" s="45"/>
      <c r="AG498" s="49" t="str">
        <f ca="1">IFERROR(__xludf.DUMMYFUNCTION("IFNA(vlookup(H498,IMPORTRANGE(""1vUGwO1n0QQGx9kKbO0_M5gmuhXZ6-LaxQxgrmJnzgP0"",""'TP# look up'!A:C""),3,0),"""")"),"")</f>
        <v/>
      </c>
      <c r="AH498" s="49" t="str">
        <f t="shared" ca="1" si="7"/>
        <v>LM</v>
      </c>
    </row>
    <row r="499" spans="1:34" ht="12.75">
      <c r="A499" s="45" t="str">
        <f ca="1">IFERROR(__xludf.DUMMYFUNCTION("""COMPUTED_VALUE"""),"Colombo")</f>
        <v>Colombo</v>
      </c>
      <c r="B499" s="45"/>
      <c r="C499" s="45">
        <f ca="1">IFERROR(__xludf.DUMMYFUNCTION("""COMPUTED_VALUE"""),3254508)</f>
        <v>3254508</v>
      </c>
      <c r="D499" s="45"/>
      <c r="E499" s="45" t="str">
        <f ca="1">IFERROR(__xludf.DUMMYFUNCTION("""COMPUTED_VALUE"""),"CFS")</f>
        <v>CFS</v>
      </c>
      <c r="F499" s="45" t="str">
        <f ca="1">IFERROR(__xludf.DUMMYFUNCTION("""COMPUTED_VALUE"""),"MAS AMITY PTE LTD")</f>
        <v>MAS AMITY PTE LTD</v>
      </c>
      <c r="G499" s="45" t="str">
        <f ca="1">IFERROR(__xludf.DUMMYFUNCTION("""COMPUTED_VALUE"""),"MAS Active (Pvt) Ltd - Linea Intimo")</f>
        <v>MAS Active (Pvt) Ltd - Linea Intimo</v>
      </c>
      <c r="H499" s="43">
        <f ca="1">IFERROR(__xludf.DUMMYFUNCTION("""COMPUTED_VALUE"""),454719838790)</f>
        <v>454719838790</v>
      </c>
      <c r="I499" s="45">
        <f ca="1">IFERROR(__xludf.DUMMYFUNCTION("""COMPUTED_VALUE"""),19924426)</f>
        <v>19924426</v>
      </c>
      <c r="J499" s="45" t="str">
        <f ca="1">IFERROR(__xludf.DUMMYFUNCTION("""COMPUTED_VALUE"""),"LM3FHKS")</f>
        <v>LM3FHKS</v>
      </c>
      <c r="K499" s="45" t="str">
        <f ca="1">IFERROR(__xludf.DUMMYFUNCTION("""COMPUTED_VALUE"""),"LM3FHKS-071159")</f>
        <v>LM3FHKS-071159</v>
      </c>
      <c r="L499" s="45">
        <f ca="1">IFERROR(__xludf.DUMMYFUNCTION("""COMPUTED_VALUE"""),4)</f>
        <v>4</v>
      </c>
      <c r="M499" s="45">
        <f ca="1">IFERROR(__xludf.DUMMYFUNCTION("""COMPUTED_VALUE"""),207)</f>
        <v>207</v>
      </c>
      <c r="N499" s="45">
        <f ca="1">IFERROR(__xludf.DUMMYFUNCTION("""COMPUTED_VALUE"""),45.778)</f>
        <v>45.777999999999999</v>
      </c>
      <c r="O499" s="45">
        <f ca="1">IFERROR(__xludf.DUMMYFUNCTION("""COMPUTED_VALUE"""),0.316)</f>
        <v>0.316</v>
      </c>
      <c r="P499" s="45" t="str">
        <f ca="1">IFERROR(__xludf.DUMMYFUNCTION("""COMPUTED_VALUE"""),"Colombo, LK")</f>
        <v>Colombo, LK</v>
      </c>
      <c r="Q499" s="45" t="str">
        <f ca="1">IFERROR(__xludf.DUMMYFUNCTION("""COMPUTED_VALUE"""),"New York, NY, US")</f>
        <v>New York, NY, US</v>
      </c>
      <c r="R499" s="44">
        <f ca="1">IFERROR(__xludf.DUMMYFUNCTION("""COMPUTED_VALUE"""),45824)</f>
        <v>45824</v>
      </c>
      <c r="S499" s="44">
        <f ca="1">IFERROR(__xludf.DUMMYFUNCTION("""COMPUTED_VALUE"""),45883)</f>
        <v>45883</v>
      </c>
      <c r="T499" s="45" t="str">
        <f ca="1">IFERROR(__xludf.DUMMYFUNCTION("""COMPUTED_VALUE"""),"Mississauga, ON, CA")</f>
        <v>Mississauga, ON, CA</v>
      </c>
      <c r="U499" s="45"/>
      <c r="V499" s="45"/>
      <c r="W499" s="45"/>
      <c r="X499" s="45"/>
      <c r="Y499" s="46">
        <f ca="1">IFERROR(__xludf.DUMMYFUNCTION("""COMPUTED_VALUE"""),45832)</f>
        <v>45832</v>
      </c>
      <c r="Z499" s="46">
        <f ca="1">IFERROR(__xludf.DUMMYFUNCTION("""COMPUTED_VALUE"""),45861)</f>
        <v>45861</v>
      </c>
      <c r="AA499" s="46">
        <f ca="1">IFERROR(__xludf.DUMMYFUNCTION("""COMPUTED_VALUE"""),45874)</f>
        <v>45874</v>
      </c>
      <c r="AB499" s="45" t="str">
        <f ca="1">IFERROR(__xludf.DUMMYFUNCTION("""COMPUTED_VALUE"""),"3500 Argentia Road")</f>
        <v>3500 Argentia Road</v>
      </c>
      <c r="AC499" s="45"/>
      <c r="AD499" s="45" t="str">
        <f ca="1">IFERROR(__xludf.DUMMYFUNCTION("""COMPUTED_VALUE"""),"OCEAN")</f>
        <v>OCEAN</v>
      </c>
      <c r="AE499" s="45" t="str">
        <f ca="1">IFERROR(__xludf.DUMMYFUNCTION("""COMPUTED_VALUE"""),"N")</f>
        <v>N</v>
      </c>
      <c r="AF499" s="45"/>
      <c r="AG499" s="49" t="str">
        <f ca="1">IFERROR(__xludf.DUMMYFUNCTION("IFNA(vlookup(H499,IMPORTRANGE(""1vUGwO1n0QQGx9kKbO0_M5gmuhXZ6-LaxQxgrmJnzgP0"",""'TP# look up'!A:C""),3,0),"""")"),"")</f>
        <v/>
      </c>
      <c r="AH499" s="49" t="str">
        <f t="shared" ca="1" si="7"/>
        <v>LM</v>
      </c>
    </row>
    <row r="500" spans="1:34" ht="12.75">
      <c r="A500" s="45" t="str">
        <f ca="1">IFERROR(__xludf.DUMMYFUNCTION("""COMPUTED_VALUE"""),"Colombo")</f>
        <v>Colombo</v>
      </c>
      <c r="B500" s="45"/>
      <c r="C500" s="45">
        <f ca="1">IFERROR(__xludf.DUMMYFUNCTION("""COMPUTED_VALUE"""),3254508)</f>
        <v>3254508</v>
      </c>
      <c r="D500" s="45"/>
      <c r="E500" s="45" t="str">
        <f ca="1">IFERROR(__xludf.DUMMYFUNCTION("""COMPUTED_VALUE"""),"CFS")</f>
        <v>CFS</v>
      </c>
      <c r="F500" s="45" t="str">
        <f ca="1">IFERROR(__xludf.DUMMYFUNCTION("""COMPUTED_VALUE"""),"MAS AMITY PTE LTD")</f>
        <v>MAS AMITY PTE LTD</v>
      </c>
      <c r="G500" s="45" t="str">
        <f ca="1">IFERROR(__xludf.DUMMYFUNCTION("""COMPUTED_VALUE"""),"MAS Active (Pvt) Ltd - Linea Intimo")</f>
        <v>MAS Active (Pvt) Ltd - Linea Intimo</v>
      </c>
      <c r="H500" s="43">
        <f ca="1">IFERROR(__xludf.DUMMYFUNCTION("""COMPUTED_VALUE"""),454720839532)</f>
        <v>454720839532</v>
      </c>
      <c r="I500" s="45">
        <f ca="1">IFERROR(__xludf.DUMMYFUNCTION("""COMPUTED_VALUE"""),19924453)</f>
        <v>19924453</v>
      </c>
      <c r="J500" s="45" t="str">
        <f ca="1">IFERROR(__xludf.DUMMYFUNCTION("""COMPUTED_VALUE"""),"LM3FHKS")</f>
        <v>LM3FHKS</v>
      </c>
      <c r="K500" s="45" t="str">
        <f ca="1">IFERROR(__xludf.DUMMYFUNCTION("""COMPUTED_VALUE"""),"LM3FHKS-070561")</f>
        <v>LM3FHKS-070561</v>
      </c>
      <c r="L500" s="45">
        <f ca="1">IFERROR(__xludf.DUMMYFUNCTION("""COMPUTED_VALUE"""),6)</f>
        <v>6</v>
      </c>
      <c r="M500" s="45">
        <f ca="1">IFERROR(__xludf.DUMMYFUNCTION("""COMPUTED_VALUE"""),334)</f>
        <v>334</v>
      </c>
      <c r="N500" s="45">
        <f ca="1">IFERROR(__xludf.DUMMYFUNCTION("""COMPUTED_VALUE"""),73.108)</f>
        <v>73.108000000000004</v>
      </c>
      <c r="O500" s="45">
        <f ca="1">IFERROR(__xludf.DUMMYFUNCTION("""COMPUTED_VALUE"""),0.434)</f>
        <v>0.434</v>
      </c>
      <c r="P500" s="45" t="str">
        <f ca="1">IFERROR(__xludf.DUMMYFUNCTION("""COMPUTED_VALUE"""),"Colombo, LK")</f>
        <v>Colombo, LK</v>
      </c>
      <c r="Q500" s="45" t="str">
        <f ca="1">IFERROR(__xludf.DUMMYFUNCTION("""COMPUTED_VALUE"""),"New York, NY, US")</f>
        <v>New York, NY, US</v>
      </c>
      <c r="R500" s="44">
        <f ca="1">IFERROR(__xludf.DUMMYFUNCTION("""COMPUTED_VALUE"""),45824)</f>
        <v>45824</v>
      </c>
      <c r="S500" s="44">
        <f ca="1">IFERROR(__xludf.DUMMYFUNCTION("""COMPUTED_VALUE"""),45883)</f>
        <v>45883</v>
      </c>
      <c r="T500" s="45" t="str">
        <f ca="1">IFERROR(__xludf.DUMMYFUNCTION("""COMPUTED_VALUE"""),"Mississauga, ON, CA")</f>
        <v>Mississauga, ON, CA</v>
      </c>
      <c r="U500" s="45"/>
      <c r="V500" s="45"/>
      <c r="W500" s="45"/>
      <c r="X500" s="45"/>
      <c r="Y500" s="46">
        <f ca="1">IFERROR(__xludf.DUMMYFUNCTION("""COMPUTED_VALUE"""),45832)</f>
        <v>45832</v>
      </c>
      <c r="Z500" s="46">
        <f ca="1">IFERROR(__xludf.DUMMYFUNCTION("""COMPUTED_VALUE"""),45861)</f>
        <v>45861</v>
      </c>
      <c r="AA500" s="46">
        <f ca="1">IFERROR(__xludf.DUMMYFUNCTION("""COMPUTED_VALUE"""),45874)</f>
        <v>45874</v>
      </c>
      <c r="AB500" s="45" t="str">
        <f ca="1">IFERROR(__xludf.DUMMYFUNCTION("""COMPUTED_VALUE"""),"3500 Argentia Road")</f>
        <v>3500 Argentia Road</v>
      </c>
      <c r="AC500" s="45"/>
      <c r="AD500" s="45" t="str">
        <f ca="1">IFERROR(__xludf.DUMMYFUNCTION("""COMPUTED_VALUE"""),"OCEAN")</f>
        <v>OCEAN</v>
      </c>
      <c r="AE500" s="45" t="str">
        <f ca="1">IFERROR(__xludf.DUMMYFUNCTION("""COMPUTED_VALUE"""),"N")</f>
        <v>N</v>
      </c>
      <c r="AF500" s="45"/>
      <c r="AG500" s="49" t="str">
        <f ca="1">IFERROR(__xludf.DUMMYFUNCTION("IFNA(vlookup(H500,IMPORTRANGE(""1vUGwO1n0QQGx9kKbO0_M5gmuhXZ6-LaxQxgrmJnzgP0"",""'TP# look up'!A:C""),3,0),"""")"),"")</f>
        <v/>
      </c>
      <c r="AH500" s="49" t="str">
        <f t="shared" ca="1" si="7"/>
        <v>LM</v>
      </c>
    </row>
    <row r="501" spans="1:34" ht="12.75">
      <c r="A501" s="45" t="str">
        <f ca="1">IFERROR(__xludf.DUMMYFUNCTION("""COMPUTED_VALUE"""),"Colombo")</f>
        <v>Colombo</v>
      </c>
      <c r="B501" s="45"/>
      <c r="C501" s="45">
        <f ca="1">IFERROR(__xludf.DUMMYFUNCTION("""COMPUTED_VALUE"""),3254508)</f>
        <v>3254508</v>
      </c>
      <c r="D501" s="45"/>
      <c r="E501" s="45" t="str">
        <f ca="1">IFERROR(__xludf.DUMMYFUNCTION("""COMPUTED_VALUE"""),"CFS")</f>
        <v>CFS</v>
      </c>
      <c r="F501" s="45" t="str">
        <f ca="1">IFERROR(__xludf.DUMMYFUNCTION("""COMPUTED_VALUE"""),"MAS AMITY PTE LTD")</f>
        <v>MAS AMITY PTE LTD</v>
      </c>
      <c r="G501" s="45" t="str">
        <f ca="1">IFERROR(__xludf.DUMMYFUNCTION("""COMPUTED_VALUE"""),"MAS Active (Pvt) Ltd - Linea Intimo")</f>
        <v>MAS Active (Pvt) Ltd - Linea Intimo</v>
      </c>
      <c r="H501" s="43">
        <f ca="1">IFERROR(__xludf.DUMMYFUNCTION("""COMPUTED_VALUE"""),454720922371)</f>
        <v>454720922371</v>
      </c>
      <c r="I501" s="45">
        <f ca="1">IFERROR(__xludf.DUMMYFUNCTION("""COMPUTED_VALUE"""),19924501)</f>
        <v>19924501</v>
      </c>
      <c r="J501" s="45" t="str">
        <f ca="1">IFERROR(__xludf.DUMMYFUNCTION("""COMPUTED_VALUE"""),"LM3FPES")</f>
        <v>LM3FPES</v>
      </c>
      <c r="K501" s="45" t="str">
        <f ca="1">IFERROR(__xludf.DUMMYFUNCTION("""COMPUTED_VALUE"""),"LM3FPES-042836")</f>
        <v>LM3FPES-042836</v>
      </c>
      <c r="L501" s="45">
        <f ca="1">IFERROR(__xludf.DUMMYFUNCTION("""COMPUTED_VALUE"""),7)</f>
        <v>7</v>
      </c>
      <c r="M501" s="45">
        <f ca="1">IFERROR(__xludf.DUMMYFUNCTION("""COMPUTED_VALUE"""),547)</f>
        <v>547</v>
      </c>
      <c r="N501" s="45">
        <f ca="1">IFERROR(__xludf.DUMMYFUNCTION("""COMPUTED_VALUE"""),92.179)</f>
        <v>92.179000000000002</v>
      </c>
      <c r="O501" s="45">
        <f ca="1">IFERROR(__xludf.DUMMYFUNCTION("""COMPUTED_VALUE"""),0.553)</f>
        <v>0.55300000000000005</v>
      </c>
      <c r="P501" s="45" t="str">
        <f ca="1">IFERROR(__xludf.DUMMYFUNCTION("""COMPUTED_VALUE"""),"Colombo, LK")</f>
        <v>Colombo, LK</v>
      </c>
      <c r="Q501" s="45" t="str">
        <f ca="1">IFERROR(__xludf.DUMMYFUNCTION("""COMPUTED_VALUE"""),"New York, NY, US")</f>
        <v>New York, NY, US</v>
      </c>
      <c r="R501" s="44">
        <f ca="1">IFERROR(__xludf.DUMMYFUNCTION("""COMPUTED_VALUE"""),45824)</f>
        <v>45824</v>
      </c>
      <c r="S501" s="44">
        <f ca="1">IFERROR(__xludf.DUMMYFUNCTION("""COMPUTED_VALUE"""),45883)</f>
        <v>45883</v>
      </c>
      <c r="T501" s="45" t="str">
        <f ca="1">IFERROR(__xludf.DUMMYFUNCTION("""COMPUTED_VALUE"""),"Mississauga, ON, CA")</f>
        <v>Mississauga, ON, CA</v>
      </c>
      <c r="U501" s="45"/>
      <c r="V501" s="45"/>
      <c r="W501" s="45"/>
      <c r="X501" s="45"/>
      <c r="Y501" s="46">
        <f ca="1">IFERROR(__xludf.DUMMYFUNCTION("""COMPUTED_VALUE"""),45832)</f>
        <v>45832</v>
      </c>
      <c r="Z501" s="46">
        <f ca="1">IFERROR(__xludf.DUMMYFUNCTION("""COMPUTED_VALUE"""),45861)</f>
        <v>45861</v>
      </c>
      <c r="AA501" s="46">
        <f ca="1">IFERROR(__xludf.DUMMYFUNCTION("""COMPUTED_VALUE"""),45874)</f>
        <v>45874</v>
      </c>
      <c r="AB501" s="45" t="str">
        <f ca="1">IFERROR(__xludf.DUMMYFUNCTION("""COMPUTED_VALUE"""),"3500 Argentia Road")</f>
        <v>3500 Argentia Road</v>
      </c>
      <c r="AC501" s="45"/>
      <c r="AD501" s="45" t="str">
        <f ca="1">IFERROR(__xludf.DUMMYFUNCTION("""COMPUTED_VALUE"""),"OCEAN")</f>
        <v>OCEAN</v>
      </c>
      <c r="AE501" s="45" t="str">
        <f ca="1">IFERROR(__xludf.DUMMYFUNCTION("""COMPUTED_VALUE"""),"N")</f>
        <v>N</v>
      </c>
      <c r="AF501" s="45"/>
      <c r="AG501" s="49" t="str">
        <f ca="1">IFERROR(__xludf.DUMMYFUNCTION("IFNA(vlookup(H501,IMPORTRANGE(""1vUGwO1n0QQGx9kKbO0_M5gmuhXZ6-LaxQxgrmJnzgP0"",""'TP# look up'!A:C""),3,0),"""")"),"")</f>
        <v/>
      </c>
      <c r="AH501" s="49" t="str">
        <f t="shared" ca="1" si="7"/>
        <v>LM</v>
      </c>
    </row>
    <row r="502" spans="1:34" ht="12.75">
      <c r="A502" s="45" t="str">
        <f ca="1">IFERROR(__xludf.DUMMYFUNCTION("""COMPUTED_VALUE"""),"Colombo")</f>
        <v>Colombo</v>
      </c>
      <c r="B502" s="45"/>
      <c r="C502" s="45">
        <f ca="1">IFERROR(__xludf.DUMMYFUNCTION("""COMPUTED_VALUE"""),3254508)</f>
        <v>3254508</v>
      </c>
      <c r="D502" s="45"/>
      <c r="E502" s="45" t="str">
        <f ca="1">IFERROR(__xludf.DUMMYFUNCTION("""COMPUTED_VALUE"""),"CFS")</f>
        <v>CFS</v>
      </c>
      <c r="F502" s="45" t="str">
        <f ca="1">IFERROR(__xludf.DUMMYFUNCTION("""COMPUTED_VALUE"""),"MAS AMITY PTE LTD")</f>
        <v>MAS AMITY PTE LTD</v>
      </c>
      <c r="G502" s="45" t="str">
        <f ca="1">IFERROR(__xludf.DUMMYFUNCTION("""COMPUTED_VALUE"""),"MAS Active (Pvt) Ltd - Linea Intimo")</f>
        <v>MAS Active (Pvt) Ltd - Linea Intimo</v>
      </c>
      <c r="H502" s="43">
        <f ca="1">IFERROR(__xludf.DUMMYFUNCTION("""COMPUTED_VALUE"""),454721233456)</f>
        <v>454721233456</v>
      </c>
      <c r="I502" s="45">
        <f ca="1">IFERROR(__xludf.DUMMYFUNCTION("""COMPUTED_VALUE"""),19924482)</f>
        <v>19924482</v>
      </c>
      <c r="J502" s="45" t="str">
        <f ca="1">IFERROR(__xludf.DUMMYFUNCTION("""COMPUTED_VALUE"""),"LM3FIKS")</f>
        <v>LM3FIKS</v>
      </c>
      <c r="K502" s="45" t="str">
        <f ca="1">IFERROR(__xludf.DUMMYFUNCTION("""COMPUTED_VALUE"""),"LM3FIKS-4780")</f>
        <v>LM3FIKS-4780</v>
      </c>
      <c r="L502" s="45">
        <f ca="1">IFERROR(__xludf.DUMMYFUNCTION("""COMPUTED_VALUE"""),5)</f>
        <v>5</v>
      </c>
      <c r="M502" s="45">
        <f ca="1">IFERROR(__xludf.DUMMYFUNCTION("""COMPUTED_VALUE"""),286)</f>
        <v>286</v>
      </c>
      <c r="N502" s="45">
        <f ca="1">IFERROR(__xludf.DUMMYFUNCTION("""COMPUTED_VALUE"""),54.092)</f>
        <v>54.091999999999999</v>
      </c>
      <c r="O502" s="45">
        <f ca="1">IFERROR(__xludf.DUMMYFUNCTION("""COMPUTED_VALUE"""),0.355)</f>
        <v>0.35499999999999998</v>
      </c>
      <c r="P502" s="45" t="str">
        <f ca="1">IFERROR(__xludf.DUMMYFUNCTION("""COMPUTED_VALUE"""),"Colombo, LK")</f>
        <v>Colombo, LK</v>
      </c>
      <c r="Q502" s="45" t="str">
        <f ca="1">IFERROR(__xludf.DUMMYFUNCTION("""COMPUTED_VALUE"""),"New York, NY, US")</f>
        <v>New York, NY, US</v>
      </c>
      <c r="R502" s="44">
        <f ca="1">IFERROR(__xludf.DUMMYFUNCTION("""COMPUTED_VALUE"""),45824)</f>
        <v>45824</v>
      </c>
      <c r="S502" s="44">
        <f ca="1">IFERROR(__xludf.DUMMYFUNCTION("""COMPUTED_VALUE"""),45883)</f>
        <v>45883</v>
      </c>
      <c r="T502" s="45" t="str">
        <f ca="1">IFERROR(__xludf.DUMMYFUNCTION("""COMPUTED_VALUE"""),"Mississauga, ON, CA")</f>
        <v>Mississauga, ON, CA</v>
      </c>
      <c r="U502" s="45"/>
      <c r="V502" s="45"/>
      <c r="W502" s="45"/>
      <c r="X502" s="45"/>
      <c r="Y502" s="46">
        <f ca="1">IFERROR(__xludf.DUMMYFUNCTION("""COMPUTED_VALUE"""),45832)</f>
        <v>45832</v>
      </c>
      <c r="Z502" s="46">
        <f ca="1">IFERROR(__xludf.DUMMYFUNCTION("""COMPUTED_VALUE"""),45861)</f>
        <v>45861</v>
      </c>
      <c r="AA502" s="46">
        <f ca="1">IFERROR(__xludf.DUMMYFUNCTION("""COMPUTED_VALUE"""),45874)</f>
        <v>45874</v>
      </c>
      <c r="AB502" s="45" t="str">
        <f ca="1">IFERROR(__xludf.DUMMYFUNCTION("""COMPUTED_VALUE"""),"3500 Argentia Road")</f>
        <v>3500 Argentia Road</v>
      </c>
      <c r="AC502" s="45"/>
      <c r="AD502" s="45" t="str">
        <f ca="1">IFERROR(__xludf.DUMMYFUNCTION("""COMPUTED_VALUE"""),"OCEAN")</f>
        <v>OCEAN</v>
      </c>
      <c r="AE502" s="45" t="str">
        <f ca="1">IFERROR(__xludf.DUMMYFUNCTION("""COMPUTED_VALUE"""),"N")</f>
        <v>N</v>
      </c>
      <c r="AF502" s="45"/>
      <c r="AG502" s="49" t="str">
        <f ca="1">IFERROR(__xludf.DUMMYFUNCTION("IFNA(vlookup(H502,IMPORTRANGE(""1vUGwO1n0QQGx9kKbO0_M5gmuhXZ6-LaxQxgrmJnzgP0"",""'TP# look up'!A:C""),3,0),"""")"),"")</f>
        <v/>
      </c>
      <c r="AH502" s="49" t="str">
        <f t="shared" ca="1" si="7"/>
        <v>LM</v>
      </c>
    </row>
    <row r="503" spans="1:34" ht="12.75">
      <c r="A503" s="45" t="str">
        <f ca="1">IFERROR(__xludf.DUMMYFUNCTION("""COMPUTED_VALUE"""),"Colombo")</f>
        <v>Colombo</v>
      </c>
      <c r="B503" s="45"/>
      <c r="C503" s="45">
        <f ca="1">IFERROR(__xludf.DUMMYFUNCTION("""COMPUTED_VALUE"""),3254508)</f>
        <v>3254508</v>
      </c>
      <c r="D503" s="45"/>
      <c r="E503" s="45" t="str">
        <f ca="1">IFERROR(__xludf.DUMMYFUNCTION("""COMPUTED_VALUE"""),"CFS")</f>
        <v>CFS</v>
      </c>
      <c r="F503" s="45" t="str">
        <f ca="1">IFERROR(__xludf.DUMMYFUNCTION("""COMPUTED_VALUE"""),"MAS AMITY PTE LTD")</f>
        <v>MAS AMITY PTE LTD</v>
      </c>
      <c r="G503" s="45" t="str">
        <f ca="1">IFERROR(__xludf.DUMMYFUNCTION("""COMPUTED_VALUE"""),"MAS Active (Pvt) Ltd - Linea Intimo")</f>
        <v>MAS Active (Pvt) Ltd - Linea Intimo</v>
      </c>
      <c r="H503" s="43">
        <f ca="1">IFERROR(__xludf.DUMMYFUNCTION("""COMPUTED_VALUE"""),454722313774)</f>
        <v>454722313774</v>
      </c>
      <c r="I503" s="45">
        <f ca="1">IFERROR(__xludf.DUMMYFUNCTION("""COMPUTED_VALUE"""),91018402)</f>
        <v>91018402</v>
      </c>
      <c r="J503" s="45" t="str">
        <f ca="1">IFERROR(__xludf.DUMMYFUNCTION("""COMPUTED_VALUE"""),"LW1CHRS")</f>
        <v>LW1CHRS</v>
      </c>
      <c r="K503" s="45" t="str">
        <f ca="1">IFERROR(__xludf.DUMMYFUNCTION("""COMPUTED_VALUE"""),"LW1CHRS-4780")</f>
        <v>LW1CHRS-4780</v>
      </c>
      <c r="L503" s="45">
        <f ca="1">IFERROR(__xludf.DUMMYFUNCTION("""COMPUTED_VALUE"""),4)</f>
        <v>4</v>
      </c>
      <c r="M503" s="45">
        <f ca="1">IFERROR(__xludf.DUMMYFUNCTION("""COMPUTED_VALUE"""),168)</f>
        <v>168</v>
      </c>
      <c r="N503" s="45">
        <f ca="1">IFERROR(__xludf.DUMMYFUNCTION("""COMPUTED_VALUE"""),20.25)</f>
        <v>20.25</v>
      </c>
      <c r="O503" s="45">
        <f ca="1">IFERROR(__xludf.DUMMYFUNCTION("""COMPUTED_VALUE"""),0.198)</f>
        <v>0.19800000000000001</v>
      </c>
      <c r="P503" s="45" t="str">
        <f ca="1">IFERROR(__xludf.DUMMYFUNCTION("""COMPUTED_VALUE"""),"Colombo, LK")</f>
        <v>Colombo, LK</v>
      </c>
      <c r="Q503" s="45" t="str">
        <f ca="1">IFERROR(__xludf.DUMMYFUNCTION("""COMPUTED_VALUE"""),"New York, NY, US")</f>
        <v>New York, NY, US</v>
      </c>
      <c r="R503" s="44">
        <f ca="1">IFERROR(__xludf.DUMMYFUNCTION("""COMPUTED_VALUE"""),45824)</f>
        <v>45824</v>
      </c>
      <c r="S503" s="44">
        <f ca="1">IFERROR(__xludf.DUMMYFUNCTION("""COMPUTED_VALUE"""),45888)</f>
        <v>45888</v>
      </c>
      <c r="T503" s="45" t="str">
        <f ca="1">IFERROR(__xludf.DUMMYFUNCTION("""COMPUTED_VALUE"""),"Mississauga, ON, CA")</f>
        <v>Mississauga, ON, CA</v>
      </c>
      <c r="U503" s="45"/>
      <c r="V503" s="45"/>
      <c r="W503" s="45"/>
      <c r="X503" s="45"/>
      <c r="Y503" s="46">
        <f ca="1">IFERROR(__xludf.DUMMYFUNCTION("""COMPUTED_VALUE"""),45832)</f>
        <v>45832</v>
      </c>
      <c r="Z503" s="46">
        <f ca="1">IFERROR(__xludf.DUMMYFUNCTION("""COMPUTED_VALUE"""),45861)</f>
        <v>45861</v>
      </c>
      <c r="AA503" s="46">
        <f ca="1">IFERROR(__xludf.DUMMYFUNCTION("""COMPUTED_VALUE"""),45874)</f>
        <v>45874</v>
      </c>
      <c r="AB503" s="45" t="str">
        <f ca="1">IFERROR(__xludf.DUMMYFUNCTION("""COMPUTED_VALUE"""),"3500 Argentia Road")</f>
        <v>3500 Argentia Road</v>
      </c>
      <c r="AC503" s="45"/>
      <c r="AD503" s="45" t="str">
        <f ca="1">IFERROR(__xludf.DUMMYFUNCTION("""COMPUTED_VALUE"""),"OCEAN")</f>
        <v>OCEAN</v>
      </c>
      <c r="AE503" s="45" t="str">
        <f ca="1">IFERROR(__xludf.DUMMYFUNCTION("""COMPUTED_VALUE"""),"N")</f>
        <v>N</v>
      </c>
      <c r="AF503" s="45"/>
      <c r="AG503" s="49" t="str">
        <f ca="1">IFERROR(__xludf.DUMMYFUNCTION("IFNA(vlookup(H503,IMPORTRANGE(""1vUGwO1n0QQGx9kKbO0_M5gmuhXZ6-LaxQxgrmJnzgP0"",""'TP# look up'!A:C""),3,0),"""")"),"")</f>
        <v/>
      </c>
      <c r="AH503" s="49" t="str">
        <f t="shared" ca="1" si="7"/>
        <v>LW</v>
      </c>
    </row>
    <row r="504" spans="1:34" ht="12.75">
      <c r="A504" s="45" t="str">
        <f ca="1">IFERROR(__xludf.DUMMYFUNCTION("""COMPUTED_VALUE"""),"Colombo")</f>
        <v>Colombo</v>
      </c>
      <c r="B504" s="45"/>
      <c r="C504" s="45">
        <f ca="1">IFERROR(__xludf.DUMMYFUNCTION("""COMPUTED_VALUE"""),3254508)</f>
        <v>3254508</v>
      </c>
      <c r="D504" s="45"/>
      <c r="E504" s="45" t="str">
        <f ca="1">IFERROR(__xludf.DUMMYFUNCTION("""COMPUTED_VALUE"""),"CFS")</f>
        <v>CFS</v>
      </c>
      <c r="F504" s="45" t="str">
        <f ca="1">IFERROR(__xludf.DUMMYFUNCTION("""COMPUTED_VALUE"""),"MAS AMITY PTE LTD")</f>
        <v>MAS AMITY PTE LTD</v>
      </c>
      <c r="G504" s="45" t="str">
        <f ca="1">IFERROR(__xludf.DUMMYFUNCTION("""COMPUTED_VALUE"""),"MAS Active (Pvt) Ltd - Linea Intimo")</f>
        <v>MAS Active (Pvt) Ltd - Linea Intimo</v>
      </c>
      <c r="H504" s="43">
        <f ca="1">IFERROR(__xludf.DUMMYFUNCTION("""COMPUTED_VALUE"""),454722738479)</f>
        <v>454722738479</v>
      </c>
      <c r="I504" s="45">
        <f ca="1">IFERROR(__xludf.DUMMYFUNCTION("""COMPUTED_VALUE"""),91018329)</f>
        <v>91018329</v>
      </c>
      <c r="J504" s="45" t="str">
        <f ca="1">IFERROR(__xludf.DUMMYFUNCTION("""COMPUTED_VALUE"""),"LW1CHRS")</f>
        <v>LW1CHRS</v>
      </c>
      <c r="K504" s="45" t="str">
        <f ca="1">IFERROR(__xludf.DUMMYFUNCTION("""COMPUTED_VALUE"""),"LW1CHRS-4780")</f>
        <v>LW1CHRS-4780</v>
      </c>
      <c r="L504" s="45">
        <f ca="1">IFERROR(__xludf.DUMMYFUNCTION("""COMPUTED_VALUE"""),9)</f>
        <v>9</v>
      </c>
      <c r="M504" s="45">
        <f ca="1">IFERROR(__xludf.DUMMYFUNCTION("""COMPUTED_VALUE"""),749)</f>
        <v>749</v>
      </c>
      <c r="N504" s="45">
        <f ca="1">IFERROR(__xludf.DUMMYFUNCTION("""COMPUTED_VALUE"""),73.74)</f>
        <v>73.739999999999995</v>
      </c>
      <c r="O504" s="45">
        <f ca="1">IFERROR(__xludf.DUMMYFUNCTION("""COMPUTED_VALUE"""),0.634)</f>
        <v>0.63400000000000001</v>
      </c>
      <c r="P504" s="45" t="str">
        <f ca="1">IFERROR(__xludf.DUMMYFUNCTION("""COMPUTED_VALUE"""),"Colombo, LK")</f>
        <v>Colombo, LK</v>
      </c>
      <c r="Q504" s="45" t="str">
        <f ca="1">IFERROR(__xludf.DUMMYFUNCTION("""COMPUTED_VALUE"""),"New York, NY, US")</f>
        <v>New York, NY, US</v>
      </c>
      <c r="R504" s="44">
        <f ca="1">IFERROR(__xludf.DUMMYFUNCTION("""COMPUTED_VALUE"""),45824)</f>
        <v>45824</v>
      </c>
      <c r="S504" s="44">
        <f ca="1">IFERROR(__xludf.DUMMYFUNCTION("""COMPUTED_VALUE"""),45888)</f>
        <v>45888</v>
      </c>
      <c r="T504" s="45" t="str">
        <f ca="1">IFERROR(__xludf.DUMMYFUNCTION("""COMPUTED_VALUE"""),"Mississauga, ON, CA")</f>
        <v>Mississauga, ON, CA</v>
      </c>
      <c r="U504" s="45"/>
      <c r="V504" s="45"/>
      <c r="W504" s="45"/>
      <c r="X504" s="45"/>
      <c r="Y504" s="46">
        <f ca="1">IFERROR(__xludf.DUMMYFUNCTION("""COMPUTED_VALUE"""),45832)</f>
        <v>45832</v>
      </c>
      <c r="Z504" s="46">
        <f ca="1">IFERROR(__xludf.DUMMYFUNCTION("""COMPUTED_VALUE"""),45861)</f>
        <v>45861</v>
      </c>
      <c r="AA504" s="46">
        <f ca="1">IFERROR(__xludf.DUMMYFUNCTION("""COMPUTED_VALUE"""),45874)</f>
        <v>45874</v>
      </c>
      <c r="AB504" s="45" t="str">
        <f ca="1">IFERROR(__xludf.DUMMYFUNCTION("""COMPUTED_VALUE"""),"3500 Argentia Road")</f>
        <v>3500 Argentia Road</v>
      </c>
      <c r="AC504" s="45"/>
      <c r="AD504" s="45" t="str">
        <f ca="1">IFERROR(__xludf.DUMMYFUNCTION("""COMPUTED_VALUE"""),"OCEAN")</f>
        <v>OCEAN</v>
      </c>
      <c r="AE504" s="45" t="str">
        <f ca="1">IFERROR(__xludf.DUMMYFUNCTION("""COMPUTED_VALUE"""),"N")</f>
        <v>N</v>
      </c>
      <c r="AF504" s="45"/>
      <c r="AG504" s="49" t="str">
        <f ca="1">IFERROR(__xludf.DUMMYFUNCTION("IFNA(vlookup(H504,IMPORTRANGE(""1vUGwO1n0QQGx9kKbO0_M5gmuhXZ6-LaxQxgrmJnzgP0"",""'TP# look up'!A:C""),3,0),"""")"),"")</f>
        <v/>
      </c>
      <c r="AH504" s="49" t="str">
        <f t="shared" ca="1" si="7"/>
        <v>LW</v>
      </c>
    </row>
    <row r="505" spans="1:34" ht="12.75">
      <c r="A505" s="45" t="str">
        <f ca="1">IFERROR(__xludf.DUMMYFUNCTION("""COMPUTED_VALUE"""),"Colombo")</f>
        <v>Colombo</v>
      </c>
      <c r="B505" s="45"/>
      <c r="C505" s="45">
        <f ca="1">IFERROR(__xludf.DUMMYFUNCTION("""COMPUTED_VALUE"""),3254508)</f>
        <v>3254508</v>
      </c>
      <c r="D505" s="45"/>
      <c r="E505" s="45" t="str">
        <f ca="1">IFERROR(__xludf.DUMMYFUNCTION("""COMPUTED_VALUE"""),"CFS")</f>
        <v>CFS</v>
      </c>
      <c r="F505" s="45" t="str">
        <f ca="1">IFERROR(__xludf.DUMMYFUNCTION("""COMPUTED_VALUE"""),"MAS AMITY PTE LTD")</f>
        <v>MAS AMITY PTE LTD</v>
      </c>
      <c r="G505" s="45" t="str">
        <f ca="1">IFERROR(__xludf.DUMMYFUNCTION("""COMPUTED_VALUE"""),"MAS Active (Pvt) Ltd - Linea Intimo")</f>
        <v>MAS Active (Pvt) Ltd - Linea Intimo</v>
      </c>
      <c r="H505" s="43">
        <f ca="1">IFERROR(__xludf.DUMMYFUNCTION("""COMPUTED_VALUE"""),454722776959)</f>
        <v>454722776959</v>
      </c>
      <c r="I505" s="45">
        <f ca="1">IFERROR(__xludf.DUMMYFUNCTION("""COMPUTED_VALUE"""),91018462)</f>
        <v>91018462</v>
      </c>
      <c r="J505" s="45" t="str">
        <f ca="1">IFERROR(__xludf.DUMMYFUNCTION("""COMPUTED_VALUE"""),"LW1CHSS")</f>
        <v>LW1CHSS</v>
      </c>
      <c r="K505" s="45" t="str">
        <f ca="1">IFERROR(__xludf.DUMMYFUNCTION("""COMPUTED_VALUE"""),"LW1CHSS-012826")</f>
        <v>LW1CHSS-012826</v>
      </c>
      <c r="L505" s="45">
        <f ca="1">IFERROR(__xludf.DUMMYFUNCTION("""COMPUTED_VALUE"""),6)</f>
        <v>6</v>
      </c>
      <c r="M505" s="45">
        <f ca="1">IFERROR(__xludf.DUMMYFUNCTION("""COMPUTED_VALUE"""),436)</f>
        <v>436</v>
      </c>
      <c r="N505" s="45">
        <f ca="1">IFERROR(__xludf.DUMMYFUNCTION("""COMPUTED_VALUE"""),43.49)</f>
        <v>43.49</v>
      </c>
      <c r="O505" s="45">
        <f ca="1">IFERROR(__xludf.DUMMYFUNCTION("""COMPUTED_VALUE"""),0.436)</f>
        <v>0.436</v>
      </c>
      <c r="P505" s="45" t="str">
        <f ca="1">IFERROR(__xludf.DUMMYFUNCTION("""COMPUTED_VALUE"""),"Colombo, LK")</f>
        <v>Colombo, LK</v>
      </c>
      <c r="Q505" s="45" t="str">
        <f ca="1">IFERROR(__xludf.DUMMYFUNCTION("""COMPUTED_VALUE"""),"New York, NY, US")</f>
        <v>New York, NY, US</v>
      </c>
      <c r="R505" s="44">
        <f ca="1">IFERROR(__xludf.DUMMYFUNCTION("""COMPUTED_VALUE"""),45824)</f>
        <v>45824</v>
      </c>
      <c r="S505" s="44">
        <f ca="1">IFERROR(__xludf.DUMMYFUNCTION("""COMPUTED_VALUE"""),45888)</f>
        <v>45888</v>
      </c>
      <c r="T505" s="45" t="str">
        <f ca="1">IFERROR(__xludf.DUMMYFUNCTION("""COMPUTED_VALUE"""),"Mississauga, ON, CA")</f>
        <v>Mississauga, ON, CA</v>
      </c>
      <c r="U505" s="45"/>
      <c r="V505" s="45"/>
      <c r="W505" s="45"/>
      <c r="X505" s="45"/>
      <c r="Y505" s="46">
        <f ca="1">IFERROR(__xludf.DUMMYFUNCTION("""COMPUTED_VALUE"""),45832)</f>
        <v>45832</v>
      </c>
      <c r="Z505" s="46">
        <f ca="1">IFERROR(__xludf.DUMMYFUNCTION("""COMPUTED_VALUE"""),45861)</f>
        <v>45861</v>
      </c>
      <c r="AA505" s="46">
        <f ca="1">IFERROR(__xludf.DUMMYFUNCTION("""COMPUTED_VALUE"""),45874)</f>
        <v>45874</v>
      </c>
      <c r="AB505" s="45" t="str">
        <f ca="1">IFERROR(__xludf.DUMMYFUNCTION("""COMPUTED_VALUE"""),"3500 Argentia Road")</f>
        <v>3500 Argentia Road</v>
      </c>
      <c r="AC505" s="45"/>
      <c r="AD505" s="45" t="str">
        <f ca="1">IFERROR(__xludf.DUMMYFUNCTION("""COMPUTED_VALUE"""),"OCEAN")</f>
        <v>OCEAN</v>
      </c>
      <c r="AE505" s="45" t="str">
        <f ca="1">IFERROR(__xludf.DUMMYFUNCTION("""COMPUTED_VALUE"""),"N")</f>
        <v>N</v>
      </c>
      <c r="AF505" s="45"/>
      <c r="AG505" s="49" t="str">
        <f ca="1">IFERROR(__xludf.DUMMYFUNCTION("IFNA(vlookup(H505,IMPORTRANGE(""1vUGwO1n0QQGx9kKbO0_M5gmuhXZ6-LaxQxgrmJnzgP0"",""'TP# look up'!A:C""),3,0),"""")"),"")</f>
        <v/>
      </c>
      <c r="AH505" s="49" t="str">
        <f t="shared" ca="1" si="7"/>
        <v>LW</v>
      </c>
    </row>
    <row r="506" spans="1:34" ht="12.75">
      <c r="A506" s="45" t="str">
        <f ca="1">IFERROR(__xludf.DUMMYFUNCTION("""COMPUTED_VALUE"""),"Colombo")</f>
        <v>Colombo</v>
      </c>
      <c r="B506" s="45"/>
      <c r="C506" s="45">
        <f ca="1">IFERROR(__xludf.DUMMYFUNCTION("""COMPUTED_VALUE"""),3254508)</f>
        <v>3254508</v>
      </c>
      <c r="D506" s="45"/>
      <c r="E506" s="45" t="str">
        <f ca="1">IFERROR(__xludf.DUMMYFUNCTION("""COMPUTED_VALUE"""),"CFS")</f>
        <v>CFS</v>
      </c>
      <c r="F506" s="45" t="str">
        <f ca="1">IFERROR(__xludf.DUMMYFUNCTION("""COMPUTED_VALUE"""),"MAS AMITY PTE LTD")</f>
        <v>MAS AMITY PTE LTD</v>
      </c>
      <c r="G506" s="45" t="str">
        <f ca="1">IFERROR(__xludf.DUMMYFUNCTION("""COMPUTED_VALUE"""),"MAS Active (Pvt) Ltd - Linea Intimo")</f>
        <v>MAS Active (Pvt) Ltd - Linea Intimo</v>
      </c>
      <c r="H506" s="43">
        <f ca="1">IFERROR(__xludf.DUMMYFUNCTION("""COMPUTED_VALUE"""),454723020703)</f>
        <v>454723020703</v>
      </c>
      <c r="I506" s="45">
        <f ca="1">IFERROR(__xludf.DUMMYFUNCTION("""COMPUTED_VALUE"""),91018408)</f>
        <v>91018408</v>
      </c>
      <c r="J506" s="45" t="str">
        <f ca="1">IFERROR(__xludf.DUMMYFUNCTION("""COMPUTED_VALUE"""),"LW1CHSS")</f>
        <v>LW1CHSS</v>
      </c>
      <c r="K506" s="45" t="str">
        <f ca="1">IFERROR(__xludf.DUMMYFUNCTION("""COMPUTED_VALUE"""),"LW1CHSS-012826")</f>
        <v>LW1CHSS-012826</v>
      </c>
      <c r="L506" s="45">
        <f ca="1">IFERROR(__xludf.DUMMYFUNCTION("""COMPUTED_VALUE"""),3)</f>
        <v>3</v>
      </c>
      <c r="M506" s="45">
        <f ca="1">IFERROR(__xludf.DUMMYFUNCTION("""COMPUTED_VALUE"""),130)</f>
        <v>130</v>
      </c>
      <c r="N506" s="45">
        <f ca="1">IFERROR(__xludf.DUMMYFUNCTION("""COMPUTED_VALUE"""),13.97)</f>
        <v>13.97</v>
      </c>
      <c r="O506" s="45">
        <f ca="1">IFERROR(__xludf.DUMMYFUNCTION("""COMPUTED_VALUE"""),0.159)</f>
        <v>0.159</v>
      </c>
      <c r="P506" s="45" t="str">
        <f ca="1">IFERROR(__xludf.DUMMYFUNCTION("""COMPUTED_VALUE"""),"Colombo, LK")</f>
        <v>Colombo, LK</v>
      </c>
      <c r="Q506" s="45" t="str">
        <f ca="1">IFERROR(__xludf.DUMMYFUNCTION("""COMPUTED_VALUE"""),"New York, NY, US")</f>
        <v>New York, NY, US</v>
      </c>
      <c r="R506" s="44">
        <f ca="1">IFERROR(__xludf.DUMMYFUNCTION("""COMPUTED_VALUE"""),45824)</f>
        <v>45824</v>
      </c>
      <c r="S506" s="44">
        <f ca="1">IFERROR(__xludf.DUMMYFUNCTION("""COMPUTED_VALUE"""),45888)</f>
        <v>45888</v>
      </c>
      <c r="T506" s="45" t="str">
        <f ca="1">IFERROR(__xludf.DUMMYFUNCTION("""COMPUTED_VALUE"""),"Mississauga, ON, CA")</f>
        <v>Mississauga, ON, CA</v>
      </c>
      <c r="U506" s="45"/>
      <c r="V506" s="45"/>
      <c r="W506" s="45"/>
      <c r="X506" s="45"/>
      <c r="Y506" s="46">
        <f ca="1">IFERROR(__xludf.DUMMYFUNCTION("""COMPUTED_VALUE"""),45832)</f>
        <v>45832</v>
      </c>
      <c r="Z506" s="46">
        <f ca="1">IFERROR(__xludf.DUMMYFUNCTION("""COMPUTED_VALUE"""),45861)</f>
        <v>45861</v>
      </c>
      <c r="AA506" s="46">
        <f ca="1">IFERROR(__xludf.DUMMYFUNCTION("""COMPUTED_VALUE"""),45874)</f>
        <v>45874</v>
      </c>
      <c r="AB506" s="45" t="str">
        <f ca="1">IFERROR(__xludf.DUMMYFUNCTION("""COMPUTED_VALUE"""),"3500 Argentia Road")</f>
        <v>3500 Argentia Road</v>
      </c>
      <c r="AC506" s="45"/>
      <c r="AD506" s="45" t="str">
        <f ca="1">IFERROR(__xludf.DUMMYFUNCTION("""COMPUTED_VALUE"""),"OCEAN")</f>
        <v>OCEAN</v>
      </c>
      <c r="AE506" s="45" t="str">
        <f ca="1">IFERROR(__xludf.DUMMYFUNCTION("""COMPUTED_VALUE"""),"N")</f>
        <v>N</v>
      </c>
      <c r="AF506" s="45"/>
      <c r="AG506" s="49" t="str">
        <f ca="1">IFERROR(__xludf.DUMMYFUNCTION("IFNA(vlookup(H506,IMPORTRANGE(""1vUGwO1n0QQGx9kKbO0_M5gmuhXZ6-LaxQxgrmJnzgP0"",""'TP# look up'!A:C""),3,0),"""")"),"")</f>
        <v/>
      </c>
      <c r="AH506" s="49" t="str">
        <f t="shared" ca="1" si="7"/>
        <v>LW</v>
      </c>
    </row>
    <row r="507" spans="1:34" ht="12.75">
      <c r="A507" s="45" t="str">
        <f ca="1">IFERROR(__xludf.DUMMYFUNCTION("""COMPUTED_VALUE"""),"Colombo")</f>
        <v>Colombo</v>
      </c>
      <c r="B507" s="45"/>
      <c r="C507" s="45">
        <f ca="1">IFERROR(__xludf.DUMMYFUNCTION("""COMPUTED_VALUE"""),3254508)</f>
        <v>3254508</v>
      </c>
      <c r="D507" s="45"/>
      <c r="E507" s="45" t="str">
        <f ca="1">IFERROR(__xludf.DUMMYFUNCTION("""COMPUTED_VALUE"""),"CFS")</f>
        <v>CFS</v>
      </c>
      <c r="F507" s="45" t="str">
        <f ca="1">IFERROR(__xludf.DUMMYFUNCTION("""COMPUTED_VALUE"""),"MAS AMITY PTE LTD")</f>
        <v>MAS AMITY PTE LTD</v>
      </c>
      <c r="G507" s="45" t="str">
        <f ca="1">IFERROR(__xludf.DUMMYFUNCTION("""COMPUTED_VALUE"""),"MAS Active (Pvt) Ltd - Linea Intimo")</f>
        <v>MAS Active (Pvt) Ltd - Linea Intimo</v>
      </c>
      <c r="H507" s="43">
        <f ca="1">IFERROR(__xludf.DUMMYFUNCTION("""COMPUTED_VALUE"""),454723057272)</f>
        <v>454723057272</v>
      </c>
      <c r="I507" s="45">
        <f ca="1">IFERROR(__xludf.DUMMYFUNCTION("""COMPUTED_VALUE"""),91018606)</f>
        <v>91018606</v>
      </c>
      <c r="J507" s="45" t="str">
        <f ca="1">IFERROR(__xludf.DUMMYFUNCTION("""COMPUTED_VALUE"""),"LW1CHSS")</f>
        <v>LW1CHSS</v>
      </c>
      <c r="K507" s="45" t="str">
        <f ca="1">IFERROR(__xludf.DUMMYFUNCTION("""COMPUTED_VALUE"""),"LW1CHSS-0572")</f>
        <v>LW1CHSS-0572</v>
      </c>
      <c r="L507" s="45">
        <f ca="1">IFERROR(__xludf.DUMMYFUNCTION("""COMPUTED_VALUE"""),6)</f>
        <v>6</v>
      </c>
      <c r="M507" s="45">
        <f ca="1">IFERROR(__xludf.DUMMYFUNCTION("""COMPUTED_VALUE"""),482)</f>
        <v>482</v>
      </c>
      <c r="N507" s="45">
        <f ca="1">IFERROR(__xludf.DUMMYFUNCTION("""COMPUTED_VALUE"""),47.97)</f>
        <v>47.97</v>
      </c>
      <c r="O507" s="45">
        <f ca="1">IFERROR(__xludf.DUMMYFUNCTION("""COMPUTED_VALUE"""),0.397)</f>
        <v>0.39700000000000002</v>
      </c>
      <c r="P507" s="45" t="str">
        <f ca="1">IFERROR(__xludf.DUMMYFUNCTION("""COMPUTED_VALUE"""),"Colombo, LK")</f>
        <v>Colombo, LK</v>
      </c>
      <c r="Q507" s="45" t="str">
        <f ca="1">IFERROR(__xludf.DUMMYFUNCTION("""COMPUTED_VALUE"""),"New York, NY, US")</f>
        <v>New York, NY, US</v>
      </c>
      <c r="R507" s="44">
        <f ca="1">IFERROR(__xludf.DUMMYFUNCTION("""COMPUTED_VALUE"""),45824)</f>
        <v>45824</v>
      </c>
      <c r="S507" s="44">
        <f ca="1">IFERROR(__xludf.DUMMYFUNCTION("""COMPUTED_VALUE"""),45888)</f>
        <v>45888</v>
      </c>
      <c r="T507" s="45" t="str">
        <f ca="1">IFERROR(__xludf.DUMMYFUNCTION("""COMPUTED_VALUE"""),"Mississauga, ON, CA")</f>
        <v>Mississauga, ON, CA</v>
      </c>
      <c r="U507" s="45"/>
      <c r="V507" s="45"/>
      <c r="W507" s="45"/>
      <c r="X507" s="45"/>
      <c r="Y507" s="46">
        <f ca="1">IFERROR(__xludf.DUMMYFUNCTION("""COMPUTED_VALUE"""),45832)</f>
        <v>45832</v>
      </c>
      <c r="Z507" s="46">
        <f ca="1">IFERROR(__xludf.DUMMYFUNCTION("""COMPUTED_VALUE"""),45861)</f>
        <v>45861</v>
      </c>
      <c r="AA507" s="46">
        <f ca="1">IFERROR(__xludf.DUMMYFUNCTION("""COMPUTED_VALUE"""),45874)</f>
        <v>45874</v>
      </c>
      <c r="AB507" s="45" t="str">
        <f ca="1">IFERROR(__xludf.DUMMYFUNCTION("""COMPUTED_VALUE"""),"3500 Argentia Road")</f>
        <v>3500 Argentia Road</v>
      </c>
      <c r="AC507" s="45"/>
      <c r="AD507" s="45" t="str">
        <f ca="1">IFERROR(__xludf.DUMMYFUNCTION("""COMPUTED_VALUE"""),"OCEAN")</f>
        <v>OCEAN</v>
      </c>
      <c r="AE507" s="45" t="str">
        <f ca="1">IFERROR(__xludf.DUMMYFUNCTION("""COMPUTED_VALUE"""),"N")</f>
        <v>N</v>
      </c>
      <c r="AF507" s="45"/>
      <c r="AG507" s="49" t="str">
        <f ca="1">IFERROR(__xludf.DUMMYFUNCTION("IFNA(vlookup(H507,IMPORTRANGE(""1vUGwO1n0QQGx9kKbO0_M5gmuhXZ6-LaxQxgrmJnzgP0"",""'TP# look up'!A:C""),3,0),"""")"),"")</f>
        <v/>
      </c>
      <c r="AH507" s="49" t="str">
        <f t="shared" ca="1" si="7"/>
        <v>LW</v>
      </c>
    </row>
    <row r="508" spans="1:34" ht="12.75">
      <c r="A508" s="45" t="str">
        <f ca="1">IFERROR(__xludf.DUMMYFUNCTION("""COMPUTED_VALUE"""),"Colombo")</f>
        <v>Colombo</v>
      </c>
      <c r="B508" s="45"/>
      <c r="C508" s="45">
        <f ca="1">IFERROR(__xludf.DUMMYFUNCTION("""COMPUTED_VALUE"""),3254508)</f>
        <v>3254508</v>
      </c>
      <c r="D508" s="45"/>
      <c r="E508" s="45" t="str">
        <f ca="1">IFERROR(__xludf.DUMMYFUNCTION("""COMPUTED_VALUE"""),"CFS")</f>
        <v>CFS</v>
      </c>
      <c r="F508" s="45" t="str">
        <f ca="1">IFERROR(__xludf.DUMMYFUNCTION("""COMPUTED_VALUE"""),"MAS AMITY PTE LTD")</f>
        <v>MAS AMITY PTE LTD</v>
      </c>
      <c r="G508" s="45" t="str">
        <f ca="1">IFERROR(__xludf.DUMMYFUNCTION("""COMPUTED_VALUE"""),"MAS Active (Pvt) Ltd - Linea Intimo")</f>
        <v>MAS Active (Pvt) Ltd - Linea Intimo</v>
      </c>
      <c r="H508" s="43">
        <f ca="1">IFERROR(__xludf.DUMMYFUNCTION("""COMPUTED_VALUE"""),454723175180)</f>
        <v>454723175180</v>
      </c>
      <c r="I508" s="45">
        <f ca="1">IFERROR(__xludf.DUMMYFUNCTION("""COMPUTED_VALUE"""),91018501)</f>
        <v>91018501</v>
      </c>
      <c r="J508" s="45" t="str">
        <f ca="1">IFERROR(__xludf.DUMMYFUNCTION("""COMPUTED_VALUE"""),"LW1CHSS")</f>
        <v>LW1CHSS</v>
      </c>
      <c r="K508" s="45" t="str">
        <f ca="1">IFERROR(__xludf.DUMMYFUNCTION("""COMPUTED_VALUE"""),"LW1CHSS-0572")</f>
        <v>LW1CHSS-0572</v>
      </c>
      <c r="L508" s="45">
        <f ca="1">IFERROR(__xludf.DUMMYFUNCTION("""COMPUTED_VALUE"""),2)</f>
        <v>2</v>
      </c>
      <c r="M508" s="45">
        <f ca="1">IFERROR(__xludf.DUMMYFUNCTION("""COMPUTED_VALUE"""),98)</f>
        <v>98</v>
      </c>
      <c r="N508" s="45">
        <f ca="1">IFERROR(__xludf.DUMMYFUNCTION("""COMPUTED_VALUE"""),11.13)</f>
        <v>11.13</v>
      </c>
      <c r="O508" s="45">
        <f ca="1">IFERROR(__xludf.DUMMYFUNCTION("""COMPUTED_VALUE"""),0.119)</f>
        <v>0.11899999999999999</v>
      </c>
      <c r="P508" s="45" t="str">
        <f ca="1">IFERROR(__xludf.DUMMYFUNCTION("""COMPUTED_VALUE"""),"Colombo, LK")</f>
        <v>Colombo, LK</v>
      </c>
      <c r="Q508" s="45" t="str">
        <f ca="1">IFERROR(__xludf.DUMMYFUNCTION("""COMPUTED_VALUE"""),"New York, NY, US")</f>
        <v>New York, NY, US</v>
      </c>
      <c r="R508" s="44">
        <f ca="1">IFERROR(__xludf.DUMMYFUNCTION("""COMPUTED_VALUE"""),45824)</f>
        <v>45824</v>
      </c>
      <c r="S508" s="44">
        <f ca="1">IFERROR(__xludf.DUMMYFUNCTION("""COMPUTED_VALUE"""),45888)</f>
        <v>45888</v>
      </c>
      <c r="T508" s="45" t="str">
        <f ca="1">IFERROR(__xludf.DUMMYFUNCTION("""COMPUTED_VALUE"""),"Mississauga, ON, CA")</f>
        <v>Mississauga, ON, CA</v>
      </c>
      <c r="U508" s="45"/>
      <c r="V508" s="45"/>
      <c r="W508" s="45"/>
      <c r="X508" s="45"/>
      <c r="Y508" s="46">
        <f ca="1">IFERROR(__xludf.DUMMYFUNCTION("""COMPUTED_VALUE"""),45832)</f>
        <v>45832</v>
      </c>
      <c r="Z508" s="46">
        <f ca="1">IFERROR(__xludf.DUMMYFUNCTION("""COMPUTED_VALUE"""),45861)</f>
        <v>45861</v>
      </c>
      <c r="AA508" s="46">
        <f ca="1">IFERROR(__xludf.DUMMYFUNCTION("""COMPUTED_VALUE"""),45874)</f>
        <v>45874</v>
      </c>
      <c r="AB508" s="45" t="str">
        <f ca="1">IFERROR(__xludf.DUMMYFUNCTION("""COMPUTED_VALUE"""),"3500 Argentia Road")</f>
        <v>3500 Argentia Road</v>
      </c>
      <c r="AC508" s="45"/>
      <c r="AD508" s="45" t="str">
        <f ca="1">IFERROR(__xludf.DUMMYFUNCTION("""COMPUTED_VALUE"""),"OCEAN")</f>
        <v>OCEAN</v>
      </c>
      <c r="AE508" s="45" t="str">
        <f ca="1">IFERROR(__xludf.DUMMYFUNCTION("""COMPUTED_VALUE"""),"N")</f>
        <v>N</v>
      </c>
      <c r="AF508" s="45"/>
      <c r="AG508" s="49" t="str">
        <f ca="1">IFERROR(__xludf.DUMMYFUNCTION("IFNA(vlookup(H508,IMPORTRANGE(""1vUGwO1n0QQGx9kKbO0_M5gmuhXZ6-LaxQxgrmJnzgP0"",""'TP# look up'!A:C""),3,0),"""")"),"")</f>
        <v/>
      </c>
      <c r="AH508" s="49" t="str">
        <f t="shared" ca="1" si="7"/>
        <v>LW</v>
      </c>
    </row>
    <row r="509" spans="1:34" ht="12.75">
      <c r="A509" s="45" t="str">
        <f ca="1">IFERROR(__xludf.DUMMYFUNCTION("""COMPUTED_VALUE"""),"Colombo")</f>
        <v>Colombo</v>
      </c>
      <c r="B509" s="45"/>
      <c r="C509" s="45">
        <f ca="1">IFERROR(__xludf.DUMMYFUNCTION("""COMPUTED_VALUE"""),3254508)</f>
        <v>3254508</v>
      </c>
      <c r="D509" s="45"/>
      <c r="E509" s="45" t="str">
        <f ca="1">IFERROR(__xludf.DUMMYFUNCTION("""COMPUTED_VALUE"""),"CFS")</f>
        <v>CFS</v>
      </c>
      <c r="F509" s="45" t="str">
        <f ca="1">IFERROR(__xludf.DUMMYFUNCTION("""COMPUTED_VALUE"""),"MAS AMITY PTE LTD")</f>
        <v>MAS AMITY PTE LTD</v>
      </c>
      <c r="G509" s="45" t="str">
        <f ca="1">IFERROR(__xludf.DUMMYFUNCTION("""COMPUTED_VALUE"""),"MAS Active (Pvt) Ltd - Linea Intimo")</f>
        <v>MAS Active (Pvt) Ltd - Linea Intimo</v>
      </c>
      <c r="H509" s="43">
        <f ca="1">IFERROR(__xludf.DUMMYFUNCTION("""COMPUTED_VALUE"""),454723268762)</f>
        <v>454723268762</v>
      </c>
      <c r="I509" s="45">
        <f ca="1">IFERROR(__xludf.DUMMYFUNCTION("""COMPUTED_VALUE"""),91018828)</f>
        <v>91018828</v>
      </c>
      <c r="J509" s="45" t="str">
        <f ca="1">IFERROR(__xludf.DUMMYFUNCTION("""COMPUTED_VALUE"""),"LW1ERWS")</f>
        <v>LW1ERWS</v>
      </c>
      <c r="K509" s="45" t="str">
        <f ca="1">IFERROR(__xludf.DUMMYFUNCTION("""COMPUTED_VALUE"""),"LW1ERWS-4780")</f>
        <v>LW1ERWS-4780</v>
      </c>
      <c r="L509" s="45">
        <f ca="1">IFERROR(__xludf.DUMMYFUNCTION("""COMPUTED_VALUE"""),15)</f>
        <v>15</v>
      </c>
      <c r="M509" s="45">
        <f ca="1">IFERROR(__xludf.DUMMYFUNCTION("""COMPUTED_VALUE"""),943)</f>
        <v>943</v>
      </c>
      <c r="N509" s="45">
        <f ca="1">IFERROR(__xludf.DUMMYFUNCTION("""COMPUTED_VALUE"""),128.211)</f>
        <v>128.21100000000001</v>
      </c>
      <c r="O509" s="45">
        <f ca="1">IFERROR(__xludf.DUMMYFUNCTION("""COMPUTED_VALUE"""),1.185)</f>
        <v>1.1850000000000001</v>
      </c>
      <c r="P509" s="45" t="str">
        <f ca="1">IFERROR(__xludf.DUMMYFUNCTION("""COMPUTED_VALUE"""),"Colombo, LK")</f>
        <v>Colombo, LK</v>
      </c>
      <c r="Q509" s="45" t="str">
        <f ca="1">IFERROR(__xludf.DUMMYFUNCTION("""COMPUTED_VALUE"""),"New York, NY, US")</f>
        <v>New York, NY, US</v>
      </c>
      <c r="R509" s="44">
        <f ca="1">IFERROR(__xludf.DUMMYFUNCTION("""COMPUTED_VALUE"""),45824)</f>
        <v>45824</v>
      </c>
      <c r="S509" s="44">
        <f ca="1">IFERROR(__xludf.DUMMYFUNCTION("""COMPUTED_VALUE"""),45888)</f>
        <v>45888</v>
      </c>
      <c r="T509" s="45" t="str">
        <f ca="1">IFERROR(__xludf.DUMMYFUNCTION("""COMPUTED_VALUE"""),"Mississauga, ON, CA")</f>
        <v>Mississauga, ON, CA</v>
      </c>
      <c r="U509" s="45"/>
      <c r="V509" s="45"/>
      <c r="W509" s="45"/>
      <c r="X509" s="45"/>
      <c r="Y509" s="46">
        <f ca="1">IFERROR(__xludf.DUMMYFUNCTION("""COMPUTED_VALUE"""),45832)</f>
        <v>45832</v>
      </c>
      <c r="Z509" s="46">
        <f ca="1">IFERROR(__xludf.DUMMYFUNCTION("""COMPUTED_VALUE"""),45861)</f>
        <v>45861</v>
      </c>
      <c r="AA509" s="46">
        <f ca="1">IFERROR(__xludf.DUMMYFUNCTION("""COMPUTED_VALUE"""),45874)</f>
        <v>45874</v>
      </c>
      <c r="AB509" s="45" t="str">
        <f ca="1">IFERROR(__xludf.DUMMYFUNCTION("""COMPUTED_VALUE"""),"3500 Argentia Road")</f>
        <v>3500 Argentia Road</v>
      </c>
      <c r="AC509" s="45"/>
      <c r="AD509" s="45" t="str">
        <f ca="1">IFERROR(__xludf.DUMMYFUNCTION("""COMPUTED_VALUE"""),"OCEAN")</f>
        <v>OCEAN</v>
      </c>
      <c r="AE509" s="45" t="str">
        <f ca="1">IFERROR(__xludf.DUMMYFUNCTION("""COMPUTED_VALUE"""),"N")</f>
        <v>N</v>
      </c>
      <c r="AF509" s="45"/>
      <c r="AG509" s="49" t="str">
        <f ca="1">IFERROR(__xludf.DUMMYFUNCTION("IFNA(vlookup(H509,IMPORTRANGE(""1vUGwO1n0QQGx9kKbO0_M5gmuhXZ6-LaxQxgrmJnzgP0"",""'TP# look up'!A:C""),3,0),"""")"),"")</f>
        <v/>
      </c>
      <c r="AH509" s="49" t="str">
        <f t="shared" ca="1" si="7"/>
        <v>LW</v>
      </c>
    </row>
    <row r="510" spans="1:34" ht="12.75">
      <c r="A510" s="45" t="str">
        <f ca="1">IFERROR(__xludf.DUMMYFUNCTION("""COMPUTED_VALUE"""),"Colombo")</f>
        <v>Colombo</v>
      </c>
      <c r="B510" s="45"/>
      <c r="C510" s="45">
        <f ca="1">IFERROR(__xludf.DUMMYFUNCTION("""COMPUTED_VALUE"""),3254508)</f>
        <v>3254508</v>
      </c>
      <c r="D510" s="45"/>
      <c r="E510" s="45" t="str">
        <f ca="1">IFERROR(__xludf.DUMMYFUNCTION("""COMPUTED_VALUE"""),"CFS")</f>
        <v>CFS</v>
      </c>
      <c r="F510" s="45" t="str">
        <f ca="1">IFERROR(__xludf.DUMMYFUNCTION("""COMPUTED_VALUE"""),"MAS AMITY PTE LTD")</f>
        <v>MAS AMITY PTE LTD</v>
      </c>
      <c r="G510" s="45" t="str">
        <f ca="1">IFERROR(__xludf.DUMMYFUNCTION("""COMPUTED_VALUE"""),"MAS Active (Pvt) Ltd - Linea Intimo")</f>
        <v>MAS Active (Pvt) Ltd - Linea Intimo</v>
      </c>
      <c r="H510" s="43">
        <f ca="1">IFERROR(__xludf.DUMMYFUNCTION("""COMPUTED_VALUE"""),454723365495)</f>
        <v>454723365495</v>
      </c>
      <c r="I510" s="45">
        <f ca="1">IFERROR(__xludf.DUMMYFUNCTION("""COMPUTED_VALUE"""),91018901)</f>
        <v>91018901</v>
      </c>
      <c r="J510" s="45" t="str">
        <f ca="1">IFERROR(__xludf.DUMMYFUNCTION("""COMPUTED_VALUE"""),"LW1DMJS")</f>
        <v>LW1DMJS</v>
      </c>
      <c r="K510" s="45" t="str">
        <f ca="1">IFERROR(__xludf.DUMMYFUNCTION("""COMPUTED_VALUE"""),"LW1DMJS-012826")</f>
        <v>LW1DMJS-012826</v>
      </c>
      <c r="L510" s="45">
        <f ca="1">IFERROR(__xludf.DUMMYFUNCTION("""COMPUTED_VALUE"""),6)</f>
        <v>6</v>
      </c>
      <c r="M510" s="45">
        <f ca="1">IFERROR(__xludf.DUMMYFUNCTION("""COMPUTED_VALUE"""),506)</f>
        <v>506</v>
      </c>
      <c r="N510" s="45">
        <f ca="1">IFERROR(__xludf.DUMMYFUNCTION("""COMPUTED_VALUE"""),40.33)</f>
        <v>40.33</v>
      </c>
      <c r="O510" s="45">
        <f ca="1">IFERROR(__xludf.DUMMYFUNCTION("""COMPUTED_VALUE"""),0.436)</f>
        <v>0.436</v>
      </c>
      <c r="P510" s="45" t="str">
        <f ca="1">IFERROR(__xludf.DUMMYFUNCTION("""COMPUTED_VALUE"""),"Colombo, LK")</f>
        <v>Colombo, LK</v>
      </c>
      <c r="Q510" s="45" t="str">
        <f ca="1">IFERROR(__xludf.DUMMYFUNCTION("""COMPUTED_VALUE"""),"New York, NY, US")</f>
        <v>New York, NY, US</v>
      </c>
      <c r="R510" s="44">
        <f ca="1">IFERROR(__xludf.DUMMYFUNCTION("""COMPUTED_VALUE"""),45824)</f>
        <v>45824</v>
      </c>
      <c r="S510" s="44">
        <f ca="1">IFERROR(__xludf.DUMMYFUNCTION("""COMPUTED_VALUE"""),45888)</f>
        <v>45888</v>
      </c>
      <c r="T510" s="45" t="str">
        <f ca="1">IFERROR(__xludf.DUMMYFUNCTION("""COMPUTED_VALUE"""),"Mississauga, ON, CA")</f>
        <v>Mississauga, ON, CA</v>
      </c>
      <c r="U510" s="45"/>
      <c r="V510" s="45"/>
      <c r="W510" s="45"/>
      <c r="X510" s="45"/>
      <c r="Y510" s="46">
        <f ca="1">IFERROR(__xludf.DUMMYFUNCTION("""COMPUTED_VALUE"""),45832)</f>
        <v>45832</v>
      </c>
      <c r="Z510" s="46">
        <f ca="1">IFERROR(__xludf.DUMMYFUNCTION("""COMPUTED_VALUE"""),45861)</f>
        <v>45861</v>
      </c>
      <c r="AA510" s="46">
        <f ca="1">IFERROR(__xludf.DUMMYFUNCTION("""COMPUTED_VALUE"""),45874)</f>
        <v>45874</v>
      </c>
      <c r="AB510" s="45" t="str">
        <f ca="1">IFERROR(__xludf.DUMMYFUNCTION("""COMPUTED_VALUE"""),"3500 Argentia Road")</f>
        <v>3500 Argentia Road</v>
      </c>
      <c r="AC510" s="45"/>
      <c r="AD510" s="45" t="str">
        <f ca="1">IFERROR(__xludf.DUMMYFUNCTION("""COMPUTED_VALUE"""),"OCEAN")</f>
        <v>OCEAN</v>
      </c>
      <c r="AE510" s="45" t="str">
        <f ca="1">IFERROR(__xludf.DUMMYFUNCTION("""COMPUTED_VALUE"""),"N")</f>
        <v>N</v>
      </c>
      <c r="AF510" s="45"/>
      <c r="AG510" s="49" t="str">
        <f ca="1">IFERROR(__xludf.DUMMYFUNCTION("IFNA(vlookup(H510,IMPORTRANGE(""1vUGwO1n0QQGx9kKbO0_M5gmuhXZ6-LaxQxgrmJnzgP0"",""'TP# look up'!A:C""),3,0),"""")"),"")</f>
        <v/>
      </c>
      <c r="AH510" s="49" t="str">
        <f t="shared" ca="1" si="7"/>
        <v>LW</v>
      </c>
    </row>
    <row r="511" spans="1:34" ht="12.75">
      <c r="A511" s="45" t="str">
        <f ca="1">IFERROR(__xludf.DUMMYFUNCTION("""COMPUTED_VALUE"""),"Colombo")</f>
        <v>Colombo</v>
      </c>
      <c r="B511" s="45"/>
      <c r="C511" s="45">
        <f ca="1">IFERROR(__xludf.DUMMYFUNCTION("""COMPUTED_VALUE"""),3254508)</f>
        <v>3254508</v>
      </c>
      <c r="D511" s="45"/>
      <c r="E511" s="45" t="str">
        <f ca="1">IFERROR(__xludf.DUMMYFUNCTION("""COMPUTED_VALUE"""),"CFS")</f>
        <v>CFS</v>
      </c>
      <c r="F511" s="45" t="str">
        <f ca="1">IFERROR(__xludf.DUMMYFUNCTION("""COMPUTED_VALUE"""),"MAS AMITY PTE LTD")</f>
        <v>MAS AMITY PTE LTD</v>
      </c>
      <c r="G511" s="45" t="str">
        <f ca="1">IFERROR(__xludf.DUMMYFUNCTION("""COMPUTED_VALUE"""),"MAS Active (Pvt) Ltd - Linea Intimo")</f>
        <v>MAS Active (Pvt) Ltd - Linea Intimo</v>
      </c>
      <c r="H511" s="43">
        <f ca="1">IFERROR(__xludf.DUMMYFUNCTION("""COMPUTED_VALUE"""),454723450691)</f>
        <v>454723450691</v>
      </c>
      <c r="I511" s="45">
        <f ca="1">IFERROR(__xludf.DUMMYFUNCTION("""COMPUTED_VALUE"""),91018841)</f>
        <v>91018841</v>
      </c>
      <c r="J511" s="45" t="str">
        <f ca="1">IFERROR(__xludf.DUMMYFUNCTION("""COMPUTED_VALUE"""),"LW1ERWS")</f>
        <v>LW1ERWS</v>
      </c>
      <c r="K511" s="45" t="str">
        <f ca="1">IFERROR(__xludf.DUMMYFUNCTION("""COMPUTED_VALUE"""),"LW1ERWS-4780")</f>
        <v>LW1ERWS-4780</v>
      </c>
      <c r="L511" s="45">
        <f ca="1">IFERROR(__xludf.DUMMYFUNCTION("""COMPUTED_VALUE"""),4)</f>
        <v>4</v>
      </c>
      <c r="M511" s="45">
        <f ca="1">IFERROR(__xludf.DUMMYFUNCTION("""COMPUTED_VALUE"""),108)</f>
        <v>108</v>
      </c>
      <c r="N511" s="45">
        <f ca="1">IFERROR(__xludf.DUMMYFUNCTION("""COMPUTED_VALUE"""),16.305)</f>
        <v>16.305</v>
      </c>
      <c r="O511" s="45">
        <f ca="1">IFERROR(__xludf.DUMMYFUNCTION("""COMPUTED_VALUE"""),0.197)</f>
        <v>0.19700000000000001</v>
      </c>
      <c r="P511" s="45" t="str">
        <f ca="1">IFERROR(__xludf.DUMMYFUNCTION("""COMPUTED_VALUE"""),"Colombo, LK")</f>
        <v>Colombo, LK</v>
      </c>
      <c r="Q511" s="45" t="str">
        <f ca="1">IFERROR(__xludf.DUMMYFUNCTION("""COMPUTED_VALUE"""),"New York, NY, US")</f>
        <v>New York, NY, US</v>
      </c>
      <c r="R511" s="44">
        <f ca="1">IFERROR(__xludf.DUMMYFUNCTION("""COMPUTED_VALUE"""),45824)</f>
        <v>45824</v>
      </c>
      <c r="S511" s="44">
        <f ca="1">IFERROR(__xludf.DUMMYFUNCTION("""COMPUTED_VALUE"""),45888)</f>
        <v>45888</v>
      </c>
      <c r="T511" s="45" t="str">
        <f ca="1">IFERROR(__xludf.DUMMYFUNCTION("""COMPUTED_VALUE"""),"Milton, ON, CA")</f>
        <v>Milton, ON, CA</v>
      </c>
      <c r="U511" s="45"/>
      <c r="V511" s="45"/>
      <c r="W511" s="45"/>
      <c r="X511" s="45"/>
      <c r="Y511" s="46">
        <f ca="1">IFERROR(__xludf.DUMMYFUNCTION("""COMPUTED_VALUE"""),45832)</f>
        <v>45832</v>
      </c>
      <c r="Z511" s="46">
        <f ca="1">IFERROR(__xludf.DUMMYFUNCTION("""COMPUTED_VALUE"""),45861)</f>
        <v>45861</v>
      </c>
      <c r="AA511" s="46">
        <f ca="1">IFERROR(__xludf.DUMMYFUNCTION("""COMPUTED_VALUE"""),45874)</f>
        <v>45874</v>
      </c>
      <c r="AB511" s="45" t="str">
        <f ca="1">IFERROR(__xludf.DUMMYFUNCTION("""COMPUTED_VALUE"""),"7211 Fifth Line")</f>
        <v>7211 Fifth Line</v>
      </c>
      <c r="AC511" s="45"/>
      <c r="AD511" s="45" t="str">
        <f ca="1">IFERROR(__xludf.DUMMYFUNCTION("""COMPUTED_VALUE"""),"OCEAN")</f>
        <v>OCEAN</v>
      </c>
      <c r="AE511" s="45" t="str">
        <f ca="1">IFERROR(__xludf.DUMMYFUNCTION("""COMPUTED_VALUE"""),"N")</f>
        <v>N</v>
      </c>
      <c r="AF511" s="45"/>
      <c r="AG511" s="49" t="str">
        <f ca="1">IFERROR(__xludf.DUMMYFUNCTION("IFNA(vlookup(H511,IMPORTRANGE(""1vUGwO1n0QQGx9kKbO0_M5gmuhXZ6-LaxQxgrmJnzgP0"",""'TP# look up'!A:C""),3,0),"""")"),"")</f>
        <v/>
      </c>
      <c r="AH511" s="49" t="str">
        <f t="shared" ca="1" si="7"/>
        <v>LW</v>
      </c>
    </row>
    <row r="512" spans="1:34" ht="12.75">
      <c r="A512" s="45" t="str">
        <f ca="1">IFERROR(__xludf.DUMMYFUNCTION("""COMPUTED_VALUE"""),"Colombo")</f>
        <v>Colombo</v>
      </c>
      <c r="B512" s="45"/>
      <c r="C512" s="45">
        <f ca="1">IFERROR(__xludf.DUMMYFUNCTION("""COMPUTED_VALUE"""),3254508)</f>
        <v>3254508</v>
      </c>
      <c r="D512" s="45"/>
      <c r="E512" s="45" t="str">
        <f ca="1">IFERROR(__xludf.DUMMYFUNCTION("""COMPUTED_VALUE"""),"CFS")</f>
        <v>CFS</v>
      </c>
      <c r="F512" s="45" t="str">
        <f ca="1">IFERROR(__xludf.DUMMYFUNCTION("""COMPUTED_VALUE"""),"MAS AMITY PTE LTD")</f>
        <v>MAS AMITY PTE LTD</v>
      </c>
      <c r="G512" s="45" t="str">
        <f ca="1">IFERROR(__xludf.DUMMYFUNCTION("""COMPUTED_VALUE"""),"MAS Active (Pvt) Ltd - Linea Intimo")</f>
        <v>MAS Active (Pvt) Ltd - Linea Intimo</v>
      </c>
      <c r="H512" s="43">
        <f ca="1">IFERROR(__xludf.DUMMYFUNCTION("""COMPUTED_VALUE"""),454723855655)</f>
        <v>454723855655</v>
      </c>
      <c r="I512" s="45">
        <f ca="1">IFERROR(__xludf.DUMMYFUNCTION("""COMPUTED_VALUE"""),91018918)</f>
        <v>91018918</v>
      </c>
      <c r="J512" s="45" t="str">
        <f ca="1">IFERROR(__xludf.DUMMYFUNCTION("""COMPUTED_VALUE"""),"LW1EKKS")</f>
        <v>LW1EKKS</v>
      </c>
      <c r="K512" s="45" t="str">
        <f ca="1">IFERROR(__xludf.DUMMYFUNCTION("""COMPUTED_VALUE"""),"LW1EKKS-071212")</f>
        <v>LW1EKKS-071212</v>
      </c>
      <c r="L512" s="45">
        <f ca="1">IFERROR(__xludf.DUMMYFUNCTION("""COMPUTED_VALUE"""),5)</f>
        <v>5</v>
      </c>
      <c r="M512" s="45">
        <f ca="1">IFERROR(__xludf.DUMMYFUNCTION("""COMPUTED_VALUE"""),158)</f>
        <v>158</v>
      </c>
      <c r="N512" s="45">
        <f ca="1">IFERROR(__xludf.DUMMYFUNCTION("""COMPUTED_VALUE"""),20.365)</f>
        <v>20.364999999999998</v>
      </c>
      <c r="O512" s="45">
        <f ca="1">IFERROR(__xludf.DUMMYFUNCTION("""COMPUTED_VALUE"""),0.237)</f>
        <v>0.23699999999999999</v>
      </c>
      <c r="P512" s="45" t="str">
        <f ca="1">IFERROR(__xludf.DUMMYFUNCTION("""COMPUTED_VALUE"""),"Colombo, LK")</f>
        <v>Colombo, LK</v>
      </c>
      <c r="Q512" s="45" t="str">
        <f ca="1">IFERROR(__xludf.DUMMYFUNCTION("""COMPUTED_VALUE"""),"New York, NY, US")</f>
        <v>New York, NY, US</v>
      </c>
      <c r="R512" s="44">
        <f ca="1">IFERROR(__xludf.DUMMYFUNCTION("""COMPUTED_VALUE"""),45824)</f>
        <v>45824</v>
      </c>
      <c r="S512" s="44">
        <f ca="1">IFERROR(__xludf.DUMMYFUNCTION("""COMPUTED_VALUE"""),45888)</f>
        <v>45888</v>
      </c>
      <c r="T512" s="45" t="str">
        <f ca="1">IFERROR(__xludf.DUMMYFUNCTION("""COMPUTED_VALUE"""),"Mississauga, ON, CA")</f>
        <v>Mississauga, ON, CA</v>
      </c>
      <c r="U512" s="45"/>
      <c r="V512" s="45"/>
      <c r="W512" s="45"/>
      <c r="X512" s="45"/>
      <c r="Y512" s="46">
        <f ca="1">IFERROR(__xludf.DUMMYFUNCTION("""COMPUTED_VALUE"""),45832)</f>
        <v>45832</v>
      </c>
      <c r="Z512" s="46">
        <f ca="1">IFERROR(__xludf.DUMMYFUNCTION("""COMPUTED_VALUE"""),45861)</f>
        <v>45861</v>
      </c>
      <c r="AA512" s="46">
        <f ca="1">IFERROR(__xludf.DUMMYFUNCTION("""COMPUTED_VALUE"""),45874)</f>
        <v>45874</v>
      </c>
      <c r="AB512" s="45" t="str">
        <f ca="1">IFERROR(__xludf.DUMMYFUNCTION("""COMPUTED_VALUE"""),"3500 Argentia Road")</f>
        <v>3500 Argentia Road</v>
      </c>
      <c r="AC512" s="45"/>
      <c r="AD512" s="45" t="str">
        <f ca="1">IFERROR(__xludf.DUMMYFUNCTION("""COMPUTED_VALUE"""),"OCEAN")</f>
        <v>OCEAN</v>
      </c>
      <c r="AE512" s="45" t="str">
        <f ca="1">IFERROR(__xludf.DUMMYFUNCTION("""COMPUTED_VALUE"""),"N")</f>
        <v>N</v>
      </c>
      <c r="AF512" s="45"/>
      <c r="AG512" s="49" t="str">
        <f ca="1">IFERROR(__xludf.DUMMYFUNCTION("IFNA(vlookup(H512,IMPORTRANGE(""1vUGwO1n0QQGx9kKbO0_M5gmuhXZ6-LaxQxgrmJnzgP0"",""'TP# look up'!A:C""),3,0),"""")"),"")</f>
        <v/>
      </c>
      <c r="AH512" s="49" t="str">
        <f t="shared" ca="1" si="7"/>
        <v>LW</v>
      </c>
    </row>
    <row r="513" spans="1:34" ht="12.75">
      <c r="A513" s="45" t="str">
        <f ca="1">IFERROR(__xludf.DUMMYFUNCTION("""COMPUTED_VALUE"""),"Colombo")</f>
        <v>Colombo</v>
      </c>
      <c r="B513" s="45"/>
      <c r="C513" s="45">
        <f ca="1">IFERROR(__xludf.DUMMYFUNCTION("""COMPUTED_VALUE"""),3254508)</f>
        <v>3254508</v>
      </c>
      <c r="D513" s="45"/>
      <c r="E513" s="45" t="str">
        <f ca="1">IFERROR(__xludf.DUMMYFUNCTION("""COMPUTED_VALUE"""),"CFS")</f>
        <v>CFS</v>
      </c>
      <c r="F513" s="45" t="str">
        <f ca="1">IFERROR(__xludf.DUMMYFUNCTION("""COMPUTED_VALUE"""),"MAS AMITY PTE LTD")</f>
        <v>MAS AMITY PTE LTD</v>
      </c>
      <c r="G513" s="45" t="str">
        <f ca="1">IFERROR(__xludf.DUMMYFUNCTION("""COMPUTED_VALUE"""),"MAS Active (Pvt) Ltd - Linea Intimo")</f>
        <v>MAS Active (Pvt) Ltd - Linea Intimo</v>
      </c>
      <c r="H513" s="43">
        <f ca="1">IFERROR(__xludf.DUMMYFUNCTION("""COMPUTED_VALUE"""),454724077022)</f>
        <v>454724077022</v>
      </c>
      <c r="I513" s="45">
        <f ca="1">IFERROR(__xludf.DUMMYFUNCTION("""COMPUTED_VALUE"""),91018960)</f>
        <v>91018960</v>
      </c>
      <c r="J513" s="45" t="str">
        <f ca="1">IFERROR(__xludf.DUMMYFUNCTION("""COMPUTED_VALUE"""),"LW1EKKS")</f>
        <v>LW1EKKS</v>
      </c>
      <c r="K513" s="45" t="str">
        <f ca="1">IFERROR(__xludf.DUMMYFUNCTION("""COMPUTED_VALUE"""),"LW1EKKS-071212")</f>
        <v>LW1EKKS-071212</v>
      </c>
      <c r="L513" s="45">
        <f ca="1">IFERROR(__xludf.DUMMYFUNCTION("""COMPUTED_VALUE"""),6)</f>
        <v>6</v>
      </c>
      <c r="M513" s="45">
        <f ca="1">IFERROR(__xludf.DUMMYFUNCTION("""COMPUTED_VALUE"""),404)</f>
        <v>404</v>
      </c>
      <c r="N513" s="45">
        <f ca="1">IFERROR(__xludf.DUMMYFUNCTION("""COMPUTED_VALUE"""),44.572)</f>
        <v>44.572000000000003</v>
      </c>
      <c r="O513" s="45">
        <f ca="1">IFERROR(__xludf.DUMMYFUNCTION("""COMPUTED_VALUE"""),0.395)</f>
        <v>0.39500000000000002</v>
      </c>
      <c r="P513" s="45" t="str">
        <f ca="1">IFERROR(__xludf.DUMMYFUNCTION("""COMPUTED_VALUE"""),"Colombo, LK")</f>
        <v>Colombo, LK</v>
      </c>
      <c r="Q513" s="45" t="str">
        <f ca="1">IFERROR(__xludf.DUMMYFUNCTION("""COMPUTED_VALUE"""),"New York, NY, US")</f>
        <v>New York, NY, US</v>
      </c>
      <c r="R513" s="44">
        <f ca="1">IFERROR(__xludf.DUMMYFUNCTION("""COMPUTED_VALUE"""),45824)</f>
        <v>45824</v>
      </c>
      <c r="S513" s="44">
        <f ca="1">IFERROR(__xludf.DUMMYFUNCTION("""COMPUTED_VALUE"""),45888)</f>
        <v>45888</v>
      </c>
      <c r="T513" s="45" t="str">
        <f ca="1">IFERROR(__xludf.DUMMYFUNCTION("""COMPUTED_VALUE"""),"Mississauga, ON, CA")</f>
        <v>Mississauga, ON, CA</v>
      </c>
      <c r="U513" s="45"/>
      <c r="V513" s="45"/>
      <c r="W513" s="45"/>
      <c r="X513" s="45"/>
      <c r="Y513" s="46">
        <f ca="1">IFERROR(__xludf.DUMMYFUNCTION("""COMPUTED_VALUE"""),45832)</f>
        <v>45832</v>
      </c>
      <c r="Z513" s="46">
        <f ca="1">IFERROR(__xludf.DUMMYFUNCTION("""COMPUTED_VALUE"""),45861)</f>
        <v>45861</v>
      </c>
      <c r="AA513" s="46">
        <f ca="1">IFERROR(__xludf.DUMMYFUNCTION("""COMPUTED_VALUE"""),45874)</f>
        <v>45874</v>
      </c>
      <c r="AB513" s="45" t="str">
        <f ca="1">IFERROR(__xludf.DUMMYFUNCTION("""COMPUTED_VALUE"""),"3500 Argentia Road")</f>
        <v>3500 Argentia Road</v>
      </c>
      <c r="AC513" s="45"/>
      <c r="AD513" s="45" t="str">
        <f ca="1">IFERROR(__xludf.DUMMYFUNCTION("""COMPUTED_VALUE"""),"OCEAN")</f>
        <v>OCEAN</v>
      </c>
      <c r="AE513" s="45" t="str">
        <f ca="1">IFERROR(__xludf.DUMMYFUNCTION("""COMPUTED_VALUE"""),"N")</f>
        <v>N</v>
      </c>
      <c r="AF513" s="45"/>
      <c r="AG513" s="49" t="str">
        <f ca="1">IFERROR(__xludf.DUMMYFUNCTION("IFNA(vlookup(H513,IMPORTRANGE(""1vUGwO1n0QQGx9kKbO0_M5gmuhXZ6-LaxQxgrmJnzgP0"",""'TP# look up'!A:C""),3,0),"""")"),"")</f>
        <v/>
      </c>
      <c r="AH513" s="49" t="str">
        <f t="shared" ca="1" si="7"/>
        <v>LW</v>
      </c>
    </row>
    <row r="514" spans="1:34" ht="12.75">
      <c r="A514" s="45" t="str">
        <f ca="1">IFERROR(__xludf.DUMMYFUNCTION("""COMPUTED_VALUE"""),"Colombo")</f>
        <v>Colombo</v>
      </c>
      <c r="B514" s="45"/>
      <c r="C514" s="45">
        <f ca="1">IFERROR(__xludf.DUMMYFUNCTION("""COMPUTED_VALUE"""),3254508)</f>
        <v>3254508</v>
      </c>
      <c r="D514" s="45"/>
      <c r="E514" s="45" t="str">
        <f ca="1">IFERROR(__xludf.DUMMYFUNCTION("""COMPUTED_VALUE"""),"CFS")</f>
        <v>CFS</v>
      </c>
      <c r="F514" s="45" t="str">
        <f ca="1">IFERROR(__xludf.DUMMYFUNCTION("""COMPUTED_VALUE"""),"MAS AMITY PTE LTD")</f>
        <v>MAS AMITY PTE LTD</v>
      </c>
      <c r="G514" s="45" t="str">
        <f ca="1">IFERROR(__xludf.DUMMYFUNCTION("""COMPUTED_VALUE"""),"MAS Active (Pvt) Ltd - Linea Intimo")</f>
        <v>MAS Active (Pvt) Ltd - Linea Intimo</v>
      </c>
      <c r="H514" s="43">
        <f ca="1">IFERROR(__xludf.DUMMYFUNCTION("""COMPUTED_VALUE"""),454724077099)</f>
        <v>454724077099</v>
      </c>
      <c r="I514" s="45">
        <f ca="1">IFERROR(__xludf.DUMMYFUNCTION("""COMPUTED_VALUE"""),91018961)</f>
        <v>91018961</v>
      </c>
      <c r="J514" s="45" t="str">
        <f ca="1">IFERROR(__xludf.DUMMYFUNCTION("""COMPUTED_VALUE"""),"LW1DMJS")</f>
        <v>LW1DMJS</v>
      </c>
      <c r="K514" s="45" t="str">
        <f ca="1">IFERROR(__xludf.DUMMYFUNCTION("""COMPUTED_VALUE"""),"LW1DMJS-0572")</f>
        <v>LW1DMJS-0572</v>
      </c>
      <c r="L514" s="45">
        <f ca="1">IFERROR(__xludf.DUMMYFUNCTION("""COMPUTED_VALUE"""),29)</f>
        <v>29</v>
      </c>
      <c r="M514" s="45">
        <f ca="1">IFERROR(__xludf.DUMMYFUNCTION("""COMPUTED_VALUE"""),3036)</f>
        <v>3036</v>
      </c>
      <c r="N514" s="45">
        <f ca="1">IFERROR(__xludf.DUMMYFUNCTION("""COMPUTED_VALUE"""),243.611)</f>
        <v>243.61099999999999</v>
      </c>
      <c r="O514" s="45">
        <f ca="1">IFERROR(__xludf.DUMMYFUNCTION("""COMPUTED_VALUE"""),2.251)</f>
        <v>2.2509999999999999</v>
      </c>
      <c r="P514" s="45" t="str">
        <f ca="1">IFERROR(__xludf.DUMMYFUNCTION("""COMPUTED_VALUE"""),"Colombo, LK")</f>
        <v>Colombo, LK</v>
      </c>
      <c r="Q514" s="45" t="str">
        <f ca="1">IFERROR(__xludf.DUMMYFUNCTION("""COMPUTED_VALUE"""),"New York, NY, US")</f>
        <v>New York, NY, US</v>
      </c>
      <c r="R514" s="44">
        <f ca="1">IFERROR(__xludf.DUMMYFUNCTION("""COMPUTED_VALUE"""),45824)</f>
        <v>45824</v>
      </c>
      <c r="S514" s="44">
        <f ca="1">IFERROR(__xludf.DUMMYFUNCTION("""COMPUTED_VALUE"""),45888)</f>
        <v>45888</v>
      </c>
      <c r="T514" s="45" t="str">
        <f ca="1">IFERROR(__xludf.DUMMYFUNCTION("""COMPUTED_VALUE"""),"Mississauga, ON, CA")</f>
        <v>Mississauga, ON, CA</v>
      </c>
      <c r="U514" s="45"/>
      <c r="V514" s="45"/>
      <c r="W514" s="45"/>
      <c r="X514" s="45"/>
      <c r="Y514" s="46">
        <f ca="1">IFERROR(__xludf.DUMMYFUNCTION("""COMPUTED_VALUE"""),45832)</f>
        <v>45832</v>
      </c>
      <c r="Z514" s="46">
        <f ca="1">IFERROR(__xludf.DUMMYFUNCTION("""COMPUTED_VALUE"""),45861)</f>
        <v>45861</v>
      </c>
      <c r="AA514" s="46">
        <f ca="1">IFERROR(__xludf.DUMMYFUNCTION("""COMPUTED_VALUE"""),45874)</f>
        <v>45874</v>
      </c>
      <c r="AB514" s="45" t="str">
        <f ca="1">IFERROR(__xludf.DUMMYFUNCTION("""COMPUTED_VALUE"""),"3500 Argentia Road")</f>
        <v>3500 Argentia Road</v>
      </c>
      <c r="AC514" s="45"/>
      <c r="AD514" s="45" t="str">
        <f ca="1">IFERROR(__xludf.DUMMYFUNCTION("""COMPUTED_VALUE"""),"OCEAN")</f>
        <v>OCEAN</v>
      </c>
      <c r="AE514" s="45" t="str">
        <f ca="1">IFERROR(__xludf.DUMMYFUNCTION("""COMPUTED_VALUE"""),"N")</f>
        <v>N</v>
      </c>
      <c r="AF514" s="45"/>
      <c r="AG514" s="49" t="str">
        <f ca="1">IFERROR(__xludf.DUMMYFUNCTION("IFNA(vlookup(H514,IMPORTRANGE(""1vUGwO1n0QQGx9kKbO0_M5gmuhXZ6-LaxQxgrmJnzgP0"",""'TP# look up'!A:C""),3,0),"""")"),"")</f>
        <v/>
      </c>
      <c r="AH514" s="49" t="str">
        <f t="shared" ref="AH514:AH577" ca="1" si="8">LEFT(J514,2)</f>
        <v>LW</v>
      </c>
    </row>
    <row r="515" spans="1:34" ht="12.75">
      <c r="A515" s="45" t="str">
        <f ca="1">IFERROR(__xludf.DUMMYFUNCTION("""COMPUTED_VALUE"""),"Colombo")</f>
        <v>Colombo</v>
      </c>
      <c r="B515" s="45"/>
      <c r="C515" s="45">
        <f ca="1">IFERROR(__xludf.DUMMYFUNCTION("""COMPUTED_VALUE"""),3254508)</f>
        <v>3254508</v>
      </c>
      <c r="D515" s="45"/>
      <c r="E515" s="45" t="str">
        <f ca="1">IFERROR(__xludf.DUMMYFUNCTION("""COMPUTED_VALUE"""),"CFS")</f>
        <v>CFS</v>
      </c>
      <c r="F515" s="45" t="str">
        <f ca="1">IFERROR(__xludf.DUMMYFUNCTION("""COMPUTED_VALUE"""),"MAS AMITY PTE LTD")</f>
        <v>MAS AMITY PTE LTD</v>
      </c>
      <c r="G515" s="45" t="str">
        <f ca="1">IFERROR(__xludf.DUMMYFUNCTION("""COMPUTED_VALUE"""),"MAS Active (Pvt) Ltd - Linea Intimo")</f>
        <v>MAS Active (Pvt) Ltd - Linea Intimo</v>
      </c>
      <c r="H515" s="43">
        <f ca="1">IFERROR(__xludf.DUMMYFUNCTION("""COMPUTED_VALUE"""),454724615265)</f>
        <v>454724615265</v>
      </c>
      <c r="I515" s="45">
        <f ca="1">IFERROR(__xludf.DUMMYFUNCTION("""COMPUTED_VALUE"""),91019037)</f>
        <v>91019037</v>
      </c>
      <c r="J515" s="45" t="str">
        <f ca="1">IFERROR(__xludf.DUMMYFUNCTION("""COMPUTED_VALUE"""),"LW1ERWS")</f>
        <v>LW1ERWS</v>
      </c>
      <c r="K515" s="45" t="str">
        <f ca="1">IFERROR(__xludf.DUMMYFUNCTION("""COMPUTED_VALUE"""),"LW1ERWS-012826")</f>
        <v>LW1ERWS-012826</v>
      </c>
      <c r="L515" s="45">
        <f ca="1">IFERROR(__xludf.DUMMYFUNCTION("""COMPUTED_VALUE"""),5)</f>
        <v>5</v>
      </c>
      <c r="M515" s="45">
        <f ca="1">IFERROR(__xludf.DUMMYFUNCTION("""COMPUTED_VALUE"""),165)</f>
        <v>165</v>
      </c>
      <c r="N515" s="45">
        <f ca="1">IFERROR(__xludf.DUMMYFUNCTION("""COMPUTED_VALUE"""),24.443)</f>
        <v>24.443000000000001</v>
      </c>
      <c r="O515" s="45">
        <f ca="1">IFERROR(__xludf.DUMMYFUNCTION("""COMPUTED_VALUE"""),0.316)</f>
        <v>0.316</v>
      </c>
      <c r="P515" s="45" t="str">
        <f ca="1">IFERROR(__xludf.DUMMYFUNCTION("""COMPUTED_VALUE"""),"Colombo, LK")</f>
        <v>Colombo, LK</v>
      </c>
      <c r="Q515" s="45" t="str">
        <f ca="1">IFERROR(__xludf.DUMMYFUNCTION("""COMPUTED_VALUE"""),"New York, NY, US")</f>
        <v>New York, NY, US</v>
      </c>
      <c r="R515" s="44">
        <f ca="1">IFERROR(__xludf.DUMMYFUNCTION("""COMPUTED_VALUE"""),45824)</f>
        <v>45824</v>
      </c>
      <c r="S515" s="44">
        <f ca="1">IFERROR(__xludf.DUMMYFUNCTION("""COMPUTED_VALUE"""),45888)</f>
        <v>45888</v>
      </c>
      <c r="T515" s="45" t="str">
        <f ca="1">IFERROR(__xludf.DUMMYFUNCTION("""COMPUTED_VALUE"""),"Mississauga, ON, CA")</f>
        <v>Mississauga, ON, CA</v>
      </c>
      <c r="U515" s="45"/>
      <c r="V515" s="45"/>
      <c r="W515" s="45"/>
      <c r="X515" s="45"/>
      <c r="Y515" s="46">
        <f ca="1">IFERROR(__xludf.DUMMYFUNCTION("""COMPUTED_VALUE"""),45832)</f>
        <v>45832</v>
      </c>
      <c r="Z515" s="46">
        <f ca="1">IFERROR(__xludf.DUMMYFUNCTION("""COMPUTED_VALUE"""),45861)</f>
        <v>45861</v>
      </c>
      <c r="AA515" s="46">
        <f ca="1">IFERROR(__xludf.DUMMYFUNCTION("""COMPUTED_VALUE"""),45874)</f>
        <v>45874</v>
      </c>
      <c r="AB515" s="45" t="str">
        <f ca="1">IFERROR(__xludf.DUMMYFUNCTION("""COMPUTED_VALUE"""),"3500 Argentia Road")</f>
        <v>3500 Argentia Road</v>
      </c>
      <c r="AC515" s="45"/>
      <c r="AD515" s="45" t="str">
        <f ca="1">IFERROR(__xludf.DUMMYFUNCTION("""COMPUTED_VALUE"""),"OCEAN")</f>
        <v>OCEAN</v>
      </c>
      <c r="AE515" s="45" t="str">
        <f ca="1">IFERROR(__xludf.DUMMYFUNCTION("""COMPUTED_VALUE"""),"N")</f>
        <v>N</v>
      </c>
      <c r="AF515" s="45"/>
      <c r="AG515" s="49" t="str">
        <f ca="1">IFERROR(__xludf.DUMMYFUNCTION("IFNA(vlookup(H515,IMPORTRANGE(""1vUGwO1n0QQGx9kKbO0_M5gmuhXZ6-LaxQxgrmJnzgP0"",""'TP# look up'!A:C""),3,0),"""")"),"")</f>
        <v/>
      </c>
      <c r="AH515" s="49" t="str">
        <f t="shared" ca="1" si="8"/>
        <v>LW</v>
      </c>
    </row>
    <row r="516" spans="1:34" ht="12.75">
      <c r="A516" s="45" t="str">
        <f ca="1">IFERROR(__xludf.DUMMYFUNCTION("""COMPUTED_VALUE"""),"Colombo")</f>
        <v>Colombo</v>
      </c>
      <c r="B516" s="45"/>
      <c r="C516" s="45">
        <f ca="1">IFERROR(__xludf.DUMMYFUNCTION("""COMPUTED_VALUE"""),3254508)</f>
        <v>3254508</v>
      </c>
      <c r="D516" s="45"/>
      <c r="E516" s="45" t="str">
        <f ca="1">IFERROR(__xludf.DUMMYFUNCTION("""COMPUTED_VALUE"""),"CFS")</f>
        <v>CFS</v>
      </c>
      <c r="F516" s="45" t="str">
        <f ca="1">IFERROR(__xludf.DUMMYFUNCTION("""COMPUTED_VALUE"""),"MAS AMITY PTE LTD")</f>
        <v>MAS AMITY PTE LTD</v>
      </c>
      <c r="G516" s="45" t="str">
        <f ca="1">IFERROR(__xludf.DUMMYFUNCTION("""COMPUTED_VALUE"""),"MAS Active (Pvt) Ltd - Linea Intimo")</f>
        <v>MAS Active (Pvt) Ltd - Linea Intimo</v>
      </c>
      <c r="H516" s="43">
        <f ca="1">IFERROR(__xludf.DUMMYFUNCTION("""COMPUTED_VALUE"""),454724642367)</f>
        <v>454724642367</v>
      </c>
      <c r="I516" s="45">
        <f ca="1">IFERROR(__xludf.DUMMYFUNCTION("""COMPUTED_VALUE"""),91018987)</f>
        <v>91018987</v>
      </c>
      <c r="J516" s="45" t="str">
        <f ca="1">IFERROR(__xludf.DUMMYFUNCTION("""COMPUTED_VALUE"""),"LW1ERWS")</f>
        <v>LW1ERWS</v>
      </c>
      <c r="K516" s="45" t="str">
        <f ca="1">IFERROR(__xludf.DUMMYFUNCTION("""COMPUTED_VALUE"""),"LW1ERWS-4780")</f>
        <v>LW1ERWS-4780</v>
      </c>
      <c r="L516" s="45">
        <f ca="1">IFERROR(__xludf.DUMMYFUNCTION("""COMPUTED_VALUE"""),5)</f>
        <v>5</v>
      </c>
      <c r="M516" s="45">
        <f ca="1">IFERROR(__xludf.DUMMYFUNCTION("""COMPUTED_VALUE"""),255)</f>
        <v>255</v>
      </c>
      <c r="N516" s="45">
        <f ca="1">IFERROR(__xludf.DUMMYFUNCTION("""COMPUTED_VALUE"""),35.723)</f>
        <v>35.722999999999999</v>
      </c>
      <c r="O516" s="45">
        <f ca="1">IFERROR(__xludf.DUMMYFUNCTION("""COMPUTED_VALUE"""),0.395)</f>
        <v>0.39500000000000002</v>
      </c>
      <c r="P516" s="45" t="str">
        <f ca="1">IFERROR(__xludf.DUMMYFUNCTION("""COMPUTED_VALUE"""),"Colombo, LK")</f>
        <v>Colombo, LK</v>
      </c>
      <c r="Q516" s="45" t="str">
        <f ca="1">IFERROR(__xludf.DUMMYFUNCTION("""COMPUTED_VALUE"""),"New York, NY, US")</f>
        <v>New York, NY, US</v>
      </c>
      <c r="R516" s="44">
        <f ca="1">IFERROR(__xludf.DUMMYFUNCTION("""COMPUTED_VALUE"""),45824)</f>
        <v>45824</v>
      </c>
      <c r="S516" s="44">
        <f ca="1">IFERROR(__xludf.DUMMYFUNCTION("""COMPUTED_VALUE"""),45888)</f>
        <v>45888</v>
      </c>
      <c r="T516" s="45" t="str">
        <f ca="1">IFERROR(__xludf.DUMMYFUNCTION("""COMPUTED_VALUE"""),"Mississauga, ON, CA")</f>
        <v>Mississauga, ON, CA</v>
      </c>
      <c r="U516" s="45"/>
      <c r="V516" s="45"/>
      <c r="W516" s="45"/>
      <c r="X516" s="45"/>
      <c r="Y516" s="46">
        <f ca="1">IFERROR(__xludf.DUMMYFUNCTION("""COMPUTED_VALUE"""),45832)</f>
        <v>45832</v>
      </c>
      <c r="Z516" s="46">
        <f ca="1">IFERROR(__xludf.DUMMYFUNCTION("""COMPUTED_VALUE"""),45861)</f>
        <v>45861</v>
      </c>
      <c r="AA516" s="46">
        <f ca="1">IFERROR(__xludf.DUMMYFUNCTION("""COMPUTED_VALUE"""),45874)</f>
        <v>45874</v>
      </c>
      <c r="AB516" s="45" t="str">
        <f ca="1">IFERROR(__xludf.DUMMYFUNCTION("""COMPUTED_VALUE"""),"3500 Argentia Road")</f>
        <v>3500 Argentia Road</v>
      </c>
      <c r="AC516" s="45"/>
      <c r="AD516" s="45" t="str">
        <f ca="1">IFERROR(__xludf.DUMMYFUNCTION("""COMPUTED_VALUE"""),"OCEAN")</f>
        <v>OCEAN</v>
      </c>
      <c r="AE516" s="45" t="str">
        <f ca="1">IFERROR(__xludf.DUMMYFUNCTION("""COMPUTED_VALUE"""),"N")</f>
        <v>N</v>
      </c>
      <c r="AF516" s="45"/>
      <c r="AG516" s="49" t="str">
        <f ca="1">IFERROR(__xludf.DUMMYFUNCTION("IFNA(vlookup(H516,IMPORTRANGE(""1vUGwO1n0QQGx9kKbO0_M5gmuhXZ6-LaxQxgrmJnzgP0"",""'TP# look up'!A:C""),3,0),"""")"),"")</f>
        <v/>
      </c>
      <c r="AH516" s="49" t="str">
        <f t="shared" ca="1" si="8"/>
        <v>LW</v>
      </c>
    </row>
    <row r="517" spans="1:34" ht="12.75">
      <c r="A517" s="45" t="str">
        <f ca="1">IFERROR(__xludf.DUMMYFUNCTION("""COMPUTED_VALUE"""),"Colombo")</f>
        <v>Colombo</v>
      </c>
      <c r="B517" s="45"/>
      <c r="C517" s="45">
        <f ca="1">IFERROR(__xludf.DUMMYFUNCTION("""COMPUTED_VALUE"""),3254508)</f>
        <v>3254508</v>
      </c>
      <c r="D517" s="45"/>
      <c r="E517" s="45" t="str">
        <f ca="1">IFERROR(__xludf.DUMMYFUNCTION("""COMPUTED_VALUE"""),"CFS")</f>
        <v>CFS</v>
      </c>
      <c r="F517" s="45" t="str">
        <f ca="1">IFERROR(__xludf.DUMMYFUNCTION("""COMPUTED_VALUE"""),"MAS AMITY PTE LTD")</f>
        <v>MAS AMITY PTE LTD</v>
      </c>
      <c r="G517" s="45" t="str">
        <f ca="1">IFERROR(__xludf.DUMMYFUNCTION("""COMPUTED_VALUE"""),"MAS Active (Pvt) Ltd - Linea Intimo")</f>
        <v>MAS Active (Pvt) Ltd - Linea Intimo</v>
      </c>
      <c r="H517" s="43">
        <f ca="1">IFERROR(__xludf.DUMMYFUNCTION("""COMPUTED_VALUE"""),454724680701)</f>
        <v>454724680701</v>
      </c>
      <c r="I517" s="45">
        <f ca="1">IFERROR(__xludf.DUMMYFUNCTION("""COMPUTED_VALUE"""),91018990)</f>
        <v>91018990</v>
      </c>
      <c r="J517" s="45" t="str">
        <f ca="1">IFERROR(__xludf.DUMMYFUNCTION("""COMPUTED_VALUE"""),"LW1DMJS")</f>
        <v>LW1DMJS</v>
      </c>
      <c r="K517" s="45" t="str">
        <f ca="1">IFERROR(__xludf.DUMMYFUNCTION("""COMPUTED_VALUE"""),"LW1DMJS-012826")</f>
        <v>LW1DMJS-012826</v>
      </c>
      <c r="L517" s="45">
        <f ca="1">IFERROR(__xludf.DUMMYFUNCTION("""COMPUTED_VALUE"""),21)</f>
        <v>21</v>
      </c>
      <c r="M517" s="45">
        <f ca="1">IFERROR(__xludf.DUMMYFUNCTION("""COMPUTED_VALUE"""),2101)</f>
        <v>2101</v>
      </c>
      <c r="N517" s="45">
        <f ca="1">IFERROR(__xludf.DUMMYFUNCTION("""COMPUTED_VALUE"""),161.66)</f>
        <v>161.66</v>
      </c>
      <c r="O517" s="45">
        <f ca="1">IFERROR(__xludf.DUMMYFUNCTION("""COMPUTED_VALUE"""),1.586)</f>
        <v>1.5860000000000001</v>
      </c>
      <c r="P517" s="45" t="str">
        <f ca="1">IFERROR(__xludf.DUMMYFUNCTION("""COMPUTED_VALUE"""),"Colombo, LK")</f>
        <v>Colombo, LK</v>
      </c>
      <c r="Q517" s="45" t="str">
        <f ca="1">IFERROR(__xludf.DUMMYFUNCTION("""COMPUTED_VALUE"""),"New York, NY, US")</f>
        <v>New York, NY, US</v>
      </c>
      <c r="R517" s="44">
        <f ca="1">IFERROR(__xludf.DUMMYFUNCTION("""COMPUTED_VALUE"""),45824)</f>
        <v>45824</v>
      </c>
      <c r="S517" s="44">
        <f ca="1">IFERROR(__xludf.DUMMYFUNCTION("""COMPUTED_VALUE"""),45888)</f>
        <v>45888</v>
      </c>
      <c r="T517" s="45" t="str">
        <f ca="1">IFERROR(__xludf.DUMMYFUNCTION("""COMPUTED_VALUE"""),"Milton, ON, CA")</f>
        <v>Milton, ON, CA</v>
      </c>
      <c r="U517" s="45"/>
      <c r="V517" s="45"/>
      <c r="W517" s="45"/>
      <c r="X517" s="45"/>
      <c r="Y517" s="46">
        <f ca="1">IFERROR(__xludf.DUMMYFUNCTION("""COMPUTED_VALUE"""),45832)</f>
        <v>45832</v>
      </c>
      <c r="Z517" s="46">
        <f ca="1">IFERROR(__xludf.DUMMYFUNCTION("""COMPUTED_VALUE"""),45861)</f>
        <v>45861</v>
      </c>
      <c r="AA517" s="46">
        <f ca="1">IFERROR(__xludf.DUMMYFUNCTION("""COMPUTED_VALUE"""),45874)</f>
        <v>45874</v>
      </c>
      <c r="AB517" s="45" t="str">
        <f ca="1">IFERROR(__xludf.DUMMYFUNCTION("""COMPUTED_VALUE"""),"7211 Fifth Line")</f>
        <v>7211 Fifth Line</v>
      </c>
      <c r="AC517" s="45"/>
      <c r="AD517" s="45" t="str">
        <f ca="1">IFERROR(__xludf.DUMMYFUNCTION("""COMPUTED_VALUE"""),"OCEAN")</f>
        <v>OCEAN</v>
      </c>
      <c r="AE517" s="45" t="str">
        <f ca="1">IFERROR(__xludf.DUMMYFUNCTION("""COMPUTED_VALUE"""),"N")</f>
        <v>N</v>
      </c>
      <c r="AF517" s="45"/>
      <c r="AG517" s="49" t="str">
        <f ca="1">IFERROR(__xludf.DUMMYFUNCTION("IFNA(vlookup(H517,IMPORTRANGE(""1vUGwO1n0QQGx9kKbO0_M5gmuhXZ6-LaxQxgrmJnzgP0"",""'TP# look up'!A:C""),3,0),"""")"),"")</f>
        <v/>
      </c>
      <c r="AH517" s="49" t="str">
        <f t="shared" ca="1" si="8"/>
        <v>LW</v>
      </c>
    </row>
    <row r="518" spans="1:34" ht="12.75">
      <c r="A518" s="45" t="str">
        <f ca="1">IFERROR(__xludf.DUMMYFUNCTION("""COMPUTED_VALUE"""),"Colombo")</f>
        <v>Colombo</v>
      </c>
      <c r="B518" s="45"/>
      <c r="C518" s="45">
        <f ca="1">IFERROR(__xludf.DUMMYFUNCTION("""COMPUTED_VALUE"""),3254508)</f>
        <v>3254508</v>
      </c>
      <c r="D518" s="45"/>
      <c r="E518" s="45" t="str">
        <f ca="1">IFERROR(__xludf.DUMMYFUNCTION("""COMPUTED_VALUE"""),"CFS")</f>
        <v>CFS</v>
      </c>
      <c r="F518" s="45" t="str">
        <f ca="1">IFERROR(__xludf.DUMMYFUNCTION("""COMPUTED_VALUE"""),"MAS AMITY PTE LTD")</f>
        <v>MAS AMITY PTE LTD</v>
      </c>
      <c r="G518" s="45" t="str">
        <f ca="1">IFERROR(__xludf.DUMMYFUNCTION("""COMPUTED_VALUE"""),"MAS Active (Pvt) Ltd - Linea Intimo")</f>
        <v>MAS Active (Pvt) Ltd - Linea Intimo</v>
      </c>
      <c r="H518" s="43">
        <f ca="1">IFERROR(__xludf.DUMMYFUNCTION("""COMPUTED_VALUE"""),454724758343)</f>
        <v>454724758343</v>
      </c>
      <c r="I518" s="45">
        <f ca="1">IFERROR(__xludf.DUMMYFUNCTION("""COMPUTED_VALUE"""),91019091)</f>
        <v>91019091</v>
      </c>
      <c r="J518" s="45" t="str">
        <f ca="1">IFERROR(__xludf.DUMMYFUNCTION("""COMPUTED_VALUE"""),"LW1FAPS")</f>
        <v>LW1FAPS</v>
      </c>
      <c r="K518" s="45" t="str">
        <f ca="1">IFERROR(__xludf.DUMMYFUNCTION("""COMPUTED_VALUE"""),"LW1FAPS-012826")</f>
        <v>LW1FAPS-012826</v>
      </c>
      <c r="L518" s="45">
        <f ca="1">IFERROR(__xludf.DUMMYFUNCTION("""COMPUTED_VALUE"""),5)</f>
        <v>5</v>
      </c>
      <c r="M518" s="45">
        <f ca="1">IFERROR(__xludf.DUMMYFUNCTION("""COMPUTED_VALUE"""),322)</f>
        <v>322</v>
      </c>
      <c r="N518" s="45">
        <f ca="1">IFERROR(__xludf.DUMMYFUNCTION("""COMPUTED_VALUE"""),20.167)</f>
        <v>20.167000000000002</v>
      </c>
      <c r="O518" s="45">
        <f ca="1">IFERROR(__xludf.DUMMYFUNCTION("""COMPUTED_VALUE"""),0.276)</f>
        <v>0.27600000000000002</v>
      </c>
      <c r="P518" s="45" t="str">
        <f ca="1">IFERROR(__xludf.DUMMYFUNCTION("""COMPUTED_VALUE"""),"Colombo, LK")</f>
        <v>Colombo, LK</v>
      </c>
      <c r="Q518" s="45" t="str">
        <f ca="1">IFERROR(__xludf.DUMMYFUNCTION("""COMPUTED_VALUE"""),"New York, NY, US")</f>
        <v>New York, NY, US</v>
      </c>
      <c r="R518" s="44">
        <f ca="1">IFERROR(__xludf.DUMMYFUNCTION("""COMPUTED_VALUE"""),45824)</f>
        <v>45824</v>
      </c>
      <c r="S518" s="44">
        <f ca="1">IFERROR(__xludf.DUMMYFUNCTION("""COMPUTED_VALUE"""),45888)</f>
        <v>45888</v>
      </c>
      <c r="T518" s="45" t="str">
        <f ca="1">IFERROR(__xludf.DUMMYFUNCTION("""COMPUTED_VALUE"""),"Mississauga, ON, CA")</f>
        <v>Mississauga, ON, CA</v>
      </c>
      <c r="U518" s="45"/>
      <c r="V518" s="45"/>
      <c r="W518" s="45"/>
      <c r="X518" s="45"/>
      <c r="Y518" s="46">
        <f ca="1">IFERROR(__xludf.DUMMYFUNCTION("""COMPUTED_VALUE"""),45832)</f>
        <v>45832</v>
      </c>
      <c r="Z518" s="46">
        <f ca="1">IFERROR(__xludf.DUMMYFUNCTION("""COMPUTED_VALUE"""),45861)</f>
        <v>45861</v>
      </c>
      <c r="AA518" s="46">
        <f ca="1">IFERROR(__xludf.DUMMYFUNCTION("""COMPUTED_VALUE"""),45874)</f>
        <v>45874</v>
      </c>
      <c r="AB518" s="45" t="str">
        <f ca="1">IFERROR(__xludf.DUMMYFUNCTION("""COMPUTED_VALUE"""),"3500 Argentia Road")</f>
        <v>3500 Argentia Road</v>
      </c>
      <c r="AC518" s="45"/>
      <c r="AD518" s="45" t="str">
        <f ca="1">IFERROR(__xludf.DUMMYFUNCTION("""COMPUTED_VALUE"""),"OCEAN")</f>
        <v>OCEAN</v>
      </c>
      <c r="AE518" s="45" t="str">
        <f ca="1">IFERROR(__xludf.DUMMYFUNCTION("""COMPUTED_VALUE"""),"N")</f>
        <v>N</v>
      </c>
      <c r="AF518" s="45"/>
      <c r="AG518" s="49" t="str">
        <f ca="1">IFERROR(__xludf.DUMMYFUNCTION("IFNA(vlookup(H518,IMPORTRANGE(""1vUGwO1n0QQGx9kKbO0_M5gmuhXZ6-LaxQxgrmJnzgP0"",""'TP# look up'!A:C""),3,0),"""")"),"")</f>
        <v/>
      </c>
      <c r="AH518" s="49" t="str">
        <f t="shared" ca="1" si="8"/>
        <v>LW</v>
      </c>
    </row>
    <row r="519" spans="1:34" ht="12.75">
      <c r="A519" s="45" t="str">
        <f ca="1">IFERROR(__xludf.DUMMYFUNCTION("""COMPUTED_VALUE"""),"Colombo")</f>
        <v>Colombo</v>
      </c>
      <c r="B519" s="45"/>
      <c r="C519" s="45">
        <f ca="1">IFERROR(__xludf.DUMMYFUNCTION("""COMPUTED_VALUE"""),3254508)</f>
        <v>3254508</v>
      </c>
      <c r="D519" s="45"/>
      <c r="E519" s="45" t="str">
        <f ca="1">IFERROR(__xludf.DUMMYFUNCTION("""COMPUTED_VALUE"""),"CFS")</f>
        <v>CFS</v>
      </c>
      <c r="F519" s="45" t="str">
        <f ca="1">IFERROR(__xludf.DUMMYFUNCTION("""COMPUTED_VALUE"""),"MAS AMITY PTE LTD")</f>
        <v>MAS AMITY PTE LTD</v>
      </c>
      <c r="G519" s="45" t="str">
        <f ca="1">IFERROR(__xludf.DUMMYFUNCTION("""COMPUTED_VALUE"""),"MAS Active (Pvt) Ltd - Linea Intimo")</f>
        <v>MAS Active (Pvt) Ltd - Linea Intimo</v>
      </c>
      <c r="H519" s="43">
        <f ca="1">IFERROR(__xludf.DUMMYFUNCTION("""COMPUTED_VALUE"""),454724803920)</f>
        <v>454724803920</v>
      </c>
      <c r="I519" s="45">
        <f ca="1">IFERROR(__xludf.DUMMYFUNCTION("""COMPUTED_VALUE"""),91019028)</f>
        <v>91019028</v>
      </c>
      <c r="J519" s="45" t="str">
        <f ca="1">IFERROR(__xludf.DUMMYFUNCTION("""COMPUTED_VALUE"""),"LW1DMJS")</f>
        <v>LW1DMJS</v>
      </c>
      <c r="K519" s="45" t="str">
        <f ca="1">IFERROR(__xludf.DUMMYFUNCTION("""COMPUTED_VALUE"""),"LW1DMJS-0572")</f>
        <v>LW1DMJS-0572</v>
      </c>
      <c r="L519" s="45">
        <f ca="1">IFERROR(__xludf.DUMMYFUNCTION("""COMPUTED_VALUE"""),9)</f>
        <v>9</v>
      </c>
      <c r="M519" s="45">
        <f ca="1">IFERROR(__xludf.DUMMYFUNCTION("""COMPUTED_VALUE"""),792)</f>
        <v>792</v>
      </c>
      <c r="N519" s="45">
        <f ca="1">IFERROR(__xludf.DUMMYFUNCTION("""COMPUTED_VALUE"""),64.886)</f>
        <v>64.885999999999996</v>
      </c>
      <c r="O519" s="45">
        <f ca="1">IFERROR(__xludf.DUMMYFUNCTION("""COMPUTED_VALUE"""),0.671)</f>
        <v>0.67100000000000004</v>
      </c>
      <c r="P519" s="45" t="str">
        <f ca="1">IFERROR(__xludf.DUMMYFUNCTION("""COMPUTED_VALUE"""),"Colombo, LK")</f>
        <v>Colombo, LK</v>
      </c>
      <c r="Q519" s="45" t="str">
        <f ca="1">IFERROR(__xludf.DUMMYFUNCTION("""COMPUTED_VALUE"""),"New York, NY, US")</f>
        <v>New York, NY, US</v>
      </c>
      <c r="R519" s="44">
        <f ca="1">IFERROR(__xludf.DUMMYFUNCTION("""COMPUTED_VALUE"""),45824)</f>
        <v>45824</v>
      </c>
      <c r="S519" s="44">
        <f ca="1">IFERROR(__xludf.DUMMYFUNCTION("""COMPUTED_VALUE"""),45888)</f>
        <v>45888</v>
      </c>
      <c r="T519" s="45" t="str">
        <f ca="1">IFERROR(__xludf.DUMMYFUNCTION("""COMPUTED_VALUE"""),"Mississauga, ON, CA")</f>
        <v>Mississauga, ON, CA</v>
      </c>
      <c r="U519" s="45"/>
      <c r="V519" s="45"/>
      <c r="W519" s="45"/>
      <c r="X519" s="45"/>
      <c r="Y519" s="46">
        <f ca="1">IFERROR(__xludf.DUMMYFUNCTION("""COMPUTED_VALUE"""),45832)</f>
        <v>45832</v>
      </c>
      <c r="Z519" s="46">
        <f ca="1">IFERROR(__xludf.DUMMYFUNCTION("""COMPUTED_VALUE"""),45861)</f>
        <v>45861</v>
      </c>
      <c r="AA519" s="46">
        <f ca="1">IFERROR(__xludf.DUMMYFUNCTION("""COMPUTED_VALUE"""),45874)</f>
        <v>45874</v>
      </c>
      <c r="AB519" s="45" t="str">
        <f ca="1">IFERROR(__xludf.DUMMYFUNCTION("""COMPUTED_VALUE"""),"3500 Argentia Road")</f>
        <v>3500 Argentia Road</v>
      </c>
      <c r="AC519" s="45"/>
      <c r="AD519" s="45" t="str">
        <f ca="1">IFERROR(__xludf.DUMMYFUNCTION("""COMPUTED_VALUE"""),"OCEAN")</f>
        <v>OCEAN</v>
      </c>
      <c r="AE519" s="45" t="str">
        <f ca="1">IFERROR(__xludf.DUMMYFUNCTION("""COMPUTED_VALUE"""),"N")</f>
        <v>N</v>
      </c>
      <c r="AF519" s="45"/>
      <c r="AG519" s="49" t="str">
        <f ca="1">IFERROR(__xludf.DUMMYFUNCTION("IFNA(vlookup(H519,IMPORTRANGE(""1vUGwO1n0QQGx9kKbO0_M5gmuhXZ6-LaxQxgrmJnzgP0"",""'TP# look up'!A:C""),3,0),"""")"),"")</f>
        <v/>
      </c>
      <c r="AH519" s="49" t="str">
        <f t="shared" ca="1" si="8"/>
        <v>LW</v>
      </c>
    </row>
    <row r="520" spans="1:34" ht="12.75">
      <c r="A520" s="45" t="str">
        <f ca="1">IFERROR(__xludf.DUMMYFUNCTION("""COMPUTED_VALUE"""),"Colombo")</f>
        <v>Colombo</v>
      </c>
      <c r="B520" s="45"/>
      <c r="C520" s="45">
        <f ca="1">IFERROR(__xludf.DUMMYFUNCTION("""COMPUTED_VALUE"""),3254508)</f>
        <v>3254508</v>
      </c>
      <c r="D520" s="45"/>
      <c r="E520" s="45" t="str">
        <f ca="1">IFERROR(__xludf.DUMMYFUNCTION("""COMPUTED_VALUE"""),"CFS")</f>
        <v>CFS</v>
      </c>
      <c r="F520" s="45" t="str">
        <f ca="1">IFERROR(__xludf.DUMMYFUNCTION("""COMPUTED_VALUE"""),"MAS AMITY PTE LTD")</f>
        <v>MAS AMITY PTE LTD</v>
      </c>
      <c r="G520" s="45" t="str">
        <f ca="1">IFERROR(__xludf.DUMMYFUNCTION("""COMPUTED_VALUE"""),"MAS Active (Pvt) Ltd - Linea Intimo")</f>
        <v>MAS Active (Pvt) Ltd - Linea Intimo</v>
      </c>
      <c r="H520" s="43">
        <f ca="1">IFERROR(__xludf.DUMMYFUNCTION("""COMPUTED_VALUE"""),454725048313)</f>
        <v>454725048313</v>
      </c>
      <c r="I520" s="45">
        <f ca="1">IFERROR(__xludf.DUMMYFUNCTION("""COMPUTED_VALUE"""),91019031)</f>
        <v>91019031</v>
      </c>
      <c r="J520" s="45" t="str">
        <f ca="1">IFERROR(__xludf.DUMMYFUNCTION("""COMPUTED_VALUE"""),"LW1DMJS")</f>
        <v>LW1DMJS</v>
      </c>
      <c r="K520" s="45" t="str">
        <f ca="1">IFERROR(__xludf.DUMMYFUNCTION("""COMPUTED_VALUE"""),"LW1DMJS-0572")</f>
        <v>LW1DMJS-0572</v>
      </c>
      <c r="L520" s="45">
        <f ca="1">IFERROR(__xludf.DUMMYFUNCTION("""COMPUTED_VALUE"""),7)</f>
        <v>7</v>
      </c>
      <c r="M520" s="45">
        <f ca="1">IFERROR(__xludf.DUMMYFUNCTION("""COMPUTED_VALUE"""),549)</f>
        <v>549</v>
      </c>
      <c r="N520" s="45">
        <f ca="1">IFERROR(__xludf.DUMMYFUNCTION("""COMPUTED_VALUE"""),49.487)</f>
        <v>49.487000000000002</v>
      </c>
      <c r="O520" s="45">
        <f ca="1">IFERROR(__xludf.DUMMYFUNCTION("""COMPUTED_VALUE"""),0.513)</f>
        <v>0.51300000000000001</v>
      </c>
      <c r="P520" s="45" t="str">
        <f ca="1">IFERROR(__xludf.DUMMYFUNCTION("""COMPUTED_VALUE"""),"Colombo, LK")</f>
        <v>Colombo, LK</v>
      </c>
      <c r="Q520" s="45" t="str">
        <f ca="1">IFERROR(__xludf.DUMMYFUNCTION("""COMPUTED_VALUE"""),"New York, NY, US")</f>
        <v>New York, NY, US</v>
      </c>
      <c r="R520" s="44">
        <f ca="1">IFERROR(__xludf.DUMMYFUNCTION("""COMPUTED_VALUE"""),45824)</f>
        <v>45824</v>
      </c>
      <c r="S520" s="44">
        <f ca="1">IFERROR(__xludf.DUMMYFUNCTION("""COMPUTED_VALUE"""),45888)</f>
        <v>45888</v>
      </c>
      <c r="T520" s="45" t="str">
        <f ca="1">IFERROR(__xludf.DUMMYFUNCTION("""COMPUTED_VALUE"""),"Milton, ON, CA")</f>
        <v>Milton, ON, CA</v>
      </c>
      <c r="U520" s="45"/>
      <c r="V520" s="45"/>
      <c r="W520" s="45"/>
      <c r="X520" s="45"/>
      <c r="Y520" s="46">
        <f ca="1">IFERROR(__xludf.DUMMYFUNCTION("""COMPUTED_VALUE"""),45832)</f>
        <v>45832</v>
      </c>
      <c r="Z520" s="46">
        <f ca="1">IFERROR(__xludf.DUMMYFUNCTION("""COMPUTED_VALUE"""),45861)</f>
        <v>45861</v>
      </c>
      <c r="AA520" s="46">
        <f ca="1">IFERROR(__xludf.DUMMYFUNCTION("""COMPUTED_VALUE"""),45874)</f>
        <v>45874</v>
      </c>
      <c r="AB520" s="45" t="str">
        <f ca="1">IFERROR(__xludf.DUMMYFUNCTION("""COMPUTED_VALUE"""),"7211 Fifth Line")</f>
        <v>7211 Fifth Line</v>
      </c>
      <c r="AC520" s="45"/>
      <c r="AD520" s="45" t="str">
        <f ca="1">IFERROR(__xludf.DUMMYFUNCTION("""COMPUTED_VALUE"""),"OCEAN")</f>
        <v>OCEAN</v>
      </c>
      <c r="AE520" s="45" t="str">
        <f ca="1">IFERROR(__xludf.DUMMYFUNCTION("""COMPUTED_VALUE"""),"N")</f>
        <v>N</v>
      </c>
      <c r="AF520" s="45"/>
      <c r="AG520" s="49" t="str">
        <f ca="1">IFERROR(__xludf.DUMMYFUNCTION("IFNA(vlookup(H520,IMPORTRANGE(""1vUGwO1n0QQGx9kKbO0_M5gmuhXZ6-LaxQxgrmJnzgP0"",""'TP# look up'!A:C""),3,0),"""")"),"")</f>
        <v/>
      </c>
      <c r="AH520" s="49" t="str">
        <f t="shared" ca="1" si="8"/>
        <v>LW</v>
      </c>
    </row>
    <row r="521" spans="1:34" ht="12.75">
      <c r="A521" s="45" t="str">
        <f ca="1">IFERROR(__xludf.DUMMYFUNCTION("""COMPUTED_VALUE"""),"Colombo")</f>
        <v>Colombo</v>
      </c>
      <c r="B521" s="45"/>
      <c r="C521" s="45">
        <f ca="1">IFERROR(__xludf.DUMMYFUNCTION("""COMPUTED_VALUE"""),3254508)</f>
        <v>3254508</v>
      </c>
      <c r="D521" s="45"/>
      <c r="E521" s="45" t="str">
        <f ca="1">IFERROR(__xludf.DUMMYFUNCTION("""COMPUTED_VALUE"""),"CFS")</f>
        <v>CFS</v>
      </c>
      <c r="F521" s="45" t="str">
        <f ca="1">IFERROR(__xludf.DUMMYFUNCTION("""COMPUTED_VALUE"""),"MAS AMITY PTE LTD")</f>
        <v>MAS AMITY PTE LTD</v>
      </c>
      <c r="G521" s="45" t="str">
        <f ca="1">IFERROR(__xludf.DUMMYFUNCTION("""COMPUTED_VALUE"""),"MAS Active (Pvt) Ltd - Linea Intimo")</f>
        <v>MAS Active (Pvt) Ltd - Linea Intimo</v>
      </c>
      <c r="H521" s="43">
        <f ca="1">IFERROR(__xludf.DUMMYFUNCTION("""COMPUTED_VALUE"""),454725048506)</f>
        <v>454725048506</v>
      </c>
      <c r="I521" s="45">
        <f ca="1">IFERROR(__xludf.DUMMYFUNCTION("""COMPUTED_VALUE"""),91019041)</f>
        <v>91019041</v>
      </c>
      <c r="J521" s="45" t="str">
        <f ca="1">IFERROR(__xludf.DUMMYFUNCTION("""COMPUTED_VALUE"""),"LW1DMJS")</f>
        <v>LW1DMJS</v>
      </c>
      <c r="K521" s="45" t="str">
        <f ca="1">IFERROR(__xludf.DUMMYFUNCTION("""COMPUTED_VALUE"""),"LW1DMJS-012826")</f>
        <v>LW1DMJS-012826</v>
      </c>
      <c r="L521" s="45">
        <f ca="1">IFERROR(__xludf.DUMMYFUNCTION("""COMPUTED_VALUE"""),18)</f>
        <v>18</v>
      </c>
      <c r="M521" s="45">
        <f ca="1">IFERROR(__xludf.DUMMYFUNCTION("""COMPUTED_VALUE"""),1938)</f>
        <v>1938</v>
      </c>
      <c r="N521" s="45">
        <f ca="1">IFERROR(__xludf.DUMMYFUNCTION("""COMPUTED_VALUE"""),149.72)</f>
        <v>149.72</v>
      </c>
      <c r="O521" s="45">
        <f ca="1">IFERROR(__xludf.DUMMYFUNCTION("""COMPUTED_VALUE"""),1.428)</f>
        <v>1.4279999999999999</v>
      </c>
      <c r="P521" s="45" t="str">
        <f ca="1">IFERROR(__xludf.DUMMYFUNCTION("""COMPUTED_VALUE"""),"Colombo, LK")</f>
        <v>Colombo, LK</v>
      </c>
      <c r="Q521" s="45" t="str">
        <f ca="1">IFERROR(__xludf.DUMMYFUNCTION("""COMPUTED_VALUE"""),"New York, NY, US")</f>
        <v>New York, NY, US</v>
      </c>
      <c r="R521" s="44">
        <f ca="1">IFERROR(__xludf.DUMMYFUNCTION("""COMPUTED_VALUE"""),45824)</f>
        <v>45824</v>
      </c>
      <c r="S521" s="44">
        <f ca="1">IFERROR(__xludf.DUMMYFUNCTION("""COMPUTED_VALUE"""),45888)</f>
        <v>45888</v>
      </c>
      <c r="T521" s="45" t="str">
        <f ca="1">IFERROR(__xludf.DUMMYFUNCTION("""COMPUTED_VALUE"""),"Mississauga, ON, CA")</f>
        <v>Mississauga, ON, CA</v>
      </c>
      <c r="U521" s="45"/>
      <c r="V521" s="45"/>
      <c r="W521" s="45"/>
      <c r="X521" s="45"/>
      <c r="Y521" s="46">
        <f ca="1">IFERROR(__xludf.DUMMYFUNCTION("""COMPUTED_VALUE"""),45832)</f>
        <v>45832</v>
      </c>
      <c r="Z521" s="46">
        <f ca="1">IFERROR(__xludf.DUMMYFUNCTION("""COMPUTED_VALUE"""),45861)</f>
        <v>45861</v>
      </c>
      <c r="AA521" s="46">
        <f ca="1">IFERROR(__xludf.DUMMYFUNCTION("""COMPUTED_VALUE"""),45874)</f>
        <v>45874</v>
      </c>
      <c r="AB521" s="45" t="str">
        <f ca="1">IFERROR(__xludf.DUMMYFUNCTION("""COMPUTED_VALUE"""),"3500 Argentia Road")</f>
        <v>3500 Argentia Road</v>
      </c>
      <c r="AC521" s="45"/>
      <c r="AD521" s="45" t="str">
        <f ca="1">IFERROR(__xludf.DUMMYFUNCTION("""COMPUTED_VALUE"""),"OCEAN")</f>
        <v>OCEAN</v>
      </c>
      <c r="AE521" s="45" t="str">
        <f ca="1">IFERROR(__xludf.DUMMYFUNCTION("""COMPUTED_VALUE"""),"N")</f>
        <v>N</v>
      </c>
      <c r="AF521" s="45"/>
      <c r="AG521" s="49" t="str">
        <f ca="1">IFERROR(__xludf.DUMMYFUNCTION("IFNA(vlookup(H521,IMPORTRANGE(""1vUGwO1n0QQGx9kKbO0_M5gmuhXZ6-LaxQxgrmJnzgP0"",""'TP# look up'!A:C""),3,0),"""")"),"")</f>
        <v/>
      </c>
      <c r="AH521" s="49" t="str">
        <f t="shared" ca="1" si="8"/>
        <v>LW</v>
      </c>
    </row>
    <row r="522" spans="1:34" ht="12.75">
      <c r="A522" s="45" t="str">
        <f ca="1">IFERROR(__xludf.DUMMYFUNCTION("""COMPUTED_VALUE"""),"Colombo")</f>
        <v>Colombo</v>
      </c>
      <c r="B522" s="45"/>
      <c r="C522" s="45">
        <f ca="1">IFERROR(__xludf.DUMMYFUNCTION("""COMPUTED_VALUE"""),3254508)</f>
        <v>3254508</v>
      </c>
      <c r="D522" s="45"/>
      <c r="E522" s="45" t="str">
        <f ca="1">IFERROR(__xludf.DUMMYFUNCTION("""COMPUTED_VALUE"""),"CFS")</f>
        <v>CFS</v>
      </c>
      <c r="F522" s="45" t="str">
        <f ca="1">IFERROR(__xludf.DUMMYFUNCTION("""COMPUTED_VALUE"""),"MAS AMITY PTE LTD")</f>
        <v>MAS AMITY PTE LTD</v>
      </c>
      <c r="G522" s="45" t="str">
        <f ca="1">IFERROR(__xludf.DUMMYFUNCTION("""COMPUTED_VALUE"""),"MAS Active (Pvt) Ltd - Linea Intimo")</f>
        <v>MAS Active (Pvt) Ltd - Linea Intimo</v>
      </c>
      <c r="H522" s="43">
        <f ca="1">IFERROR(__xludf.DUMMYFUNCTION("""COMPUTED_VALUE"""),454725071476)</f>
        <v>454725071476</v>
      </c>
      <c r="I522" s="45">
        <f ca="1">IFERROR(__xludf.DUMMYFUNCTION("""COMPUTED_VALUE"""),91019056)</f>
        <v>91019056</v>
      </c>
      <c r="J522" s="45" t="str">
        <f ca="1">IFERROR(__xludf.DUMMYFUNCTION("""COMPUTED_VALUE"""),"LW1ERWS")</f>
        <v>LW1ERWS</v>
      </c>
      <c r="K522" s="45" t="str">
        <f ca="1">IFERROR(__xludf.DUMMYFUNCTION("""COMPUTED_VALUE"""),"LW1ERWS-012826")</f>
        <v>LW1ERWS-012826</v>
      </c>
      <c r="L522" s="45">
        <f ca="1">IFERROR(__xludf.DUMMYFUNCTION("""COMPUTED_VALUE"""),14)</f>
        <v>14</v>
      </c>
      <c r="M522" s="45">
        <f ca="1">IFERROR(__xludf.DUMMYFUNCTION("""COMPUTED_VALUE"""),827)</f>
        <v>827</v>
      </c>
      <c r="N522" s="45">
        <f ca="1">IFERROR(__xludf.DUMMYFUNCTION("""COMPUTED_VALUE"""),113.415)</f>
        <v>113.41500000000001</v>
      </c>
      <c r="O522" s="45">
        <f ca="1">IFERROR(__xludf.DUMMYFUNCTION("""COMPUTED_VALUE"""),1.106)</f>
        <v>1.1060000000000001</v>
      </c>
      <c r="P522" s="45" t="str">
        <f ca="1">IFERROR(__xludf.DUMMYFUNCTION("""COMPUTED_VALUE"""),"Colombo, LK")</f>
        <v>Colombo, LK</v>
      </c>
      <c r="Q522" s="45" t="str">
        <f ca="1">IFERROR(__xludf.DUMMYFUNCTION("""COMPUTED_VALUE"""),"New York, NY, US")</f>
        <v>New York, NY, US</v>
      </c>
      <c r="R522" s="44">
        <f ca="1">IFERROR(__xludf.DUMMYFUNCTION("""COMPUTED_VALUE"""),45824)</f>
        <v>45824</v>
      </c>
      <c r="S522" s="44">
        <f ca="1">IFERROR(__xludf.DUMMYFUNCTION("""COMPUTED_VALUE"""),45888)</f>
        <v>45888</v>
      </c>
      <c r="T522" s="45" t="str">
        <f ca="1">IFERROR(__xludf.DUMMYFUNCTION("""COMPUTED_VALUE"""),"Mississauga, ON, CA")</f>
        <v>Mississauga, ON, CA</v>
      </c>
      <c r="U522" s="45"/>
      <c r="V522" s="45"/>
      <c r="W522" s="45"/>
      <c r="X522" s="45"/>
      <c r="Y522" s="46">
        <f ca="1">IFERROR(__xludf.DUMMYFUNCTION("""COMPUTED_VALUE"""),45832)</f>
        <v>45832</v>
      </c>
      <c r="Z522" s="46">
        <f ca="1">IFERROR(__xludf.DUMMYFUNCTION("""COMPUTED_VALUE"""),45861)</f>
        <v>45861</v>
      </c>
      <c r="AA522" s="46">
        <f ca="1">IFERROR(__xludf.DUMMYFUNCTION("""COMPUTED_VALUE"""),45874)</f>
        <v>45874</v>
      </c>
      <c r="AB522" s="45" t="str">
        <f ca="1">IFERROR(__xludf.DUMMYFUNCTION("""COMPUTED_VALUE"""),"3500 Argentia Road")</f>
        <v>3500 Argentia Road</v>
      </c>
      <c r="AC522" s="45"/>
      <c r="AD522" s="45" t="str">
        <f ca="1">IFERROR(__xludf.DUMMYFUNCTION("""COMPUTED_VALUE"""),"OCEAN")</f>
        <v>OCEAN</v>
      </c>
      <c r="AE522" s="45" t="str">
        <f ca="1">IFERROR(__xludf.DUMMYFUNCTION("""COMPUTED_VALUE"""),"N")</f>
        <v>N</v>
      </c>
      <c r="AF522" s="45"/>
      <c r="AG522" s="49" t="str">
        <f ca="1">IFERROR(__xludf.DUMMYFUNCTION("IFNA(vlookup(H522,IMPORTRANGE(""1vUGwO1n0QQGx9kKbO0_M5gmuhXZ6-LaxQxgrmJnzgP0"",""'TP# look up'!A:C""),3,0),"""")"),"")</f>
        <v/>
      </c>
      <c r="AH522" s="49" t="str">
        <f t="shared" ca="1" si="8"/>
        <v>LW</v>
      </c>
    </row>
    <row r="523" spans="1:34" ht="12.75">
      <c r="A523" s="45" t="str">
        <f ca="1">IFERROR(__xludf.DUMMYFUNCTION("""COMPUTED_VALUE"""),"Colombo")</f>
        <v>Colombo</v>
      </c>
      <c r="B523" s="45"/>
      <c r="C523" s="45">
        <f ca="1">IFERROR(__xludf.DUMMYFUNCTION("""COMPUTED_VALUE"""),3254508)</f>
        <v>3254508</v>
      </c>
      <c r="D523" s="45"/>
      <c r="E523" s="45" t="str">
        <f ca="1">IFERROR(__xludf.DUMMYFUNCTION("""COMPUTED_VALUE"""),"CFS")</f>
        <v>CFS</v>
      </c>
      <c r="F523" s="45" t="str">
        <f ca="1">IFERROR(__xludf.DUMMYFUNCTION("""COMPUTED_VALUE"""),"MAS AMITY PTE LTD")</f>
        <v>MAS AMITY PTE LTD</v>
      </c>
      <c r="G523" s="45" t="str">
        <f ca="1">IFERROR(__xludf.DUMMYFUNCTION("""COMPUTED_VALUE"""),"MAS Active (Pvt) Ltd - Linea Intimo")</f>
        <v>MAS Active (Pvt) Ltd - Linea Intimo</v>
      </c>
      <c r="H523" s="43">
        <f ca="1">IFERROR(__xludf.DUMMYFUNCTION("""COMPUTED_VALUE"""),454725479476)</f>
        <v>454725479476</v>
      </c>
      <c r="I523" s="45">
        <f ca="1">IFERROR(__xludf.DUMMYFUNCTION("""COMPUTED_VALUE"""),91019208)</f>
        <v>91019208</v>
      </c>
      <c r="J523" s="45" t="str">
        <f ca="1">IFERROR(__xludf.DUMMYFUNCTION("""COMPUTED_VALUE"""),"LW1FAPS")</f>
        <v>LW1FAPS</v>
      </c>
      <c r="K523" s="45" t="str">
        <f ca="1">IFERROR(__xludf.DUMMYFUNCTION("""COMPUTED_VALUE"""),"LW1FAPS-0572")</f>
        <v>LW1FAPS-0572</v>
      </c>
      <c r="L523" s="45">
        <f ca="1">IFERROR(__xludf.DUMMYFUNCTION("""COMPUTED_VALUE"""),2)</f>
        <v>2</v>
      </c>
      <c r="M523" s="45">
        <f ca="1">IFERROR(__xludf.DUMMYFUNCTION("""COMPUTED_VALUE"""),60)</f>
        <v>60</v>
      </c>
      <c r="N523" s="45">
        <f ca="1">IFERROR(__xludf.DUMMYFUNCTION("""COMPUTED_VALUE"""),4.514)</f>
        <v>4.5140000000000002</v>
      </c>
      <c r="O523" s="45">
        <f ca="1">IFERROR(__xludf.DUMMYFUNCTION("""COMPUTED_VALUE"""),0.079)</f>
        <v>7.9000000000000001E-2</v>
      </c>
      <c r="P523" s="45" t="str">
        <f ca="1">IFERROR(__xludf.DUMMYFUNCTION("""COMPUTED_VALUE"""),"Colombo, LK")</f>
        <v>Colombo, LK</v>
      </c>
      <c r="Q523" s="45" t="str">
        <f ca="1">IFERROR(__xludf.DUMMYFUNCTION("""COMPUTED_VALUE"""),"New York, NY, US")</f>
        <v>New York, NY, US</v>
      </c>
      <c r="R523" s="44">
        <f ca="1">IFERROR(__xludf.DUMMYFUNCTION("""COMPUTED_VALUE"""),45824)</f>
        <v>45824</v>
      </c>
      <c r="S523" s="44">
        <f ca="1">IFERROR(__xludf.DUMMYFUNCTION("""COMPUTED_VALUE"""),45888)</f>
        <v>45888</v>
      </c>
      <c r="T523" s="45" t="str">
        <f ca="1">IFERROR(__xludf.DUMMYFUNCTION("""COMPUTED_VALUE"""),"Mississauga, ON, CA")</f>
        <v>Mississauga, ON, CA</v>
      </c>
      <c r="U523" s="45"/>
      <c r="V523" s="45"/>
      <c r="W523" s="45"/>
      <c r="X523" s="45"/>
      <c r="Y523" s="46">
        <f ca="1">IFERROR(__xludf.DUMMYFUNCTION("""COMPUTED_VALUE"""),45832)</f>
        <v>45832</v>
      </c>
      <c r="Z523" s="46">
        <f ca="1">IFERROR(__xludf.DUMMYFUNCTION("""COMPUTED_VALUE"""),45861)</f>
        <v>45861</v>
      </c>
      <c r="AA523" s="46">
        <f ca="1">IFERROR(__xludf.DUMMYFUNCTION("""COMPUTED_VALUE"""),45874)</f>
        <v>45874</v>
      </c>
      <c r="AB523" s="45" t="str">
        <f ca="1">IFERROR(__xludf.DUMMYFUNCTION("""COMPUTED_VALUE"""),"3500 Argentia Road")</f>
        <v>3500 Argentia Road</v>
      </c>
      <c r="AC523" s="45"/>
      <c r="AD523" s="45" t="str">
        <f ca="1">IFERROR(__xludf.DUMMYFUNCTION("""COMPUTED_VALUE"""),"OCEAN")</f>
        <v>OCEAN</v>
      </c>
      <c r="AE523" s="45" t="str">
        <f ca="1">IFERROR(__xludf.DUMMYFUNCTION("""COMPUTED_VALUE"""),"N")</f>
        <v>N</v>
      </c>
      <c r="AF523" s="45"/>
      <c r="AG523" s="49" t="str">
        <f ca="1">IFERROR(__xludf.DUMMYFUNCTION("IFNA(vlookup(H523,IMPORTRANGE(""1vUGwO1n0QQGx9kKbO0_M5gmuhXZ6-LaxQxgrmJnzgP0"",""'TP# look up'!A:C""),3,0),"""")"),"")</f>
        <v/>
      </c>
      <c r="AH523" s="49" t="str">
        <f t="shared" ca="1" si="8"/>
        <v>LW</v>
      </c>
    </row>
    <row r="524" spans="1:34" ht="12.75">
      <c r="A524" s="45" t="str">
        <f ca="1">IFERROR(__xludf.DUMMYFUNCTION("""COMPUTED_VALUE"""),"Colombo")</f>
        <v>Colombo</v>
      </c>
      <c r="B524" s="45"/>
      <c r="C524" s="45">
        <f ca="1">IFERROR(__xludf.DUMMYFUNCTION("""COMPUTED_VALUE"""),3254508)</f>
        <v>3254508</v>
      </c>
      <c r="D524" s="45"/>
      <c r="E524" s="45" t="str">
        <f ca="1">IFERROR(__xludf.DUMMYFUNCTION("""COMPUTED_VALUE"""),"CFS")</f>
        <v>CFS</v>
      </c>
      <c r="F524" s="45" t="str">
        <f ca="1">IFERROR(__xludf.DUMMYFUNCTION("""COMPUTED_VALUE"""),"MAS AMITY PTE LTD")</f>
        <v>MAS AMITY PTE LTD</v>
      </c>
      <c r="G524" s="45" t="str">
        <f ca="1">IFERROR(__xludf.DUMMYFUNCTION("""COMPUTED_VALUE"""),"MAS Active (Pvt) Ltd - Linea Intimo")</f>
        <v>MAS Active (Pvt) Ltd - Linea Intimo</v>
      </c>
      <c r="H524" s="43">
        <f ca="1">IFERROR(__xludf.DUMMYFUNCTION("""COMPUTED_VALUE"""),454725529445)</f>
        <v>454725529445</v>
      </c>
      <c r="I524" s="45">
        <f ca="1">IFERROR(__xludf.DUMMYFUNCTION("""COMPUTED_VALUE"""),91019190)</f>
        <v>91019190</v>
      </c>
      <c r="J524" s="45" t="str">
        <f ca="1">IFERROR(__xludf.DUMMYFUNCTION("""COMPUTED_VALUE"""),"LW1FAPS")</f>
        <v>LW1FAPS</v>
      </c>
      <c r="K524" s="45" t="str">
        <f ca="1">IFERROR(__xludf.DUMMYFUNCTION("""COMPUTED_VALUE"""),"LW1FAPS-012826")</f>
        <v>LW1FAPS-012826</v>
      </c>
      <c r="L524" s="45">
        <f ca="1">IFERROR(__xludf.DUMMYFUNCTION("""COMPUTED_VALUE"""),2)</f>
        <v>2</v>
      </c>
      <c r="M524" s="45">
        <f ca="1">IFERROR(__xludf.DUMMYFUNCTION("""COMPUTED_VALUE"""),74)</f>
        <v>74</v>
      </c>
      <c r="N524" s="45">
        <f ca="1">IFERROR(__xludf.DUMMYFUNCTION("""COMPUTED_VALUE"""),5.495)</f>
        <v>5.4950000000000001</v>
      </c>
      <c r="O524" s="45">
        <f ca="1">IFERROR(__xludf.DUMMYFUNCTION("""COMPUTED_VALUE"""),0.118)</f>
        <v>0.11799999999999999</v>
      </c>
      <c r="P524" s="45" t="str">
        <f ca="1">IFERROR(__xludf.DUMMYFUNCTION("""COMPUTED_VALUE"""),"Colombo, LK")</f>
        <v>Colombo, LK</v>
      </c>
      <c r="Q524" s="45" t="str">
        <f ca="1">IFERROR(__xludf.DUMMYFUNCTION("""COMPUTED_VALUE"""),"New York, NY, US")</f>
        <v>New York, NY, US</v>
      </c>
      <c r="R524" s="44">
        <f ca="1">IFERROR(__xludf.DUMMYFUNCTION("""COMPUTED_VALUE"""),45824)</f>
        <v>45824</v>
      </c>
      <c r="S524" s="44">
        <f ca="1">IFERROR(__xludf.DUMMYFUNCTION("""COMPUTED_VALUE"""),45888)</f>
        <v>45888</v>
      </c>
      <c r="T524" s="45" t="str">
        <f ca="1">IFERROR(__xludf.DUMMYFUNCTION("""COMPUTED_VALUE"""),"Mississauga, ON, CA")</f>
        <v>Mississauga, ON, CA</v>
      </c>
      <c r="U524" s="45"/>
      <c r="V524" s="45"/>
      <c r="W524" s="45"/>
      <c r="X524" s="45"/>
      <c r="Y524" s="46">
        <f ca="1">IFERROR(__xludf.DUMMYFUNCTION("""COMPUTED_VALUE"""),45832)</f>
        <v>45832</v>
      </c>
      <c r="Z524" s="46">
        <f ca="1">IFERROR(__xludf.DUMMYFUNCTION("""COMPUTED_VALUE"""),45861)</f>
        <v>45861</v>
      </c>
      <c r="AA524" s="46">
        <f ca="1">IFERROR(__xludf.DUMMYFUNCTION("""COMPUTED_VALUE"""),45874)</f>
        <v>45874</v>
      </c>
      <c r="AB524" s="45" t="str">
        <f ca="1">IFERROR(__xludf.DUMMYFUNCTION("""COMPUTED_VALUE"""),"3500 Argentia Road")</f>
        <v>3500 Argentia Road</v>
      </c>
      <c r="AC524" s="45"/>
      <c r="AD524" s="45" t="str">
        <f ca="1">IFERROR(__xludf.DUMMYFUNCTION("""COMPUTED_VALUE"""),"OCEAN")</f>
        <v>OCEAN</v>
      </c>
      <c r="AE524" s="45" t="str">
        <f ca="1">IFERROR(__xludf.DUMMYFUNCTION("""COMPUTED_VALUE"""),"N")</f>
        <v>N</v>
      </c>
      <c r="AF524" s="45"/>
      <c r="AG524" s="49" t="str">
        <f ca="1">IFERROR(__xludf.DUMMYFUNCTION("IFNA(vlookup(H524,IMPORTRANGE(""1vUGwO1n0QQGx9kKbO0_M5gmuhXZ6-LaxQxgrmJnzgP0"",""'TP# look up'!A:C""),3,0),"""")"),"")</f>
        <v/>
      </c>
      <c r="AH524" s="49" t="str">
        <f t="shared" ca="1" si="8"/>
        <v>LW</v>
      </c>
    </row>
    <row r="525" spans="1:34" ht="12.75">
      <c r="A525" s="45" t="str">
        <f ca="1">IFERROR(__xludf.DUMMYFUNCTION("""COMPUTED_VALUE"""),"Colombo")</f>
        <v>Colombo</v>
      </c>
      <c r="B525" s="45"/>
      <c r="C525" s="45">
        <f ca="1">IFERROR(__xludf.DUMMYFUNCTION("""COMPUTED_VALUE"""),3254508)</f>
        <v>3254508</v>
      </c>
      <c r="D525" s="45"/>
      <c r="E525" s="45" t="str">
        <f ca="1">IFERROR(__xludf.DUMMYFUNCTION("""COMPUTED_VALUE"""),"CFS")</f>
        <v>CFS</v>
      </c>
      <c r="F525" s="45" t="str">
        <f ca="1">IFERROR(__xludf.DUMMYFUNCTION("""COMPUTED_VALUE"""),"MAS AMITY PTE LTD")</f>
        <v>MAS AMITY PTE LTD</v>
      </c>
      <c r="G525" s="45" t="str">
        <f ca="1">IFERROR(__xludf.DUMMYFUNCTION("""COMPUTED_VALUE"""),"MAS Active (Pvt) Ltd - Linea Intimo")</f>
        <v>MAS Active (Pvt) Ltd - Linea Intimo</v>
      </c>
      <c r="H525" s="43">
        <f ca="1">IFERROR(__xludf.DUMMYFUNCTION("""COMPUTED_VALUE"""),454725656610)</f>
        <v>454725656610</v>
      </c>
      <c r="I525" s="45">
        <f ca="1">IFERROR(__xludf.DUMMYFUNCTION("""COMPUTED_VALUE"""),91019224)</f>
        <v>91019224</v>
      </c>
      <c r="J525" s="45" t="str">
        <f ca="1">IFERROR(__xludf.DUMMYFUNCTION("""COMPUTED_VALUE"""),"LW1FAPS")</f>
        <v>LW1FAPS</v>
      </c>
      <c r="K525" s="45" t="str">
        <f ca="1">IFERROR(__xludf.DUMMYFUNCTION("""COMPUTED_VALUE"""),"LW1FAPS-4780")</f>
        <v>LW1FAPS-4780</v>
      </c>
      <c r="L525" s="45">
        <f ca="1">IFERROR(__xludf.DUMMYFUNCTION("""COMPUTED_VALUE"""),2)</f>
        <v>2</v>
      </c>
      <c r="M525" s="45">
        <f ca="1">IFERROR(__xludf.DUMMYFUNCTION("""COMPUTED_VALUE"""),126)</f>
        <v>126</v>
      </c>
      <c r="N525" s="45">
        <f ca="1">IFERROR(__xludf.DUMMYFUNCTION("""COMPUTED_VALUE"""),7.981)</f>
        <v>7.9809999999999999</v>
      </c>
      <c r="O525" s="45">
        <f ca="1">IFERROR(__xludf.DUMMYFUNCTION("""COMPUTED_VALUE"""),0.118)</f>
        <v>0.11799999999999999</v>
      </c>
      <c r="P525" s="45" t="str">
        <f ca="1">IFERROR(__xludf.DUMMYFUNCTION("""COMPUTED_VALUE"""),"Colombo, LK")</f>
        <v>Colombo, LK</v>
      </c>
      <c r="Q525" s="45" t="str">
        <f ca="1">IFERROR(__xludf.DUMMYFUNCTION("""COMPUTED_VALUE"""),"New York, NY, US")</f>
        <v>New York, NY, US</v>
      </c>
      <c r="R525" s="44">
        <f ca="1">IFERROR(__xludf.DUMMYFUNCTION("""COMPUTED_VALUE"""),45824)</f>
        <v>45824</v>
      </c>
      <c r="S525" s="44">
        <f ca="1">IFERROR(__xludf.DUMMYFUNCTION("""COMPUTED_VALUE"""),45888)</f>
        <v>45888</v>
      </c>
      <c r="T525" s="45" t="str">
        <f ca="1">IFERROR(__xludf.DUMMYFUNCTION("""COMPUTED_VALUE"""),"Mississauga, ON, CA")</f>
        <v>Mississauga, ON, CA</v>
      </c>
      <c r="U525" s="45"/>
      <c r="V525" s="45"/>
      <c r="W525" s="45"/>
      <c r="X525" s="45"/>
      <c r="Y525" s="46">
        <f ca="1">IFERROR(__xludf.DUMMYFUNCTION("""COMPUTED_VALUE"""),45832)</f>
        <v>45832</v>
      </c>
      <c r="Z525" s="46">
        <f ca="1">IFERROR(__xludf.DUMMYFUNCTION("""COMPUTED_VALUE"""),45861)</f>
        <v>45861</v>
      </c>
      <c r="AA525" s="46">
        <f ca="1">IFERROR(__xludf.DUMMYFUNCTION("""COMPUTED_VALUE"""),45874)</f>
        <v>45874</v>
      </c>
      <c r="AB525" s="45" t="str">
        <f ca="1">IFERROR(__xludf.DUMMYFUNCTION("""COMPUTED_VALUE"""),"3500 Argentia Road")</f>
        <v>3500 Argentia Road</v>
      </c>
      <c r="AC525" s="45"/>
      <c r="AD525" s="45" t="str">
        <f ca="1">IFERROR(__xludf.DUMMYFUNCTION("""COMPUTED_VALUE"""),"OCEAN")</f>
        <v>OCEAN</v>
      </c>
      <c r="AE525" s="45" t="str">
        <f ca="1">IFERROR(__xludf.DUMMYFUNCTION("""COMPUTED_VALUE"""),"N")</f>
        <v>N</v>
      </c>
      <c r="AF525" s="45"/>
      <c r="AG525" s="49" t="str">
        <f ca="1">IFERROR(__xludf.DUMMYFUNCTION("IFNA(vlookup(H525,IMPORTRANGE(""1vUGwO1n0QQGx9kKbO0_M5gmuhXZ6-LaxQxgrmJnzgP0"",""'TP# look up'!A:C""),3,0),"""")"),"")</f>
        <v/>
      </c>
      <c r="AH525" s="49" t="str">
        <f t="shared" ca="1" si="8"/>
        <v>LW</v>
      </c>
    </row>
    <row r="526" spans="1:34" ht="12.75">
      <c r="A526" s="45" t="str">
        <f ca="1">IFERROR(__xludf.DUMMYFUNCTION("""COMPUTED_VALUE"""),"Colombo")</f>
        <v>Colombo</v>
      </c>
      <c r="B526" s="45"/>
      <c r="C526" s="45">
        <f ca="1">IFERROR(__xludf.DUMMYFUNCTION("""COMPUTED_VALUE"""),3254508)</f>
        <v>3254508</v>
      </c>
      <c r="D526" s="45"/>
      <c r="E526" s="45" t="str">
        <f ca="1">IFERROR(__xludf.DUMMYFUNCTION("""COMPUTED_VALUE"""),"CFS")</f>
        <v>CFS</v>
      </c>
      <c r="F526" s="45" t="str">
        <f ca="1">IFERROR(__xludf.DUMMYFUNCTION("""COMPUTED_VALUE"""),"MAS AMITY PTE LTD")</f>
        <v>MAS AMITY PTE LTD</v>
      </c>
      <c r="G526" s="45" t="str">
        <f ca="1">IFERROR(__xludf.DUMMYFUNCTION("""COMPUTED_VALUE"""),"MAS Active (Pvt) Ltd - Linea Intimo")</f>
        <v>MAS Active (Pvt) Ltd - Linea Intimo</v>
      </c>
      <c r="H526" s="43">
        <f ca="1">IFERROR(__xludf.DUMMYFUNCTION("""COMPUTED_VALUE"""),454725757512)</f>
        <v>454725757512</v>
      </c>
      <c r="I526" s="45">
        <f ca="1">IFERROR(__xludf.DUMMYFUNCTION("""COMPUTED_VALUE"""),91019235)</f>
        <v>91019235</v>
      </c>
      <c r="J526" s="45" t="str">
        <f ca="1">IFERROR(__xludf.DUMMYFUNCTION("""COMPUTED_VALUE"""),"LW1FH4S")</f>
        <v>LW1FH4S</v>
      </c>
      <c r="K526" s="45" t="str">
        <f ca="1">IFERROR(__xludf.DUMMYFUNCTION("""COMPUTED_VALUE"""),"LW1FH4S-071211")</f>
        <v>LW1FH4S-071211</v>
      </c>
      <c r="L526" s="45">
        <f ca="1">IFERROR(__xludf.DUMMYFUNCTION("""COMPUTED_VALUE"""),5)</f>
        <v>5</v>
      </c>
      <c r="M526" s="45">
        <f ca="1">IFERROR(__xludf.DUMMYFUNCTION("""COMPUTED_VALUE"""),356)</f>
        <v>356</v>
      </c>
      <c r="N526" s="45">
        <f ca="1">IFERROR(__xludf.DUMMYFUNCTION("""COMPUTED_VALUE"""),48.902)</f>
        <v>48.902000000000001</v>
      </c>
      <c r="O526" s="45">
        <f ca="1">IFERROR(__xludf.DUMMYFUNCTION("""COMPUTED_VALUE"""),0.316)</f>
        <v>0.316</v>
      </c>
      <c r="P526" s="45" t="str">
        <f ca="1">IFERROR(__xludf.DUMMYFUNCTION("""COMPUTED_VALUE"""),"Colombo, LK")</f>
        <v>Colombo, LK</v>
      </c>
      <c r="Q526" s="45" t="str">
        <f ca="1">IFERROR(__xludf.DUMMYFUNCTION("""COMPUTED_VALUE"""),"New York, NY, US")</f>
        <v>New York, NY, US</v>
      </c>
      <c r="R526" s="44">
        <f ca="1">IFERROR(__xludf.DUMMYFUNCTION("""COMPUTED_VALUE"""),45824)</f>
        <v>45824</v>
      </c>
      <c r="S526" s="44">
        <f ca="1">IFERROR(__xludf.DUMMYFUNCTION("""COMPUTED_VALUE"""),45888)</f>
        <v>45888</v>
      </c>
      <c r="T526" s="45" t="str">
        <f ca="1">IFERROR(__xludf.DUMMYFUNCTION("""COMPUTED_VALUE"""),"Mississauga, ON, CA")</f>
        <v>Mississauga, ON, CA</v>
      </c>
      <c r="U526" s="45"/>
      <c r="V526" s="45"/>
      <c r="W526" s="45"/>
      <c r="X526" s="45"/>
      <c r="Y526" s="46">
        <f ca="1">IFERROR(__xludf.DUMMYFUNCTION("""COMPUTED_VALUE"""),45832)</f>
        <v>45832</v>
      </c>
      <c r="Z526" s="46">
        <f ca="1">IFERROR(__xludf.DUMMYFUNCTION("""COMPUTED_VALUE"""),45861)</f>
        <v>45861</v>
      </c>
      <c r="AA526" s="46">
        <f ca="1">IFERROR(__xludf.DUMMYFUNCTION("""COMPUTED_VALUE"""),45874)</f>
        <v>45874</v>
      </c>
      <c r="AB526" s="45" t="str">
        <f ca="1">IFERROR(__xludf.DUMMYFUNCTION("""COMPUTED_VALUE"""),"3500 Argentia Road")</f>
        <v>3500 Argentia Road</v>
      </c>
      <c r="AC526" s="45"/>
      <c r="AD526" s="45" t="str">
        <f ca="1">IFERROR(__xludf.DUMMYFUNCTION("""COMPUTED_VALUE"""),"OCEAN")</f>
        <v>OCEAN</v>
      </c>
      <c r="AE526" s="45" t="str">
        <f ca="1">IFERROR(__xludf.DUMMYFUNCTION("""COMPUTED_VALUE"""),"N")</f>
        <v>N</v>
      </c>
      <c r="AF526" s="45"/>
      <c r="AG526" s="49" t="str">
        <f ca="1">IFERROR(__xludf.DUMMYFUNCTION("IFNA(vlookup(H526,IMPORTRANGE(""1vUGwO1n0QQGx9kKbO0_M5gmuhXZ6-LaxQxgrmJnzgP0"",""'TP# look up'!A:C""),3,0),"""")"),"")</f>
        <v/>
      </c>
      <c r="AH526" s="49" t="str">
        <f t="shared" ca="1" si="8"/>
        <v>LW</v>
      </c>
    </row>
    <row r="527" spans="1:34" ht="12.75">
      <c r="A527" s="45" t="str">
        <f ca="1">IFERROR(__xludf.DUMMYFUNCTION("""COMPUTED_VALUE"""),"Colombo")</f>
        <v>Colombo</v>
      </c>
      <c r="B527" s="45"/>
      <c r="C527" s="45">
        <f ca="1">IFERROR(__xludf.DUMMYFUNCTION("""COMPUTED_VALUE"""),3254508)</f>
        <v>3254508</v>
      </c>
      <c r="D527" s="45"/>
      <c r="E527" s="45" t="str">
        <f ca="1">IFERROR(__xludf.DUMMYFUNCTION("""COMPUTED_VALUE"""),"CFS")</f>
        <v>CFS</v>
      </c>
      <c r="F527" s="45" t="str">
        <f ca="1">IFERROR(__xludf.DUMMYFUNCTION("""COMPUTED_VALUE"""),"MAS AMITY PTE LTD")</f>
        <v>MAS AMITY PTE LTD</v>
      </c>
      <c r="G527" s="45" t="str">
        <f ca="1">IFERROR(__xludf.DUMMYFUNCTION("""COMPUTED_VALUE"""),"MAS Active (Pvt) Ltd - Linea Intimo")</f>
        <v>MAS Active (Pvt) Ltd - Linea Intimo</v>
      </c>
      <c r="H527" s="43">
        <f ca="1">IFERROR(__xludf.DUMMYFUNCTION("""COMPUTED_VALUE"""),454725863744)</f>
        <v>454725863744</v>
      </c>
      <c r="I527" s="45">
        <f ca="1">IFERROR(__xludf.DUMMYFUNCTION("""COMPUTED_VALUE"""),91019242)</f>
        <v>91019242</v>
      </c>
      <c r="J527" s="45" t="str">
        <f ca="1">IFERROR(__xludf.DUMMYFUNCTION("""COMPUTED_VALUE"""),"LW1FH4S")</f>
        <v>LW1FH4S</v>
      </c>
      <c r="K527" s="45" t="str">
        <f ca="1">IFERROR(__xludf.DUMMYFUNCTION("""COMPUTED_VALUE"""),"LW1FH4S-071211")</f>
        <v>LW1FH4S-071211</v>
      </c>
      <c r="L527" s="45">
        <f ca="1">IFERROR(__xludf.DUMMYFUNCTION("""COMPUTED_VALUE"""),2)</f>
        <v>2</v>
      </c>
      <c r="M527" s="45">
        <f ca="1">IFERROR(__xludf.DUMMYFUNCTION("""COMPUTED_VALUE"""),93)</f>
        <v>93</v>
      </c>
      <c r="N527" s="45">
        <f ca="1">IFERROR(__xludf.DUMMYFUNCTION("""COMPUTED_VALUE"""),13.1)</f>
        <v>13.1</v>
      </c>
      <c r="O527" s="45">
        <f ca="1">IFERROR(__xludf.DUMMYFUNCTION("""COMPUTED_VALUE"""),0.079)</f>
        <v>7.9000000000000001E-2</v>
      </c>
      <c r="P527" s="45" t="str">
        <f ca="1">IFERROR(__xludf.DUMMYFUNCTION("""COMPUTED_VALUE"""),"Colombo, LK")</f>
        <v>Colombo, LK</v>
      </c>
      <c r="Q527" s="45" t="str">
        <f ca="1">IFERROR(__xludf.DUMMYFUNCTION("""COMPUTED_VALUE"""),"New York, NY, US")</f>
        <v>New York, NY, US</v>
      </c>
      <c r="R527" s="44">
        <f ca="1">IFERROR(__xludf.DUMMYFUNCTION("""COMPUTED_VALUE"""),45824)</f>
        <v>45824</v>
      </c>
      <c r="S527" s="44">
        <f ca="1">IFERROR(__xludf.DUMMYFUNCTION("""COMPUTED_VALUE"""),45888)</f>
        <v>45888</v>
      </c>
      <c r="T527" s="45" t="str">
        <f ca="1">IFERROR(__xludf.DUMMYFUNCTION("""COMPUTED_VALUE"""),"Mississauga, ON, CA")</f>
        <v>Mississauga, ON, CA</v>
      </c>
      <c r="U527" s="45"/>
      <c r="V527" s="45"/>
      <c r="W527" s="45"/>
      <c r="X527" s="45"/>
      <c r="Y527" s="46">
        <f ca="1">IFERROR(__xludf.DUMMYFUNCTION("""COMPUTED_VALUE"""),45832)</f>
        <v>45832</v>
      </c>
      <c r="Z527" s="46">
        <f ca="1">IFERROR(__xludf.DUMMYFUNCTION("""COMPUTED_VALUE"""),45861)</f>
        <v>45861</v>
      </c>
      <c r="AA527" s="46">
        <f ca="1">IFERROR(__xludf.DUMMYFUNCTION("""COMPUTED_VALUE"""),45874)</f>
        <v>45874</v>
      </c>
      <c r="AB527" s="45" t="str">
        <f ca="1">IFERROR(__xludf.DUMMYFUNCTION("""COMPUTED_VALUE"""),"3500 Argentia Road")</f>
        <v>3500 Argentia Road</v>
      </c>
      <c r="AC527" s="45"/>
      <c r="AD527" s="45" t="str">
        <f ca="1">IFERROR(__xludf.DUMMYFUNCTION("""COMPUTED_VALUE"""),"OCEAN")</f>
        <v>OCEAN</v>
      </c>
      <c r="AE527" s="45" t="str">
        <f ca="1">IFERROR(__xludf.DUMMYFUNCTION("""COMPUTED_VALUE"""),"N")</f>
        <v>N</v>
      </c>
      <c r="AF527" s="45"/>
      <c r="AG527" s="49" t="str">
        <f ca="1">IFERROR(__xludf.DUMMYFUNCTION("IFNA(vlookup(H527,IMPORTRANGE(""1vUGwO1n0QQGx9kKbO0_M5gmuhXZ6-LaxQxgrmJnzgP0"",""'TP# look up'!A:C""),3,0),"""")"),"")</f>
        <v/>
      </c>
      <c r="AH527" s="49" t="str">
        <f t="shared" ca="1" si="8"/>
        <v>LW</v>
      </c>
    </row>
    <row r="528" spans="1:34" ht="12.75">
      <c r="A528" s="45" t="str">
        <f ca="1">IFERROR(__xludf.DUMMYFUNCTION("""COMPUTED_VALUE"""),"Colombo")</f>
        <v>Colombo</v>
      </c>
      <c r="B528" s="45"/>
      <c r="C528" s="45">
        <f ca="1">IFERROR(__xludf.DUMMYFUNCTION("""COMPUTED_VALUE"""),3254508)</f>
        <v>3254508</v>
      </c>
      <c r="D528" s="45"/>
      <c r="E528" s="45" t="str">
        <f ca="1">IFERROR(__xludf.DUMMYFUNCTION("""COMPUTED_VALUE"""),"CFS")</f>
        <v>CFS</v>
      </c>
      <c r="F528" s="45" t="str">
        <f ca="1">IFERROR(__xludf.DUMMYFUNCTION("""COMPUTED_VALUE"""),"MAS AMITY PTE LTD")</f>
        <v>MAS AMITY PTE LTD</v>
      </c>
      <c r="G528" s="45" t="str">
        <f ca="1">IFERROR(__xludf.DUMMYFUNCTION("""COMPUTED_VALUE"""),"MAS Active (Pvt) Ltd - Linea Intimo")</f>
        <v>MAS Active (Pvt) Ltd - Linea Intimo</v>
      </c>
      <c r="H528" s="43">
        <f ca="1">IFERROR(__xludf.DUMMYFUNCTION("""COMPUTED_VALUE"""),454725864133)</f>
        <v>454725864133</v>
      </c>
      <c r="I528" s="45">
        <f ca="1">IFERROR(__xludf.DUMMYFUNCTION("""COMPUTED_VALUE"""),91019333)</f>
        <v>91019333</v>
      </c>
      <c r="J528" s="45" t="str">
        <f ca="1">IFERROR(__xludf.DUMMYFUNCTION("""COMPUTED_VALUE"""),"LW1FAPS")</f>
        <v>LW1FAPS</v>
      </c>
      <c r="K528" s="45" t="str">
        <f ca="1">IFERROR(__xludf.DUMMYFUNCTION("""COMPUTED_VALUE"""),"LW1FAPS-0572")</f>
        <v>LW1FAPS-0572</v>
      </c>
      <c r="L528" s="45">
        <f ca="1">IFERROR(__xludf.DUMMYFUNCTION("""COMPUTED_VALUE"""),4)</f>
        <v>4</v>
      </c>
      <c r="M528" s="45">
        <f ca="1">IFERROR(__xludf.DUMMYFUNCTION("""COMPUTED_VALUE"""),263)</f>
        <v>263</v>
      </c>
      <c r="N528" s="45">
        <f ca="1">IFERROR(__xludf.DUMMYFUNCTION("""COMPUTED_VALUE"""),16.83)</f>
        <v>16.829999999999998</v>
      </c>
      <c r="O528" s="45">
        <f ca="1">IFERROR(__xludf.DUMMYFUNCTION("""COMPUTED_VALUE"""),0.276)</f>
        <v>0.27600000000000002</v>
      </c>
      <c r="P528" s="45" t="str">
        <f ca="1">IFERROR(__xludf.DUMMYFUNCTION("""COMPUTED_VALUE"""),"Colombo, LK")</f>
        <v>Colombo, LK</v>
      </c>
      <c r="Q528" s="45" t="str">
        <f ca="1">IFERROR(__xludf.DUMMYFUNCTION("""COMPUTED_VALUE"""),"New York, NY, US")</f>
        <v>New York, NY, US</v>
      </c>
      <c r="R528" s="44">
        <f ca="1">IFERROR(__xludf.DUMMYFUNCTION("""COMPUTED_VALUE"""),45824)</f>
        <v>45824</v>
      </c>
      <c r="S528" s="44">
        <f ca="1">IFERROR(__xludf.DUMMYFUNCTION("""COMPUTED_VALUE"""),45888)</f>
        <v>45888</v>
      </c>
      <c r="T528" s="45" t="str">
        <f ca="1">IFERROR(__xludf.DUMMYFUNCTION("""COMPUTED_VALUE"""),"Mississauga, ON, CA")</f>
        <v>Mississauga, ON, CA</v>
      </c>
      <c r="U528" s="45"/>
      <c r="V528" s="45"/>
      <c r="W528" s="45"/>
      <c r="X528" s="45"/>
      <c r="Y528" s="46">
        <f ca="1">IFERROR(__xludf.DUMMYFUNCTION("""COMPUTED_VALUE"""),45832)</f>
        <v>45832</v>
      </c>
      <c r="Z528" s="46">
        <f ca="1">IFERROR(__xludf.DUMMYFUNCTION("""COMPUTED_VALUE"""),45861)</f>
        <v>45861</v>
      </c>
      <c r="AA528" s="46">
        <f ca="1">IFERROR(__xludf.DUMMYFUNCTION("""COMPUTED_VALUE"""),45874)</f>
        <v>45874</v>
      </c>
      <c r="AB528" s="45" t="str">
        <f ca="1">IFERROR(__xludf.DUMMYFUNCTION("""COMPUTED_VALUE"""),"3500 Argentia Road")</f>
        <v>3500 Argentia Road</v>
      </c>
      <c r="AC528" s="45"/>
      <c r="AD528" s="45" t="str">
        <f ca="1">IFERROR(__xludf.DUMMYFUNCTION("""COMPUTED_VALUE"""),"OCEAN")</f>
        <v>OCEAN</v>
      </c>
      <c r="AE528" s="45" t="str">
        <f ca="1">IFERROR(__xludf.DUMMYFUNCTION("""COMPUTED_VALUE"""),"N")</f>
        <v>N</v>
      </c>
      <c r="AF528" s="45"/>
      <c r="AG528" s="49" t="str">
        <f ca="1">IFERROR(__xludf.DUMMYFUNCTION("IFNA(vlookup(H528,IMPORTRANGE(""1vUGwO1n0QQGx9kKbO0_M5gmuhXZ6-LaxQxgrmJnzgP0"",""'TP# look up'!A:C""),3,0),"""")"),"")</f>
        <v/>
      </c>
      <c r="AH528" s="49" t="str">
        <f t="shared" ca="1" si="8"/>
        <v>LW</v>
      </c>
    </row>
    <row r="529" spans="1:34" ht="12.75">
      <c r="A529" s="45" t="str">
        <f ca="1">IFERROR(__xludf.DUMMYFUNCTION("""COMPUTED_VALUE"""),"Colombo")</f>
        <v>Colombo</v>
      </c>
      <c r="B529" s="45"/>
      <c r="C529" s="45">
        <f ca="1">IFERROR(__xludf.DUMMYFUNCTION("""COMPUTED_VALUE"""),3254508)</f>
        <v>3254508</v>
      </c>
      <c r="D529" s="45"/>
      <c r="E529" s="45" t="str">
        <f ca="1">IFERROR(__xludf.DUMMYFUNCTION("""COMPUTED_VALUE"""),"CFS")</f>
        <v>CFS</v>
      </c>
      <c r="F529" s="45" t="str">
        <f ca="1">IFERROR(__xludf.DUMMYFUNCTION("""COMPUTED_VALUE"""),"MAS AMITY PTE LTD")</f>
        <v>MAS AMITY PTE LTD</v>
      </c>
      <c r="G529" s="45" t="str">
        <f ca="1">IFERROR(__xludf.DUMMYFUNCTION("""COMPUTED_VALUE"""),"MAS Active (Pvt) Ltd - Linea Intimo")</f>
        <v>MAS Active (Pvt) Ltd - Linea Intimo</v>
      </c>
      <c r="H529" s="43">
        <f ca="1">IFERROR(__xludf.DUMMYFUNCTION("""COMPUTED_VALUE"""),454725919857)</f>
        <v>454725919857</v>
      </c>
      <c r="I529" s="45">
        <f ca="1">IFERROR(__xludf.DUMMYFUNCTION("""COMPUTED_VALUE"""),91019338)</f>
        <v>91019338</v>
      </c>
      <c r="J529" s="45" t="str">
        <f ca="1">IFERROR(__xludf.DUMMYFUNCTION("""COMPUTED_VALUE"""),"LW1FAPS")</f>
        <v>LW1FAPS</v>
      </c>
      <c r="K529" s="45" t="str">
        <f ca="1">IFERROR(__xludf.DUMMYFUNCTION("""COMPUTED_VALUE"""),"LW1FAPS-4780")</f>
        <v>LW1FAPS-4780</v>
      </c>
      <c r="L529" s="45">
        <f ca="1">IFERROR(__xludf.DUMMYFUNCTION("""COMPUTED_VALUE"""),5)</f>
        <v>5</v>
      </c>
      <c r="M529" s="45">
        <f ca="1">IFERROR(__xludf.DUMMYFUNCTION("""COMPUTED_VALUE"""),406)</f>
        <v>406</v>
      </c>
      <c r="N529" s="45">
        <f ca="1">IFERROR(__xludf.DUMMYFUNCTION("""COMPUTED_VALUE"""),24.841)</f>
        <v>24.841000000000001</v>
      </c>
      <c r="O529" s="45">
        <f ca="1">IFERROR(__xludf.DUMMYFUNCTION("""COMPUTED_VALUE"""),0.355)</f>
        <v>0.35499999999999998</v>
      </c>
      <c r="P529" s="45" t="str">
        <f ca="1">IFERROR(__xludf.DUMMYFUNCTION("""COMPUTED_VALUE"""),"Colombo, LK")</f>
        <v>Colombo, LK</v>
      </c>
      <c r="Q529" s="45" t="str">
        <f ca="1">IFERROR(__xludf.DUMMYFUNCTION("""COMPUTED_VALUE"""),"New York, NY, US")</f>
        <v>New York, NY, US</v>
      </c>
      <c r="R529" s="44">
        <f ca="1">IFERROR(__xludf.DUMMYFUNCTION("""COMPUTED_VALUE"""),45824)</f>
        <v>45824</v>
      </c>
      <c r="S529" s="44">
        <f ca="1">IFERROR(__xludf.DUMMYFUNCTION("""COMPUTED_VALUE"""),45888)</f>
        <v>45888</v>
      </c>
      <c r="T529" s="45" t="str">
        <f ca="1">IFERROR(__xludf.DUMMYFUNCTION("""COMPUTED_VALUE"""),"Mississauga, ON, CA")</f>
        <v>Mississauga, ON, CA</v>
      </c>
      <c r="U529" s="45"/>
      <c r="V529" s="45"/>
      <c r="W529" s="45"/>
      <c r="X529" s="45"/>
      <c r="Y529" s="46">
        <f ca="1">IFERROR(__xludf.DUMMYFUNCTION("""COMPUTED_VALUE"""),45832)</f>
        <v>45832</v>
      </c>
      <c r="Z529" s="46">
        <f ca="1">IFERROR(__xludf.DUMMYFUNCTION("""COMPUTED_VALUE"""),45861)</f>
        <v>45861</v>
      </c>
      <c r="AA529" s="46">
        <f ca="1">IFERROR(__xludf.DUMMYFUNCTION("""COMPUTED_VALUE"""),45874)</f>
        <v>45874</v>
      </c>
      <c r="AB529" s="45" t="str">
        <f ca="1">IFERROR(__xludf.DUMMYFUNCTION("""COMPUTED_VALUE"""),"3500 Argentia Road")</f>
        <v>3500 Argentia Road</v>
      </c>
      <c r="AC529" s="45"/>
      <c r="AD529" s="45" t="str">
        <f ca="1">IFERROR(__xludf.DUMMYFUNCTION("""COMPUTED_VALUE"""),"OCEAN")</f>
        <v>OCEAN</v>
      </c>
      <c r="AE529" s="45" t="str">
        <f ca="1">IFERROR(__xludf.DUMMYFUNCTION("""COMPUTED_VALUE"""),"N")</f>
        <v>N</v>
      </c>
      <c r="AF529" s="45"/>
      <c r="AG529" s="49" t="str">
        <f ca="1">IFERROR(__xludf.DUMMYFUNCTION("IFNA(vlookup(H529,IMPORTRANGE(""1vUGwO1n0QQGx9kKbO0_M5gmuhXZ6-LaxQxgrmJnzgP0"",""'TP# look up'!A:C""),3,0),"""")"),"")</f>
        <v/>
      </c>
      <c r="AH529" s="49" t="str">
        <f t="shared" ca="1" si="8"/>
        <v>LW</v>
      </c>
    </row>
    <row r="530" spans="1:34" ht="12.75">
      <c r="A530" s="45" t="str">
        <f ca="1">IFERROR(__xludf.DUMMYFUNCTION("""COMPUTED_VALUE"""),"Colombo")</f>
        <v>Colombo</v>
      </c>
      <c r="B530" s="45"/>
      <c r="C530" s="45">
        <f ca="1">IFERROR(__xludf.DUMMYFUNCTION("""COMPUTED_VALUE"""),3254508)</f>
        <v>3254508</v>
      </c>
      <c r="D530" s="45"/>
      <c r="E530" s="45" t="str">
        <f ca="1">IFERROR(__xludf.DUMMYFUNCTION("""COMPUTED_VALUE"""),"CFS")</f>
        <v>CFS</v>
      </c>
      <c r="F530" s="45" t="str">
        <f ca="1">IFERROR(__xludf.DUMMYFUNCTION("""COMPUTED_VALUE"""),"MAS AMITY PTE LTD")</f>
        <v>MAS AMITY PTE LTD</v>
      </c>
      <c r="G530" s="45" t="str">
        <f ca="1">IFERROR(__xludf.DUMMYFUNCTION("""COMPUTED_VALUE"""),"MAS Active (Pvt) Ltd – Sleekline")</f>
        <v>MAS Active (Pvt) Ltd – Sleekline</v>
      </c>
      <c r="H530" s="43">
        <f ca="1">IFERROR(__xludf.DUMMYFUNCTION("""COMPUTED_VALUE"""),454770292169)</f>
        <v>454770292169</v>
      </c>
      <c r="I530" s="45">
        <f ca="1">IFERROR(__xludf.DUMMYFUNCTION("""COMPUTED_VALUE"""),19936234)</f>
        <v>19936234</v>
      </c>
      <c r="J530" s="45" t="str">
        <f ca="1">IFERROR(__xludf.DUMMYFUNCTION("""COMPUTED_VALUE"""),"LM9B91S")</f>
        <v>LM9B91S</v>
      </c>
      <c r="K530" s="45" t="str">
        <f ca="1">IFERROR(__xludf.DUMMYFUNCTION("""COMPUTED_VALUE"""),"LM9B91S-072075")</f>
        <v>LM9B91S-072075</v>
      </c>
      <c r="L530" s="45">
        <f ca="1">IFERROR(__xludf.DUMMYFUNCTION("""COMPUTED_VALUE"""),3)</f>
        <v>3</v>
      </c>
      <c r="M530" s="45">
        <f ca="1">IFERROR(__xludf.DUMMYFUNCTION("""COMPUTED_VALUE"""),90)</f>
        <v>90</v>
      </c>
      <c r="N530" s="45">
        <f ca="1">IFERROR(__xludf.DUMMYFUNCTION("""COMPUTED_VALUE"""),25.31)</f>
        <v>25.31</v>
      </c>
      <c r="O530" s="45">
        <f ca="1">IFERROR(__xludf.DUMMYFUNCTION("""COMPUTED_VALUE"""),0.238)</f>
        <v>0.23799999999999999</v>
      </c>
      <c r="P530" s="45" t="str">
        <f ca="1">IFERROR(__xludf.DUMMYFUNCTION("""COMPUTED_VALUE"""),"Colombo, LK")</f>
        <v>Colombo, LK</v>
      </c>
      <c r="Q530" s="45" t="str">
        <f ca="1">IFERROR(__xludf.DUMMYFUNCTION("""COMPUTED_VALUE"""),"New York, NY, US")</f>
        <v>New York, NY, US</v>
      </c>
      <c r="R530" s="44">
        <f ca="1">IFERROR(__xludf.DUMMYFUNCTION("""COMPUTED_VALUE"""),45824)</f>
        <v>45824</v>
      </c>
      <c r="S530" s="44">
        <f ca="1">IFERROR(__xludf.DUMMYFUNCTION("""COMPUTED_VALUE"""),45883)</f>
        <v>45883</v>
      </c>
      <c r="T530" s="45" t="str">
        <f ca="1">IFERROR(__xludf.DUMMYFUNCTION("""COMPUTED_VALUE"""),"Mississauga, ON, CA")</f>
        <v>Mississauga, ON, CA</v>
      </c>
      <c r="U530" s="45"/>
      <c r="V530" s="45"/>
      <c r="W530" s="45"/>
      <c r="X530" s="45"/>
      <c r="Y530" s="46">
        <f ca="1">IFERROR(__xludf.DUMMYFUNCTION("""COMPUTED_VALUE"""),45832)</f>
        <v>45832</v>
      </c>
      <c r="Z530" s="46">
        <f ca="1">IFERROR(__xludf.DUMMYFUNCTION("""COMPUTED_VALUE"""),45861)</f>
        <v>45861</v>
      </c>
      <c r="AA530" s="46">
        <f ca="1">IFERROR(__xludf.DUMMYFUNCTION("""COMPUTED_VALUE"""),45874)</f>
        <v>45874</v>
      </c>
      <c r="AB530" s="45" t="str">
        <f ca="1">IFERROR(__xludf.DUMMYFUNCTION("""COMPUTED_VALUE"""),"3500 Argentia Road")</f>
        <v>3500 Argentia Road</v>
      </c>
      <c r="AC530" s="45"/>
      <c r="AD530" s="45" t="str">
        <f ca="1">IFERROR(__xludf.DUMMYFUNCTION("""COMPUTED_VALUE"""),"OCEAN")</f>
        <v>OCEAN</v>
      </c>
      <c r="AE530" s="45" t="str">
        <f ca="1">IFERROR(__xludf.DUMMYFUNCTION("""COMPUTED_VALUE"""),"N")</f>
        <v>N</v>
      </c>
      <c r="AF530" s="45"/>
      <c r="AG530" s="49" t="str">
        <f ca="1">IFERROR(__xludf.DUMMYFUNCTION("IFNA(vlookup(H530,IMPORTRANGE(""1vUGwO1n0QQGx9kKbO0_M5gmuhXZ6-LaxQxgrmJnzgP0"",""'TP# look up'!A:C""),3,0),"""")"),"")</f>
        <v/>
      </c>
      <c r="AH530" s="49" t="str">
        <f t="shared" ca="1" si="8"/>
        <v>LM</v>
      </c>
    </row>
    <row r="531" spans="1:34" ht="12.75">
      <c r="A531" s="45" t="str">
        <f ca="1">IFERROR(__xludf.DUMMYFUNCTION("""COMPUTED_VALUE"""),"Colombo")</f>
        <v>Colombo</v>
      </c>
      <c r="B531" s="45"/>
      <c r="C531" s="45">
        <f ca="1">IFERROR(__xludf.DUMMYFUNCTION("""COMPUTED_VALUE"""),3254508)</f>
        <v>3254508</v>
      </c>
      <c r="D531" s="45"/>
      <c r="E531" s="45" t="str">
        <f ca="1">IFERROR(__xludf.DUMMYFUNCTION("""COMPUTED_VALUE"""),"CFS")</f>
        <v>CFS</v>
      </c>
      <c r="F531" s="45" t="str">
        <f ca="1">IFERROR(__xludf.DUMMYFUNCTION("""COMPUTED_VALUE"""),"MAS AMITY PTE LTD")</f>
        <v>MAS AMITY PTE LTD</v>
      </c>
      <c r="G531" s="45" t="str">
        <f ca="1">IFERROR(__xludf.DUMMYFUNCTION("""COMPUTED_VALUE"""),"MAS Active (Pvt) Ltd – Sleekline")</f>
        <v>MAS Active (Pvt) Ltd – Sleekline</v>
      </c>
      <c r="H531" s="43">
        <f ca="1">IFERROR(__xludf.DUMMYFUNCTION("""COMPUTED_VALUE"""),454776741148)</f>
        <v>454776741148</v>
      </c>
      <c r="I531" s="45">
        <f ca="1">IFERROR(__xludf.DUMMYFUNCTION("""COMPUTED_VALUE"""),19936208)</f>
        <v>19936208</v>
      </c>
      <c r="J531" s="45" t="str">
        <f ca="1">IFERROR(__xludf.DUMMYFUNCTION("""COMPUTED_VALUE"""),"LM9B91S")</f>
        <v>LM9B91S</v>
      </c>
      <c r="K531" s="45" t="str">
        <f ca="1">IFERROR(__xludf.DUMMYFUNCTION("""COMPUTED_VALUE"""),"LM9B91S-072079")</f>
        <v>LM9B91S-072079</v>
      </c>
      <c r="L531" s="45">
        <f ca="1">IFERROR(__xludf.DUMMYFUNCTION("""COMPUTED_VALUE"""),3)</f>
        <v>3</v>
      </c>
      <c r="M531" s="45">
        <f ca="1">IFERROR(__xludf.DUMMYFUNCTION("""COMPUTED_VALUE"""),104)</f>
        <v>104</v>
      </c>
      <c r="N531" s="45">
        <f ca="1">IFERROR(__xludf.DUMMYFUNCTION("""COMPUTED_VALUE"""),28.77)</f>
        <v>28.77</v>
      </c>
      <c r="O531" s="45">
        <f ca="1">IFERROR(__xludf.DUMMYFUNCTION("""COMPUTED_VALUE"""),0.238)</f>
        <v>0.23799999999999999</v>
      </c>
      <c r="P531" s="45" t="str">
        <f ca="1">IFERROR(__xludf.DUMMYFUNCTION("""COMPUTED_VALUE"""),"Colombo, LK")</f>
        <v>Colombo, LK</v>
      </c>
      <c r="Q531" s="45" t="str">
        <f ca="1">IFERROR(__xludf.DUMMYFUNCTION("""COMPUTED_VALUE"""),"New York, NY, US")</f>
        <v>New York, NY, US</v>
      </c>
      <c r="R531" s="44">
        <f ca="1">IFERROR(__xludf.DUMMYFUNCTION("""COMPUTED_VALUE"""),45824)</f>
        <v>45824</v>
      </c>
      <c r="S531" s="44">
        <f ca="1">IFERROR(__xludf.DUMMYFUNCTION("""COMPUTED_VALUE"""),45883)</f>
        <v>45883</v>
      </c>
      <c r="T531" s="45" t="str">
        <f ca="1">IFERROR(__xludf.DUMMYFUNCTION("""COMPUTED_VALUE"""),"Mississauga, ON, CA")</f>
        <v>Mississauga, ON, CA</v>
      </c>
      <c r="U531" s="45"/>
      <c r="V531" s="45"/>
      <c r="W531" s="45"/>
      <c r="X531" s="45"/>
      <c r="Y531" s="46">
        <f ca="1">IFERROR(__xludf.DUMMYFUNCTION("""COMPUTED_VALUE"""),45832)</f>
        <v>45832</v>
      </c>
      <c r="Z531" s="46">
        <f ca="1">IFERROR(__xludf.DUMMYFUNCTION("""COMPUTED_VALUE"""),45861)</f>
        <v>45861</v>
      </c>
      <c r="AA531" s="46">
        <f ca="1">IFERROR(__xludf.DUMMYFUNCTION("""COMPUTED_VALUE"""),45874)</f>
        <v>45874</v>
      </c>
      <c r="AB531" s="45" t="str">
        <f ca="1">IFERROR(__xludf.DUMMYFUNCTION("""COMPUTED_VALUE"""),"3500 Argentia Road")</f>
        <v>3500 Argentia Road</v>
      </c>
      <c r="AC531" s="45"/>
      <c r="AD531" s="45" t="str">
        <f ca="1">IFERROR(__xludf.DUMMYFUNCTION("""COMPUTED_VALUE"""),"OCEAN")</f>
        <v>OCEAN</v>
      </c>
      <c r="AE531" s="45" t="str">
        <f ca="1">IFERROR(__xludf.DUMMYFUNCTION("""COMPUTED_VALUE"""),"N")</f>
        <v>N</v>
      </c>
      <c r="AF531" s="45"/>
      <c r="AG531" s="49" t="str">
        <f ca="1">IFERROR(__xludf.DUMMYFUNCTION("IFNA(vlookup(H531,IMPORTRANGE(""1vUGwO1n0QQGx9kKbO0_M5gmuhXZ6-LaxQxgrmJnzgP0"",""'TP# look up'!A:C""),3,0),"""")"),"")</f>
        <v/>
      </c>
      <c r="AH531" s="49" t="str">
        <f t="shared" ca="1" si="8"/>
        <v>LM</v>
      </c>
    </row>
    <row r="532" spans="1:34" ht="12.75">
      <c r="A532" s="45" t="str">
        <f ca="1">IFERROR(__xludf.DUMMYFUNCTION("""COMPUTED_VALUE"""),"Colombo")</f>
        <v>Colombo</v>
      </c>
      <c r="B532" s="45"/>
      <c r="C532" s="45">
        <f ca="1">IFERROR(__xludf.DUMMYFUNCTION("""COMPUTED_VALUE"""),3254508)</f>
        <v>3254508</v>
      </c>
      <c r="D532" s="45"/>
      <c r="E532" s="45" t="str">
        <f ca="1">IFERROR(__xludf.DUMMYFUNCTION("""COMPUTED_VALUE"""),"CFS")</f>
        <v>CFS</v>
      </c>
      <c r="F532" s="45" t="str">
        <f ca="1">IFERROR(__xludf.DUMMYFUNCTION("""COMPUTED_VALUE"""),"MAS AMITY PTE LTD")</f>
        <v>MAS AMITY PTE LTD</v>
      </c>
      <c r="G532" s="45" t="str">
        <f ca="1">IFERROR(__xludf.DUMMYFUNCTION("""COMPUTED_VALUE"""),"MAS Active (Pvt) Ltd – Sleekline")</f>
        <v>MAS Active (Pvt) Ltd – Sleekline</v>
      </c>
      <c r="H532" s="43">
        <f ca="1">IFERROR(__xludf.DUMMYFUNCTION("""COMPUTED_VALUE"""),454776741208)</f>
        <v>454776741208</v>
      </c>
      <c r="I532" s="45">
        <f ca="1">IFERROR(__xludf.DUMMYFUNCTION("""COMPUTED_VALUE"""),19940790)</f>
        <v>19940790</v>
      </c>
      <c r="J532" s="45" t="str">
        <f ca="1">IFERROR(__xludf.DUMMYFUNCTION("""COMPUTED_VALUE"""),"LM9B17S")</f>
        <v>LM9B17S</v>
      </c>
      <c r="K532" s="45" t="str">
        <f ca="1">IFERROR(__xludf.DUMMYFUNCTION("""COMPUTED_VALUE"""),"LM9B17S-035487")</f>
        <v>LM9B17S-035487</v>
      </c>
      <c r="L532" s="45">
        <f ca="1">IFERROR(__xludf.DUMMYFUNCTION("""COMPUTED_VALUE"""),1)</f>
        <v>1</v>
      </c>
      <c r="M532" s="45">
        <f ca="1">IFERROR(__xludf.DUMMYFUNCTION("""COMPUTED_VALUE"""),118)</f>
        <v>118</v>
      </c>
      <c r="N532" s="45">
        <f ca="1">IFERROR(__xludf.DUMMYFUNCTION("""COMPUTED_VALUE"""),10.67)</f>
        <v>10.67</v>
      </c>
      <c r="O532" s="45">
        <f ca="1">IFERROR(__xludf.DUMMYFUNCTION("""COMPUTED_VALUE"""),0.079)</f>
        <v>7.9000000000000001E-2</v>
      </c>
      <c r="P532" s="45" t="str">
        <f ca="1">IFERROR(__xludf.DUMMYFUNCTION("""COMPUTED_VALUE"""),"Colombo, LK")</f>
        <v>Colombo, LK</v>
      </c>
      <c r="Q532" s="45" t="str">
        <f ca="1">IFERROR(__xludf.DUMMYFUNCTION("""COMPUTED_VALUE"""),"New York, NY, US")</f>
        <v>New York, NY, US</v>
      </c>
      <c r="R532" s="44">
        <f ca="1">IFERROR(__xludf.DUMMYFUNCTION("""COMPUTED_VALUE"""),45824)</f>
        <v>45824</v>
      </c>
      <c r="S532" s="44">
        <f ca="1">IFERROR(__xludf.DUMMYFUNCTION("""COMPUTED_VALUE"""),45883)</f>
        <v>45883</v>
      </c>
      <c r="T532" s="45" t="str">
        <f ca="1">IFERROR(__xludf.DUMMYFUNCTION("""COMPUTED_VALUE"""),"Mississauga, ON, CA")</f>
        <v>Mississauga, ON, CA</v>
      </c>
      <c r="U532" s="45"/>
      <c r="V532" s="45"/>
      <c r="W532" s="45"/>
      <c r="X532" s="45"/>
      <c r="Y532" s="46">
        <f ca="1">IFERROR(__xludf.DUMMYFUNCTION("""COMPUTED_VALUE"""),45832)</f>
        <v>45832</v>
      </c>
      <c r="Z532" s="46">
        <f ca="1">IFERROR(__xludf.DUMMYFUNCTION("""COMPUTED_VALUE"""),45861)</f>
        <v>45861</v>
      </c>
      <c r="AA532" s="46">
        <f ca="1">IFERROR(__xludf.DUMMYFUNCTION("""COMPUTED_VALUE"""),45874)</f>
        <v>45874</v>
      </c>
      <c r="AB532" s="45" t="str">
        <f ca="1">IFERROR(__xludf.DUMMYFUNCTION("""COMPUTED_VALUE"""),"3500 Argentia Road")</f>
        <v>3500 Argentia Road</v>
      </c>
      <c r="AC532" s="45"/>
      <c r="AD532" s="45" t="str">
        <f ca="1">IFERROR(__xludf.DUMMYFUNCTION("""COMPUTED_VALUE"""),"OCEAN")</f>
        <v>OCEAN</v>
      </c>
      <c r="AE532" s="45" t="str">
        <f ca="1">IFERROR(__xludf.DUMMYFUNCTION("""COMPUTED_VALUE"""),"N")</f>
        <v>N</v>
      </c>
      <c r="AF532" s="45"/>
      <c r="AG532" s="49" t="str">
        <f ca="1">IFERROR(__xludf.DUMMYFUNCTION("IFNA(vlookup(H532,IMPORTRANGE(""1vUGwO1n0QQGx9kKbO0_M5gmuhXZ6-LaxQxgrmJnzgP0"",""'TP# look up'!A:C""),3,0),"""")"),"")</f>
        <v/>
      </c>
      <c r="AH532" s="49" t="str">
        <f t="shared" ca="1" si="8"/>
        <v>LM</v>
      </c>
    </row>
    <row r="533" spans="1:34" ht="12.75">
      <c r="A533" s="45" t="str">
        <f ca="1">IFERROR(__xludf.DUMMYFUNCTION("""COMPUTED_VALUE"""),"Colombo")</f>
        <v>Colombo</v>
      </c>
      <c r="B533" s="45"/>
      <c r="C533" s="45">
        <f ca="1">IFERROR(__xludf.DUMMYFUNCTION("""COMPUTED_VALUE"""),3254508)</f>
        <v>3254508</v>
      </c>
      <c r="D533" s="45"/>
      <c r="E533" s="45" t="str">
        <f ca="1">IFERROR(__xludf.DUMMYFUNCTION("""COMPUTED_VALUE"""),"CFS")</f>
        <v>CFS</v>
      </c>
      <c r="F533" s="45" t="str">
        <f ca="1">IFERROR(__xludf.DUMMYFUNCTION("""COMPUTED_VALUE"""),"MAS AMITY PTE LTD")</f>
        <v>MAS AMITY PTE LTD</v>
      </c>
      <c r="G533" s="45" t="str">
        <f ca="1">IFERROR(__xludf.DUMMYFUNCTION("""COMPUTED_VALUE"""),"MAS Active (Pvt) Ltd – Sleekline")</f>
        <v>MAS Active (Pvt) Ltd – Sleekline</v>
      </c>
      <c r="H533" s="43">
        <f ca="1">IFERROR(__xludf.DUMMYFUNCTION("""COMPUTED_VALUE"""),454776867307)</f>
        <v>454776867307</v>
      </c>
      <c r="I533" s="45">
        <f ca="1">IFERROR(__xludf.DUMMYFUNCTION("""COMPUTED_VALUE"""),19927212)</f>
        <v>19927212</v>
      </c>
      <c r="J533" s="45" t="str">
        <f ca="1">IFERROR(__xludf.DUMMYFUNCTION("""COMPUTED_VALUE"""),"LM9B17S")</f>
        <v>LM9B17S</v>
      </c>
      <c r="K533" s="45" t="str">
        <f ca="1">IFERROR(__xludf.DUMMYFUNCTION("""COMPUTED_VALUE"""),"LM9B17S-0001")</f>
        <v>LM9B17S-0001</v>
      </c>
      <c r="L533" s="45">
        <f ca="1">IFERROR(__xludf.DUMMYFUNCTION("""COMPUTED_VALUE"""),1)</f>
        <v>1</v>
      </c>
      <c r="M533" s="45">
        <f ca="1">IFERROR(__xludf.DUMMYFUNCTION("""COMPUTED_VALUE"""),110)</f>
        <v>110</v>
      </c>
      <c r="N533" s="45">
        <f ca="1">IFERROR(__xludf.DUMMYFUNCTION("""COMPUTED_VALUE"""),10.03)</f>
        <v>10.029999999999999</v>
      </c>
      <c r="O533" s="45">
        <f ca="1">IFERROR(__xludf.DUMMYFUNCTION("""COMPUTED_VALUE"""),0.079)</f>
        <v>7.9000000000000001E-2</v>
      </c>
      <c r="P533" s="45" t="str">
        <f ca="1">IFERROR(__xludf.DUMMYFUNCTION("""COMPUTED_VALUE"""),"Colombo, LK")</f>
        <v>Colombo, LK</v>
      </c>
      <c r="Q533" s="45" t="str">
        <f ca="1">IFERROR(__xludf.DUMMYFUNCTION("""COMPUTED_VALUE"""),"New York, NY, US")</f>
        <v>New York, NY, US</v>
      </c>
      <c r="R533" s="44">
        <f ca="1">IFERROR(__xludf.DUMMYFUNCTION("""COMPUTED_VALUE"""),45824)</f>
        <v>45824</v>
      </c>
      <c r="S533" s="44">
        <f ca="1">IFERROR(__xludf.DUMMYFUNCTION("""COMPUTED_VALUE"""),45883)</f>
        <v>45883</v>
      </c>
      <c r="T533" s="45" t="str">
        <f ca="1">IFERROR(__xludf.DUMMYFUNCTION("""COMPUTED_VALUE"""),"Mississauga, ON, CA")</f>
        <v>Mississauga, ON, CA</v>
      </c>
      <c r="U533" s="45"/>
      <c r="V533" s="45"/>
      <c r="W533" s="45"/>
      <c r="X533" s="45"/>
      <c r="Y533" s="46">
        <f ca="1">IFERROR(__xludf.DUMMYFUNCTION("""COMPUTED_VALUE"""),45832)</f>
        <v>45832</v>
      </c>
      <c r="Z533" s="46">
        <f ca="1">IFERROR(__xludf.DUMMYFUNCTION("""COMPUTED_VALUE"""),45861)</f>
        <v>45861</v>
      </c>
      <c r="AA533" s="46">
        <f ca="1">IFERROR(__xludf.DUMMYFUNCTION("""COMPUTED_VALUE"""),45874)</f>
        <v>45874</v>
      </c>
      <c r="AB533" s="45" t="str">
        <f ca="1">IFERROR(__xludf.DUMMYFUNCTION("""COMPUTED_VALUE"""),"3500 Argentia Road")</f>
        <v>3500 Argentia Road</v>
      </c>
      <c r="AC533" s="45"/>
      <c r="AD533" s="45" t="str">
        <f ca="1">IFERROR(__xludf.DUMMYFUNCTION("""COMPUTED_VALUE"""),"OCEAN")</f>
        <v>OCEAN</v>
      </c>
      <c r="AE533" s="45" t="str">
        <f ca="1">IFERROR(__xludf.DUMMYFUNCTION("""COMPUTED_VALUE"""),"N")</f>
        <v>N</v>
      </c>
      <c r="AF533" s="45"/>
      <c r="AG533" s="49" t="str">
        <f ca="1">IFERROR(__xludf.DUMMYFUNCTION("IFNA(vlookup(H533,IMPORTRANGE(""1vUGwO1n0QQGx9kKbO0_M5gmuhXZ6-LaxQxgrmJnzgP0"",""'TP# look up'!A:C""),3,0),"""")"),"")</f>
        <v/>
      </c>
      <c r="AH533" s="49" t="str">
        <f t="shared" ca="1" si="8"/>
        <v>LM</v>
      </c>
    </row>
    <row r="534" spans="1:34" ht="12.75">
      <c r="A534" s="45" t="str">
        <f ca="1">IFERROR(__xludf.DUMMYFUNCTION("""COMPUTED_VALUE"""),"Colombo")</f>
        <v>Colombo</v>
      </c>
      <c r="B534" s="45"/>
      <c r="C534" s="45">
        <f ca="1">IFERROR(__xludf.DUMMYFUNCTION("""COMPUTED_VALUE"""),3254508)</f>
        <v>3254508</v>
      </c>
      <c r="D534" s="45"/>
      <c r="E534" s="45" t="str">
        <f ca="1">IFERROR(__xludf.DUMMYFUNCTION("""COMPUTED_VALUE"""),"CFS")</f>
        <v>CFS</v>
      </c>
      <c r="F534" s="45" t="str">
        <f ca="1">IFERROR(__xludf.DUMMYFUNCTION("""COMPUTED_VALUE"""),"MAS AMITY PTE LTD")</f>
        <v>MAS AMITY PTE LTD</v>
      </c>
      <c r="G534" s="45" t="str">
        <f ca="1">IFERROR(__xludf.DUMMYFUNCTION("""COMPUTED_VALUE"""),"MAS Active (Pvt) Ltd – Sleekline")</f>
        <v>MAS Active (Pvt) Ltd – Sleekline</v>
      </c>
      <c r="H534" s="43">
        <f ca="1">IFERROR(__xludf.DUMMYFUNCTION("""COMPUTED_VALUE"""),454777443457)</f>
        <v>454777443457</v>
      </c>
      <c r="I534" s="45">
        <f ca="1">IFERROR(__xludf.DUMMYFUNCTION("""COMPUTED_VALUE"""),19927350)</f>
        <v>19927350</v>
      </c>
      <c r="J534" s="45" t="str">
        <f ca="1">IFERROR(__xludf.DUMMYFUNCTION("""COMPUTED_VALUE"""),"LM9B20S")</f>
        <v>LM9B20S</v>
      </c>
      <c r="K534" s="45" t="str">
        <f ca="1">IFERROR(__xludf.DUMMYFUNCTION("""COMPUTED_VALUE"""),"LM9B20S-072075")</f>
        <v>LM9B20S-072075</v>
      </c>
      <c r="L534" s="45">
        <f ca="1">IFERROR(__xludf.DUMMYFUNCTION("""COMPUTED_VALUE"""),4)</f>
        <v>4</v>
      </c>
      <c r="M534" s="45">
        <f ca="1">IFERROR(__xludf.DUMMYFUNCTION("""COMPUTED_VALUE"""),143)</f>
        <v>143</v>
      </c>
      <c r="N534" s="45">
        <f ca="1">IFERROR(__xludf.DUMMYFUNCTION("""COMPUTED_VALUE"""),44.89)</f>
        <v>44.89</v>
      </c>
      <c r="O534" s="45">
        <f ca="1">IFERROR(__xludf.DUMMYFUNCTION("""COMPUTED_VALUE"""),0.278)</f>
        <v>0.27800000000000002</v>
      </c>
      <c r="P534" s="45" t="str">
        <f ca="1">IFERROR(__xludf.DUMMYFUNCTION("""COMPUTED_VALUE"""),"Colombo, LK")</f>
        <v>Colombo, LK</v>
      </c>
      <c r="Q534" s="45" t="str">
        <f ca="1">IFERROR(__xludf.DUMMYFUNCTION("""COMPUTED_VALUE"""),"New York, NY, US")</f>
        <v>New York, NY, US</v>
      </c>
      <c r="R534" s="44">
        <f ca="1">IFERROR(__xludf.DUMMYFUNCTION("""COMPUTED_VALUE"""),45824)</f>
        <v>45824</v>
      </c>
      <c r="S534" s="44">
        <f ca="1">IFERROR(__xludf.DUMMYFUNCTION("""COMPUTED_VALUE"""),45883)</f>
        <v>45883</v>
      </c>
      <c r="T534" s="45" t="str">
        <f ca="1">IFERROR(__xludf.DUMMYFUNCTION("""COMPUTED_VALUE"""),"Mississauga, ON, CA")</f>
        <v>Mississauga, ON, CA</v>
      </c>
      <c r="U534" s="45"/>
      <c r="V534" s="45"/>
      <c r="W534" s="45"/>
      <c r="X534" s="45"/>
      <c r="Y534" s="46">
        <f ca="1">IFERROR(__xludf.DUMMYFUNCTION("""COMPUTED_VALUE"""),45832)</f>
        <v>45832</v>
      </c>
      <c r="Z534" s="46">
        <f ca="1">IFERROR(__xludf.DUMMYFUNCTION("""COMPUTED_VALUE"""),45861)</f>
        <v>45861</v>
      </c>
      <c r="AA534" s="46">
        <f ca="1">IFERROR(__xludf.DUMMYFUNCTION("""COMPUTED_VALUE"""),45874)</f>
        <v>45874</v>
      </c>
      <c r="AB534" s="45" t="str">
        <f ca="1">IFERROR(__xludf.DUMMYFUNCTION("""COMPUTED_VALUE"""),"3500 Argentia Road")</f>
        <v>3500 Argentia Road</v>
      </c>
      <c r="AC534" s="45"/>
      <c r="AD534" s="45" t="str">
        <f ca="1">IFERROR(__xludf.DUMMYFUNCTION("""COMPUTED_VALUE"""),"OCEAN")</f>
        <v>OCEAN</v>
      </c>
      <c r="AE534" s="45" t="str">
        <f ca="1">IFERROR(__xludf.DUMMYFUNCTION("""COMPUTED_VALUE"""),"N")</f>
        <v>N</v>
      </c>
      <c r="AF534" s="45"/>
      <c r="AG534" s="49" t="str">
        <f ca="1">IFERROR(__xludf.DUMMYFUNCTION("IFNA(vlookup(H534,IMPORTRANGE(""1vUGwO1n0QQGx9kKbO0_M5gmuhXZ6-LaxQxgrmJnzgP0"",""'TP# look up'!A:C""),3,0),"""")"),"")</f>
        <v/>
      </c>
      <c r="AH534" s="49" t="str">
        <f t="shared" ca="1" si="8"/>
        <v>LM</v>
      </c>
    </row>
    <row r="535" spans="1:34" ht="12.75">
      <c r="A535" s="45" t="str">
        <f ca="1">IFERROR(__xludf.DUMMYFUNCTION("""COMPUTED_VALUE"""),"Colombo")</f>
        <v>Colombo</v>
      </c>
      <c r="B535" s="45"/>
      <c r="C535" s="45">
        <f ca="1">IFERROR(__xludf.DUMMYFUNCTION("""COMPUTED_VALUE"""),3254508)</f>
        <v>3254508</v>
      </c>
      <c r="D535" s="45"/>
      <c r="E535" s="45" t="str">
        <f ca="1">IFERROR(__xludf.DUMMYFUNCTION("""COMPUTED_VALUE"""),"CFS")</f>
        <v>CFS</v>
      </c>
      <c r="F535" s="45" t="str">
        <f ca="1">IFERROR(__xludf.DUMMYFUNCTION("""COMPUTED_VALUE"""),"MAS AMITY PTE LTD")</f>
        <v>MAS AMITY PTE LTD</v>
      </c>
      <c r="G535" s="45" t="str">
        <f ca="1">IFERROR(__xludf.DUMMYFUNCTION("""COMPUTED_VALUE"""),"MAS Active (Pvt) Ltd – Sleekline")</f>
        <v>MAS Active (Pvt) Ltd – Sleekline</v>
      </c>
      <c r="H535" s="43">
        <f ca="1">IFERROR(__xludf.DUMMYFUNCTION("""COMPUTED_VALUE"""),454777445244)</f>
        <v>454777445244</v>
      </c>
      <c r="I535" s="45">
        <f ca="1">IFERROR(__xludf.DUMMYFUNCTION("""COMPUTED_VALUE"""),19927252)</f>
        <v>19927252</v>
      </c>
      <c r="J535" s="45" t="str">
        <f ca="1">IFERROR(__xludf.DUMMYFUNCTION("""COMPUTED_VALUE"""),"LM9B17S")</f>
        <v>LM9B17S</v>
      </c>
      <c r="K535" s="45" t="str">
        <f ca="1">IFERROR(__xludf.DUMMYFUNCTION("""COMPUTED_VALUE"""),"LM9B17S-031382")</f>
        <v>LM9B17S-031382</v>
      </c>
      <c r="L535" s="45">
        <f ca="1">IFERROR(__xludf.DUMMYFUNCTION("""COMPUTED_VALUE"""),1)</f>
        <v>1</v>
      </c>
      <c r="M535" s="45">
        <f ca="1">IFERROR(__xludf.DUMMYFUNCTION("""COMPUTED_VALUE"""),135)</f>
        <v>135</v>
      </c>
      <c r="N535" s="45">
        <f ca="1">IFERROR(__xludf.DUMMYFUNCTION("""COMPUTED_VALUE"""),12.05)</f>
        <v>12.05</v>
      </c>
      <c r="O535" s="45">
        <f ca="1">IFERROR(__xludf.DUMMYFUNCTION("""COMPUTED_VALUE"""),0.079)</f>
        <v>7.9000000000000001E-2</v>
      </c>
      <c r="P535" s="45" t="str">
        <f ca="1">IFERROR(__xludf.DUMMYFUNCTION("""COMPUTED_VALUE"""),"Colombo, LK")</f>
        <v>Colombo, LK</v>
      </c>
      <c r="Q535" s="45" t="str">
        <f ca="1">IFERROR(__xludf.DUMMYFUNCTION("""COMPUTED_VALUE"""),"New York, NY, US")</f>
        <v>New York, NY, US</v>
      </c>
      <c r="R535" s="44">
        <f ca="1">IFERROR(__xludf.DUMMYFUNCTION("""COMPUTED_VALUE"""),45824)</f>
        <v>45824</v>
      </c>
      <c r="S535" s="44">
        <f ca="1">IFERROR(__xludf.DUMMYFUNCTION("""COMPUTED_VALUE"""),45883)</f>
        <v>45883</v>
      </c>
      <c r="T535" s="45" t="str">
        <f ca="1">IFERROR(__xludf.DUMMYFUNCTION("""COMPUTED_VALUE"""),"Mississauga, ON, CA")</f>
        <v>Mississauga, ON, CA</v>
      </c>
      <c r="U535" s="45"/>
      <c r="V535" s="45"/>
      <c r="W535" s="45"/>
      <c r="X535" s="45"/>
      <c r="Y535" s="46">
        <f ca="1">IFERROR(__xludf.DUMMYFUNCTION("""COMPUTED_VALUE"""),45832)</f>
        <v>45832</v>
      </c>
      <c r="Z535" s="46">
        <f ca="1">IFERROR(__xludf.DUMMYFUNCTION("""COMPUTED_VALUE"""),45861)</f>
        <v>45861</v>
      </c>
      <c r="AA535" s="46">
        <f ca="1">IFERROR(__xludf.DUMMYFUNCTION("""COMPUTED_VALUE"""),45874)</f>
        <v>45874</v>
      </c>
      <c r="AB535" s="45" t="str">
        <f ca="1">IFERROR(__xludf.DUMMYFUNCTION("""COMPUTED_VALUE"""),"3500 Argentia Road")</f>
        <v>3500 Argentia Road</v>
      </c>
      <c r="AC535" s="45"/>
      <c r="AD535" s="45" t="str">
        <f ca="1">IFERROR(__xludf.DUMMYFUNCTION("""COMPUTED_VALUE"""),"OCEAN")</f>
        <v>OCEAN</v>
      </c>
      <c r="AE535" s="45" t="str">
        <f ca="1">IFERROR(__xludf.DUMMYFUNCTION("""COMPUTED_VALUE"""),"N")</f>
        <v>N</v>
      </c>
      <c r="AF535" s="45"/>
      <c r="AG535" s="49" t="str">
        <f ca="1">IFERROR(__xludf.DUMMYFUNCTION("IFNA(vlookup(H535,IMPORTRANGE(""1vUGwO1n0QQGx9kKbO0_M5gmuhXZ6-LaxQxgrmJnzgP0"",""'TP# look up'!A:C""),3,0),"""")"),"")</f>
        <v/>
      </c>
      <c r="AH535" s="49" t="str">
        <f t="shared" ca="1" si="8"/>
        <v>LM</v>
      </c>
    </row>
    <row r="536" spans="1:34" ht="12.75">
      <c r="A536" s="45" t="str">
        <f ca="1">IFERROR(__xludf.DUMMYFUNCTION("""COMPUTED_VALUE"""),"Colombo")</f>
        <v>Colombo</v>
      </c>
      <c r="B536" s="45"/>
      <c r="C536" s="45">
        <f ca="1">IFERROR(__xludf.DUMMYFUNCTION("""COMPUTED_VALUE"""),3254508)</f>
        <v>3254508</v>
      </c>
      <c r="D536" s="45"/>
      <c r="E536" s="45" t="str">
        <f ca="1">IFERROR(__xludf.DUMMYFUNCTION("""COMPUTED_VALUE"""),"CFS")</f>
        <v>CFS</v>
      </c>
      <c r="F536" s="45" t="str">
        <f ca="1">IFERROR(__xludf.DUMMYFUNCTION("""COMPUTED_VALUE"""),"MAS AMITY PTE LTD")</f>
        <v>MAS AMITY PTE LTD</v>
      </c>
      <c r="G536" s="45" t="str">
        <f ca="1">IFERROR(__xludf.DUMMYFUNCTION("""COMPUTED_VALUE"""),"MAS Active (Pvt) Ltd – Sleekline")</f>
        <v>MAS Active (Pvt) Ltd – Sleekline</v>
      </c>
      <c r="H536" s="43">
        <f ca="1">IFERROR(__xludf.DUMMYFUNCTION("""COMPUTED_VALUE"""),454777445314)</f>
        <v>454777445314</v>
      </c>
      <c r="I536" s="45">
        <f ca="1">IFERROR(__xludf.DUMMYFUNCTION("""COMPUTED_VALUE"""),19936171)</f>
        <v>19936171</v>
      </c>
      <c r="J536" s="45" t="str">
        <f ca="1">IFERROR(__xludf.DUMMYFUNCTION("""COMPUTED_VALUE"""),"LM9B20S")</f>
        <v>LM9B20S</v>
      </c>
      <c r="K536" s="45" t="str">
        <f ca="1">IFERROR(__xludf.DUMMYFUNCTION("""COMPUTED_VALUE"""),"LM9B20S-4310")</f>
        <v>LM9B20S-4310</v>
      </c>
      <c r="L536" s="45">
        <f ca="1">IFERROR(__xludf.DUMMYFUNCTION("""COMPUTED_VALUE"""),3)</f>
        <v>3</v>
      </c>
      <c r="M536" s="45">
        <f ca="1">IFERROR(__xludf.DUMMYFUNCTION("""COMPUTED_VALUE"""),104)</f>
        <v>104</v>
      </c>
      <c r="N536" s="45">
        <f ca="1">IFERROR(__xludf.DUMMYFUNCTION("""COMPUTED_VALUE"""),33.02)</f>
        <v>33.020000000000003</v>
      </c>
      <c r="O536" s="45">
        <f ca="1">IFERROR(__xludf.DUMMYFUNCTION("""COMPUTED_VALUE"""),0.238)</f>
        <v>0.23799999999999999</v>
      </c>
      <c r="P536" s="45" t="str">
        <f ca="1">IFERROR(__xludf.DUMMYFUNCTION("""COMPUTED_VALUE"""),"Colombo, LK")</f>
        <v>Colombo, LK</v>
      </c>
      <c r="Q536" s="45" t="str">
        <f ca="1">IFERROR(__xludf.DUMMYFUNCTION("""COMPUTED_VALUE"""),"New York, NY, US")</f>
        <v>New York, NY, US</v>
      </c>
      <c r="R536" s="44">
        <f ca="1">IFERROR(__xludf.DUMMYFUNCTION("""COMPUTED_VALUE"""),45824)</f>
        <v>45824</v>
      </c>
      <c r="S536" s="44">
        <f ca="1">IFERROR(__xludf.DUMMYFUNCTION("""COMPUTED_VALUE"""),45883)</f>
        <v>45883</v>
      </c>
      <c r="T536" s="45" t="str">
        <f ca="1">IFERROR(__xludf.DUMMYFUNCTION("""COMPUTED_VALUE"""),"Mississauga, ON, CA")</f>
        <v>Mississauga, ON, CA</v>
      </c>
      <c r="U536" s="45"/>
      <c r="V536" s="45"/>
      <c r="W536" s="45"/>
      <c r="X536" s="45"/>
      <c r="Y536" s="46">
        <f ca="1">IFERROR(__xludf.DUMMYFUNCTION("""COMPUTED_VALUE"""),45832)</f>
        <v>45832</v>
      </c>
      <c r="Z536" s="46">
        <f ca="1">IFERROR(__xludf.DUMMYFUNCTION("""COMPUTED_VALUE"""),45861)</f>
        <v>45861</v>
      </c>
      <c r="AA536" s="46">
        <f ca="1">IFERROR(__xludf.DUMMYFUNCTION("""COMPUTED_VALUE"""),45874)</f>
        <v>45874</v>
      </c>
      <c r="AB536" s="45" t="str">
        <f ca="1">IFERROR(__xludf.DUMMYFUNCTION("""COMPUTED_VALUE"""),"3500 Argentia Road")</f>
        <v>3500 Argentia Road</v>
      </c>
      <c r="AC536" s="45"/>
      <c r="AD536" s="45" t="str">
        <f ca="1">IFERROR(__xludf.DUMMYFUNCTION("""COMPUTED_VALUE"""),"OCEAN")</f>
        <v>OCEAN</v>
      </c>
      <c r="AE536" s="45" t="str">
        <f ca="1">IFERROR(__xludf.DUMMYFUNCTION("""COMPUTED_VALUE"""),"N")</f>
        <v>N</v>
      </c>
      <c r="AF536" s="45"/>
      <c r="AG536" s="49" t="str">
        <f ca="1">IFERROR(__xludf.DUMMYFUNCTION("IFNA(vlookup(H536,IMPORTRANGE(""1vUGwO1n0QQGx9kKbO0_M5gmuhXZ6-LaxQxgrmJnzgP0"",""'TP# look up'!A:C""),3,0),"""")"),"")</f>
        <v/>
      </c>
      <c r="AH536" s="49" t="str">
        <f t="shared" ca="1" si="8"/>
        <v>LM</v>
      </c>
    </row>
    <row r="537" spans="1:34" ht="12.75">
      <c r="A537" s="45" t="str">
        <f ca="1">IFERROR(__xludf.DUMMYFUNCTION("""COMPUTED_VALUE"""),"Colombo")</f>
        <v>Colombo</v>
      </c>
      <c r="B537" s="45"/>
      <c r="C537" s="45">
        <f ca="1">IFERROR(__xludf.DUMMYFUNCTION("""COMPUTED_VALUE"""),3254508)</f>
        <v>3254508</v>
      </c>
      <c r="D537" s="45"/>
      <c r="E537" s="45" t="str">
        <f ca="1">IFERROR(__xludf.DUMMYFUNCTION("""COMPUTED_VALUE"""),"CFS")</f>
        <v>CFS</v>
      </c>
      <c r="F537" s="45" t="str">
        <f ca="1">IFERROR(__xludf.DUMMYFUNCTION("""COMPUTED_VALUE"""),"MAS AMITY PTE LTD")</f>
        <v>MAS AMITY PTE LTD</v>
      </c>
      <c r="G537" s="45" t="str">
        <f ca="1">IFERROR(__xludf.DUMMYFUNCTION("""COMPUTED_VALUE"""),"MAS Fabrics (Pvt) Ltd Intimo")</f>
        <v>MAS Fabrics (Pvt) Ltd Intimo</v>
      </c>
      <c r="H537" s="43">
        <f ca="1">IFERROR(__xludf.DUMMYFUNCTION("""COMPUTED_VALUE"""),454698380029)</f>
        <v>454698380029</v>
      </c>
      <c r="I537" s="45">
        <f ca="1">IFERROR(__xludf.DUMMYFUNCTION("""COMPUTED_VALUE"""),19900051)</f>
        <v>19900051</v>
      </c>
      <c r="J537" s="45" t="str">
        <f ca="1">IFERROR(__xludf.DUMMYFUNCTION("""COMPUTED_VALUE"""),"LW3DFNS")</f>
        <v>LW3DFNS</v>
      </c>
      <c r="K537" s="45" t="str">
        <f ca="1">IFERROR(__xludf.DUMMYFUNCTION("""COMPUTED_VALUE"""),"LW3DFNS-012826")</f>
        <v>LW3DFNS-012826</v>
      </c>
      <c r="L537" s="45">
        <f ca="1">IFERROR(__xludf.DUMMYFUNCTION("""COMPUTED_VALUE"""),20)</f>
        <v>20</v>
      </c>
      <c r="M537" s="45">
        <f ca="1">IFERROR(__xludf.DUMMYFUNCTION("""COMPUTED_VALUE"""),1721)</f>
        <v>1721</v>
      </c>
      <c r="N537" s="45">
        <f ca="1">IFERROR(__xludf.DUMMYFUNCTION("""COMPUTED_VALUE"""),217.738)</f>
        <v>217.738</v>
      </c>
      <c r="O537" s="45">
        <f ca="1">IFERROR(__xludf.DUMMYFUNCTION("""COMPUTED_VALUE"""),1.422)</f>
        <v>1.4219999999999999</v>
      </c>
      <c r="P537" s="45" t="str">
        <f ca="1">IFERROR(__xludf.DUMMYFUNCTION("""COMPUTED_VALUE"""),"Colombo, LK")</f>
        <v>Colombo, LK</v>
      </c>
      <c r="Q537" s="45" t="str">
        <f ca="1">IFERROR(__xludf.DUMMYFUNCTION("""COMPUTED_VALUE"""),"New York, NY, US")</f>
        <v>New York, NY, US</v>
      </c>
      <c r="R537" s="44">
        <f ca="1">IFERROR(__xludf.DUMMYFUNCTION("""COMPUTED_VALUE"""),45824)</f>
        <v>45824</v>
      </c>
      <c r="S537" s="44">
        <f ca="1">IFERROR(__xludf.DUMMYFUNCTION("""COMPUTED_VALUE"""),45883)</f>
        <v>45883</v>
      </c>
      <c r="T537" s="45" t="str">
        <f ca="1">IFERROR(__xludf.DUMMYFUNCTION("""COMPUTED_VALUE"""),"Milton, ON, CA")</f>
        <v>Milton, ON, CA</v>
      </c>
      <c r="U537" s="45"/>
      <c r="V537" s="45"/>
      <c r="W537" s="45"/>
      <c r="X537" s="45"/>
      <c r="Y537" s="46">
        <f ca="1">IFERROR(__xludf.DUMMYFUNCTION("""COMPUTED_VALUE"""),45832)</f>
        <v>45832</v>
      </c>
      <c r="Z537" s="46">
        <f ca="1">IFERROR(__xludf.DUMMYFUNCTION("""COMPUTED_VALUE"""),45861)</f>
        <v>45861</v>
      </c>
      <c r="AA537" s="46">
        <f ca="1">IFERROR(__xludf.DUMMYFUNCTION("""COMPUTED_VALUE"""),45874)</f>
        <v>45874</v>
      </c>
      <c r="AB537" s="45" t="str">
        <f ca="1">IFERROR(__xludf.DUMMYFUNCTION("""COMPUTED_VALUE"""),"7211 Fifth Line")</f>
        <v>7211 Fifth Line</v>
      </c>
      <c r="AC537" s="45"/>
      <c r="AD537" s="45" t="str">
        <f ca="1">IFERROR(__xludf.DUMMYFUNCTION("""COMPUTED_VALUE"""),"OCEAN")</f>
        <v>OCEAN</v>
      </c>
      <c r="AE537" s="45" t="str">
        <f ca="1">IFERROR(__xludf.DUMMYFUNCTION("""COMPUTED_VALUE"""),"N")</f>
        <v>N</v>
      </c>
      <c r="AF537" s="45"/>
      <c r="AG537" s="49" t="str">
        <f ca="1">IFERROR(__xludf.DUMMYFUNCTION("IFNA(vlookup(H537,IMPORTRANGE(""1vUGwO1n0QQGx9kKbO0_M5gmuhXZ6-LaxQxgrmJnzgP0"",""'TP# look up'!A:C""),3,0),"""")"),"")</f>
        <v/>
      </c>
      <c r="AH537" s="49" t="str">
        <f t="shared" ca="1" si="8"/>
        <v>LW</v>
      </c>
    </row>
    <row r="538" spans="1:34" ht="12.75">
      <c r="A538" s="45" t="str">
        <f ca="1">IFERROR(__xludf.DUMMYFUNCTION("""COMPUTED_VALUE"""),"Colombo")</f>
        <v>Colombo</v>
      </c>
      <c r="B538" s="45"/>
      <c r="C538" s="45">
        <f ca="1">IFERROR(__xludf.DUMMYFUNCTION("""COMPUTED_VALUE"""),3254508)</f>
        <v>3254508</v>
      </c>
      <c r="D538" s="45"/>
      <c r="E538" s="45" t="str">
        <f ca="1">IFERROR(__xludf.DUMMYFUNCTION("""COMPUTED_VALUE"""),"CFS")</f>
        <v>CFS</v>
      </c>
      <c r="F538" s="45" t="str">
        <f ca="1">IFERROR(__xludf.DUMMYFUNCTION("""COMPUTED_VALUE"""),"MAS AMITY PTE LTD")</f>
        <v>MAS AMITY PTE LTD</v>
      </c>
      <c r="G538" s="45" t="str">
        <f ca="1">IFERROR(__xludf.DUMMYFUNCTION("""COMPUTED_VALUE"""),"MAS Fabrics (Pvt) Ltd Intimo")</f>
        <v>MAS Fabrics (Pvt) Ltd Intimo</v>
      </c>
      <c r="H538" s="43">
        <f ca="1">IFERROR(__xludf.DUMMYFUNCTION("""COMPUTED_VALUE"""),454698381085)</f>
        <v>454698381085</v>
      </c>
      <c r="I538" s="45">
        <f ca="1">IFERROR(__xludf.DUMMYFUNCTION("""COMPUTED_VALUE"""),19900121)</f>
        <v>19900121</v>
      </c>
      <c r="J538" s="45" t="str">
        <f ca="1">IFERROR(__xludf.DUMMYFUNCTION("""COMPUTED_VALUE"""),"LW3GZHS")</f>
        <v>LW3GZHS</v>
      </c>
      <c r="K538" s="45" t="str">
        <f ca="1">IFERROR(__xludf.DUMMYFUNCTION("""COMPUTED_VALUE"""),"LW3GZHS-0572")</f>
        <v>LW3GZHS-0572</v>
      </c>
      <c r="L538" s="45">
        <f ca="1">IFERROR(__xludf.DUMMYFUNCTION("""COMPUTED_VALUE"""),6)</f>
        <v>6</v>
      </c>
      <c r="M538" s="45">
        <f ca="1">IFERROR(__xludf.DUMMYFUNCTION("""COMPUTED_VALUE"""),487)</f>
        <v>487</v>
      </c>
      <c r="N538" s="45">
        <f ca="1">IFERROR(__xludf.DUMMYFUNCTION("""COMPUTED_VALUE"""),40.567)</f>
        <v>40.567</v>
      </c>
      <c r="O538" s="45">
        <f ca="1">IFERROR(__xludf.DUMMYFUNCTION("""COMPUTED_VALUE"""),0.434)</f>
        <v>0.434</v>
      </c>
      <c r="P538" s="45" t="str">
        <f ca="1">IFERROR(__xludf.DUMMYFUNCTION("""COMPUTED_VALUE"""),"Colombo, LK")</f>
        <v>Colombo, LK</v>
      </c>
      <c r="Q538" s="45" t="str">
        <f ca="1">IFERROR(__xludf.DUMMYFUNCTION("""COMPUTED_VALUE"""),"New York, NY, US")</f>
        <v>New York, NY, US</v>
      </c>
      <c r="R538" s="44">
        <f ca="1">IFERROR(__xludf.DUMMYFUNCTION("""COMPUTED_VALUE"""),45824)</f>
        <v>45824</v>
      </c>
      <c r="S538" s="44">
        <f ca="1">IFERROR(__xludf.DUMMYFUNCTION("""COMPUTED_VALUE"""),45883)</f>
        <v>45883</v>
      </c>
      <c r="T538" s="45" t="str">
        <f ca="1">IFERROR(__xludf.DUMMYFUNCTION("""COMPUTED_VALUE"""),"Milton, ON, CA")</f>
        <v>Milton, ON, CA</v>
      </c>
      <c r="U538" s="45"/>
      <c r="V538" s="45"/>
      <c r="W538" s="45"/>
      <c r="X538" s="45"/>
      <c r="Y538" s="46">
        <f ca="1">IFERROR(__xludf.DUMMYFUNCTION("""COMPUTED_VALUE"""),45832)</f>
        <v>45832</v>
      </c>
      <c r="Z538" s="46">
        <f ca="1">IFERROR(__xludf.DUMMYFUNCTION("""COMPUTED_VALUE"""),45861)</f>
        <v>45861</v>
      </c>
      <c r="AA538" s="46">
        <f ca="1">IFERROR(__xludf.DUMMYFUNCTION("""COMPUTED_VALUE"""),45874)</f>
        <v>45874</v>
      </c>
      <c r="AB538" s="45" t="str">
        <f ca="1">IFERROR(__xludf.DUMMYFUNCTION("""COMPUTED_VALUE"""),"7211 Fifth Line")</f>
        <v>7211 Fifth Line</v>
      </c>
      <c r="AC538" s="45"/>
      <c r="AD538" s="45" t="str">
        <f ca="1">IFERROR(__xludf.DUMMYFUNCTION("""COMPUTED_VALUE"""),"OCEAN")</f>
        <v>OCEAN</v>
      </c>
      <c r="AE538" s="45" t="str">
        <f ca="1">IFERROR(__xludf.DUMMYFUNCTION("""COMPUTED_VALUE"""),"N")</f>
        <v>N</v>
      </c>
      <c r="AF538" s="45"/>
      <c r="AG538" s="49" t="str">
        <f ca="1">IFERROR(__xludf.DUMMYFUNCTION("IFNA(vlookup(H538,IMPORTRANGE(""1vUGwO1n0QQGx9kKbO0_M5gmuhXZ6-LaxQxgrmJnzgP0"",""'TP# look up'!A:C""),3,0),"""")"),"")</f>
        <v/>
      </c>
      <c r="AH538" s="49" t="str">
        <f t="shared" ca="1" si="8"/>
        <v>LW</v>
      </c>
    </row>
    <row r="539" spans="1:34" ht="12.75">
      <c r="A539" s="45" t="str">
        <f ca="1">IFERROR(__xludf.DUMMYFUNCTION("""COMPUTED_VALUE"""),"Colombo")</f>
        <v>Colombo</v>
      </c>
      <c r="B539" s="45"/>
      <c r="C539" s="45">
        <f ca="1">IFERROR(__xludf.DUMMYFUNCTION("""COMPUTED_VALUE"""),3254508)</f>
        <v>3254508</v>
      </c>
      <c r="D539" s="45"/>
      <c r="E539" s="45" t="str">
        <f ca="1">IFERROR(__xludf.DUMMYFUNCTION("""COMPUTED_VALUE"""),"CFS")</f>
        <v>CFS</v>
      </c>
      <c r="F539" s="45" t="str">
        <f ca="1">IFERROR(__xludf.DUMMYFUNCTION("""COMPUTED_VALUE"""),"MAS AMITY PTE LTD")</f>
        <v>MAS AMITY PTE LTD</v>
      </c>
      <c r="G539" s="45" t="str">
        <f ca="1">IFERROR(__xludf.DUMMYFUNCTION("""COMPUTED_VALUE"""),"MAS Fabrics (Pvt) Ltd Intimo")</f>
        <v>MAS Fabrics (Pvt) Ltd Intimo</v>
      </c>
      <c r="H539" s="43">
        <f ca="1">IFERROR(__xludf.DUMMYFUNCTION("""COMPUTED_VALUE"""),454699447395)</f>
        <v>454699447395</v>
      </c>
      <c r="I539" s="45">
        <f ca="1">IFERROR(__xludf.DUMMYFUNCTION("""COMPUTED_VALUE"""),19900084)</f>
        <v>19900084</v>
      </c>
      <c r="J539" s="45" t="str">
        <f ca="1">IFERROR(__xludf.DUMMYFUNCTION("""COMPUTED_VALUE"""),"LW3DOBS")</f>
        <v>LW3DOBS</v>
      </c>
      <c r="K539" s="45" t="str">
        <f ca="1">IFERROR(__xludf.DUMMYFUNCTION("""COMPUTED_VALUE"""),"LW3DOBS-071154")</f>
        <v>LW3DOBS-071154</v>
      </c>
      <c r="L539" s="45">
        <f ca="1">IFERROR(__xludf.DUMMYFUNCTION("""COMPUTED_VALUE"""),6)</f>
        <v>6</v>
      </c>
      <c r="M539" s="45">
        <f ca="1">IFERROR(__xludf.DUMMYFUNCTION("""COMPUTED_VALUE"""),285)</f>
        <v>285</v>
      </c>
      <c r="N539" s="45">
        <f ca="1">IFERROR(__xludf.DUMMYFUNCTION("""COMPUTED_VALUE"""),46.7)</f>
        <v>46.7</v>
      </c>
      <c r="O539" s="45">
        <f ca="1">IFERROR(__xludf.DUMMYFUNCTION("""COMPUTED_VALUE"""),0.436)</f>
        <v>0.436</v>
      </c>
      <c r="P539" s="45" t="str">
        <f ca="1">IFERROR(__xludf.DUMMYFUNCTION("""COMPUTED_VALUE"""),"Colombo, LK")</f>
        <v>Colombo, LK</v>
      </c>
      <c r="Q539" s="45" t="str">
        <f ca="1">IFERROR(__xludf.DUMMYFUNCTION("""COMPUTED_VALUE"""),"New York, NY, US")</f>
        <v>New York, NY, US</v>
      </c>
      <c r="R539" s="44">
        <f ca="1">IFERROR(__xludf.DUMMYFUNCTION("""COMPUTED_VALUE"""),45824)</f>
        <v>45824</v>
      </c>
      <c r="S539" s="44">
        <f ca="1">IFERROR(__xludf.DUMMYFUNCTION("""COMPUTED_VALUE"""),45883)</f>
        <v>45883</v>
      </c>
      <c r="T539" s="45" t="str">
        <f ca="1">IFERROR(__xludf.DUMMYFUNCTION("""COMPUTED_VALUE"""),"Milton, ON, CA")</f>
        <v>Milton, ON, CA</v>
      </c>
      <c r="U539" s="45"/>
      <c r="V539" s="45"/>
      <c r="W539" s="45"/>
      <c r="X539" s="45"/>
      <c r="Y539" s="46">
        <f ca="1">IFERROR(__xludf.DUMMYFUNCTION("""COMPUTED_VALUE"""),45832)</f>
        <v>45832</v>
      </c>
      <c r="Z539" s="46">
        <f ca="1">IFERROR(__xludf.DUMMYFUNCTION("""COMPUTED_VALUE"""),45861)</f>
        <v>45861</v>
      </c>
      <c r="AA539" s="46">
        <f ca="1">IFERROR(__xludf.DUMMYFUNCTION("""COMPUTED_VALUE"""),45874)</f>
        <v>45874</v>
      </c>
      <c r="AB539" s="45" t="str">
        <f ca="1">IFERROR(__xludf.DUMMYFUNCTION("""COMPUTED_VALUE"""),"7211 Fifth Line")</f>
        <v>7211 Fifth Line</v>
      </c>
      <c r="AC539" s="45"/>
      <c r="AD539" s="45" t="str">
        <f ca="1">IFERROR(__xludf.DUMMYFUNCTION("""COMPUTED_VALUE"""),"OCEAN")</f>
        <v>OCEAN</v>
      </c>
      <c r="AE539" s="45" t="str">
        <f ca="1">IFERROR(__xludf.DUMMYFUNCTION("""COMPUTED_VALUE"""),"N")</f>
        <v>N</v>
      </c>
      <c r="AF539" s="45"/>
      <c r="AG539" s="49" t="str">
        <f ca="1">IFERROR(__xludf.DUMMYFUNCTION("IFNA(vlookup(H539,IMPORTRANGE(""1vUGwO1n0QQGx9kKbO0_M5gmuhXZ6-LaxQxgrmJnzgP0"",""'TP# look up'!A:C""),3,0),"""")"),"")</f>
        <v/>
      </c>
      <c r="AH539" s="49" t="str">
        <f t="shared" ca="1" si="8"/>
        <v>LW</v>
      </c>
    </row>
    <row r="540" spans="1:34" ht="12.75">
      <c r="A540" s="45" t="str">
        <f ca="1">IFERROR(__xludf.DUMMYFUNCTION("""COMPUTED_VALUE"""),"Colombo")</f>
        <v>Colombo</v>
      </c>
      <c r="B540" s="45"/>
      <c r="C540" s="45">
        <f ca="1">IFERROR(__xludf.DUMMYFUNCTION("""COMPUTED_VALUE"""),3254508)</f>
        <v>3254508</v>
      </c>
      <c r="D540" s="45"/>
      <c r="E540" s="45" t="str">
        <f ca="1">IFERROR(__xludf.DUMMYFUNCTION("""COMPUTED_VALUE"""),"CFS")</f>
        <v>CFS</v>
      </c>
      <c r="F540" s="45" t="str">
        <f ca="1">IFERROR(__xludf.DUMMYFUNCTION("""COMPUTED_VALUE"""),"MAS AMITY PTE LTD")</f>
        <v>MAS AMITY PTE LTD</v>
      </c>
      <c r="G540" s="45" t="str">
        <f ca="1">IFERROR(__xludf.DUMMYFUNCTION("""COMPUTED_VALUE"""),"MAS Fabrics (Pvt) Ltd Intimo")</f>
        <v>MAS Fabrics (Pvt) Ltd Intimo</v>
      </c>
      <c r="H540" s="43">
        <f ca="1">IFERROR(__xludf.DUMMYFUNCTION("""COMPUTED_VALUE"""),454699447554)</f>
        <v>454699447554</v>
      </c>
      <c r="I540" s="45">
        <f ca="1">IFERROR(__xludf.DUMMYFUNCTION("""COMPUTED_VALUE"""),19900087)</f>
        <v>19900087</v>
      </c>
      <c r="J540" s="45" t="str">
        <f ca="1">IFERROR(__xludf.DUMMYFUNCTION("""COMPUTED_VALUE"""),"LW3DOBS")</f>
        <v>LW3DOBS</v>
      </c>
      <c r="K540" s="45" t="str">
        <f ca="1">IFERROR(__xludf.DUMMYFUNCTION("""COMPUTED_VALUE"""),"LW3DOBS-039159")</f>
        <v>LW3DOBS-039159</v>
      </c>
      <c r="L540" s="45">
        <f ca="1">IFERROR(__xludf.DUMMYFUNCTION("""COMPUTED_VALUE"""),4)</f>
        <v>4</v>
      </c>
      <c r="M540" s="45">
        <f ca="1">IFERROR(__xludf.DUMMYFUNCTION("""COMPUTED_VALUE"""),157)</f>
        <v>157</v>
      </c>
      <c r="N540" s="45">
        <f ca="1">IFERROR(__xludf.DUMMYFUNCTION("""COMPUTED_VALUE"""),26.01)</f>
        <v>26.01</v>
      </c>
      <c r="O540" s="45">
        <f ca="1">IFERROR(__xludf.DUMMYFUNCTION("""COMPUTED_VALUE"""),0.198)</f>
        <v>0.19800000000000001</v>
      </c>
      <c r="P540" s="45" t="str">
        <f ca="1">IFERROR(__xludf.DUMMYFUNCTION("""COMPUTED_VALUE"""),"Colombo, LK")</f>
        <v>Colombo, LK</v>
      </c>
      <c r="Q540" s="45" t="str">
        <f ca="1">IFERROR(__xludf.DUMMYFUNCTION("""COMPUTED_VALUE"""),"New York, NY, US")</f>
        <v>New York, NY, US</v>
      </c>
      <c r="R540" s="44">
        <f ca="1">IFERROR(__xludf.DUMMYFUNCTION("""COMPUTED_VALUE"""),45824)</f>
        <v>45824</v>
      </c>
      <c r="S540" s="44">
        <f ca="1">IFERROR(__xludf.DUMMYFUNCTION("""COMPUTED_VALUE"""),45883)</f>
        <v>45883</v>
      </c>
      <c r="T540" s="45" t="str">
        <f ca="1">IFERROR(__xludf.DUMMYFUNCTION("""COMPUTED_VALUE"""),"Milton, ON, CA")</f>
        <v>Milton, ON, CA</v>
      </c>
      <c r="U540" s="45"/>
      <c r="V540" s="45"/>
      <c r="W540" s="45"/>
      <c r="X540" s="45"/>
      <c r="Y540" s="46">
        <f ca="1">IFERROR(__xludf.DUMMYFUNCTION("""COMPUTED_VALUE"""),45832)</f>
        <v>45832</v>
      </c>
      <c r="Z540" s="46">
        <f ca="1">IFERROR(__xludf.DUMMYFUNCTION("""COMPUTED_VALUE"""),45861)</f>
        <v>45861</v>
      </c>
      <c r="AA540" s="46">
        <f ca="1">IFERROR(__xludf.DUMMYFUNCTION("""COMPUTED_VALUE"""),45874)</f>
        <v>45874</v>
      </c>
      <c r="AB540" s="45" t="str">
        <f ca="1">IFERROR(__xludf.DUMMYFUNCTION("""COMPUTED_VALUE"""),"7211 Fifth Line")</f>
        <v>7211 Fifth Line</v>
      </c>
      <c r="AC540" s="45"/>
      <c r="AD540" s="45" t="str">
        <f ca="1">IFERROR(__xludf.DUMMYFUNCTION("""COMPUTED_VALUE"""),"OCEAN")</f>
        <v>OCEAN</v>
      </c>
      <c r="AE540" s="45" t="str">
        <f ca="1">IFERROR(__xludf.DUMMYFUNCTION("""COMPUTED_VALUE"""),"N")</f>
        <v>N</v>
      </c>
      <c r="AF540" s="45"/>
      <c r="AG540" s="49" t="str">
        <f ca="1">IFERROR(__xludf.DUMMYFUNCTION("IFNA(vlookup(H540,IMPORTRANGE(""1vUGwO1n0QQGx9kKbO0_M5gmuhXZ6-LaxQxgrmJnzgP0"",""'TP# look up'!A:C""),3,0),"""")"),"")</f>
        <v/>
      </c>
      <c r="AH540" s="49" t="str">
        <f t="shared" ca="1" si="8"/>
        <v>LW</v>
      </c>
    </row>
    <row r="541" spans="1:34" ht="12.75">
      <c r="A541" s="45" t="str">
        <f ca="1">IFERROR(__xludf.DUMMYFUNCTION("""COMPUTED_VALUE"""),"Colombo")</f>
        <v>Colombo</v>
      </c>
      <c r="B541" s="45"/>
      <c r="C541" s="45">
        <f ca="1">IFERROR(__xludf.DUMMYFUNCTION("""COMPUTED_VALUE"""),3254508)</f>
        <v>3254508</v>
      </c>
      <c r="D541" s="45"/>
      <c r="E541" s="45" t="str">
        <f ca="1">IFERROR(__xludf.DUMMYFUNCTION("""COMPUTED_VALUE"""),"CFS")</f>
        <v>CFS</v>
      </c>
      <c r="F541" s="45" t="str">
        <f ca="1">IFERROR(__xludf.DUMMYFUNCTION("""COMPUTED_VALUE"""),"MAS AMITY PTE LTD")</f>
        <v>MAS AMITY PTE LTD</v>
      </c>
      <c r="G541" s="45" t="str">
        <f ca="1">IFERROR(__xludf.DUMMYFUNCTION("""COMPUTED_VALUE"""),"MAS Fabrics (Pvt) Ltd Intimo")</f>
        <v>MAS Fabrics (Pvt) Ltd Intimo</v>
      </c>
      <c r="H541" s="43">
        <f ca="1">IFERROR(__xludf.DUMMYFUNCTION("""COMPUTED_VALUE"""),454699452340)</f>
        <v>454699452340</v>
      </c>
      <c r="I541" s="45">
        <f ca="1">IFERROR(__xludf.DUMMYFUNCTION("""COMPUTED_VALUE"""),19900110)</f>
        <v>19900110</v>
      </c>
      <c r="J541" s="45" t="str">
        <f ca="1">IFERROR(__xludf.DUMMYFUNCTION("""COMPUTED_VALUE"""),"LW3FQFS")</f>
        <v>LW3FQFS</v>
      </c>
      <c r="K541" s="45" t="str">
        <f ca="1">IFERROR(__xludf.DUMMYFUNCTION("""COMPUTED_VALUE"""),"LW3FQFS-0572")</f>
        <v>LW3FQFS-0572</v>
      </c>
      <c r="L541" s="45">
        <f ca="1">IFERROR(__xludf.DUMMYFUNCTION("""COMPUTED_VALUE"""),32)</f>
        <v>32</v>
      </c>
      <c r="M541" s="45">
        <f ca="1">IFERROR(__xludf.DUMMYFUNCTION("""COMPUTED_VALUE"""),2484)</f>
        <v>2484</v>
      </c>
      <c r="N541" s="45">
        <f ca="1">IFERROR(__xludf.DUMMYFUNCTION("""COMPUTED_VALUE"""),318.934)</f>
        <v>318.93400000000003</v>
      </c>
      <c r="O541" s="45">
        <f ca="1">IFERROR(__xludf.DUMMYFUNCTION("""COMPUTED_VALUE"""),2.527)</f>
        <v>2.5270000000000001</v>
      </c>
      <c r="P541" s="45" t="str">
        <f ca="1">IFERROR(__xludf.DUMMYFUNCTION("""COMPUTED_VALUE"""),"Colombo, LK")</f>
        <v>Colombo, LK</v>
      </c>
      <c r="Q541" s="45" t="str">
        <f ca="1">IFERROR(__xludf.DUMMYFUNCTION("""COMPUTED_VALUE"""),"New York, NY, US")</f>
        <v>New York, NY, US</v>
      </c>
      <c r="R541" s="44">
        <f ca="1">IFERROR(__xludf.DUMMYFUNCTION("""COMPUTED_VALUE"""),45824)</f>
        <v>45824</v>
      </c>
      <c r="S541" s="44">
        <f ca="1">IFERROR(__xludf.DUMMYFUNCTION("""COMPUTED_VALUE"""),45883)</f>
        <v>45883</v>
      </c>
      <c r="T541" s="45" t="str">
        <f ca="1">IFERROR(__xludf.DUMMYFUNCTION("""COMPUTED_VALUE"""),"Milton, ON, CA")</f>
        <v>Milton, ON, CA</v>
      </c>
      <c r="U541" s="45"/>
      <c r="V541" s="45"/>
      <c r="W541" s="45"/>
      <c r="X541" s="45"/>
      <c r="Y541" s="46">
        <f ca="1">IFERROR(__xludf.DUMMYFUNCTION("""COMPUTED_VALUE"""),45832)</f>
        <v>45832</v>
      </c>
      <c r="Z541" s="46">
        <f ca="1">IFERROR(__xludf.DUMMYFUNCTION("""COMPUTED_VALUE"""),45861)</f>
        <v>45861</v>
      </c>
      <c r="AA541" s="46">
        <f ca="1">IFERROR(__xludf.DUMMYFUNCTION("""COMPUTED_VALUE"""),45874)</f>
        <v>45874</v>
      </c>
      <c r="AB541" s="45" t="str">
        <f ca="1">IFERROR(__xludf.DUMMYFUNCTION("""COMPUTED_VALUE"""),"7211 Fifth Line")</f>
        <v>7211 Fifth Line</v>
      </c>
      <c r="AC541" s="45"/>
      <c r="AD541" s="45" t="str">
        <f ca="1">IFERROR(__xludf.DUMMYFUNCTION("""COMPUTED_VALUE"""),"OCEAN")</f>
        <v>OCEAN</v>
      </c>
      <c r="AE541" s="45" t="str">
        <f ca="1">IFERROR(__xludf.DUMMYFUNCTION("""COMPUTED_VALUE"""),"N")</f>
        <v>N</v>
      </c>
      <c r="AF541" s="45"/>
      <c r="AG541" s="49" t="str">
        <f ca="1">IFERROR(__xludf.DUMMYFUNCTION("IFNA(vlookup(H541,IMPORTRANGE(""1vUGwO1n0QQGx9kKbO0_M5gmuhXZ6-LaxQxgrmJnzgP0"",""'TP# look up'!A:C""),3,0),"""")"),"")</f>
        <v/>
      </c>
      <c r="AH541" s="49" t="str">
        <f t="shared" ca="1" si="8"/>
        <v>LW</v>
      </c>
    </row>
    <row r="542" spans="1:34" ht="12.75">
      <c r="A542" s="45" t="str">
        <f ca="1">IFERROR(__xludf.DUMMYFUNCTION("""COMPUTED_VALUE"""),"Colombo")</f>
        <v>Colombo</v>
      </c>
      <c r="B542" s="45"/>
      <c r="C542" s="45">
        <f ca="1">IFERROR(__xludf.DUMMYFUNCTION("""COMPUTED_VALUE"""),3254508)</f>
        <v>3254508</v>
      </c>
      <c r="D542" s="45"/>
      <c r="E542" s="45" t="str">
        <f ca="1">IFERROR(__xludf.DUMMYFUNCTION("""COMPUTED_VALUE"""),"CFS")</f>
        <v>CFS</v>
      </c>
      <c r="F542" s="45" t="str">
        <f ca="1">IFERROR(__xludf.DUMMYFUNCTION("""COMPUTED_VALUE"""),"MAS AMITY PTE LTD")</f>
        <v>MAS AMITY PTE LTD</v>
      </c>
      <c r="G542" s="45" t="str">
        <f ca="1">IFERROR(__xludf.DUMMYFUNCTION("""COMPUTED_VALUE"""),"MAS Fabrics (Pvt) Ltd Intimo")</f>
        <v>MAS Fabrics (Pvt) Ltd Intimo</v>
      </c>
      <c r="H542" s="43">
        <f ca="1">IFERROR(__xludf.DUMMYFUNCTION("""COMPUTED_VALUE"""),454700184543)</f>
        <v>454700184543</v>
      </c>
      <c r="I542" s="45">
        <f ca="1">IFERROR(__xludf.DUMMYFUNCTION("""COMPUTED_VALUE"""),19910666)</f>
        <v>19910666</v>
      </c>
      <c r="J542" s="45" t="str">
        <f ca="1">IFERROR(__xludf.DUMMYFUNCTION("""COMPUTED_VALUE"""),"LW3JSMS")</f>
        <v>LW3JSMS</v>
      </c>
      <c r="K542" s="45" t="str">
        <f ca="1">IFERROR(__xludf.DUMMYFUNCTION("""COMPUTED_VALUE"""),"LW3JSMS-071211")</f>
        <v>LW3JSMS-071211</v>
      </c>
      <c r="L542" s="45">
        <f ca="1">IFERROR(__xludf.DUMMYFUNCTION("""COMPUTED_VALUE"""),4)</f>
        <v>4</v>
      </c>
      <c r="M542" s="45">
        <f ca="1">IFERROR(__xludf.DUMMYFUNCTION("""COMPUTED_VALUE"""),214)</f>
        <v>214</v>
      </c>
      <c r="N542" s="45">
        <f ca="1">IFERROR(__xludf.DUMMYFUNCTION("""COMPUTED_VALUE"""),28.502)</f>
        <v>28.501999999999999</v>
      </c>
      <c r="O542" s="45">
        <f ca="1">IFERROR(__xludf.DUMMYFUNCTION("""COMPUTED_VALUE"""),0.276)</f>
        <v>0.27600000000000002</v>
      </c>
      <c r="P542" s="45" t="str">
        <f ca="1">IFERROR(__xludf.DUMMYFUNCTION("""COMPUTED_VALUE"""),"Colombo, LK")</f>
        <v>Colombo, LK</v>
      </c>
      <c r="Q542" s="45" t="str">
        <f ca="1">IFERROR(__xludf.DUMMYFUNCTION("""COMPUTED_VALUE"""),"New York, NY, US")</f>
        <v>New York, NY, US</v>
      </c>
      <c r="R542" s="44">
        <f ca="1">IFERROR(__xludf.DUMMYFUNCTION("""COMPUTED_VALUE"""),45824)</f>
        <v>45824</v>
      </c>
      <c r="S542" s="44">
        <f ca="1">IFERROR(__xludf.DUMMYFUNCTION("""COMPUTED_VALUE"""),45883)</f>
        <v>45883</v>
      </c>
      <c r="T542" s="45" t="str">
        <f ca="1">IFERROR(__xludf.DUMMYFUNCTION("""COMPUTED_VALUE"""),"Mississauga, ON, CA")</f>
        <v>Mississauga, ON, CA</v>
      </c>
      <c r="U542" s="45"/>
      <c r="V542" s="45"/>
      <c r="W542" s="45"/>
      <c r="X542" s="45"/>
      <c r="Y542" s="46">
        <f ca="1">IFERROR(__xludf.DUMMYFUNCTION("""COMPUTED_VALUE"""),45832)</f>
        <v>45832</v>
      </c>
      <c r="Z542" s="46">
        <f ca="1">IFERROR(__xludf.DUMMYFUNCTION("""COMPUTED_VALUE"""),45861)</f>
        <v>45861</v>
      </c>
      <c r="AA542" s="46">
        <f ca="1">IFERROR(__xludf.DUMMYFUNCTION("""COMPUTED_VALUE"""),45874)</f>
        <v>45874</v>
      </c>
      <c r="AB542" s="45" t="str">
        <f ca="1">IFERROR(__xludf.DUMMYFUNCTION("""COMPUTED_VALUE"""),"3500 Argentia Road")</f>
        <v>3500 Argentia Road</v>
      </c>
      <c r="AC542" s="45"/>
      <c r="AD542" s="45" t="str">
        <f ca="1">IFERROR(__xludf.DUMMYFUNCTION("""COMPUTED_VALUE"""),"OCEAN")</f>
        <v>OCEAN</v>
      </c>
      <c r="AE542" s="45" t="str">
        <f ca="1">IFERROR(__xludf.DUMMYFUNCTION("""COMPUTED_VALUE"""),"N")</f>
        <v>N</v>
      </c>
      <c r="AF542" s="45"/>
      <c r="AG542" s="49" t="str">
        <f ca="1">IFERROR(__xludf.DUMMYFUNCTION("IFNA(vlookup(H542,IMPORTRANGE(""1vUGwO1n0QQGx9kKbO0_M5gmuhXZ6-LaxQxgrmJnzgP0"",""'TP# look up'!A:C""),3,0),"""")"),"")</f>
        <v/>
      </c>
      <c r="AH542" s="49" t="str">
        <f t="shared" ca="1" si="8"/>
        <v>LW</v>
      </c>
    </row>
    <row r="543" spans="1:34" ht="12.75">
      <c r="A543" s="45" t="str">
        <f ca="1">IFERROR(__xludf.DUMMYFUNCTION("""COMPUTED_VALUE"""),"Colombo")</f>
        <v>Colombo</v>
      </c>
      <c r="B543" s="45"/>
      <c r="C543" s="45">
        <f ca="1">IFERROR(__xludf.DUMMYFUNCTION("""COMPUTED_VALUE"""),3254508)</f>
        <v>3254508</v>
      </c>
      <c r="D543" s="45"/>
      <c r="E543" s="45" t="str">
        <f ca="1">IFERROR(__xludf.DUMMYFUNCTION("""COMPUTED_VALUE"""),"CFS")</f>
        <v>CFS</v>
      </c>
      <c r="F543" s="45" t="str">
        <f ca="1">IFERROR(__xludf.DUMMYFUNCTION("""COMPUTED_VALUE"""),"MAS AMITY PTE LTD")</f>
        <v>MAS AMITY PTE LTD</v>
      </c>
      <c r="G543" s="45" t="str">
        <f ca="1">IFERROR(__xludf.DUMMYFUNCTION("""COMPUTED_VALUE"""),"MAS Fabrics (Pvt) Ltd Intimo")</f>
        <v>MAS Fabrics (Pvt) Ltd Intimo</v>
      </c>
      <c r="H543" s="43">
        <f ca="1">IFERROR(__xludf.DUMMYFUNCTION("""COMPUTED_VALUE"""),454701118584)</f>
        <v>454701118584</v>
      </c>
      <c r="I543" s="45">
        <f ca="1">IFERROR(__xludf.DUMMYFUNCTION("""COMPUTED_VALUE"""),19910576)</f>
        <v>19910576</v>
      </c>
      <c r="J543" s="45" t="str">
        <f ca="1">IFERROR(__xludf.DUMMYFUNCTION("""COMPUTED_VALUE"""),"LW3JE8S")</f>
        <v>LW3JE8S</v>
      </c>
      <c r="K543" s="45" t="str">
        <f ca="1">IFERROR(__xludf.DUMMYFUNCTION("""COMPUTED_VALUE"""),"LW3JE8S-0572")</f>
        <v>LW3JE8S-0572</v>
      </c>
      <c r="L543" s="45">
        <f ca="1">IFERROR(__xludf.DUMMYFUNCTION("""COMPUTED_VALUE"""),7)</f>
        <v>7</v>
      </c>
      <c r="M543" s="45">
        <f ca="1">IFERROR(__xludf.DUMMYFUNCTION("""COMPUTED_VALUE"""),349)</f>
        <v>349</v>
      </c>
      <c r="N543" s="45">
        <f ca="1">IFERROR(__xludf.DUMMYFUNCTION("""COMPUTED_VALUE"""),69.652)</f>
        <v>69.652000000000001</v>
      </c>
      <c r="O543" s="45">
        <f ca="1">IFERROR(__xludf.DUMMYFUNCTION("""COMPUTED_VALUE"""),0.513)</f>
        <v>0.51300000000000001</v>
      </c>
      <c r="P543" s="45" t="str">
        <f ca="1">IFERROR(__xludf.DUMMYFUNCTION("""COMPUTED_VALUE"""),"Colombo, LK")</f>
        <v>Colombo, LK</v>
      </c>
      <c r="Q543" s="45" t="str">
        <f ca="1">IFERROR(__xludf.DUMMYFUNCTION("""COMPUTED_VALUE"""),"New York, NY, US")</f>
        <v>New York, NY, US</v>
      </c>
      <c r="R543" s="44">
        <f ca="1">IFERROR(__xludf.DUMMYFUNCTION("""COMPUTED_VALUE"""),45824)</f>
        <v>45824</v>
      </c>
      <c r="S543" s="44">
        <f ca="1">IFERROR(__xludf.DUMMYFUNCTION("""COMPUTED_VALUE"""),45883)</f>
        <v>45883</v>
      </c>
      <c r="T543" s="45" t="str">
        <f ca="1">IFERROR(__xludf.DUMMYFUNCTION("""COMPUTED_VALUE"""),"Mississauga, ON, CA")</f>
        <v>Mississauga, ON, CA</v>
      </c>
      <c r="U543" s="45"/>
      <c r="V543" s="45"/>
      <c r="W543" s="45"/>
      <c r="X543" s="45"/>
      <c r="Y543" s="46">
        <f ca="1">IFERROR(__xludf.DUMMYFUNCTION("""COMPUTED_VALUE"""),45832)</f>
        <v>45832</v>
      </c>
      <c r="Z543" s="46">
        <f ca="1">IFERROR(__xludf.DUMMYFUNCTION("""COMPUTED_VALUE"""),45861)</f>
        <v>45861</v>
      </c>
      <c r="AA543" s="46">
        <f ca="1">IFERROR(__xludf.DUMMYFUNCTION("""COMPUTED_VALUE"""),45874)</f>
        <v>45874</v>
      </c>
      <c r="AB543" s="45" t="str">
        <f ca="1">IFERROR(__xludf.DUMMYFUNCTION("""COMPUTED_VALUE"""),"3500 Argentia Road")</f>
        <v>3500 Argentia Road</v>
      </c>
      <c r="AC543" s="45"/>
      <c r="AD543" s="45" t="str">
        <f ca="1">IFERROR(__xludf.DUMMYFUNCTION("""COMPUTED_VALUE"""),"OCEAN")</f>
        <v>OCEAN</v>
      </c>
      <c r="AE543" s="45" t="str">
        <f ca="1">IFERROR(__xludf.DUMMYFUNCTION("""COMPUTED_VALUE"""),"N")</f>
        <v>N</v>
      </c>
      <c r="AF543" s="45"/>
      <c r="AG543" s="49" t="str">
        <f ca="1">IFERROR(__xludf.DUMMYFUNCTION("IFNA(vlookup(H543,IMPORTRANGE(""1vUGwO1n0QQGx9kKbO0_M5gmuhXZ6-LaxQxgrmJnzgP0"",""'TP# look up'!A:C""),3,0),"""")"),"")</f>
        <v/>
      </c>
      <c r="AH543" s="49" t="str">
        <f t="shared" ca="1" si="8"/>
        <v>LW</v>
      </c>
    </row>
    <row r="544" spans="1:34" ht="12.75">
      <c r="A544" s="45" t="str">
        <f ca="1">IFERROR(__xludf.DUMMYFUNCTION("""COMPUTED_VALUE"""),"Colombo")</f>
        <v>Colombo</v>
      </c>
      <c r="B544" s="45"/>
      <c r="C544" s="45">
        <f ca="1">IFERROR(__xludf.DUMMYFUNCTION("""COMPUTED_VALUE"""),3254508)</f>
        <v>3254508</v>
      </c>
      <c r="D544" s="45"/>
      <c r="E544" s="45" t="str">
        <f ca="1">IFERROR(__xludf.DUMMYFUNCTION("""COMPUTED_VALUE"""),"CFS")</f>
        <v>CFS</v>
      </c>
      <c r="F544" s="45" t="str">
        <f ca="1">IFERROR(__xludf.DUMMYFUNCTION("""COMPUTED_VALUE"""),"MAS AMITY PTE LTD")</f>
        <v>MAS AMITY PTE LTD</v>
      </c>
      <c r="G544" s="45" t="str">
        <f ca="1">IFERROR(__xludf.DUMMYFUNCTION("""COMPUTED_VALUE"""),"MAS Fabrics (Pvt) Ltd Intimo")</f>
        <v>MAS Fabrics (Pvt) Ltd Intimo</v>
      </c>
      <c r="H544" s="43">
        <f ca="1">IFERROR(__xludf.DUMMYFUNCTION("""COMPUTED_VALUE"""),454701898077)</f>
        <v>454701898077</v>
      </c>
      <c r="I544" s="45">
        <f ca="1">IFERROR(__xludf.DUMMYFUNCTION("""COMPUTED_VALUE"""),19910605)</f>
        <v>19910605</v>
      </c>
      <c r="J544" s="45" t="str">
        <f ca="1">IFERROR(__xludf.DUMMYFUNCTION("""COMPUTED_VALUE"""),"LW3JE8S")</f>
        <v>LW3JE8S</v>
      </c>
      <c r="K544" s="45" t="str">
        <f ca="1">IFERROR(__xludf.DUMMYFUNCTION("""COMPUTED_VALUE"""),"LW3JE8S-012826")</f>
        <v>LW3JE8S-012826</v>
      </c>
      <c r="L544" s="45">
        <f ca="1">IFERROR(__xludf.DUMMYFUNCTION("""COMPUTED_VALUE"""),5)</f>
        <v>5</v>
      </c>
      <c r="M544" s="45">
        <f ca="1">IFERROR(__xludf.DUMMYFUNCTION("""COMPUTED_VALUE"""),142)</f>
        <v>142</v>
      </c>
      <c r="N544" s="45">
        <f ca="1">IFERROR(__xludf.DUMMYFUNCTION("""COMPUTED_VALUE"""),29.954)</f>
        <v>29.954000000000001</v>
      </c>
      <c r="O544" s="45">
        <f ca="1">IFERROR(__xludf.DUMMYFUNCTION("""COMPUTED_VALUE"""),0.276)</f>
        <v>0.27600000000000002</v>
      </c>
      <c r="P544" s="45" t="str">
        <f ca="1">IFERROR(__xludf.DUMMYFUNCTION("""COMPUTED_VALUE"""),"Colombo, LK")</f>
        <v>Colombo, LK</v>
      </c>
      <c r="Q544" s="45" t="str">
        <f ca="1">IFERROR(__xludf.DUMMYFUNCTION("""COMPUTED_VALUE"""),"New York, NY, US")</f>
        <v>New York, NY, US</v>
      </c>
      <c r="R544" s="44">
        <f ca="1">IFERROR(__xludf.DUMMYFUNCTION("""COMPUTED_VALUE"""),45824)</f>
        <v>45824</v>
      </c>
      <c r="S544" s="44">
        <f ca="1">IFERROR(__xludf.DUMMYFUNCTION("""COMPUTED_VALUE"""),45883)</f>
        <v>45883</v>
      </c>
      <c r="T544" s="45" t="str">
        <f ca="1">IFERROR(__xludf.DUMMYFUNCTION("""COMPUTED_VALUE"""),"Mississauga, ON, CA")</f>
        <v>Mississauga, ON, CA</v>
      </c>
      <c r="U544" s="45"/>
      <c r="V544" s="45"/>
      <c r="W544" s="45"/>
      <c r="X544" s="45"/>
      <c r="Y544" s="46">
        <f ca="1">IFERROR(__xludf.DUMMYFUNCTION("""COMPUTED_VALUE"""),45831)</f>
        <v>45831</v>
      </c>
      <c r="Z544" s="46">
        <f ca="1">IFERROR(__xludf.DUMMYFUNCTION("""COMPUTED_VALUE"""),45852)</f>
        <v>45852</v>
      </c>
      <c r="AA544" s="46">
        <f ca="1">IFERROR(__xludf.DUMMYFUNCTION("""COMPUTED_VALUE"""),45852)</f>
        <v>45852</v>
      </c>
      <c r="AB544" s="45" t="str">
        <f ca="1">IFERROR(__xludf.DUMMYFUNCTION("""COMPUTED_VALUE"""),"3500 Argentia Road")</f>
        <v>3500 Argentia Road</v>
      </c>
      <c r="AC544" s="45"/>
      <c r="AD544" s="45" t="str">
        <f ca="1">IFERROR(__xludf.DUMMYFUNCTION("""COMPUTED_VALUE"""),"OCEAN")</f>
        <v>OCEAN</v>
      </c>
      <c r="AE544" s="45" t="str">
        <f ca="1">IFERROR(__xludf.DUMMYFUNCTION("""COMPUTED_VALUE"""),"N")</f>
        <v>N</v>
      </c>
      <c r="AF544" s="45"/>
      <c r="AG544" s="49" t="str">
        <f ca="1">IFERROR(__xludf.DUMMYFUNCTION("IFNA(vlookup(H544,IMPORTRANGE(""1vUGwO1n0QQGx9kKbO0_M5gmuhXZ6-LaxQxgrmJnzgP0"",""'TP# look up'!A:C""),3,0),"""")"),"")</f>
        <v/>
      </c>
      <c r="AH544" s="49" t="str">
        <f t="shared" ca="1" si="8"/>
        <v>LW</v>
      </c>
    </row>
    <row r="545" spans="1:34" ht="12.75">
      <c r="A545" s="45" t="str">
        <f ca="1">IFERROR(__xludf.DUMMYFUNCTION("""COMPUTED_VALUE"""),"Colombo")</f>
        <v>Colombo</v>
      </c>
      <c r="B545" s="45"/>
      <c r="C545" s="45">
        <f ca="1">IFERROR(__xludf.DUMMYFUNCTION("""COMPUTED_VALUE"""),3254508)</f>
        <v>3254508</v>
      </c>
      <c r="D545" s="45"/>
      <c r="E545" s="45" t="str">
        <f ca="1">IFERROR(__xludf.DUMMYFUNCTION("""COMPUTED_VALUE"""),"CFS")</f>
        <v>CFS</v>
      </c>
      <c r="F545" s="45" t="str">
        <f ca="1">IFERROR(__xludf.DUMMYFUNCTION("""COMPUTED_VALUE"""),"MAS AMITY PTE LTD")</f>
        <v>MAS AMITY PTE LTD</v>
      </c>
      <c r="G545" s="45" t="str">
        <f ca="1">IFERROR(__xludf.DUMMYFUNCTION("""COMPUTED_VALUE"""),"MAS Fabrics (Pvt) Ltd Intimo")</f>
        <v>MAS Fabrics (Pvt) Ltd Intimo</v>
      </c>
      <c r="H545" s="43">
        <f ca="1">IFERROR(__xludf.DUMMYFUNCTION("""COMPUTED_VALUE"""),454701899241)</f>
        <v>454701899241</v>
      </c>
      <c r="I545" s="45">
        <f ca="1">IFERROR(__xludf.DUMMYFUNCTION("""COMPUTED_VALUE"""),19910832)</f>
        <v>19910832</v>
      </c>
      <c r="J545" s="45" t="str">
        <f ca="1">IFERROR(__xludf.DUMMYFUNCTION("""COMPUTED_VALUE"""),"LW3GH4S")</f>
        <v>LW3GH4S</v>
      </c>
      <c r="K545" s="45" t="str">
        <f ca="1">IFERROR(__xludf.DUMMYFUNCTION("""COMPUTED_VALUE"""),"LW3GH4S-4780")</f>
        <v>LW3GH4S-4780</v>
      </c>
      <c r="L545" s="45">
        <f ca="1">IFERROR(__xludf.DUMMYFUNCTION("""COMPUTED_VALUE"""),5)</f>
        <v>5</v>
      </c>
      <c r="M545" s="45">
        <f ca="1">IFERROR(__xludf.DUMMYFUNCTION("""COMPUTED_VALUE"""),393)</f>
        <v>393</v>
      </c>
      <c r="N545" s="45">
        <f ca="1">IFERROR(__xludf.DUMMYFUNCTION("""COMPUTED_VALUE"""),49.962)</f>
        <v>49.962000000000003</v>
      </c>
      <c r="O545" s="45">
        <f ca="1">IFERROR(__xludf.DUMMYFUNCTION("""COMPUTED_VALUE"""),0.355)</f>
        <v>0.35499999999999998</v>
      </c>
      <c r="P545" s="45" t="str">
        <f ca="1">IFERROR(__xludf.DUMMYFUNCTION("""COMPUTED_VALUE"""),"Colombo, LK")</f>
        <v>Colombo, LK</v>
      </c>
      <c r="Q545" s="45" t="str">
        <f ca="1">IFERROR(__xludf.DUMMYFUNCTION("""COMPUTED_VALUE"""),"New York, NY, US")</f>
        <v>New York, NY, US</v>
      </c>
      <c r="R545" s="44">
        <f ca="1">IFERROR(__xludf.DUMMYFUNCTION("""COMPUTED_VALUE"""),45824)</f>
        <v>45824</v>
      </c>
      <c r="S545" s="44">
        <f ca="1">IFERROR(__xludf.DUMMYFUNCTION("""COMPUTED_VALUE"""),45883)</f>
        <v>45883</v>
      </c>
      <c r="T545" s="45" t="str">
        <f ca="1">IFERROR(__xludf.DUMMYFUNCTION("""COMPUTED_VALUE"""),"Mississauga, ON, CA")</f>
        <v>Mississauga, ON, CA</v>
      </c>
      <c r="U545" s="45"/>
      <c r="V545" s="45"/>
      <c r="W545" s="45"/>
      <c r="X545" s="45"/>
      <c r="Y545" s="46">
        <f ca="1">IFERROR(__xludf.DUMMYFUNCTION("""COMPUTED_VALUE"""),45831)</f>
        <v>45831</v>
      </c>
      <c r="Z545" s="46">
        <f ca="1">IFERROR(__xludf.DUMMYFUNCTION("""COMPUTED_VALUE"""),45852)</f>
        <v>45852</v>
      </c>
      <c r="AA545" s="46">
        <f ca="1">IFERROR(__xludf.DUMMYFUNCTION("""COMPUTED_VALUE"""),45852)</f>
        <v>45852</v>
      </c>
      <c r="AB545" s="45" t="str">
        <f ca="1">IFERROR(__xludf.DUMMYFUNCTION("""COMPUTED_VALUE"""),"3500 Argentia Road")</f>
        <v>3500 Argentia Road</v>
      </c>
      <c r="AC545" s="45"/>
      <c r="AD545" s="45" t="str">
        <f ca="1">IFERROR(__xludf.DUMMYFUNCTION("""COMPUTED_VALUE"""),"OCEAN")</f>
        <v>OCEAN</v>
      </c>
      <c r="AE545" s="45" t="str">
        <f ca="1">IFERROR(__xludf.DUMMYFUNCTION("""COMPUTED_VALUE"""),"N")</f>
        <v>N</v>
      </c>
      <c r="AF545" s="45"/>
      <c r="AG545" s="49" t="str">
        <f ca="1">IFERROR(__xludf.DUMMYFUNCTION("IFNA(vlookup(H545,IMPORTRANGE(""1vUGwO1n0QQGx9kKbO0_M5gmuhXZ6-LaxQxgrmJnzgP0"",""'TP# look up'!A:C""),3,0),"""")"),"")</f>
        <v/>
      </c>
      <c r="AH545" s="49" t="str">
        <f t="shared" ca="1" si="8"/>
        <v>LW</v>
      </c>
    </row>
    <row r="546" spans="1:34" ht="12.75">
      <c r="A546" s="45" t="str">
        <f ca="1">IFERROR(__xludf.DUMMYFUNCTION("""COMPUTED_VALUE"""),"Colombo")</f>
        <v>Colombo</v>
      </c>
      <c r="B546" s="45"/>
      <c r="C546" s="45">
        <f ca="1">IFERROR(__xludf.DUMMYFUNCTION("""COMPUTED_VALUE"""),3254508)</f>
        <v>3254508</v>
      </c>
      <c r="D546" s="45"/>
      <c r="E546" s="45" t="str">
        <f ca="1">IFERROR(__xludf.DUMMYFUNCTION("""COMPUTED_VALUE"""),"CFS")</f>
        <v>CFS</v>
      </c>
      <c r="F546" s="45" t="str">
        <f ca="1">IFERROR(__xludf.DUMMYFUNCTION("""COMPUTED_VALUE"""),"MAS AMITY PTE LTD")</f>
        <v>MAS AMITY PTE LTD</v>
      </c>
      <c r="G546" s="45" t="str">
        <f ca="1">IFERROR(__xludf.DUMMYFUNCTION("""COMPUTED_VALUE"""),"MAS Fabrics (Pvt) Ltd Intimo")</f>
        <v>MAS Fabrics (Pvt) Ltd Intimo</v>
      </c>
      <c r="H546" s="43">
        <f ca="1">IFERROR(__xludf.DUMMYFUNCTION("""COMPUTED_VALUE"""),454702650660)</f>
        <v>454702650660</v>
      </c>
      <c r="I546" s="45">
        <f ca="1">IFERROR(__xludf.DUMMYFUNCTION("""COMPUTED_VALUE"""),19910987)</f>
        <v>19910987</v>
      </c>
      <c r="J546" s="45" t="str">
        <f ca="1">IFERROR(__xludf.DUMMYFUNCTION("""COMPUTED_VALUE"""),"LW3GZHS")</f>
        <v>LW3GZHS</v>
      </c>
      <c r="K546" s="45" t="str">
        <f ca="1">IFERROR(__xludf.DUMMYFUNCTION("""COMPUTED_VALUE"""),"LW3GZHS-0572")</f>
        <v>LW3GZHS-0572</v>
      </c>
      <c r="L546" s="45">
        <f ca="1">IFERROR(__xludf.DUMMYFUNCTION("""COMPUTED_VALUE"""),5)</f>
        <v>5</v>
      </c>
      <c r="M546" s="45">
        <f ca="1">IFERROR(__xludf.DUMMYFUNCTION("""COMPUTED_VALUE"""),328)</f>
        <v>328</v>
      </c>
      <c r="N546" s="45">
        <f ca="1">IFERROR(__xludf.DUMMYFUNCTION("""COMPUTED_VALUE"""),27.946)</f>
        <v>27.946000000000002</v>
      </c>
      <c r="O546" s="45">
        <f ca="1">IFERROR(__xludf.DUMMYFUNCTION("""COMPUTED_VALUE"""),0.316)</f>
        <v>0.316</v>
      </c>
      <c r="P546" s="45" t="str">
        <f ca="1">IFERROR(__xludf.DUMMYFUNCTION("""COMPUTED_VALUE"""),"Colombo, LK")</f>
        <v>Colombo, LK</v>
      </c>
      <c r="Q546" s="45" t="str">
        <f ca="1">IFERROR(__xludf.DUMMYFUNCTION("""COMPUTED_VALUE"""),"New York, NY, US")</f>
        <v>New York, NY, US</v>
      </c>
      <c r="R546" s="44">
        <f ca="1">IFERROR(__xludf.DUMMYFUNCTION("""COMPUTED_VALUE"""),45824)</f>
        <v>45824</v>
      </c>
      <c r="S546" s="44">
        <f ca="1">IFERROR(__xludf.DUMMYFUNCTION("""COMPUTED_VALUE"""),45883)</f>
        <v>45883</v>
      </c>
      <c r="T546" s="45" t="str">
        <f ca="1">IFERROR(__xludf.DUMMYFUNCTION("""COMPUTED_VALUE"""),"Mississauga, ON, CA")</f>
        <v>Mississauga, ON, CA</v>
      </c>
      <c r="U546" s="45"/>
      <c r="V546" s="45"/>
      <c r="W546" s="45"/>
      <c r="X546" s="45"/>
      <c r="Y546" s="46">
        <f ca="1">IFERROR(__xludf.DUMMYFUNCTION("""COMPUTED_VALUE"""),45831)</f>
        <v>45831</v>
      </c>
      <c r="Z546" s="46">
        <f ca="1">IFERROR(__xludf.DUMMYFUNCTION("""COMPUTED_VALUE"""),45852)</f>
        <v>45852</v>
      </c>
      <c r="AA546" s="46">
        <f ca="1">IFERROR(__xludf.DUMMYFUNCTION("""COMPUTED_VALUE"""),45852)</f>
        <v>45852</v>
      </c>
      <c r="AB546" s="45" t="str">
        <f ca="1">IFERROR(__xludf.DUMMYFUNCTION("""COMPUTED_VALUE"""),"3500 Argentia Road")</f>
        <v>3500 Argentia Road</v>
      </c>
      <c r="AC546" s="45"/>
      <c r="AD546" s="45" t="str">
        <f ca="1">IFERROR(__xludf.DUMMYFUNCTION("""COMPUTED_VALUE"""),"OCEAN")</f>
        <v>OCEAN</v>
      </c>
      <c r="AE546" s="45" t="str">
        <f ca="1">IFERROR(__xludf.DUMMYFUNCTION("""COMPUTED_VALUE"""),"N")</f>
        <v>N</v>
      </c>
      <c r="AF546" s="45"/>
      <c r="AG546" s="49" t="str">
        <f ca="1">IFERROR(__xludf.DUMMYFUNCTION("IFNA(vlookup(H546,IMPORTRANGE(""1vUGwO1n0QQGx9kKbO0_M5gmuhXZ6-LaxQxgrmJnzgP0"",""'TP# look up'!A:C""),3,0),"""")"),"")</f>
        <v/>
      </c>
      <c r="AH546" s="49" t="str">
        <f t="shared" ca="1" si="8"/>
        <v>LW</v>
      </c>
    </row>
    <row r="547" spans="1:34" ht="12.75">
      <c r="A547" s="45" t="str">
        <f ca="1">IFERROR(__xludf.DUMMYFUNCTION("""COMPUTED_VALUE"""),"Colombo")</f>
        <v>Colombo</v>
      </c>
      <c r="B547" s="45"/>
      <c r="C547" s="45">
        <f ca="1">IFERROR(__xludf.DUMMYFUNCTION("""COMPUTED_VALUE"""),3254508)</f>
        <v>3254508</v>
      </c>
      <c r="D547" s="45"/>
      <c r="E547" s="45" t="str">
        <f ca="1">IFERROR(__xludf.DUMMYFUNCTION("""COMPUTED_VALUE"""),"CFS")</f>
        <v>CFS</v>
      </c>
      <c r="F547" s="45" t="str">
        <f ca="1">IFERROR(__xludf.DUMMYFUNCTION("""COMPUTED_VALUE"""),"MAS AMITY PTE LTD")</f>
        <v>MAS AMITY PTE LTD</v>
      </c>
      <c r="G547" s="45" t="str">
        <f ca="1">IFERROR(__xludf.DUMMYFUNCTION("""COMPUTED_VALUE"""),"MAS Fabrics (Pvt) Ltd Intimo")</f>
        <v>MAS Fabrics (Pvt) Ltd Intimo</v>
      </c>
      <c r="H547" s="43">
        <f ca="1">IFERROR(__xludf.DUMMYFUNCTION("""COMPUTED_VALUE"""),454702745689)</f>
        <v>454702745689</v>
      </c>
      <c r="I547" s="45">
        <f ca="1">IFERROR(__xludf.DUMMYFUNCTION("""COMPUTED_VALUE"""),19910879)</f>
        <v>19910879</v>
      </c>
      <c r="J547" s="45" t="str">
        <f ca="1">IFERROR(__xludf.DUMMYFUNCTION("""COMPUTED_VALUE"""),"LW3GH4S")</f>
        <v>LW3GH4S</v>
      </c>
      <c r="K547" s="45" t="str">
        <f ca="1">IFERROR(__xludf.DUMMYFUNCTION("""COMPUTED_VALUE"""),"LW3GH4S-0572")</f>
        <v>LW3GH4S-0572</v>
      </c>
      <c r="L547" s="45">
        <f ca="1">IFERROR(__xludf.DUMMYFUNCTION("""COMPUTED_VALUE"""),4)</f>
        <v>4</v>
      </c>
      <c r="M547" s="45">
        <f ca="1">IFERROR(__xludf.DUMMYFUNCTION("""COMPUTED_VALUE"""),278)</f>
        <v>278</v>
      </c>
      <c r="N547" s="45">
        <f ca="1">IFERROR(__xludf.DUMMYFUNCTION("""COMPUTED_VALUE"""),35.795)</f>
        <v>35.795000000000002</v>
      </c>
      <c r="O547" s="45">
        <f ca="1">IFERROR(__xludf.DUMMYFUNCTION("""COMPUTED_VALUE"""),0.276)</f>
        <v>0.27600000000000002</v>
      </c>
      <c r="P547" s="45" t="str">
        <f ca="1">IFERROR(__xludf.DUMMYFUNCTION("""COMPUTED_VALUE"""),"Colombo, LK")</f>
        <v>Colombo, LK</v>
      </c>
      <c r="Q547" s="45" t="str">
        <f ca="1">IFERROR(__xludf.DUMMYFUNCTION("""COMPUTED_VALUE"""),"New York, NY, US")</f>
        <v>New York, NY, US</v>
      </c>
      <c r="R547" s="44">
        <f ca="1">IFERROR(__xludf.DUMMYFUNCTION("""COMPUTED_VALUE"""),45824)</f>
        <v>45824</v>
      </c>
      <c r="S547" s="44">
        <f ca="1">IFERROR(__xludf.DUMMYFUNCTION("""COMPUTED_VALUE"""),45883)</f>
        <v>45883</v>
      </c>
      <c r="T547" s="45" t="str">
        <f ca="1">IFERROR(__xludf.DUMMYFUNCTION("""COMPUTED_VALUE"""),"Mississauga, ON, CA")</f>
        <v>Mississauga, ON, CA</v>
      </c>
      <c r="U547" s="45"/>
      <c r="V547" s="45"/>
      <c r="W547" s="45"/>
      <c r="X547" s="45"/>
      <c r="Y547" s="46">
        <f ca="1">IFERROR(__xludf.DUMMYFUNCTION("""COMPUTED_VALUE"""),45831)</f>
        <v>45831</v>
      </c>
      <c r="Z547" s="46">
        <f ca="1">IFERROR(__xludf.DUMMYFUNCTION("""COMPUTED_VALUE"""),45852)</f>
        <v>45852</v>
      </c>
      <c r="AA547" s="46">
        <f ca="1">IFERROR(__xludf.DUMMYFUNCTION("""COMPUTED_VALUE"""),45852)</f>
        <v>45852</v>
      </c>
      <c r="AB547" s="45" t="str">
        <f ca="1">IFERROR(__xludf.DUMMYFUNCTION("""COMPUTED_VALUE"""),"3500 Argentia Road")</f>
        <v>3500 Argentia Road</v>
      </c>
      <c r="AC547" s="45"/>
      <c r="AD547" s="45" t="str">
        <f ca="1">IFERROR(__xludf.DUMMYFUNCTION("""COMPUTED_VALUE"""),"OCEAN")</f>
        <v>OCEAN</v>
      </c>
      <c r="AE547" s="45" t="str">
        <f ca="1">IFERROR(__xludf.DUMMYFUNCTION("""COMPUTED_VALUE"""),"N")</f>
        <v>N</v>
      </c>
      <c r="AF547" s="45"/>
      <c r="AG547" s="49" t="str">
        <f ca="1">IFERROR(__xludf.DUMMYFUNCTION("IFNA(vlookup(H547,IMPORTRANGE(""1vUGwO1n0QQGx9kKbO0_M5gmuhXZ6-LaxQxgrmJnzgP0"",""'TP# look up'!A:C""),3,0),"""")"),"")</f>
        <v/>
      </c>
      <c r="AH547" s="49" t="str">
        <f t="shared" ca="1" si="8"/>
        <v>LW</v>
      </c>
    </row>
    <row r="548" spans="1:34" ht="12.75">
      <c r="A548" s="45" t="str">
        <f ca="1">IFERROR(__xludf.DUMMYFUNCTION("""COMPUTED_VALUE"""),"Colombo")</f>
        <v>Colombo</v>
      </c>
      <c r="B548" s="45"/>
      <c r="C548" s="45">
        <f ca="1">IFERROR(__xludf.DUMMYFUNCTION("""COMPUTED_VALUE"""),3254508)</f>
        <v>3254508</v>
      </c>
      <c r="D548" s="45"/>
      <c r="E548" s="45" t="str">
        <f ca="1">IFERROR(__xludf.DUMMYFUNCTION("""COMPUTED_VALUE"""),"CFS")</f>
        <v>CFS</v>
      </c>
      <c r="F548" s="45" t="str">
        <f ca="1">IFERROR(__xludf.DUMMYFUNCTION("""COMPUTED_VALUE"""),"MAS AMITY PTE LTD")</f>
        <v>MAS AMITY PTE LTD</v>
      </c>
      <c r="G548" s="45" t="str">
        <f ca="1">IFERROR(__xludf.DUMMYFUNCTION("""COMPUTED_VALUE"""),"MAS Fabrics (Pvt) Ltd Intimo")</f>
        <v>MAS Fabrics (Pvt) Ltd Intimo</v>
      </c>
      <c r="H548" s="43">
        <f ca="1">IFERROR(__xludf.DUMMYFUNCTION("""COMPUTED_VALUE"""),454703022457)</f>
        <v>454703022457</v>
      </c>
      <c r="I548" s="45">
        <f ca="1">IFERROR(__xludf.DUMMYFUNCTION("""COMPUTED_VALUE"""),19911053)</f>
        <v>19911053</v>
      </c>
      <c r="J548" s="45" t="str">
        <f ca="1">IFERROR(__xludf.DUMMYFUNCTION("""COMPUTED_VALUE"""),"LW3JE8S")</f>
        <v>LW3JE8S</v>
      </c>
      <c r="K548" s="45" t="str">
        <f ca="1">IFERROR(__xludf.DUMMYFUNCTION("""COMPUTED_VALUE"""),"LW3JE8S-042836")</f>
        <v>LW3JE8S-042836</v>
      </c>
      <c r="L548" s="45">
        <f ca="1">IFERROR(__xludf.DUMMYFUNCTION("""COMPUTED_VALUE"""),10)</f>
        <v>10</v>
      </c>
      <c r="M548" s="45">
        <f ca="1">IFERROR(__xludf.DUMMYFUNCTION("""COMPUTED_VALUE"""),504)</f>
        <v>504</v>
      </c>
      <c r="N548" s="45">
        <f ca="1">IFERROR(__xludf.DUMMYFUNCTION("""COMPUTED_VALUE"""),99.136)</f>
        <v>99.135999999999996</v>
      </c>
      <c r="O548" s="45">
        <f ca="1">IFERROR(__xludf.DUMMYFUNCTION("""COMPUTED_VALUE"""),0.711)</f>
        <v>0.71099999999999997</v>
      </c>
      <c r="P548" s="45" t="str">
        <f ca="1">IFERROR(__xludf.DUMMYFUNCTION("""COMPUTED_VALUE"""),"Colombo, LK")</f>
        <v>Colombo, LK</v>
      </c>
      <c r="Q548" s="45" t="str">
        <f ca="1">IFERROR(__xludf.DUMMYFUNCTION("""COMPUTED_VALUE"""),"New York, NY, US")</f>
        <v>New York, NY, US</v>
      </c>
      <c r="R548" s="44">
        <f ca="1">IFERROR(__xludf.DUMMYFUNCTION("""COMPUTED_VALUE"""),45824)</f>
        <v>45824</v>
      </c>
      <c r="S548" s="44">
        <f ca="1">IFERROR(__xludf.DUMMYFUNCTION("""COMPUTED_VALUE"""),45883)</f>
        <v>45883</v>
      </c>
      <c r="T548" s="45" t="str">
        <f ca="1">IFERROR(__xludf.DUMMYFUNCTION("""COMPUTED_VALUE"""),"Mississauga, ON, CA")</f>
        <v>Mississauga, ON, CA</v>
      </c>
      <c r="U548" s="45"/>
      <c r="V548" s="45"/>
      <c r="W548" s="45"/>
      <c r="X548" s="45"/>
      <c r="Y548" s="46">
        <f ca="1">IFERROR(__xludf.DUMMYFUNCTION("""COMPUTED_VALUE"""),45831)</f>
        <v>45831</v>
      </c>
      <c r="Z548" s="46">
        <f ca="1">IFERROR(__xludf.DUMMYFUNCTION("""COMPUTED_VALUE"""),45852)</f>
        <v>45852</v>
      </c>
      <c r="AA548" s="46">
        <f ca="1">IFERROR(__xludf.DUMMYFUNCTION("""COMPUTED_VALUE"""),45852)</f>
        <v>45852</v>
      </c>
      <c r="AB548" s="45" t="str">
        <f ca="1">IFERROR(__xludf.DUMMYFUNCTION("""COMPUTED_VALUE"""),"3500 Argentia Road")</f>
        <v>3500 Argentia Road</v>
      </c>
      <c r="AC548" s="45"/>
      <c r="AD548" s="45" t="str">
        <f ca="1">IFERROR(__xludf.DUMMYFUNCTION("""COMPUTED_VALUE"""),"OCEAN")</f>
        <v>OCEAN</v>
      </c>
      <c r="AE548" s="45" t="str">
        <f ca="1">IFERROR(__xludf.DUMMYFUNCTION("""COMPUTED_VALUE"""),"N")</f>
        <v>N</v>
      </c>
      <c r="AF548" s="45"/>
      <c r="AG548" s="49" t="str">
        <f ca="1">IFERROR(__xludf.DUMMYFUNCTION("IFNA(vlookup(H548,IMPORTRANGE(""1vUGwO1n0QQGx9kKbO0_M5gmuhXZ6-LaxQxgrmJnzgP0"",""'TP# look up'!A:C""),3,0),"""")"),"")</f>
        <v/>
      </c>
      <c r="AH548" s="49" t="str">
        <f t="shared" ca="1" si="8"/>
        <v>LW</v>
      </c>
    </row>
    <row r="549" spans="1:34" ht="12.75">
      <c r="A549" s="45" t="str">
        <f ca="1">IFERROR(__xludf.DUMMYFUNCTION("""COMPUTED_VALUE"""),"Colombo")</f>
        <v>Colombo</v>
      </c>
      <c r="B549" s="45"/>
      <c r="C549" s="45">
        <f ca="1">IFERROR(__xludf.DUMMYFUNCTION("""COMPUTED_VALUE"""),3254508)</f>
        <v>3254508</v>
      </c>
      <c r="D549" s="45"/>
      <c r="E549" s="45" t="str">
        <f ca="1">IFERROR(__xludf.DUMMYFUNCTION("""COMPUTED_VALUE"""),"CFS")</f>
        <v>CFS</v>
      </c>
      <c r="F549" s="45" t="str">
        <f ca="1">IFERROR(__xludf.DUMMYFUNCTION("""COMPUTED_VALUE"""),"MAS AMITY PTE LTD")</f>
        <v>MAS AMITY PTE LTD</v>
      </c>
      <c r="G549" s="45" t="str">
        <f ca="1">IFERROR(__xludf.DUMMYFUNCTION("""COMPUTED_VALUE"""),"MAS Fabrics (Pvt) Ltd Intimo")</f>
        <v>MAS Fabrics (Pvt) Ltd Intimo</v>
      </c>
      <c r="H549" s="43">
        <f ca="1">IFERROR(__xludf.DUMMYFUNCTION("""COMPUTED_VALUE"""),454703722960)</f>
        <v>454703722960</v>
      </c>
      <c r="I549" s="45">
        <f ca="1">IFERROR(__xludf.DUMMYFUNCTION("""COMPUTED_VALUE"""),19911110)</f>
        <v>19911110</v>
      </c>
      <c r="J549" s="45" t="str">
        <f ca="1">IFERROR(__xludf.DUMMYFUNCTION("""COMPUTED_VALUE"""),"LW3JE8S")</f>
        <v>LW3JE8S</v>
      </c>
      <c r="K549" s="45" t="str">
        <f ca="1">IFERROR(__xludf.DUMMYFUNCTION("""COMPUTED_VALUE"""),"LW3JE8S-0572")</f>
        <v>LW3JE8S-0572</v>
      </c>
      <c r="L549" s="45">
        <f ca="1">IFERROR(__xludf.DUMMYFUNCTION("""COMPUTED_VALUE"""),13)</f>
        <v>13</v>
      </c>
      <c r="M549" s="45">
        <f ca="1">IFERROR(__xludf.DUMMYFUNCTION("""COMPUTED_VALUE"""),674)</f>
        <v>674</v>
      </c>
      <c r="N549" s="45">
        <f ca="1">IFERROR(__xludf.DUMMYFUNCTION("""COMPUTED_VALUE"""),132.41)</f>
        <v>132.41</v>
      </c>
      <c r="O549" s="45">
        <f ca="1">IFERROR(__xludf.DUMMYFUNCTION("""COMPUTED_VALUE"""),0.948)</f>
        <v>0.94799999999999995</v>
      </c>
      <c r="P549" s="45" t="str">
        <f ca="1">IFERROR(__xludf.DUMMYFUNCTION("""COMPUTED_VALUE"""),"Colombo, LK")</f>
        <v>Colombo, LK</v>
      </c>
      <c r="Q549" s="45" t="str">
        <f ca="1">IFERROR(__xludf.DUMMYFUNCTION("""COMPUTED_VALUE"""),"New York, NY, US")</f>
        <v>New York, NY, US</v>
      </c>
      <c r="R549" s="44">
        <f ca="1">IFERROR(__xludf.DUMMYFUNCTION("""COMPUTED_VALUE"""),45824)</f>
        <v>45824</v>
      </c>
      <c r="S549" s="44">
        <f ca="1">IFERROR(__xludf.DUMMYFUNCTION("""COMPUTED_VALUE"""),45883)</f>
        <v>45883</v>
      </c>
      <c r="T549" s="45" t="str">
        <f ca="1">IFERROR(__xludf.DUMMYFUNCTION("""COMPUTED_VALUE"""),"Mississauga, ON, CA")</f>
        <v>Mississauga, ON, CA</v>
      </c>
      <c r="U549" s="45"/>
      <c r="V549" s="45"/>
      <c r="W549" s="45"/>
      <c r="X549" s="45"/>
      <c r="Y549" s="46">
        <f ca="1">IFERROR(__xludf.DUMMYFUNCTION("""COMPUTED_VALUE"""),45831)</f>
        <v>45831</v>
      </c>
      <c r="Z549" s="46">
        <f ca="1">IFERROR(__xludf.DUMMYFUNCTION("""COMPUTED_VALUE"""),45852)</f>
        <v>45852</v>
      </c>
      <c r="AA549" s="46">
        <f ca="1">IFERROR(__xludf.DUMMYFUNCTION("""COMPUTED_VALUE"""),45852)</f>
        <v>45852</v>
      </c>
      <c r="AB549" s="45" t="str">
        <f ca="1">IFERROR(__xludf.DUMMYFUNCTION("""COMPUTED_VALUE"""),"3500 Argentia Road")</f>
        <v>3500 Argentia Road</v>
      </c>
      <c r="AC549" s="45"/>
      <c r="AD549" s="45" t="str">
        <f ca="1">IFERROR(__xludf.DUMMYFUNCTION("""COMPUTED_VALUE"""),"OCEAN")</f>
        <v>OCEAN</v>
      </c>
      <c r="AE549" s="45" t="str">
        <f ca="1">IFERROR(__xludf.DUMMYFUNCTION("""COMPUTED_VALUE"""),"N")</f>
        <v>N</v>
      </c>
      <c r="AF549" s="45"/>
      <c r="AG549" s="49" t="str">
        <f ca="1">IFERROR(__xludf.DUMMYFUNCTION("IFNA(vlookup(H549,IMPORTRANGE(""1vUGwO1n0QQGx9kKbO0_M5gmuhXZ6-LaxQxgrmJnzgP0"",""'TP# look up'!A:C""),3,0),"""")"),"")</f>
        <v/>
      </c>
      <c r="AH549" s="49" t="str">
        <f t="shared" ca="1" si="8"/>
        <v>LW</v>
      </c>
    </row>
    <row r="550" spans="1:34" ht="12.75">
      <c r="A550" s="45" t="str">
        <f ca="1">IFERROR(__xludf.DUMMYFUNCTION("""COMPUTED_VALUE"""),"Colombo")</f>
        <v>Colombo</v>
      </c>
      <c r="B550" s="45"/>
      <c r="C550" s="45">
        <f ca="1">IFERROR(__xludf.DUMMYFUNCTION("""COMPUTED_VALUE"""),3254508)</f>
        <v>3254508</v>
      </c>
      <c r="D550" s="45"/>
      <c r="E550" s="45" t="str">
        <f ca="1">IFERROR(__xludf.DUMMYFUNCTION("""COMPUTED_VALUE"""),"CFS")</f>
        <v>CFS</v>
      </c>
      <c r="F550" s="45" t="str">
        <f ca="1">IFERROR(__xludf.DUMMYFUNCTION("""COMPUTED_VALUE"""),"MAS AMITY PTE LTD")</f>
        <v>MAS AMITY PTE LTD</v>
      </c>
      <c r="G550" s="45" t="str">
        <f ca="1">IFERROR(__xludf.DUMMYFUNCTION("""COMPUTED_VALUE"""),"MAS Fabrics (Pvt) Ltd Intimo")</f>
        <v>MAS Fabrics (Pvt) Ltd Intimo</v>
      </c>
      <c r="H550" s="43">
        <f ca="1">IFERROR(__xludf.DUMMYFUNCTION("""COMPUTED_VALUE"""),454703992680)</f>
        <v>454703992680</v>
      </c>
      <c r="I550" s="45">
        <f ca="1">IFERROR(__xludf.DUMMYFUNCTION("""COMPUTED_VALUE"""),19911259)</f>
        <v>19911259</v>
      </c>
      <c r="J550" s="45" t="str">
        <f ca="1">IFERROR(__xludf.DUMMYFUNCTION("""COMPUTED_VALUE"""),"LW3JSMS")</f>
        <v>LW3JSMS</v>
      </c>
      <c r="K550" s="45" t="str">
        <f ca="1">IFERROR(__xludf.DUMMYFUNCTION("""COMPUTED_VALUE"""),"LW3JSMS-071211")</f>
        <v>LW3JSMS-071211</v>
      </c>
      <c r="L550" s="45">
        <f ca="1">IFERROR(__xludf.DUMMYFUNCTION("""COMPUTED_VALUE"""),7)</f>
        <v>7</v>
      </c>
      <c r="M550" s="45">
        <f ca="1">IFERROR(__xludf.DUMMYFUNCTION("""COMPUTED_VALUE"""),430)</f>
        <v>430</v>
      </c>
      <c r="N550" s="45">
        <f ca="1">IFERROR(__xludf.DUMMYFUNCTION("""COMPUTED_VALUE"""),54.56)</f>
        <v>54.56</v>
      </c>
      <c r="O550" s="45">
        <f ca="1">IFERROR(__xludf.DUMMYFUNCTION("""COMPUTED_VALUE"""),0.474)</f>
        <v>0.47399999999999998</v>
      </c>
      <c r="P550" s="45" t="str">
        <f ca="1">IFERROR(__xludf.DUMMYFUNCTION("""COMPUTED_VALUE"""),"Colombo, LK")</f>
        <v>Colombo, LK</v>
      </c>
      <c r="Q550" s="45" t="str">
        <f ca="1">IFERROR(__xludf.DUMMYFUNCTION("""COMPUTED_VALUE"""),"New York, NY, US")</f>
        <v>New York, NY, US</v>
      </c>
      <c r="R550" s="44">
        <f ca="1">IFERROR(__xludf.DUMMYFUNCTION("""COMPUTED_VALUE"""),45824)</f>
        <v>45824</v>
      </c>
      <c r="S550" s="44">
        <f ca="1">IFERROR(__xludf.DUMMYFUNCTION("""COMPUTED_VALUE"""),45883)</f>
        <v>45883</v>
      </c>
      <c r="T550" s="45" t="str">
        <f ca="1">IFERROR(__xludf.DUMMYFUNCTION("""COMPUTED_VALUE"""),"Mississauga, ON, CA")</f>
        <v>Mississauga, ON, CA</v>
      </c>
      <c r="U550" s="45"/>
      <c r="V550" s="45"/>
      <c r="W550" s="45"/>
      <c r="X550" s="45"/>
      <c r="Y550" s="46">
        <f ca="1">IFERROR(__xludf.DUMMYFUNCTION("""COMPUTED_VALUE"""),45832)</f>
        <v>45832</v>
      </c>
      <c r="Z550" s="46">
        <f ca="1">IFERROR(__xludf.DUMMYFUNCTION("""COMPUTED_VALUE"""),45861)</f>
        <v>45861</v>
      </c>
      <c r="AA550" s="46">
        <f ca="1">IFERROR(__xludf.DUMMYFUNCTION("""COMPUTED_VALUE"""),45874)</f>
        <v>45874</v>
      </c>
      <c r="AB550" s="45" t="str">
        <f ca="1">IFERROR(__xludf.DUMMYFUNCTION("""COMPUTED_VALUE"""),"3500 Argentia Road")</f>
        <v>3500 Argentia Road</v>
      </c>
      <c r="AC550" s="45"/>
      <c r="AD550" s="45" t="str">
        <f ca="1">IFERROR(__xludf.DUMMYFUNCTION("""COMPUTED_VALUE"""),"OCEAN")</f>
        <v>OCEAN</v>
      </c>
      <c r="AE550" s="45" t="str">
        <f ca="1">IFERROR(__xludf.DUMMYFUNCTION("""COMPUTED_VALUE"""),"N")</f>
        <v>N</v>
      </c>
      <c r="AF550" s="45"/>
      <c r="AG550" s="49" t="str">
        <f ca="1">IFERROR(__xludf.DUMMYFUNCTION("IFNA(vlookup(H550,IMPORTRANGE(""1vUGwO1n0QQGx9kKbO0_M5gmuhXZ6-LaxQxgrmJnzgP0"",""'TP# look up'!A:C""),3,0),"""")"),"")</f>
        <v/>
      </c>
      <c r="AH550" s="49" t="str">
        <f t="shared" ca="1" si="8"/>
        <v>LW</v>
      </c>
    </row>
    <row r="551" spans="1:34" ht="12.75">
      <c r="A551" s="45" t="str">
        <f ca="1">IFERROR(__xludf.DUMMYFUNCTION("""COMPUTED_VALUE"""),"Colombo")</f>
        <v>Colombo</v>
      </c>
      <c r="B551" s="45"/>
      <c r="C551" s="45">
        <f ca="1">IFERROR(__xludf.DUMMYFUNCTION("""COMPUTED_VALUE"""),3254508)</f>
        <v>3254508</v>
      </c>
      <c r="D551" s="45"/>
      <c r="E551" s="45" t="str">
        <f ca="1">IFERROR(__xludf.DUMMYFUNCTION("""COMPUTED_VALUE"""),"CFS")</f>
        <v>CFS</v>
      </c>
      <c r="F551" s="45" t="str">
        <f ca="1">IFERROR(__xludf.DUMMYFUNCTION("""COMPUTED_VALUE"""),"MAS AMITY PTE LTD")</f>
        <v>MAS AMITY PTE LTD</v>
      </c>
      <c r="G551" s="45" t="str">
        <f ca="1">IFERROR(__xludf.DUMMYFUNCTION("""COMPUTED_VALUE"""),"MAS Fabrics (Pvt) Ltd Intimo")</f>
        <v>MAS Fabrics (Pvt) Ltd Intimo</v>
      </c>
      <c r="H551" s="43">
        <f ca="1">IFERROR(__xludf.DUMMYFUNCTION("""COMPUTED_VALUE"""),454704210198)</f>
        <v>454704210198</v>
      </c>
      <c r="I551" s="45">
        <f ca="1">IFERROR(__xludf.DUMMYFUNCTION("""COMPUTED_VALUE"""),19911317)</f>
        <v>19911317</v>
      </c>
      <c r="J551" s="45" t="str">
        <f ca="1">IFERROR(__xludf.DUMMYFUNCTION("""COMPUTED_VALUE"""),"LM3FG2S")</f>
        <v>LM3FG2S</v>
      </c>
      <c r="K551" s="45" t="str">
        <f ca="1">IFERROR(__xludf.DUMMYFUNCTION("""COMPUTED_VALUE"""),"LM3FG2S-071159")</f>
        <v>LM3FG2S-071159</v>
      </c>
      <c r="L551" s="45">
        <f ca="1">IFERROR(__xludf.DUMMYFUNCTION("""COMPUTED_VALUE"""),6)</f>
        <v>6</v>
      </c>
      <c r="M551" s="45">
        <f ca="1">IFERROR(__xludf.DUMMYFUNCTION("""COMPUTED_VALUE"""),339)</f>
        <v>339</v>
      </c>
      <c r="N551" s="45">
        <f ca="1">IFERROR(__xludf.DUMMYFUNCTION("""COMPUTED_VALUE"""),58.66)</f>
        <v>58.66</v>
      </c>
      <c r="O551" s="45">
        <f ca="1">IFERROR(__xludf.DUMMYFUNCTION("""COMPUTED_VALUE"""),0.434)</f>
        <v>0.434</v>
      </c>
      <c r="P551" s="45" t="str">
        <f ca="1">IFERROR(__xludf.DUMMYFUNCTION("""COMPUTED_VALUE"""),"Colombo, LK")</f>
        <v>Colombo, LK</v>
      </c>
      <c r="Q551" s="45" t="str">
        <f ca="1">IFERROR(__xludf.DUMMYFUNCTION("""COMPUTED_VALUE"""),"New York, NY, US")</f>
        <v>New York, NY, US</v>
      </c>
      <c r="R551" s="44">
        <f ca="1">IFERROR(__xludf.DUMMYFUNCTION("""COMPUTED_VALUE"""),45824)</f>
        <v>45824</v>
      </c>
      <c r="S551" s="44">
        <f ca="1">IFERROR(__xludf.DUMMYFUNCTION("""COMPUTED_VALUE"""),45883)</f>
        <v>45883</v>
      </c>
      <c r="T551" s="45" t="str">
        <f ca="1">IFERROR(__xludf.DUMMYFUNCTION("""COMPUTED_VALUE"""),"Mississauga, ON, CA")</f>
        <v>Mississauga, ON, CA</v>
      </c>
      <c r="U551" s="45"/>
      <c r="V551" s="45"/>
      <c r="W551" s="45"/>
      <c r="X551" s="45"/>
      <c r="Y551" s="46">
        <f ca="1">IFERROR(__xludf.DUMMYFUNCTION("""COMPUTED_VALUE"""),45832)</f>
        <v>45832</v>
      </c>
      <c r="Z551" s="46">
        <f ca="1">IFERROR(__xludf.DUMMYFUNCTION("""COMPUTED_VALUE"""),45861)</f>
        <v>45861</v>
      </c>
      <c r="AA551" s="46">
        <f ca="1">IFERROR(__xludf.DUMMYFUNCTION("""COMPUTED_VALUE"""),45874)</f>
        <v>45874</v>
      </c>
      <c r="AB551" s="45" t="str">
        <f ca="1">IFERROR(__xludf.DUMMYFUNCTION("""COMPUTED_VALUE"""),"3500 Argentia Road")</f>
        <v>3500 Argentia Road</v>
      </c>
      <c r="AC551" s="45"/>
      <c r="AD551" s="45" t="str">
        <f ca="1">IFERROR(__xludf.DUMMYFUNCTION("""COMPUTED_VALUE"""),"OCEAN")</f>
        <v>OCEAN</v>
      </c>
      <c r="AE551" s="45" t="str">
        <f ca="1">IFERROR(__xludf.DUMMYFUNCTION("""COMPUTED_VALUE"""),"N")</f>
        <v>N</v>
      </c>
      <c r="AF551" s="45"/>
      <c r="AG551" s="49" t="str">
        <f ca="1">IFERROR(__xludf.DUMMYFUNCTION("IFNA(vlookup(H551,IMPORTRANGE(""1vUGwO1n0QQGx9kKbO0_M5gmuhXZ6-LaxQxgrmJnzgP0"",""'TP# look up'!A:C""),3,0),"""")"),"")</f>
        <v/>
      </c>
      <c r="AH551" s="49" t="str">
        <f t="shared" ca="1" si="8"/>
        <v>LM</v>
      </c>
    </row>
    <row r="552" spans="1:34" ht="12.75">
      <c r="A552" s="45" t="str">
        <f ca="1">IFERROR(__xludf.DUMMYFUNCTION("""COMPUTED_VALUE"""),"Colombo")</f>
        <v>Colombo</v>
      </c>
      <c r="B552" s="45"/>
      <c r="C552" s="45">
        <f ca="1">IFERROR(__xludf.DUMMYFUNCTION("""COMPUTED_VALUE"""),3254508)</f>
        <v>3254508</v>
      </c>
      <c r="D552" s="45"/>
      <c r="E552" s="45" t="str">
        <f ca="1">IFERROR(__xludf.DUMMYFUNCTION("""COMPUTED_VALUE"""),"CFS")</f>
        <v>CFS</v>
      </c>
      <c r="F552" s="45" t="str">
        <f ca="1">IFERROR(__xludf.DUMMYFUNCTION("""COMPUTED_VALUE"""),"MAS AMITY PTE LTD")</f>
        <v>MAS AMITY PTE LTD</v>
      </c>
      <c r="G552" s="45" t="str">
        <f ca="1">IFERROR(__xludf.DUMMYFUNCTION("""COMPUTED_VALUE"""),"MAS Fabrics (Pvt) Ltd Intimo")</f>
        <v>MAS Fabrics (Pvt) Ltd Intimo</v>
      </c>
      <c r="H552" s="43">
        <f ca="1">IFERROR(__xludf.DUMMYFUNCTION("""COMPUTED_VALUE"""),454711350541)</f>
        <v>454711350541</v>
      </c>
      <c r="I552" s="45">
        <f ca="1">IFERROR(__xludf.DUMMYFUNCTION("""COMPUTED_VALUE"""),19919974)</f>
        <v>19919974</v>
      </c>
      <c r="J552" s="45" t="str">
        <f ca="1">IFERROR(__xludf.DUMMYFUNCTION("""COMPUTED_VALUE"""),"LW3FQFS")</f>
        <v>LW3FQFS</v>
      </c>
      <c r="K552" s="45" t="str">
        <f ca="1">IFERROR(__xludf.DUMMYFUNCTION("""COMPUTED_VALUE"""),"LW3FQFS-012826")</f>
        <v>LW3FQFS-012826</v>
      </c>
      <c r="L552" s="45">
        <f ca="1">IFERROR(__xludf.DUMMYFUNCTION("""COMPUTED_VALUE"""),4)</f>
        <v>4</v>
      </c>
      <c r="M552" s="45">
        <f ca="1">IFERROR(__xludf.DUMMYFUNCTION("""COMPUTED_VALUE"""),133)</f>
        <v>133</v>
      </c>
      <c r="N552" s="45">
        <f ca="1">IFERROR(__xludf.DUMMYFUNCTION("""COMPUTED_VALUE"""),21.507)</f>
        <v>21.507000000000001</v>
      </c>
      <c r="O552" s="45">
        <f ca="1">IFERROR(__xludf.DUMMYFUNCTION("""COMPUTED_VALUE"""),0.276)</f>
        <v>0.27600000000000002</v>
      </c>
      <c r="P552" s="45" t="str">
        <f ca="1">IFERROR(__xludf.DUMMYFUNCTION("""COMPUTED_VALUE"""),"Colombo, LK")</f>
        <v>Colombo, LK</v>
      </c>
      <c r="Q552" s="45" t="str">
        <f ca="1">IFERROR(__xludf.DUMMYFUNCTION("""COMPUTED_VALUE"""),"New York, NY, US")</f>
        <v>New York, NY, US</v>
      </c>
      <c r="R552" s="44">
        <f ca="1">IFERROR(__xludf.DUMMYFUNCTION("""COMPUTED_VALUE"""),45824)</f>
        <v>45824</v>
      </c>
      <c r="S552" s="44">
        <f ca="1">IFERROR(__xludf.DUMMYFUNCTION("""COMPUTED_VALUE"""),45883)</f>
        <v>45883</v>
      </c>
      <c r="T552" s="45" t="str">
        <f ca="1">IFERROR(__xludf.DUMMYFUNCTION("""COMPUTED_VALUE"""),"Mississauga, ON, CA")</f>
        <v>Mississauga, ON, CA</v>
      </c>
      <c r="U552" s="45"/>
      <c r="V552" s="45"/>
      <c r="W552" s="45"/>
      <c r="X552" s="45"/>
      <c r="Y552" s="46">
        <f ca="1">IFERROR(__xludf.DUMMYFUNCTION("""COMPUTED_VALUE"""),45832)</f>
        <v>45832</v>
      </c>
      <c r="Z552" s="46">
        <f ca="1">IFERROR(__xludf.DUMMYFUNCTION("""COMPUTED_VALUE"""),45861)</f>
        <v>45861</v>
      </c>
      <c r="AA552" s="46">
        <f ca="1">IFERROR(__xludf.DUMMYFUNCTION("""COMPUTED_VALUE"""),45874)</f>
        <v>45874</v>
      </c>
      <c r="AB552" s="45" t="str">
        <f ca="1">IFERROR(__xludf.DUMMYFUNCTION("""COMPUTED_VALUE"""),"3500 Argentia Road")</f>
        <v>3500 Argentia Road</v>
      </c>
      <c r="AC552" s="45"/>
      <c r="AD552" s="45" t="str">
        <f ca="1">IFERROR(__xludf.DUMMYFUNCTION("""COMPUTED_VALUE"""),"OCEAN")</f>
        <v>OCEAN</v>
      </c>
      <c r="AE552" s="45" t="str">
        <f ca="1">IFERROR(__xludf.DUMMYFUNCTION("""COMPUTED_VALUE"""),"N")</f>
        <v>N</v>
      </c>
      <c r="AF552" s="45"/>
      <c r="AG552" s="49" t="str">
        <f ca="1">IFERROR(__xludf.DUMMYFUNCTION("IFNA(vlookup(H552,IMPORTRANGE(""1vUGwO1n0QQGx9kKbO0_M5gmuhXZ6-LaxQxgrmJnzgP0"",""'TP# look up'!A:C""),3,0),"""")"),"")</f>
        <v/>
      </c>
      <c r="AH552" s="49" t="str">
        <f t="shared" ca="1" si="8"/>
        <v>LW</v>
      </c>
    </row>
    <row r="553" spans="1:34" ht="12.75">
      <c r="A553" s="45" t="str">
        <f ca="1">IFERROR(__xludf.DUMMYFUNCTION("""COMPUTED_VALUE"""),"Colombo")</f>
        <v>Colombo</v>
      </c>
      <c r="B553" s="45"/>
      <c r="C553" s="45">
        <f ca="1">IFERROR(__xludf.DUMMYFUNCTION("""COMPUTED_VALUE"""),3254508)</f>
        <v>3254508</v>
      </c>
      <c r="D553" s="45"/>
      <c r="E553" s="45" t="str">
        <f ca="1">IFERROR(__xludf.DUMMYFUNCTION("""COMPUTED_VALUE"""),"CFS")</f>
        <v>CFS</v>
      </c>
      <c r="F553" s="45" t="str">
        <f ca="1">IFERROR(__xludf.DUMMYFUNCTION("""COMPUTED_VALUE"""),"MAS AMITY PTE LTD")</f>
        <v>MAS AMITY PTE LTD</v>
      </c>
      <c r="G553" s="45" t="str">
        <f ca="1">IFERROR(__xludf.DUMMYFUNCTION("""COMPUTED_VALUE"""),"MAS Fabrics (Pvt) Ltd Intimo")</f>
        <v>MAS Fabrics (Pvt) Ltd Intimo</v>
      </c>
      <c r="H553" s="43">
        <f ca="1">IFERROR(__xludf.DUMMYFUNCTION("""COMPUTED_VALUE"""),454711488388)</f>
        <v>454711488388</v>
      </c>
      <c r="I553" s="45">
        <f ca="1">IFERROR(__xludf.DUMMYFUNCTION("""COMPUTED_VALUE"""),19919960)</f>
        <v>19919960</v>
      </c>
      <c r="J553" s="45" t="str">
        <f ca="1">IFERROR(__xludf.DUMMYFUNCTION("""COMPUTED_VALUE"""),"LW3DFNS")</f>
        <v>LW3DFNS</v>
      </c>
      <c r="K553" s="45" t="str">
        <f ca="1">IFERROR(__xludf.DUMMYFUNCTION("""COMPUTED_VALUE"""),"LW3DFNS-012826")</f>
        <v>LW3DFNS-012826</v>
      </c>
      <c r="L553" s="45">
        <f ca="1">IFERROR(__xludf.DUMMYFUNCTION("""COMPUTED_VALUE"""),7)</f>
        <v>7</v>
      </c>
      <c r="M553" s="45">
        <f ca="1">IFERROR(__xludf.DUMMYFUNCTION("""COMPUTED_VALUE"""),457)</f>
        <v>457</v>
      </c>
      <c r="N553" s="45">
        <f ca="1">IFERROR(__xludf.DUMMYFUNCTION("""COMPUTED_VALUE"""),57.61)</f>
        <v>57.61</v>
      </c>
      <c r="O553" s="45">
        <f ca="1">IFERROR(__xludf.DUMMYFUNCTION("""COMPUTED_VALUE"""),0.436)</f>
        <v>0.436</v>
      </c>
      <c r="P553" s="45" t="str">
        <f ca="1">IFERROR(__xludf.DUMMYFUNCTION("""COMPUTED_VALUE"""),"Colombo, LK")</f>
        <v>Colombo, LK</v>
      </c>
      <c r="Q553" s="45" t="str">
        <f ca="1">IFERROR(__xludf.DUMMYFUNCTION("""COMPUTED_VALUE"""),"New York, NY, US")</f>
        <v>New York, NY, US</v>
      </c>
      <c r="R553" s="44">
        <f ca="1">IFERROR(__xludf.DUMMYFUNCTION("""COMPUTED_VALUE"""),45824)</f>
        <v>45824</v>
      </c>
      <c r="S553" s="44">
        <f ca="1">IFERROR(__xludf.DUMMYFUNCTION("""COMPUTED_VALUE"""),45883)</f>
        <v>45883</v>
      </c>
      <c r="T553" s="45" t="str">
        <f ca="1">IFERROR(__xludf.DUMMYFUNCTION("""COMPUTED_VALUE"""),"Mississauga, ON, CA")</f>
        <v>Mississauga, ON, CA</v>
      </c>
      <c r="U553" s="45"/>
      <c r="V553" s="45"/>
      <c r="W553" s="45"/>
      <c r="X553" s="45"/>
      <c r="Y553" s="46">
        <f ca="1">IFERROR(__xludf.DUMMYFUNCTION("""COMPUTED_VALUE"""),45832)</f>
        <v>45832</v>
      </c>
      <c r="Z553" s="46">
        <f ca="1">IFERROR(__xludf.DUMMYFUNCTION("""COMPUTED_VALUE"""),45861)</f>
        <v>45861</v>
      </c>
      <c r="AA553" s="46">
        <f ca="1">IFERROR(__xludf.DUMMYFUNCTION("""COMPUTED_VALUE"""),45874)</f>
        <v>45874</v>
      </c>
      <c r="AB553" s="45" t="str">
        <f ca="1">IFERROR(__xludf.DUMMYFUNCTION("""COMPUTED_VALUE"""),"3500 Argentia Road")</f>
        <v>3500 Argentia Road</v>
      </c>
      <c r="AC553" s="45"/>
      <c r="AD553" s="45" t="str">
        <f ca="1">IFERROR(__xludf.DUMMYFUNCTION("""COMPUTED_VALUE"""),"OCEAN")</f>
        <v>OCEAN</v>
      </c>
      <c r="AE553" s="45" t="str">
        <f ca="1">IFERROR(__xludf.DUMMYFUNCTION("""COMPUTED_VALUE"""),"N")</f>
        <v>N</v>
      </c>
      <c r="AF553" s="45"/>
      <c r="AG553" s="49" t="str">
        <f ca="1">IFERROR(__xludf.DUMMYFUNCTION("IFNA(vlookup(H553,IMPORTRANGE(""1vUGwO1n0QQGx9kKbO0_M5gmuhXZ6-LaxQxgrmJnzgP0"",""'TP# look up'!A:C""),3,0),"""")"),"")</f>
        <v/>
      </c>
      <c r="AH553" s="49" t="str">
        <f t="shared" ca="1" si="8"/>
        <v>LW</v>
      </c>
    </row>
    <row r="554" spans="1:34" ht="12.75">
      <c r="A554" s="45" t="str">
        <f ca="1">IFERROR(__xludf.DUMMYFUNCTION("""COMPUTED_VALUE"""),"Colombo")</f>
        <v>Colombo</v>
      </c>
      <c r="B554" s="45"/>
      <c r="C554" s="45">
        <f ca="1">IFERROR(__xludf.DUMMYFUNCTION("""COMPUTED_VALUE"""),3254508)</f>
        <v>3254508</v>
      </c>
      <c r="D554" s="45"/>
      <c r="E554" s="45" t="str">
        <f ca="1">IFERROR(__xludf.DUMMYFUNCTION("""COMPUTED_VALUE"""),"CFS")</f>
        <v>CFS</v>
      </c>
      <c r="F554" s="45" t="str">
        <f ca="1">IFERROR(__xludf.DUMMYFUNCTION("""COMPUTED_VALUE"""),"MAS AMITY PTE LTD")</f>
        <v>MAS AMITY PTE LTD</v>
      </c>
      <c r="G554" s="45" t="str">
        <f ca="1">IFERROR(__xludf.DUMMYFUNCTION("""COMPUTED_VALUE"""),"MAS Fabrics (Pvt) Ltd Intimo")</f>
        <v>MAS Fabrics (Pvt) Ltd Intimo</v>
      </c>
      <c r="H554" s="43">
        <f ca="1">IFERROR(__xludf.DUMMYFUNCTION("""COMPUTED_VALUE"""),454711982979)</f>
        <v>454711982979</v>
      </c>
      <c r="I554" s="45">
        <f ca="1">IFERROR(__xludf.DUMMYFUNCTION("""COMPUTED_VALUE"""),19920044)</f>
        <v>19920044</v>
      </c>
      <c r="J554" s="45" t="str">
        <f ca="1">IFERROR(__xludf.DUMMYFUNCTION("""COMPUTED_VALUE"""),"LW3FQFS")</f>
        <v>LW3FQFS</v>
      </c>
      <c r="K554" s="45" t="str">
        <f ca="1">IFERROR(__xludf.DUMMYFUNCTION("""COMPUTED_VALUE"""),"LW3FQFS-012826")</f>
        <v>LW3FQFS-012826</v>
      </c>
      <c r="L554" s="45">
        <f ca="1">IFERROR(__xludf.DUMMYFUNCTION("""COMPUTED_VALUE"""),8)</f>
        <v>8</v>
      </c>
      <c r="M554" s="45">
        <f ca="1">IFERROR(__xludf.DUMMYFUNCTION("""COMPUTED_VALUE"""),414)</f>
        <v>414</v>
      </c>
      <c r="N554" s="45">
        <f ca="1">IFERROR(__xludf.DUMMYFUNCTION("""COMPUTED_VALUE"""),61.884)</f>
        <v>61.884</v>
      </c>
      <c r="O554" s="45">
        <f ca="1">IFERROR(__xludf.DUMMYFUNCTION("""COMPUTED_VALUE"""),0.632)</f>
        <v>0.63200000000000001</v>
      </c>
      <c r="P554" s="45" t="str">
        <f ca="1">IFERROR(__xludf.DUMMYFUNCTION("""COMPUTED_VALUE"""),"Colombo, LK")</f>
        <v>Colombo, LK</v>
      </c>
      <c r="Q554" s="45" t="str">
        <f ca="1">IFERROR(__xludf.DUMMYFUNCTION("""COMPUTED_VALUE"""),"New York, NY, US")</f>
        <v>New York, NY, US</v>
      </c>
      <c r="R554" s="44">
        <f ca="1">IFERROR(__xludf.DUMMYFUNCTION("""COMPUTED_VALUE"""),45824)</f>
        <v>45824</v>
      </c>
      <c r="S554" s="44">
        <f ca="1">IFERROR(__xludf.DUMMYFUNCTION("""COMPUTED_VALUE"""),45883)</f>
        <v>45883</v>
      </c>
      <c r="T554" s="45" t="str">
        <f ca="1">IFERROR(__xludf.DUMMYFUNCTION("""COMPUTED_VALUE"""),"Mississauga, ON, CA")</f>
        <v>Mississauga, ON, CA</v>
      </c>
      <c r="U554" s="45"/>
      <c r="V554" s="45"/>
      <c r="W554" s="45"/>
      <c r="X554" s="45"/>
      <c r="Y554" s="46">
        <f ca="1">IFERROR(__xludf.DUMMYFUNCTION("""COMPUTED_VALUE"""),45831)</f>
        <v>45831</v>
      </c>
      <c r="Z554" s="46">
        <f ca="1">IFERROR(__xludf.DUMMYFUNCTION("""COMPUTED_VALUE"""),45852)</f>
        <v>45852</v>
      </c>
      <c r="AA554" s="46">
        <f ca="1">IFERROR(__xludf.DUMMYFUNCTION("""COMPUTED_VALUE"""),45852)</f>
        <v>45852</v>
      </c>
      <c r="AB554" s="45" t="str">
        <f ca="1">IFERROR(__xludf.DUMMYFUNCTION("""COMPUTED_VALUE"""),"3500 Argentia Road")</f>
        <v>3500 Argentia Road</v>
      </c>
      <c r="AC554" s="45"/>
      <c r="AD554" s="45" t="str">
        <f ca="1">IFERROR(__xludf.DUMMYFUNCTION("""COMPUTED_VALUE"""),"OCEAN")</f>
        <v>OCEAN</v>
      </c>
      <c r="AE554" s="45" t="str">
        <f ca="1">IFERROR(__xludf.DUMMYFUNCTION("""COMPUTED_VALUE"""),"N")</f>
        <v>N</v>
      </c>
      <c r="AF554" s="45"/>
      <c r="AG554" s="49" t="str">
        <f ca="1">IFERROR(__xludf.DUMMYFUNCTION("IFNA(vlookup(H554,IMPORTRANGE(""1vUGwO1n0QQGx9kKbO0_M5gmuhXZ6-LaxQxgrmJnzgP0"",""'TP# look up'!A:C""),3,0),"""")"),"")</f>
        <v/>
      </c>
      <c r="AH554" s="49" t="str">
        <f t="shared" ca="1" si="8"/>
        <v>LW</v>
      </c>
    </row>
    <row r="555" spans="1:34" ht="12.75">
      <c r="A555" s="45" t="str">
        <f ca="1">IFERROR(__xludf.DUMMYFUNCTION("""COMPUTED_VALUE"""),"Colombo")</f>
        <v>Colombo</v>
      </c>
      <c r="B555" s="45"/>
      <c r="C555" s="45">
        <f ca="1">IFERROR(__xludf.DUMMYFUNCTION("""COMPUTED_VALUE"""),3254508)</f>
        <v>3254508</v>
      </c>
      <c r="D555" s="45"/>
      <c r="E555" s="45" t="str">
        <f ca="1">IFERROR(__xludf.DUMMYFUNCTION("""COMPUTED_VALUE"""),"CFS")</f>
        <v>CFS</v>
      </c>
      <c r="F555" s="45" t="str">
        <f ca="1">IFERROR(__xludf.DUMMYFUNCTION("""COMPUTED_VALUE"""),"MAS AMITY PTE LTD")</f>
        <v>MAS AMITY PTE LTD</v>
      </c>
      <c r="G555" s="45" t="str">
        <f ca="1">IFERROR(__xludf.DUMMYFUNCTION("""COMPUTED_VALUE"""),"MAS Fabrics (Pvt) Ltd Intimo")</f>
        <v>MAS Fabrics (Pvt) Ltd Intimo</v>
      </c>
      <c r="H555" s="43">
        <f ca="1">IFERROR(__xludf.DUMMYFUNCTION("""COMPUTED_VALUE"""),454712171432)</f>
        <v>454712171432</v>
      </c>
      <c r="I555" s="45">
        <f ca="1">IFERROR(__xludf.DUMMYFUNCTION("""COMPUTED_VALUE"""),19919987)</f>
        <v>19919987</v>
      </c>
      <c r="J555" s="45" t="str">
        <f ca="1">IFERROR(__xludf.DUMMYFUNCTION("""COMPUTED_VALUE"""),"LW3GH4S")</f>
        <v>LW3GH4S</v>
      </c>
      <c r="K555" s="45" t="str">
        <f ca="1">IFERROR(__xludf.DUMMYFUNCTION("""COMPUTED_VALUE"""),"LW3GH4S-0572")</f>
        <v>LW3GH4S-0572</v>
      </c>
      <c r="L555" s="45">
        <f ca="1">IFERROR(__xludf.DUMMYFUNCTION("""COMPUTED_VALUE"""),5)</f>
        <v>5</v>
      </c>
      <c r="M555" s="45">
        <f ca="1">IFERROR(__xludf.DUMMYFUNCTION("""COMPUTED_VALUE"""),148)</f>
        <v>148</v>
      </c>
      <c r="N555" s="45">
        <f ca="1">IFERROR(__xludf.DUMMYFUNCTION("""COMPUTED_VALUE"""),21.174)</f>
        <v>21.173999999999999</v>
      </c>
      <c r="O555" s="45">
        <f ca="1">IFERROR(__xludf.DUMMYFUNCTION("""COMPUTED_VALUE"""),0.197)</f>
        <v>0.19700000000000001</v>
      </c>
      <c r="P555" s="45" t="str">
        <f ca="1">IFERROR(__xludf.DUMMYFUNCTION("""COMPUTED_VALUE"""),"Colombo, LK")</f>
        <v>Colombo, LK</v>
      </c>
      <c r="Q555" s="45" t="str">
        <f ca="1">IFERROR(__xludf.DUMMYFUNCTION("""COMPUTED_VALUE"""),"New York, NY, US")</f>
        <v>New York, NY, US</v>
      </c>
      <c r="R555" s="44">
        <f ca="1">IFERROR(__xludf.DUMMYFUNCTION("""COMPUTED_VALUE"""),45824)</f>
        <v>45824</v>
      </c>
      <c r="S555" s="44">
        <f ca="1">IFERROR(__xludf.DUMMYFUNCTION("""COMPUTED_VALUE"""),45883)</f>
        <v>45883</v>
      </c>
      <c r="T555" s="45" t="str">
        <f ca="1">IFERROR(__xludf.DUMMYFUNCTION("""COMPUTED_VALUE"""),"Mississauga, ON, CA")</f>
        <v>Mississauga, ON, CA</v>
      </c>
      <c r="U555" s="45"/>
      <c r="V555" s="45"/>
      <c r="W555" s="45"/>
      <c r="X555" s="45"/>
      <c r="Y555" s="46">
        <f ca="1">IFERROR(__xludf.DUMMYFUNCTION("""COMPUTED_VALUE"""),45832)</f>
        <v>45832</v>
      </c>
      <c r="Z555" s="46">
        <f ca="1">IFERROR(__xludf.DUMMYFUNCTION("""COMPUTED_VALUE"""),45861)</f>
        <v>45861</v>
      </c>
      <c r="AA555" s="46">
        <f ca="1">IFERROR(__xludf.DUMMYFUNCTION("""COMPUTED_VALUE"""),45874)</f>
        <v>45874</v>
      </c>
      <c r="AB555" s="45" t="str">
        <f ca="1">IFERROR(__xludf.DUMMYFUNCTION("""COMPUTED_VALUE"""),"3500 Argentia Road")</f>
        <v>3500 Argentia Road</v>
      </c>
      <c r="AC555" s="45"/>
      <c r="AD555" s="45" t="str">
        <f ca="1">IFERROR(__xludf.DUMMYFUNCTION("""COMPUTED_VALUE"""),"OCEAN")</f>
        <v>OCEAN</v>
      </c>
      <c r="AE555" s="45" t="str">
        <f ca="1">IFERROR(__xludf.DUMMYFUNCTION("""COMPUTED_VALUE"""),"N")</f>
        <v>N</v>
      </c>
      <c r="AF555" s="45"/>
      <c r="AG555" s="49" t="str">
        <f ca="1">IFERROR(__xludf.DUMMYFUNCTION("IFNA(vlookup(H555,IMPORTRANGE(""1vUGwO1n0QQGx9kKbO0_M5gmuhXZ6-LaxQxgrmJnzgP0"",""'TP# look up'!A:C""),3,0),"""")"),"")</f>
        <v/>
      </c>
      <c r="AH555" s="49" t="str">
        <f t="shared" ca="1" si="8"/>
        <v>LW</v>
      </c>
    </row>
    <row r="556" spans="1:34" ht="12.75">
      <c r="A556" s="45" t="str">
        <f ca="1">IFERROR(__xludf.DUMMYFUNCTION("""COMPUTED_VALUE"""),"Colombo")</f>
        <v>Colombo</v>
      </c>
      <c r="B556" s="45"/>
      <c r="C556" s="45">
        <f ca="1">IFERROR(__xludf.DUMMYFUNCTION("""COMPUTED_VALUE"""),3254508)</f>
        <v>3254508</v>
      </c>
      <c r="D556" s="45"/>
      <c r="E556" s="45" t="str">
        <f ca="1">IFERROR(__xludf.DUMMYFUNCTION("""COMPUTED_VALUE"""),"CFS")</f>
        <v>CFS</v>
      </c>
      <c r="F556" s="45" t="str">
        <f ca="1">IFERROR(__xludf.DUMMYFUNCTION("""COMPUTED_VALUE"""),"MAS AMITY PTE LTD")</f>
        <v>MAS AMITY PTE LTD</v>
      </c>
      <c r="G556" s="45" t="str">
        <f ca="1">IFERROR(__xludf.DUMMYFUNCTION("""COMPUTED_VALUE"""),"MAS Fabrics (Pvt) Ltd Intimo")</f>
        <v>MAS Fabrics (Pvt) Ltd Intimo</v>
      </c>
      <c r="H556" s="43">
        <f ca="1">IFERROR(__xludf.DUMMYFUNCTION("""COMPUTED_VALUE"""),454712183469)</f>
        <v>454712183469</v>
      </c>
      <c r="I556" s="45">
        <f ca="1">IFERROR(__xludf.DUMMYFUNCTION("""COMPUTED_VALUE"""),19919981)</f>
        <v>19919981</v>
      </c>
      <c r="J556" s="45" t="str">
        <f ca="1">IFERROR(__xludf.DUMMYFUNCTION("""COMPUTED_VALUE"""),"LW3GH4S")</f>
        <v>LW3GH4S</v>
      </c>
      <c r="K556" s="45" t="str">
        <f ca="1">IFERROR(__xludf.DUMMYFUNCTION("""COMPUTED_VALUE"""),"LW3GH4S-4780")</f>
        <v>LW3GH4S-4780</v>
      </c>
      <c r="L556" s="45">
        <f ca="1">IFERROR(__xludf.DUMMYFUNCTION("""COMPUTED_VALUE"""),5)</f>
        <v>5</v>
      </c>
      <c r="M556" s="45">
        <f ca="1">IFERROR(__xludf.DUMMYFUNCTION("""COMPUTED_VALUE"""),227)</f>
        <v>227</v>
      </c>
      <c r="N556" s="45">
        <f ca="1">IFERROR(__xludf.DUMMYFUNCTION("""COMPUTED_VALUE"""),30.889)</f>
        <v>30.888999999999999</v>
      </c>
      <c r="O556" s="45">
        <f ca="1">IFERROR(__xludf.DUMMYFUNCTION("""COMPUTED_VALUE"""),0.276)</f>
        <v>0.27600000000000002</v>
      </c>
      <c r="P556" s="45" t="str">
        <f ca="1">IFERROR(__xludf.DUMMYFUNCTION("""COMPUTED_VALUE"""),"Colombo, LK")</f>
        <v>Colombo, LK</v>
      </c>
      <c r="Q556" s="45" t="str">
        <f ca="1">IFERROR(__xludf.DUMMYFUNCTION("""COMPUTED_VALUE"""),"New York, NY, US")</f>
        <v>New York, NY, US</v>
      </c>
      <c r="R556" s="44">
        <f ca="1">IFERROR(__xludf.DUMMYFUNCTION("""COMPUTED_VALUE"""),45824)</f>
        <v>45824</v>
      </c>
      <c r="S556" s="44">
        <f ca="1">IFERROR(__xludf.DUMMYFUNCTION("""COMPUTED_VALUE"""),45883)</f>
        <v>45883</v>
      </c>
      <c r="T556" s="45" t="str">
        <f ca="1">IFERROR(__xludf.DUMMYFUNCTION("""COMPUTED_VALUE"""),"Mississauga, ON, CA")</f>
        <v>Mississauga, ON, CA</v>
      </c>
      <c r="U556" s="45"/>
      <c r="V556" s="45"/>
      <c r="W556" s="45"/>
      <c r="X556" s="45"/>
      <c r="Y556" s="46">
        <f ca="1">IFERROR(__xludf.DUMMYFUNCTION("""COMPUTED_VALUE"""),45832)</f>
        <v>45832</v>
      </c>
      <c r="Z556" s="46">
        <f ca="1">IFERROR(__xludf.DUMMYFUNCTION("""COMPUTED_VALUE"""),45861)</f>
        <v>45861</v>
      </c>
      <c r="AA556" s="46">
        <f ca="1">IFERROR(__xludf.DUMMYFUNCTION("""COMPUTED_VALUE"""),45874)</f>
        <v>45874</v>
      </c>
      <c r="AB556" s="45" t="str">
        <f ca="1">IFERROR(__xludf.DUMMYFUNCTION("""COMPUTED_VALUE"""),"3500 Argentia Road")</f>
        <v>3500 Argentia Road</v>
      </c>
      <c r="AC556" s="45"/>
      <c r="AD556" s="45" t="str">
        <f ca="1">IFERROR(__xludf.DUMMYFUNCTION("""COMPUTED_VALUE"""),"OCEAN")</f>
        <v>OCEAN</v>
      </c>
      <c r="AE556" s="45" t="str">
        <f ca="1">IFERROR(__xludf.DUMMYFUNCTION("""COMPUTED_VALUE"""),"N")</f>
        <v>N</v>
      </c>
      <c r="AF556" s="45"/>
      <c r="AG556" s="49" t="str">
        <f ca="1">IFERROR(__xludf.DUMMYFUNCTION("IFNA(vlookup(H556,IMPORTRANGE(""1vUGwO1n0QQGx9kKbO0_M5gmuhXZ6-LaxQxgrmJnzgP0"",""'TP# look up'!A:C""),3,0),"""")"),"")</f>
        <v/>
      </c>
      <c r="AH556" s="49" t="str">
        <f t="shared" ca="1" si="8"/>
        <v>LW</v>
      </c>
    </row>
    <row r="557" spans="1:34" ht="12.75">
      <c r="A557" s="45" t="str">
        <f ca="1">IFERROR(__xludf.DUMMYFUNCTION("""COMPUTED_VALUE"""),"Colombo")</f>
        <v>Colombo</v>
      </c>
      <c r="B557" s="45"/>
      <c r="C557" s="45">
        <f ca="1">IFERROR(__xludf.DUMMYFUNCTION("""COMPUTED_VALUE"""),3254508)</f>
        <v>3254508</v>
      </c>
      <c r="D557" s="45"/>
      <c r="E557" s="45" t="str">
        <f ca="1">IFERROR(__xludf.DUMMYFUNCTION("""COMPUTED_VALUE"""),"CFS")</f>
        <v>CFS</v>
      </c>
      <c r="F557" s="45" t="str">
        <f ca="1">IFERROR(__xludf.DUMMYFUNCTION("""COMPUTED_VALUE"""),"MAS AMITY PTE LTD")</f>
        <v>MAS AMITY PTE LTD</v>
      </c>
      <c r="G557" s="45" t="str">
        <f ca="1">IFERROR(__xludf.DUMMYFUNCTION("""COMPUTED_VALUE"""),"MAS Fabrics (Pvt) Ltd Intimo")</f>
        <v>MAS Fabrics (Pvt) Ltd Intimo</v>
      </c>
      <c r="H557" s="43">
        <f ca="1">IFERROR(__xludf.DUMMYFUNCTION("""COMPUTED_VALUE"""),454712197828)</f>
        <v>454712197828</v>
      </c>
      <c r="I557" s="45">
        <f ca="1">IFERROR(__xludf.DUMMYFUNCTION("""COMPUTED_VALUE"""),19920005)</f>
        <v>19920005</v>
      </c>
      <c r="J557" s="45" t="str">
        <f ca="1">IFERROR(__xludf.DUMMYFUNCTION("""COMPUTED_VALUE"""),"LW3JE8S")</f>
        <v>LW3JE8S</v>
      </c>
      <c r="K557" s="45" t="str">
        <f ca="1">IFERROR(__xludf.DUMMYFUNCTION("""COMPUTED_VALUE"""),"LW3JE8S-042836")</f>
        <v>LW3JE8S-042836</v>
      </c>
      <c r="L557" s="45">
        <f ca="1">IFERROR(__xludf.DUMMYFUNCTION("""COMPUTED_VALUE"""),6)</f>
        <v>6</v>
      </c>
      <c r="M557" s="45">
        <f ca="1">IFERROR(__xludf.DUMMYFUNCTION("""COMPUTED_VALUE"""),261)</f>
        <v>261</v>
      </c>
      <c r="N557" s="45">
        <f ca="1">IFERROR(__xludf.DUMMYFUNCTION("""COMPUTED_VALUE"""),53.177)</f>
        <v>53.177</v>
      </c>
      <c r="O557" s="45">
        <f ca="1">IFERROR(__xludf.DUMMYFUNCTION("""COMPUTED_VALUE"""),0.474)</f>
        <v>0.47399999999999998</v>
      </c>
      <c r="P557" s="45" t="str">
        <f ca="1">IFERROR(__xludf.DUMMYFUNCTION("""COMPUTED_VALUE"""),"Colombo, LK")</f>
        <v>Colombo, LK</v>
      </c>
      <c r="Q557" s="45" t="str">
        <f ca="1">IFERROR(__xludf.DUMMYFUNCTION("""COMPUTED_VALUE"""),"New York, NY, US")</f>
        <v>New York, NY, US</v>
      </c>
      <c r="R557" s="44">
        <f ca="1">IFERROR(__xludf.DUMMYFUNCTION("""COMPUTED_VALUE"""),45824)</f>
        <v>45824</v>
      </c>
      <c r="S557" s="44">
        <f ca="1">IFERROR(__xludf.DUMMYFUNCTION("""COMPUTED_VALUE"""),45883)</f>
        <v>45883</v>
      </c>
      <c r="T557" s="45" t="str">
        <f ca="1">IFERROR(__xludf.DUMMYFUNCTION("""COMPUTED_VALUE"""),"Mississauga, ON, CA")</f>
        <v>Mississauga, ON, CA</v>
      </c>
      <c r="U557" s="45"/>
      <c r="V557" s="45"/>
      <c r="W557" s="45"/>
      <c r="X557" s="45"/>
      <c r="Y557" s="46">
        <f ca="1">IFERROR(__xludf.DUMMYFUNCTION("""COMPUTED_VALUE"""),45832)</f>
        <v>45832</v>
      </c>
      <c r="Z557" s="46">
        <f ca="1">IFERROR(__xludf.DUMMYFUNCTION("""COMPUTED_VALUE"""),45861)</f>
        <v>45861</v>
      </c>
      <c r="AA557" s="46">
        <f ca="1">IFERROR(__xludf.DUMMYFUNCTION("""COMPUTED_VALUE"""),45874)</f>
        <v>45874</v>
      </c>
      <c r="AB557" s="45" t="str">
        <f ca="1">IFERROR(__xludf.DUMMYFUNCTION("""COMPUTED_VALUE"""),"3500 Argentia Road")</f>
        <v>3500 Argentia Road</v>
      </c>
      <c r="AC557" s="45"/>
      <c r="AD557" s="45" t="str">
        <f ca="1">IFERROR(__xludf.DUMMYFUNCTION("""COMPUTED_VALUE"""),"OCEAN")</f>
        <v>OCEAN</v>
      </c>
      <c r="AE557" s="45" t="str">
        <f ca="1">IFERROR(__xludf.DUMMYFUNCTION("""COMPUTED_VALUE"""),"N")</f>
        <v>N</v>
      </c>
      <c r="AF557" s="45"/>
      <c r="AG557" s="49" t="str">
        <f ca="1">IFERROR(__xludf.DUMMYFUNCTION("IFNA(vlookup(H557,IMPORTRANGE(""1vUGwO1n0QQGx9kKbO0_M5gmuhXZ6-LaxQxgrmJnzgP0"",""'TP# look up'!A:C""),3,0),"""")"),"")</f>
        <v/>
      </c>
      <c r="AH557" s="49" t="str">
        <f t="shared" ca="1" si="8"/>
        <v>LW</v>
      </c>
    </row>
    <row r="558" spans="1:34" ht="12.75">
      <c r="A558" s="45" t="str">
        <f ca="1">IFERROR(__xludf.DUMMYFUNCTION("""COMPUTED_VALUE"""),"Colombo")</f>
        <v>Colombo</v>
      </c>
      <c r="B558" s="45"/>
      <c r="C558" s="45">
        <f ca="1">IFERROR(__xludf.DUMMYFUNCTION("""COMPUTED_VALUE"""),3254508)</f>
        <v>3254508</v>
      </c>
      <c r="D558" s="45"/>
      <c r="E558" s="45" t="str">
        <f ca="1">IFERROR(__xludf.DUMMYFUNCTION("""COMPUTED_VALUE"""),"CFS")</f>
        <v>CFS</v>
      </c>
      <c r="F558" s="45" t="str">
        <f ca="1">IFERROR(__xludf.DUMMYFUNCTION("""COMPUTED_VALUE"""),"MAS AMITY PTE LTD")</f>
        <v>MAS AMITY PTE LTD</v>
      </c>
      <c r="G558" s="45" t="str">
        <f ca="1">IFERROR(__xludf.DUMMYFUNCTION("""COMPUTED_VALUE"""),"MAS Fabrics (Pvt) Ltd Intimo")</f>
        <v>MAS Fabrics (Pvt) Ltd Intimo</v>
      </c>
      <c r="H558" s="43">
        <f ca="1">IFERROR(__xludf.DUMMYFUNCTION("""COMPUTED_VALUE"""),454712198075)</f>
        <v>454712198075</v>
      </c>
      <c r="I558" s="45">
        <f ca="1">IFERROR(__xludf.DUMMYFUNCTION("""COMPUTED_VALUE"""),19920021)</f>
        <v>19920021</v>
      </c>
      <c r="J558" s="45" t="str">
        <f ca="1">IFERROR(__xludf.DUMMYFUNCTION("""COMPUTED_VALUE"""),"LW3JSOS")</f>
        <v>LW3JSOS</v>
      </c>
      <c r="K558" s="45" t="str">
        <f ca="1">IFERROR(__xludf.DUMMYFUNCTION("""COMPUTED_VALUE"""),"LW3JSOS-071211")</f>
        <v>LW3JSOS-071211</v>
      </c>
      <c r="L558" s="45">
        <f ca="1">IFERROR(__xludf.DUMMYFUNCTION("""COMPUTED_VALUE"""),5)</f>
        <v>5</v>
      </c>
      <c r="M558" s="45">
        <f ca="1">IFERROR(__xludf.DUMMYFUNCTION("""COMPUTED_VALUE"""),238)</f>
        <v>238</v>
      </c>
      <c r="N558" s="45">
        <f ca="1">IFERROR(__xludf.DUMMYFUNCTION("""COMPUTED_VALUE"""),37.635)</f>
        <v>37.634999999999998</v>
      </c>
      <c r="O558" s="45">
        <f ca="1">IFERROR(__xludf.DUMMYFUNCTION("""COMPUTED_VALUE"""),0.316)</f>
        <v>0.316</v>
      </c>
      <c r="P558" s="45" t="str">
        <f ca="1">IFERROR(__xludf.DUMMYFUNCTION("""COMPUTED_VALUE"""),"Colombo, LK")</f>
        <v>Colombo, LK</v>
      </c>
      <c r="Q558" s="45" t="str">
        <f ca="1">IFERROR(__xludf.DUMMYFUNCTION("""COMPUTED_VALUE"""),"New York, NY, US")</f>
        <v>New York, NY, US</v>
      </c>
      <c r="R558" s="44">
        <f ca="1">IFERROR(__xludf.DUMMYFUNCTION("""COMPUTED_VALUE"""),45824)</f>
        <v>45824</v>
      </c>
      <c r="S558" s="44">
        <f ca="1">IFERROR(__xludf.DUMMYFUNCTION("""COMPUTED_VALUE"""),45883)</f>
        <v>45883</v>
      </c>
      <c r="T558" s="45" t="str">
        <f ca="1">IFERROR(__xludf.DUMMYFUNCTION("""COMPUTED_VALUE"""),"Mississauga, ON, CA")</f>
        <v>Mississauga, ON, CA</v>
      </c>
      <c r="U558" s="45"/>
      <c r="V558" s="45"/>
      <c r="W558" s="45"/>
      <c r="X558" s="45"/>
      <c r="Y558" s="46">
        <f ca="1">IFERROR(__xludf.DUMMYFUNCTION("""COMPUTED_VALUE"""),45832)</f>
        <v>45832</v>
      </c>
      <c r="Z558" s="46">
        <f ca="1">IFERROR(__xludf.DUMMYFUNCTION("""COMPUTED_VALUE"""),45861)</f>
        <v>45861</v>
      </c>
      <c r="AA558" s="46">
        <f ca="1">IFERROR(__xludf.DUMMYFUNCTION("""COMPUTED_VALUE"""),45874)</f>
        <v>45874</v>
      </c>
      <c r="AB558" s="45" t="str">
        <f ca="1">IFERROR(__xludf.DUMMYFUNCTION("""COMPUTED_VALUE"""),"3500 Argentia Road")</f>
        <v>3500 Argentia Road</v>
      </c>
      <c r="AC558" s="45"/>
      <c r="AD558" s="45" t="str">
        <f ca="1">IFERROR(__xludf.DUMMYFUNCTION("""COMPUTED_VALUE"""),"OCEAN")</f>
        <v>OCEAN</v>
      </c>
      <c r="AE558" s="45" t="str">
        <f ca="1">IFERROR(__xludf.DUMMYFUNCTION("""COMPUTED_VALUE"""),"N")</f>
        <v>N</v>
      </c>
      <c r="AF558" s="45"/>
      <c r="AG558" s="49" t="str">
        <f ca="1">IFERROR(__xludf.DUMMYFUNCTION("IFNA(vlookup(H558,IMPORTRANGE(""1vUGwO1n0QQGx9kKbO0_M5gmuhXZ6-LaxQxgrmJnzgP0"",""'TP# look up'!A:C""),3,0),"""")"),"")</f>
        <v/>
      </c>
      <c r="AH558" s="49" t="str">
        <f t="shared" ca="1" si="8"/>
        <v>LW</v>
      </c>
    </row>
    <row r="559" spans="1:34" ht="12.75">
      <c r="A559" s="45" t="str">
        <f ca="1">IFERROR(__xludf.DUMMYFUNCTION("""COMPUTED_VALUE"""),"Colombo")</f>
        <v>Colombo</v>
      </c>
      <c r="B559" s="45"/>
      <c r="C559" s="45">
        <f ca="1">IFERROR(__xludf.DUMMYFUNCTION("""COMPUTED_VALUE"""),3254508)</f>
        <v>3254508</v>
      </c>
      <c r="D559" s="45"/>
      <c r="E559" s="45" t="str">
        <f ca="1">IFERROR(__xludf.DUMMYFUNCTION("""COMPUTED_VALUE"""),"CFS")</f>
        <v>CFS</v>
      </c>
      <c r="F559" s="45" t="str">
        <f ca="1">IFERROR(__xludf.DUMMYFUNCTION("""COMPUTED_VALUE"""),"MAS AMITY PTE LTD")</f>
        <v>MAS AMITY PTE LTD</v>
      </c>
      <c r="G559" s="45" t="str">
        <f ca="1">IFERROR(__xludf.DUMMYFUNCTION("""COMPUTED_VALUE"""),"MAS Fabrics (Pvt) Ltd Intimo")</f>
        <v>MAS Fabrics (Pvt) Ltd Intimo</v>
      </c>
      <c r="H559" s="43">
        <f ca="1">IFERROR(__xludf.DUMMYFUNCTION("""COMPUTED_VALUE"""),454712670472)</f>
        <v>454712670472</v>
      </c>
      <c r="I559" s="45">
        <f ca="1">IFERROR(__xludf.DUMMYFUNCTION("""COMPUTED_VALUE"""),19920029)</f>
        <v>19920029</v>
      </c>
      <c r="J559" s="45" t="str">
        <f ca="1">IFERROR(__xludf.DUMMYFUNCTION("""COMPUTED_VALUE"""),"LM3FG2S")</f>
        <v>LM3FG2S</v>
      </c>
      <c r="K559" s="45" t="str">
        <f ca="1">IFERROR(__xludf.DUMMYFUNCTION("""COMPUTED_VALUE"""),"LM3FG2S-070561")</f>
        <v>LM3FG2S-070561</v>
      </c>
      <c r="L559" s="45">
        <f ca="1">IFERROR(__xludf.DUMMYFUNCTION("""COMPUTED_VALUE"""),3)</f>
        <v>3</v>
      </c>
      <c r="M559" s="45">
        <f ca="1">IFERROR(__xludf.DUMMYFUNCTION("""COMPUTED_VALUE"""),104)</f>
        <v>104</v>
      </c>
      <c r="N559" s="45">
        <f ca="1">IFERROR(__xludf.DUMMYFUNCTION("""COMPUTED_VALUE"""),18.576)</f>
        <v>18.576000000000001</v>
      </c>
      <c r="O559" s="45">
        <f ca="1">IFERROR(__xludf.DUMMYFUNCTION("""COMPUTED_VALUE"""),0.158)</f>
        <v>0.158</v>
      </c>
      <c r="P559" s="45" t="str">
        <f ca="1">IFERROR(__xludf.DUMMYFUNCTION("""COMPUTED_VALUE"""),"Colombo, LK")</f>
        <v>Colombo, LK</v>
      </c>
      <c r="Q559" s="45" t="str">
        <f ca="1">IFERROR(__xludf.DUMMYFUNCTION("""COMPUTED_VALUE"""),"New York, NY, US")</f>
        <v>New York, NY, US</v>
      </c>
      <c r="R559" s="44">
        <f ca="1">IFERROR(__xludf.DUMMYFUNCTION("""COMPUTED_VALUE"""),45824)</f>
        <v>45824</v>
      </c>
      <c r="S559" s="44">
        <f ca="1">IFERROR(__xludf.DUMMYFUNCTION("""COMPUTED_VALUE"""),45883)</f>
        <v>45883</v>
      </c>
      <c r="T559" s="45" t="str">
        <f ca="1">IFERROR(__xludf.DUMMYFUNCTION("""COMPUTED_VALUE"""),"Mississauga, ON, CA")</f>
        <v>Mississauga, ON, CA</v>
      </c>
      <c r="U559" s="45"/>
      <c r="V559" s="45"/>
      <c r="W559" s="45"/>
      <c r="X559" s="45"/>
      <c r="Y559" s="46">
        <f ca="1">IFERROR(__xludf.DUMMYFUNCTION("""COMPUTED_VALUE"""),45832)</f>
        <v>45832</v>
      </c>
      <c r="Z559" s="46">
        <f ca="1">IFERROR(__xludf.DUMMYFUNCTION("""COMPUTED_VALUE"""),45861)</f>
        <v>45861</v>
      </c>
      <c r="AA559" s="46">
        <f ca="1">IFERROR(__xludf.DUMMYFUNCTION("""COMPUTED_VALUE"""),45874)</f>
        <v>45874</v>
      </c>
      <c r="AB559" s="45" t="str">
        <f ca="1">IFERROR(__xludf.DUMMYFUNCTION("""COMPUTED_VALUE"""),"3500 Argentia Road")</f>
        <v>3500 Argentia Road</v>
      </c>
      <c r="AC559" s="45"/>
      <c r="AD559" s="45" t="str">
        <f ca="1">IFERROR(__xludf.DUMMYFUNCTION("""COMPUTED_VALUE"""),"OCEAN")</f>
        <v>OCEAN</v>
      </c>
      <c r="AE559" s="45" t="str">
        <f ca="1">IFERROR(__xludf.DUMMYFUNCTION("""COMPUTED_VALUE"""),"N")</f>
        <v>N</v>
      </c>
      <c r="AF559" s="45"/>
      <c r="AG559" s="49" t="str">
        <f ca="1">IFERROR(__xludf.DUMMYFUNCTION("IFNA(vlookup(H559,IMPORTRANGE(""1vUGwO1n0QQGx9kKbO0_M5gmuhXZ6-LaxQxgrmJnzgP0"",""'TP# look up'!A:C""),3,0),"""")"),"")</f>
        <v/>
      </c>
      <c r="AH559" s="49" t="str">
        <f t="shared" ca="1" si="8"/>
        <v>LM</v>
      </c>
    </row>
    <row r="560" spans="1:34" ht="12.75">
      <c r="A560" s="45" t="str">
        <f ca="1">IFERROR(__xludf.DUMMYFUNCTION("""COMPUTED_VALUE"""),"Colombo")</f>
        <v>Colombo</v>
      </c>
      <c r="B560" s="45"/>
      <c r="C560" s="45">
        <f ca="1">IFERROR(__xludf.DUMMYFUNCTION("""COMPUTED_VALUE"""),3254508)</f>
        <v>3254508</v>
      </c>
      <c r="D560" s="45"/>
      <c r="E560" s="45" t="str">
        <f ca="1">IFERROR(__xludf.DUMMYFUNCTION("""COMPUTED_VALUE"""),"CFS")</f>
        <v>CFS</v>
      </c>
      <c r="F560" s="45" t="str">
        <f ca="1">IFERROR(__xludf.DUMMYFUNCTION("""COMPUTED_VALUE"""),"MAS AMITY PTE LTD")</f>
        <v>MAS AMITY PTE LTD</v>
      </c>
      <c r="G560" s="45" t="str">
        <f ca="1">IFERROR(__xludf.DUMMYFUNCTION("""COMPUTED_VALUE"""),"MAS Fabrics (Pvt) Ltd Intimo")</f>
        <v>MAS Fabrics (Pvt) Ltd Intimo</v>
      </c>
      <c r="H560" s="43">
        <f ca="1">IFERROR(__xludf.DUMMYFUNCTION("""COMPUTED_VALUE"""),454712851437)</f>
        <v>454712851437</v>
      </c>
      <c r="I560" s="45">
        <f ca="1">IFERROR(__xludf.DUMMYFUNCTION("""COMPUTED_VALUE"""),19920060)</f>
        <v>19920060</v>
      </c>
      <c r="J560" s="45" t="str">
        <f ca="1">IFERROR(__xludf.DUMMYFUNCTION("""COMPUTED_VALUE"""),"LW3GH4S")</f>
        <v>LW3GH4S</v>
      </c>
      <c r="K560" s="45" t="str">
        <f ca="1">IFERROR(__xludf.DUMMYFUNCTION("""COMPUTED_VALUE"""),"LW3GH4S-012826")</f>
        <v>LW3GH4S-012826</v>
      </c>
      <c r="L560" s="45">
        <f ca="1">IFERROR(__xludf.DUMMYFUNCTION("""COMPUTED_VALUE"""),4)</f>
        <v>4</v>
      </c>
      <c r="M560" s="45">
        <f ca="1">IFERROR(__xludf.DUMMYFUNCTION("""COMPUTED_VALUE"""),230)</f>
        <v>230</v>
      </c>
      <c r="N560" s="45">
        <f ca="1">IFERROR(__xludf.DUMMYFUNCTION("""COMPUTED_VALUE"""),30.255)</f>
        <v>30.254999999999999</v>
      </c>
      <c r="O560" s="45">
        <f ca="1">IFERROR(__xludf.DUMMYFUNCTION("""COMPUTED_VALUE"""),0.276)</f>
        <v>0.27600000000000002</v>
      </c>
      <c r="P560" s="45" t="str">
        <f ca="1">IFERROR(__xludf.DUMMYFUNCTION("""COMPUTED_VALUE"""),"Colombo, LK")</f>
        <v>Colombo, LK</v>
      </c>
      <c r="Q560" s="45" t="str">
        <f ca="1">IFERROR(__xludf.DUMMYFUNCTION("""COMPUTED_VALUE"""),"New York, NY, US")</f>
        <v>New York, NY, US</v>
      </c>
      <c r="R560" s="44">
        <f ca="1">IFERROR(__xludf.DUMMYFUNCTION("""COMPUTED_VALUE"""),45824)</f>
        <v>45824</v>
      </c>
      <c r="S560" s="44">
        <f ca="1">IFERROR(__xludf.DUMMYFUNCTION("""COMPUTED_VALUE"""),45883)</f>
        <v>45883</v>
      </c>
      <c r="T560" s="45" t="str">
        <f ca="1">IFERROR(__xludf.DUMMYFUNCTION("""COMPUTED_VALUE"""),"Mississauga, ON, CA")</f>
        <v>Mississauga, ON, CA</v>
      </c>
      <c r="U560" s="45"/>
      <c r="V560" s="45"/>
      <c r="W560" s="45"/>
      <c r="X560" s="45"/>
      <c r="Y560" s="46">
        <f ca="1">IFERROR(__xludf.DUMMYFUNCTION("""COMPUTED_VALUE"""),45832)</f>
        <v>45832</v>
      </c>
      <c r="Z560" s="46">
        <f ca="1">IFERROR(__xludf.DUMMYFUNCTION("""COMPUTED_VALUE"""),45861)</f>
        <v>45861</v>
      </c>
      <c r="AA560" s="46">
        <f ca="1">IFERROR(__xludf.DUMMYFUNCTION("""COMPUTED_VALUE"""),45874)</f>
        <v>45874</v>
      </c>
      <c r="AB560" s="45" t="str">
        <f ca="1">IFERROR(__xludf.DUMMYFUNCTION("""COMPUTED_VALUE"""),"3500 Argentia Road")</f>
        <v>3500 Argentia Road</v>
      </c>
      <c r="AC560" s="45"/>
      <c r="AD560" s="45" t="str">
        <f ca="1">IFERROR(__xludf.DUMMYFUNCTION("""COMPUTED_VALUE"""),"OCEAN")</f>
        <v>OCEAN</v>
      </c>
      <c r="AE560" s="45" t="str">
        <f ca="1">IFERROR(__xludf.DUMMYFUNCTION("""COMPUTED_VALUE"""),"N")</f>
        <v>N</v>
      </c>
      <c r="AF560" s="45"/>
      <c r="AG560" s="49" t="str">
        <f ca="1">IFERROR(__xludf.DUMMYFUNCTION("IFNA(vlookup(H560,IMPORTRANGE(""1vUGwO1n0QQGx9kKbO0_M5gmuhXZ6-LaxQxgrmJnzgP0"",""'TP# look up'!A:C""),3,0),"""")"),"")</f>
        <v/>
      </c>
      <c r="AH560" s="49" t="str">
        <f t="shared" ca="1" si="8"/>
        <v>LW</v>
      </c>
    </row>
    <row r="561" spans="1:34" ht="12.75">
      <c r="A561" s="45" t="str">
        <f ca="1">IFERROR(__xludf.DUMMYFUNCTION("""COMPUTED_VALUE"""),"Colombo")</f>
        <v>Colombo</v>
      </c>
      <c r="B561" s="45"/>
      <c r="C561" s="45">
        <f ca="1">IFERROR(__xludf.DUMMYFUNCTION("""COMPUTED_VALUE"""),3254508)</f>
        <v>3254508</v>
      </c>
      <c r="D561" s="45"/>
      <c r="E561" s="45" t="str">
        <f ca="1">IFERROR(__xludf.DUMMYFUNCTION("""COMPUTED_VALUE"""),"CFS")</f>
        <v>CFS</v>
      </c>
      <c r="F561" s="45" t="str">
        <f ca="1">IFERROR(__xludf.DUMMYFUNCTION("""COMPUTED_VALUE"""),"MAS AMITY PTE LTD")</f>
        <v>MAS AMITY PTE LTD</v>
      </c>
      <c r="G561" s="45" t="str">
        <f ca="1">IFERROR(__xludf.DUMMYFUNCTION("""COMPUTED_VALUE"""),"MAS Fabrics (Pvt) Ltd Intimo")</f>
        <v>MAS Fabrics (Pvt) Ltd Intimo</v>
      </c>
      <c r="H561" s="43">
        <f ca="1">IFERROR(__xludf.DUMMYFUNCTION("""COMPUTED_VALUE"""),454713043181)</f>
        <v>454713043181</v>
      </c>
      <c r="I561" s="45">
        <f ca="1">IFERROR(__xludf.DUMMYFUNCTION("""COMPUTED_VALUE"""),19920073)</f>
        <v>19920073</v>
      </c>
      <c r="J561" s="45" t="str">
        <f ca="1">IFERROR(__xludf.DUMMYFUNCTION("""COMPUTED_VALUE"""),"LW3GZHS")</f>
        <v>LW3GZHS</v>
      </c>
      <c r="K561" s="45" t="str">
        <f ca="1">IFERROR(__xludf.DUMMYFUNCTION("""COMPUTED_VALUE"""),"LW3GZHS-012826")</f>
        <v>LW3GZHS-012826</v>
      </c>
      <c r="L561" s="45">
        <f ca="1">IFERROR(__xludf.DUMMYFUNCTION("""COMPUTED_VALUE"""),3)</f>
        <v>3</v>
      </c>
      <c r="M561" s="45">
        <f ca="1">IFERROR(__xludf.DUMMYFUNCTION("""COMPUTED_VALUE"""),181)</f>
        <v>181</v>
      </c>
      <c r="N561" s="45">
        <f ca="1">IFERROR(__xludf.DUMMYFUNCTION("""COMPUTED_VALUE"""),15.41)</f>
        <v>15.41</v>
      </c>
      <c r="O561" s="45">
        <f ca="1">IFERROR(__xludf.DUMMYFUNCTION("""COMPUTED_VALUE"""),0.158)</f>
        <v>0.158</v>
      </c>
      <c r="P561" s="45" t="str">
        <f ca="1">IFERROR(__xludf.DUMMYFUNCTION("""COMPUTED_VALUE"""),"Colombo, LK")</f>
        <v>Colombo, LK</v>
      </c>
      <c r="Q561" s="45" t="str">
        <f ca="1">IFERROR(__xludf.DUMMYFUNCTION("""COMPUTED_VALUE"""),"New York, NY, US")</f>
        <v>New York, NY, US</v>
      </c>
      <c r="R561" s="44">
        <f ca="1">IFERROR(__xludf.DUMMYFUNCTION("""COMPUTED_VALUE"""),45824)</f>
        <v>45824</v>
      </c>
      <c r="S561" s="44">
        <f ca="1">IFERROR(__xludf.DUMMYFUNCTION("""COMPUTED_VALUE"""),45883)</f>
        <v>45883</v>
      </c>
      <c r="T561" s="45" t="str">
        <f ca="1">IFERROR(__xludf.DUMMYFUNCTION("""COMPUTED_VALUE"""),"Mississauga, ON, CA")</f>
        <v>Mississauga, ON, CA</v>
      </c>
      <c r="U561" s="45"/>
      <c r="V561" s="45"/>
      <c r="W561" s="45"/>
      <c r="X561" s="45"/>
      <c r="Y561" s="46">
        <f ca="1">IFERROR(__xludf.DUMMYFUNCTION("""COMPUTED_VALUE"""),45832)</f>
        <v>45832</v>
      </c>
      <c r="Z561" s="46">
        <f ca="1">IFERROR(__xludf.DUMMYFUNCTION("""COMPUTED_VALUE"""),45861)</f>
        <v>45861</v>
      </c>
      <c r="AA561" s="46">
        <f ca="1">IFERROR(__xludf.DUMMYFUNCTION("""COMPUTED_VALUE"""),45874)</f>
        <v>45874</v>
      </c>
      <c r="AB561" s="45" t="str">
        <f ca="1">IFERROR(__xludf.DUMMYFUNCTION("""COMPUTED_VALUE"""),"3500 Argentia Road")</f>
        <v>3500 Argentia Road</v>
      </c>
      <c r="AC561" s="45"/>
      <c r="AD561" s="45" t="str">
        <f ca="1">IFERROR(__xludf.DUMMYFUNCTION("""COMPUTED_VALUE"""),"OCEAN")</f>
        <v>OCEAN</v>
      </c>
      <c r="AE561" s="45" t="str">
        <f ca="1">IFERROR(__xludf.DUMMYFUNCTION("""COMPUTED_VALUE"""),"N")</f>
        <v>N</v>
      </c>
      <c r="AF561" s="45"/>
      <c r="AG561" s="49" t="str">
        <f ca="1">IFERROR(__xludf.DUMMYFUNCTION("IFNA(vlookup(H561,IMPORTRANGE(""1vUGwO1n0QQGx9kKbO0_M5gmuhXZ6-LaxQxgrmJnzgP0"",""'TP# look up'!A:C""),3,0),"""")"),"")</f>
        <v/>
      </c>
      <c r="AH561" s="49" t="str">
        <f t="shared" ca="1" si="8"/>
        <v>LW</v>
      </c>
    </row>
    <row r="562" spans="1:34" ht="12.75">
      <c r="A562" s="45" t="str">
        <f ca="1">IFERROR(__xludf.DUMMYFUNCTION("""COMPUTED_VALUE"""),"Colombo")</f>
        <v>Colombo</v>
      </c>
      <c r="B562" s="45"/>
      <c r="C562" s="45">
        <f ca="1">IFERROR(__xludf.DUMMYFUNCTION("""COMPUTED_VALUE"""),3254508)</f>
        <v>3254508</v>
      </c>
      <c r="D562" s="45"/>
      <c r="E562" s="45" t="str">
        <f ca="1">IFERROR(__xludf.DUMMYFUNCTION("""COMPUTED_VALUE"""),"CFS")</f>
        <v>CFS</v>
      </c>
      <c r="F562" s="45" t="str">
        <f ca="1">IFERROR(__xludf.DUMMYFUNCTION("""COMPUTED_VALUE"""),"MAS AMITY PTE LTD")</f>
        <v>MAS AMITY PTE LTD</v>
      </c>
      <c r="G562" s="45" t="str">
        <f ca="1">IFERROR(__xludf.DUMMYFUNCTION("""COMPUTED_VALUE"""),"MAS Fabrics (Pvt) Ltd Intimo")</f>
        <v>MAS Fabrics (Pvt) Ltd Intimo</v>
      </c>
      <c r="H562" s="43">
        <f ca="1">IFERROR(__xludf.DUMMYFUNCTION("""COMPUTED_VALUE"""),454713073528)</f>
        <v>454713073528</v>
      </c>
      <c r="I562" s="45">
        <f ca="1">IFERROR(__xludf.DUMMYFUNCTION("""COMPUTED_VALUE"""),19920096)</f>
        <v>19920096</v>
      </c>
      <c r="J562" s="45" t="str">
        <f ca="1">IFERROR(__xludf.DUMMYFUNCTION("""COMPUTED_VALUE"""),"LW3JE8S")</f>
        <v>LW3JE8S</v>
      </c>
      <c r="K562" s="45" t="str">
        <f ca="1">IFERROR(__xludf.DUMMYFUNCTION("""COMPUTED_VALUE"""),"LW3JE8S-4780")</f>
        <v>LW3JE8S-4780</v>
      </c>
      <c r="L562" s="45">
        <f ca="1">IFERROR(__xludf.DUMMYFUNCTION("""COMPUTED_VALUE"""),15)</f>
        <v>15</v>
      </c>
      <c r="M562" s="45">
        <f ca="1">IFERROR(__xludf.DUMMYFUNCTION("""COMPUTED_VALUE"""),824)</f>
        <v>824</v>
      </c>
      <c r="N562" s="45">
        <f ca="1">IFERROR(__xludf.DUMMYFUNCTION("""COMPUTED_VALUE"""),161.308)</f>
        <v>161.30799999999999</v>
      </c>
      <c r="O562" s="45">
        <f ca="1">IFERROR(__xludf.DUMMYFUNCTION("""COMPUTED_VALUE"""),1.145)</f>
        <v>1.145</v>
      </c>
      <c r="P562" s="45" t="str">
        <f ca="1">IFERROR(__xludf.DUMMYFUNCTION("""COMPUTED_VALUE"""),"Colombo, LK")</f>
        <v>Colombo, LK</v>
      </c>
      <c r="Q562" s="45" t="str">
        <f ca="1">IFERROR(__xludf.DUMMYFUNCTION("""COMPUTED_VALUE"""),"New York, NY, US")</f>
        <v>New York, NY, US</v>
      </c>
      <c r="R562" s="44">
        <f ca="1">IFERROR(__xludf.DUMMYFUNCTION("""COMPUTED_VALUE"""),45824)</f>
        <v>45824</v>
      </c>
      <c r="S562" s="44">
        <f ca="1">IFERROR(__xludf.DUMMYFUNCTION("""COMPUTED_VALUE"""),45883)</f>
        <v>45883</v>
      </c>
      <c r="T562" s="45" t="str">
        <f ca="1">IFERROR(__xludf.DUMMYFUNCTION("""COMPUTED_VALUE"""),"Mississauga, ON, CA")</f>
        <v>Mississauga, ON, CA</v>
      </c>
      <c r="U562" s="45"/>
      <c r="V562" s="45"/>
      <c r="W562" s="45"/>
      <c r="X562" s="45"/>
      <c r="Y562" s="46">
        <f ca="1">IFERROR(__xludf.DUMMYFUNCTION("""COMPUTED_VALUE"""),45832)</f>
        <v>45832</v>
      </c>
      <c r="Z562" s="46">
        <f ca="1">IFERROR(__xludf.DUMMYFUNCTION("""COMPUTED_VALUE"""),45861)</f>
        <v>45861</v>
      </c>
      <c r="AA562" s="46">
        <f ca="1">IFERROR(__xludf.DUMMYFUNCTION("""COMPUTED_VALUE"""),45874)</f>
        <v>45874</v>
      </c>
      <c r="AB562" s="45" t="str">
        <f ca="1">IFERROR(__xludf.DUMMYFUNCTION("""COMPUTED_VALUE"""),"3500 Argentia Road")</f>
        <v>3500 Argentia Road</v>
      </c>
      <c r="AC562" s="45"/>
      <c r="AD562" s="45" t="str">
        <f ca="1">IFERROR(__xludf.DUMMYFUNCTION("""COMPUTED_VALUE"""),"OCEAN")</f>
        <v>OCEAN</v>
      </c>
      <c r="AE562" s="45" t="str">
        <f ca="1">IFERROR(__xludf.DUMMYFUNCTION("""COMPUTED_VALUE"""),"N")</f>
        <v>N</v>
      </c>
      <c r="AF562" s="45"/>
      <c r="AG562" s="49" t="str">
        <f ca="1">IFERROR(__xludf.DUMMYFUNCTION("IFNA(vlookup(H562,IMPORTRANGE(""1vUGwO1n0QQGx9kKbO0_M5gmuhXZ6-LaxQxgrmJnzgP0"",""'TP# look up'!A:C""),3,0),"""")"),"")</f>
        <v/>
      </c>
      <c r="AH562" s="49" t="str">
        <f t="shared" ca="1" si="8"/>
        <v>LW</v>
      </c>
    </row>
    <row r="563" spans="1:34" ht="12.75">
      <c r="A563" s="45" t="str">
        <f ca="1">IFERROR(__xludf.DUMMYFUNCTION("""COMPUTED_VALUE"""),"Colombo")</f>
        <v>Colombo</v>
      </c>
      <c r="B563" s="45"/>
      <c r="C563" s="45">
        <f ca="1">IFERROR(__xludf.DUMMYFUNCTION("""COMPUTED_VALUE"""),3254508)</f>
        <v>3254508</v>
      </c>
      <c r="D563" s="45"/>
      <c r="E563" s="45" t="str">
        <f ca="1">IFERROR(__xludf.DUMMYFUNCTION("""COMPUTED_VALUE"""),"CFS")</f>
        <v>CFS</v>
      </c>
      <c r="F563" s="45" t="str">
        <f ca="1">IFERROR(__xludf.DUMMYFUNCTION("""COMPUTED_VALUE"""),"MAS AMITY PTE LTD")</f>
        <v>MAS AMITY PTE LTD</v>
      </c>
      <c r="G563" s="45" t="str">
        <f ca="1">IFERROR(__xludf.DUMMYFUNCTION("""COMPUTED_VALUE"""),"MAS Fabrics (Pvt) Ltd Intimo")</f>
        <v>MAS Fabrics (Pvt) Ltd Intimo</v>
      </c>
      <c r="H563" s="43">
        <f ca="1">IFERROR(__xludf.DUMMYFUNCTION("""COMPUTED_VALUE"""),454713416339)</f>
        <v>454713416339</v>
      </c>
      <c r="I563" s="45">
        <f ca="1">IFERROR(__xludf.DUMMYFUNCTION("""COMPUTED_VALUE"""),19920180)</f>
        <v>19920180</v>
      </c>
      <c r="J563" s="45" t="str">
        <f ca="1">IFERROR(__xludf.DUMMYFUNCTION("""COMPUTED_VALUE"""),"LM3FG2S")</f>
        <v>LM3FG2S</v>
      </c>
      <c r="K563" s="45" t="str">
        <f ca="1">IFERROR(__xludf.DUMMYFUNCTION("""COMPUTED_VALUE"""),"LM3FG2S-070561")</f>
        <v>LM3FG2S-070561</v>
      </c>
      <c r="L563" s="45">
        <f ca="1">IFERROR(__xludf.DUMMYFUNCTION("""COMPUTED_VALUE"""),7)</f>
        <v>7</v>
      </c>
      <c r="M563" s="45">
        <f ca="1">IFERROR(__xludf.DUMMYFUNCTION("""COMPUTED_VALUE"""),461)</f>
        <v>461</v>
      </c>
      <c r="N563" s="45">
        <f ca="1">IFERROR(__xludf.DUMMYFUNCTION("""COMPUTED_VALUE"""),78.593)</f>
        <v>78.593000000000004</v>
      </c>
      <c r="O563" s="45">
        <f ca="1">IFERROR(__xludf.DUMMYFUNCTION("""COMPUTED_VALUE"""),0.513)</f>
        <v>0.51300000000000001</v>
      </c>
      <c r="P563" s="45" t="str">
        <f ca="1">IFERROR(__xludf.DUMMYFUNCTION("""COMPUTED_VALUE"""),"Colombo, LK")</f>
        <v>Colombo, LK</v>
      </c>
      <c r="Q563" s="45" t="str">
        <f ca="1">IFERROR(__xludf.DUMMYFUNCTION("""COMPUTED_VALUE"""),"New York, NY, US")</f>
        <v>New York, NY, US</v>
      </c>
      <c r="R563" s="44">
        <f ca="1">IFERROR(__xludf.DUMMYFUNCTION("""COMPUTED_VALUE"""),45824)</f>
        <v>45824</v>
      </c>
      <c r="S563" s="44">
        <f ca="1">IFERROR(__xludf.DUMMYFUNCTION("""COMPUTED_VALUE"""),45883)</f>
        <v>45883</v>
      </c>
      <c r="T563" s="45" t="str">
        <f ca="1">IFERROR(__xludf.DUMMYFUNCTION("""COMPUTED_VALUE"""),"Mississauga, ON, CA")</f>
        <v>Mississauga, ON, CA</v>
      </c>
      <c r="U563" s="45"/>
      <c r="V563" s="45"/>
      <c r="W563" s="45"/>
      <c r="X563" s="45"/>
      <c r="Y563" s="46">
        <f ca="1">IFERROR(__xludf.DUMMYFUNCTION("""COMPUTED_VALUE"""),45832)</f>
        <v>45832</v>
      </c>
      <c r="Z563" s="46">
        <f ca="1">IFERROR(__xludf.DUMMYFUNCTION("""COMPUTED_VALUE"""),45861)</f>
        <v>45861</v>
      </c>
      <c r="AA563" s="46">
        <f ca="1">IFERROR(__xludf.DUMMYFUNCTION("""COMPUTED_VALUE"""),45874)</f>
        <v>45874</v>
      </c>
      <c r="AB563" s="45" t="str">
        <f ca="1">IFERROR(__xludf.DUMMYFUNCTION("""COMPUTED_VALUE"""),"3500 Argentia Road")</f>
        <v>3500 Argentia Road</v>
      </c>
      <c r="AC563" s="45"/>
      <c r="AD563" s="45" t="str">
        <f ca="1">IFERROR(__xludf.DUMMYFUNCTION("""COMPUTED_VALUE"""),"OCEAN")</f>
        <v>OCEAN</v>
      </c>
      <c r="AE563" s="45" t="str">
        <f ca="1">IFERROR(__xludf.DUMMYFUNCTION("""COMPUTED_VALUE"""),"N")</f>
        <v>N</v>
      </c>
      <c r="AF563" s="45"/>
      <c r="AG563" s="49" t="str">
        <f ca="1">IFERROR(__xludf.DUMMYFUNCTION("IFNA(vlookup(H563,IMPORTRANGE(""1vUGwO1n0QQGx9kKbO0_M5gmuhXZ6-LaxQxgrmJnzgP0"",""'TP# look up'!A:C""),3,0),"""")"),"")</f>
        <v/>
      </c>
      <c r="AH563" s="49" t="str">
        <f t="shared" ca="1" si="8"/>
        <v>LM</v>
      </c>
    </row>
    <row r="564" spans="1:34" ht="12.75">
      <c r="A564" s="45" t="str">
        <f ca="1">IFERROR(__xludf.DUMMYFUNCTION("""COMPUTED_VALUE"""),"Colombo")</f>
        <v>Colombo</v>
      </c>
      <c r="B564" s="45"/>
      <c r="C564" s="45">
        <f ca="1">IFERROR(__xludf.DUMMYFUNCTION("""COMPUTED_VALUE"""),3254508)</f>
        <v>3254508</v>
      </c>
      <c r="D564" s="45"/>
      <c r="E564" s="45" t="str">
        <f ca="1">IFERROR(__xludf.DUMMYFUNCTION("""COMPUTED_VALUE"""),"CFS")</f>
        <v>CFS</v>
      </c>
      <c r="F564" s="45" t="str">
        <f ca="1">IFERROR(__xludf.DUMMYFUNCTION("""COMPUTED_VALUE"""),"MAS AMITY PTE LTD")</f>
        <v>MAS AMITY PTE LTD</v>
      </c>
      <c r="G564" s="45" t="str">
        <f ca="1">IFERROR(__xludf.DUMMYFUNCTION("""COMPUTED_VALUE"""),"MAS Fabrics (Pvt) Ltd Intimo")</f>
        <v>MAS Fabrics (Pvt) Ltd Intimo</v>
      </c>
      <c r="H564" s="43">
        <f ca="1">IFERROR(__xludf.DUMMYFUNCTION("""COMPUTED_VALUE"""),454713717867)</f>
        <v>454713717867</v>
      </c>
      <c r="I564" s="45">
        <f ca="1">IFERROR(__xludf.DUMMYFUNCTION("""COMPUTED_VALUE"""),19920157)</f>
        <v>19920157</v>
      </c>
      <c r="J564" s="45" t="str">
        <f ca="1">IFERROR(__xludf.DUMMYFUNCTION("""COMPUTED_VALUE"""),"LM3FG2S")</f>
        <v>LM3FG2S</v>
      </c>
      <c r="K564" s="45" t="str">
        <f ca="1">IFERROR(__xludf.DUMMYFUNCTION("""COMPUTED_VALUE"""),"LM3FG2S-071162")</f>
        <v>LM3FG2S-071162</v>
      </c>
      <c r="L564" s="45">
        <f ca="1">IFERROR(__xludf.DUMMYFUNCTION("""COMPUTED_VALUE"""),7)</f>
        <v>7</v>
      </c>
      <c r="M564" s="45">
        <f ca="1">IFERROR(__xludf.DUMMYFUNCTION("""COMPUTED_VALUE"""),417)</f>
        <v>417</v>
      </c>
      <c r="N564" s="45">
        <f ca="1">IFERROR(__xludf.DUMMYFUNCTION("""COMPUTED_VALUE"""),71.504)</f>
        <v>71.504000000000005</v>
      </c>
      <c r="O564" s="45">
        <f ca="1">IFERROR(__xludf.DUMMYFUNCTION("""COMPUTED_VALUE"""),0.474)</f>
        <v>0.47399999999999998</v>
      </c>
      <c r="P564" s="45" t="str">
        <f ca="1">IFERROR(__xludf.DUMMYFUNCTION("""COMPUTED_VALUE"""),"Colombo, LK")</f>
        <v>Colombo, LK</v>
      </c>
      <c r="Q564" s="45" t="str">
        <f ca="1">IFERROR(__xludf.DUMMYFUNCTION("""COMPUTED_VALUE"""),"New York, NY, US")</f>
        <v>New York, NY, US</v>
      </c>
      <c r="R564" s="44">
        <f ca="1">IFERROR(__xludf.DUMMYFUNCTION("""COMPUTED_VALUE"""),45824)</f>
        <v>45824</v>
      </c>
      <c r="S564" s="44">
        <f ca="1">IFERROR(__xludf.DUMMYFUNCTION("""COMPUTED_VALUE"""),45883)</f>
        <v>45883</v>
      </c>
      <c r="T564" s="45" t="str">
        <f ca="1">IFERROR(__xludf.DUMMYFUNCTION("""COMPUTED_VALUE"""),"Mississauga, ON, CA")</f>
        <v>Mississauga, ON, CA</v>
      </c>
      <c r="U564" s="45"/>
      <c r="V564" s="45"/>
      <c r="W564" s="45"/>
      <c r="X564" s="45"/>
      <c r="Y564" s="46">
        <f ca="1">IFERROR(__xludf.DUMMYFUNCTION("""COMPUTED_VALUE"""),45832)</f>
        <v>45832</v>
      </c>
      <c r="Z564" s="46">
        <f ca="1">IFERROR(__xludf.DUMMYFUNCTION("""COMPUTED_VALUE"""),45861)</f>
        <v>45861</v>
      </c>
      <c r="AA564" s="46">
        <f ca="1">IFERROR(__xludf.DUMMYFUNCTION("""COMPUTED_VALUE"""),45874)</f>
        <v>45874</v>
      </c>
      <c r="AB564" s="45" t="str">
        <f ca="1">IFERROR(__xludf.DUMMYFUNCTION("""COMPUTED_VALUE"""),"3500 Argentia Road")</f>
        <v>3500 Argentia Road</v>
      </c>
      <c r="AC564" s="45"/>
      <c r="AD564" s="45" t="str">
        <f ca="1">IFERROR(__xludf.DUMMYFUNCTION("""COMPUTED_VALUE"""),"OCEAN")</f>
        <v>OCEAN</v>
      </c>
      <c r="AE564" s="45" t="str">
        <f ca="1">IFERROR(__xludf.DUMMYFUNCTION("""COMPUTED_VALUE"""),"N")</f>
        <v>N</v>
      </c>
      <c r="AF564" s="45"/>
      <c r="AG564" s="49" t="str">
        <f ca="1">IFERROR(__xludf.DUMMYFUNCTION("IFNA(vlookup(H564,IMPORTRANGE(""1vUGwO1n0QQGx9kKbO0_M5gmuhXZ6-LaxQxgrmJnzgP0"",""'TP# look up'!A:C""),3,0),"""")"),"")</f>
        <v/>
      </c>
      <c r="AH564" s="49" t="str">
        <f t="shared" ca="1" si="8"/>
        <v>LM</v>
      </c>
    </row>
    <row r="565" spans="1:34" ht="12.75">
      <c r="A565" s="45" t="str">
        <f ca="1">IFERROR(__xludf.DUMMYFUNCTION("""COMPUTED_VALUE"""),"Colombo")</f>
        <v>Colombo</v>
      </c>
      <c r="B565" s="45"/>
      <c r="C565" s="45">
        <f ca="1">IFERROR(__xludf.DUMMYFUNCTION("""COMPUTED_VALUE"""),3254508)</f>
        <v>3254508</v>
      </c>
      <c r="D565" s="45"/>
      <c r="E565" s="45" t="str">
        <f ca="1">IFERROR(__xludf.DUMMYFUNCTION("""COMPUTED_VALUE"""),"CFS")</f>
        <v>CFS</v>
      </c>
      <c r="F565" s="45" t="str">
        <f ca="1">IFERROR(__xludf.DUMMYFUNCTION("""COMPUTED_VALUE"""),"MAS AMITY PTE LTD")</f>
        <v>MAS AMITY PTE LTD</v>
      </c>
      <c r="G565" s="45" t="str">
        <f ca="1">IFERROR(__xludf.DUMMYFUNCTION("""COMPUTED_VALUE"""),"MAS Fabrics (Pvt) Ltd Intimo")</f>
        <v>MAS Fabrics (Pvt) Ltd Intimo</v>
      </c>
      <c r="H565" s="43">
        <f ca="1">IFERROR(__xludf.DUMMYFUNCTION("""COMPUTED_VALUE"""),454717637878)</f>
        <v>454717637878</v>
      </c>
      <c r="I565" s="45">
        <f ca="1">IFERROR(__xludf.DUMMYFUNCTION("""COMPUTED_VALUE"""),19923422)</f>
        <v>19923422</v>
      </c>
      <c r="J565" s="45" t="str">
        <f ca="1">IFERROR(__xludf.DUMMYFUNCTION("""COMPUTED_VALUE"""),"LM3FG2S")</f>
        <v>LM3FG2S</v>
      </c>
      <c r="K565" s="45" t="str">
        <f ca="1">IFERROR(__xludf.DUMMYFUNCTION("""COMPUTED_VALUE"""),"LM3FG2S-071159")</f>
        <v>LM3FG2S-071159</v>
      </c>
      <c r="L565" s="45">
        <f ca="1">IFERROR(__xludf.DUMMYFUNCTION("""COMPUTED_VALUE"""),2)</f>
        <v>2</v>
      </c>
      <c r="M565" s="45">
        <f ca="1">IFERROR(__xludf.DUMMYFUNCTION("""COMPUTED_VALUE"""),81)</f>
        <v>81</v>
      </c>
      <c r="N565" s="45">
        <f ca="1">IFERROR(__xludf.DUMMYFUNCTION("""COMPUTED_VALUE"""),14.274)</f>
        <v>14.273999999999999</v>
      </c>
      <c r="O565" s="45">
        <f ca="1">IFERROR(__xludf.DUMMYFUNCTION("""COMPUTED_VALUE"""),0.118)</f>
        <v>0.11799999999999999</v>
      </c>
      <c r="P565" s="45" t="str">
        <f ca="1">IFERROR(__xludf.DUMMYFUNCTION("""COMPUTED_VALUE"""),"Colombo, LK")</f>
        <v>Colombo, LK</v>
      </c>
      <c r="Q565" s="45" t="str">
        <f ca="1">IFERROR(__xludf.DUMMYFUNCTION("""COMPUTED_VALUE"""),"New York, NY, US")</f>
        <v>New York, NY, US</v>
      </c>
      <c r="R565" s="44">
        <f ca="1">IFERROR(__xludf.DUMMYFUNCTION("""COMPUTED_VALUE"""),45824)</f>
        <v>45824</v>
      </c>
      <c r="S565" s="44">
        <f ca="1">IFERROR(__xludf.DUMMYFUNCTION("""COMPUTED_VALUE"""),45883)</f>
        <v>45883</v>
      </c>
      <c r="T565" s="45" t="str">
        <f ca="1">IFERROR(__xludf.DUMMYFUNCTION("""COMPUTED_VALUE"""),"Mississauga, ON, CA")</f>
        <v>Mississauga, ON, CA</v>
      </c>
      <c r="U565" s="45"/>
      <c r="V565" s="45"/>
      <c r="W565" s="45"/>
      <c r="X565" s="45"/>
      <c r="Y565" s="46">
        <f ca="1">IFERROR(__xludf.DUMMYFUNCTION("""COMPUTED_VALUE"""),45832)</f>
        <v>45832</v>
      </c>
      <c r="Z565" s="46">
        <f ca="1">IFERROR(__xludf.DUMMYFUNCTION("""COMPUTED_VALUE"""),45861)</f>
        <v>45861</v>
      </c>
      <c r="AA565" s="46">
        <f ca="1">IFERROR(__xludf.DUMMYFUNCTION("""COMPUTED_VALUE"""),45874)</f>
        <v>45874</v>
      </c>
      <c r="AB565" s="45" t="str">
        <f ca="1">IFERROR(__xludf.DUMMYFUNCTION("""COMPUTED_VALUE"""),"3500 Argentia Road")</f>
        <v>3500 Argentia Road</v>
      </c>
      <c r="AC565" s="45"/>
      <c r="AD565" s="45" t="str">
        <f ca="1">IFERROR(__xludf.DUMMYFUNCTION("""COMPUTED_VALUE"""),"OCEAN")</f>
        <v>OCEAN</v>
      </c>
      <c r="AE565" s="45" t="str">
        <f ca="1">IFERROR(__xludf.DUMMYFUNCTION("""COMPUTED_VALUE"""),"N")</f>
        <v>N</v>
      </c>
      <c r="AF565" s="45"/>
      <c r="AG565" s="49" t="str">
        <f ca="1">IFERROR(__xludf.DUMMYFUNCTION("IFNA(vlookup(H565,IMPORTRANGE(""1vUGwO1n0QQGx9kKbO0_M5gmuhXZ6-LaxQxgrmJnzgP0"",""'TP# look up'!A:C""),3,0),"""")"),"")</f>
        <v/>
      </c>
      <c r="AH565" s="49" t="str">
        <f t="shared" ca="1" si="8"/>
        <v>LM</v>
      </c>
    </row>
    <row r="566" spans="1:34" ht="12.75">
      <c r="A566" s="45" t="str">
        <f ca="1">IFERROR(__xludf.DUMMYFUNCTION("""COMPUTED_VALUE"""),"Colombo")</f>
        <v>Colombo</v>
      </c>
      <c r="B566" s="45"/>
      <c r="C566" s="45">
        <f ca="1">IFERROR(__xludf.DUMMYFUNCTION("""COMPUTED_VALUE"""),3254508)</f>
        <v>3254508</v>
      </c>
      <c r="D566" s="45"/>
      <c r="E566" s="45" t="str">
        <f ca="1">IFERROR(__xludf.DUMMYFUNCTION("""COMPUTED_VALUE"""),"CFS")</f>
        <v>CFS</v>
      </c>
      <c r="F566" s="45" t="str">
        <f ca="1">IFERROR(__xludf.DUMMYFUNCTION("""COMPUTED_VALUE"""),"MAS AMITY PTE LTD")</f>
        <v>MAS AMITY PTE LTD</v>
      </c>
      <c r="G566" s="45" t="str">
        <f ca="1">IFERROR(__xludf.DUMMYFUNCTION("""COMPUTED_VALUE"""),"MAS Fabrics (Pvt) Ltd Intimo")</f>
        <v>MAS Fabrics (Pvt) Ltd Intimo</v>
      </c>
      <c r="H566" s="43">
        <f ca="1">IFERROR(__xludf.DUMMYFUNCTION("""COMPUTED_VALUE"""),454717661378)</f>
        <v>454717661378</v>
      </c>
      <c r="I566" s="45">
        <f ca="1">IFERROR(__xludf.DUMMYFUNCTION("""COMPUTED_VALUE"""),19923242)</f>
        <v>19923242</v>
      </c>
      <c r="J566" s="45" t="str">
        <f ca="1">IFERROR(__xludf.DUMMYFUNCTION("""COMPUTED_VALUE"""),"LW3GH4S")</f>
        <v>LW3GH4S</v>
      </c>
      <c r="K566" s="45" t="str">
        <f ca="1">IFERROR(__xludf.DUMMYFUNCTION("""COMPUTED_VALUE"""),"LW3GH4S-012826")</f>
        <v>LW3GH4S-012826</v>
      </c>
      <c r="L566" s="45">
        <f ca="1">IFERROR(__xludf.DUMMYFUNCTION("""COMPUTED_VALUE"""),5)</f>
        <v>5</v>
      </c>
      <c r="M566" s="45">
        <f ca="1">IFERROR(__xludf.DUMMYFUNCTION("""COMPUTED_VALUE"""),238)</f>
        <v>238</v>
      </c>
      <c r="N566" s="45">
        <f ca="1">IFERROR(__xludf.DUMMYFUNCTION("""COMPUTED_VALUE"""),32.144)</f>
        <v>32.143999999999998</v>
      </c>
      <c r="O566" s="45">
        <f ca="1">IFERROR(__xludf.DUMMYFUNCTION("""COMPUTED_VALUE"""),0.276)</f>
        <v>0.27600000000000002</v>
      </c>
      <c r="P566" s="45" t="str">
        <f ca="1">IFERROR(__xludf.DUMMYFUNCTION("""COMPUTED_VALUE"""),"Colombo, LK")</f>
        <v>Colombo, LK</v>
      </c>
      <c r="Q566" s="45" t="str">
        <f ca="1">IFERROR(__xludf.DUMMYFUNCTION("""COMPUTED_VALUE"""),"New York, NY, US")</f>
        <v>New York, NY, US</v>
      </c>
      <c r="R566" s="44">
        <f ca="1">IFERROR(__xludf.DUMMYFUNCTION("""COMPUTED_VALUE"""),45824)</f>
        <v>45824</v>
      </c>
      <c r="S566" s="44">
        <f ca="1">IFERROR(__xludf.DUMMYFUNCTION("""COMPUTED_VALUE"""),45883)</f>
        <v>45883</v>
      </c>
      <c r="T566" s="45" t="str">
        <f ca="1">IFERROR(__xludf.DUMMYFUNCTION("""COMPUTED_VALUE"""),"Mississauga, ON, CA")</f>
        <v>Mississauga, ON, CA</v>
      </c>
      <c r="U566" s="45"/>
      <c r="V566" s="45"/>
      <c r="W566" s="45"/>
      <c r="X566" s="45"/>
      <c r="Y566" s="46">
        <f ca="1">IFERROR(__xludf.DUMMYFUNCTION("""COMPUTED_VALUE"""),45832)</f>
        <v>45832</v>
      </c>
      <c r="Z566" s="46">
        <f ca="1">IFERROR(__xludf.DUMMYFUNCTION("""COMPUTED_VALUE"""),45861)</f>
        <v>45861</v>
      </c>
      <c r="AA566" s="46">
        <f ca="1">IFERROR(__xludf.DUMMYFUNCTION("""COMPUTED_VALUE"""),45874)</f>
        <v>45874</v>
      </c>
      <c r="AB566" s="45" t="str">
        <f ca="1">IFERROR(__xludf.DUMMYFUNCTION("""COMPUTED_VALUE"""),"3500 Argentia Road")</f>
        <v>3500 Argentia Road</v>
      </c>
      <c r="AC566" s="45"/>
      <c r="AD566" s="45" t="str">
        <f ca="1">IFERROR(__xludf.DUMMYFUNCTION("""COMPUTED_VALUE"""),"OCEAN")</f>
        <v>OCEAN</v>
      </c>
      <c r="AE566" s="45" t="str">
        <f ca="1">IFERROR(__xludf.DUMMYFUNCTION("""COMPUTED_VALUE"""),"N")</f>
        <v>N</v>
      </c>
      <c r="AF566" s="45"/>
      <c r="AG566" s="49" t="str">
        <f ca="1">IFERROR(__xludf.DUMMYFUNCTION("IFNA(vlookup(H566,IMPORTRANGE(""1vUGwO1n0QQGx9kKbO0_M5gmuhXZ6-LaxQxgrmJnzgP0"",""'TP# look up'!A:C""),3,0),"""")"),"")</f>
        <v/>
      </c>
      <c r="AH566" s="49" t="str">
        <f t="shared" ca="1" si="8"/>
        <v>LW</v>
      </c>
    </row>
    <row r="567" spans="1:34" ht="12.75">
      <c r="A567" s="45" t="str">
        <f ca="1">IFERROR(__xludf.DUMMYFUNCTION("""COMPUTED_VALUE"""),"Colombo")</f>
        <v>Colombo</v>
      </c>
      <c r="B567" s="45"/>
      <c r="C567" s="45">
        <f ca="1">IFERROR(__xludf.DUMMYFUNCTION("""COMPUTED_VALUE"""),3254508)</f>
        <v>3254508</v>
      </c>
      <c r="D567" s="45"/>
      <c r="E567" s="45" t="str">
        <f ca="1">IFERROR(__xludf.DUMMYFUNCTION("""COMPUTED_VALUE"""),"CFS")</f>
        <v>CFS</v>
      </c>
      <c r="F567" s="45" t="str">
        <f ca="1">IFERROR(__xludf.DUMMYFUNCTION("""COMPUTED_VALUE"""),"MAS AMITY PTE LTD")</f>
        <v>MAS AMITY PTE LTD</v>
      </c>
      <c r="G567" s="45" t="str">
        <f ca="1">IFERROR(__xludf.DUMMYFUNCTION("""COMPUTED_VALUE"""),"MAS Fabrics (Pvt) Ltd Intimo")</f>
        <v>MAS Fabrics (Pvt) Ltd Intimo</v>
      </c>
      <c r="H567" s="43">
        <f ca="1">IFERROR(__xludf.DUMMYFUNCTION("""COMPUTED_VALUE"""),454717719021)</f>
        <v>454717719021</v>
      </c>
      <c r="I567" s="45">
        <f ca="1">IFERROR(__xludf.DUMMYFUNCTION("""COMPUTED_VALUE"""),19923296)</f>
        <v>19923296</v>
      </c>
      <c r="J567" s="45" t="str">
        <f ca="1">IFERROR(__xludf.DUMMYFUNCTION("""COMPUTED_VALUE"""),"LW3JSOS")</f>
        <v>LW3JSOS</v>
      </c>
      <c r="K567" s="45" t="str">
        <f ca="1">IFERROR(__xludf.DUMMYFUNCTION("""COMPUTED_VALUE"""),"LW3JSOS-071211")</f>
        <v>LW3JSOS-071211</v>
      </c>
      <c r="L567" s="45">
        <f ca="1">IFERROR(__xludf.DUMMYFUNCTION("""COMPUTED_VALUE"""),7)</f>
        <v>7</v>
      </c>
      <c r="M567" s="45">
        <f ca="1">IFERROR(__xludf.DUMMYFUNCTION("""COMPUTED_VALUE"""),475)</f>
        <v>475</v>
      </c>
      <c r="N567" s="45">
        <f ca="1">IFERROR(__xludf.DUMMYFUNCTION("""COMPUTED_VALUE"""),71.567)</f>
        <v>71.566999999999993</v>
      </c>
      <c r="O567" s="45">
        <f ca="1">IFERROR(__xludf.DUMMYFUNCTION("""COMPUTED_VALUE"""),0.474)</f>
        <v>0.47399999999999998</v>
      </c>
      <c r="P567" s="45" t="str">
        <f ca="1">IFERROR(__xludf.DUMMYFUNCTION("""COMPUTED_VALUE"""),"Colombo, LK")</f>
        <v>Colombo, LK</v>
      </c>
      <c r="Q567" s="45" t="str">
        <f ca="1">IFERROR(__xludf.DUMMYFUNCTION("""COMPUTED_VALUE"""),"New York, NY, US")</f>
        <v>New York, NY, US</v>
      </c>
      <c r="R567" s="44">
        <f ca="1">IFERROR(__xludf.DUMMYFUNCTION("""COMPUTED_VALUE"""),45824)</f>
        <v>45824</v>
      </c>
      <c r="S567" s="44">
        <f ca="1">IFERROR(__xludf.DUMMYFUNCTION("""COMPUTED_VALUE"""),45883)</f>
        <v>45883</v>
      </c>
      <c r="T567" s="45" t="str">
        <f ca="1">IFERROR(__xludf.DUMMYFUNCTION("""COMPUTED_VALUE"""),"Mississauga, ON, CA")</f>
        <v>Mississauga, ON, CA</v>
      </c>
      <c r="U567" s="45"/>
      <c r="V567" s="45"/>
      <c r="W567" s="45"/>
      <c r="X567" s="45"/>
      <c r="Y567" s="46">
        <f ca="1">IFERROR(__xludf.DUMMYFUNCTION("""COMPUTED_VALUE"""),45832)</f>
        <v>45832</v>
      </c>
      <c r="Z567" s="46">
        <f ca="1">IFERROR(__xludf.DUMMYFUNCTION("""COMPUTED_VALUE"""),45861)</f>
        <v>45861</v>
      </c>
      <c r="AA567" s="46">
        <f ca="1">IFERROR(__xludf.DUMMYFUNCTION("""COMPUTED_VALUE"""),45874)</f>
        <v>45874</v>
      </c>
      <c r="AB567" s="45" t="str">
        <f ca="1">IFERROR(__xludf.DUMMYFUNCTION("""COMPUTED_VALUE"""),"3500 Argentia Road")</f>
        <v>3500 Argentia Road</v>
      </c>
      <c r="AC567" s="45"/>
      <c r="AD567" s="45" t="str">
        <f ca="1">IFERROR(__xludf.DUMMYFUNCTION("""COMPUTED_VALUE"""),"OCEAN")</f>
        <v>OCEAN</v>
      </c>
      <c r="AE567" s="45" t="str">
        <f ca="1">IFERROR(__xludf.DUMMYFUNCTION("""COMPUTED_VALUE"""),"N")</f>
        <v>N</v>
      </c>
      <c r="AF567" s="45"/>
      <c r="AG567" s="49" t="str">
        <f ca="1">IFERROR(__xludf.DUMMYFUNCTION("IFNA(vlookup(H567,IMPORTRANGE(""1vUGwO1n0QQGx9kKbO0_M5gmuhXZ6-LaxQxgrmJnzgP0"",""'TP# look up'!A:C""),3,0),"""")"),"")</f>
        <v/>
      </c>
      <c r="AH567" s="49" t="str">
        <f t="shared" ca="1" si="8"/>
        <v>LW</v>
      </c>
    </row>
    <row r="568" spans="1:34" ht="12.75">
      <c r="A568" s="45" t="str">
        <f ca="1">IFERROR(__xludf.DUMMYFUNCTION("""COMPUTED_VALUE"""),"Colombo")</f>
        <v>Colombo</v>
      </c>
      <c r="B568" s="45"/>
      <c r="C568" s="45">
        <f ca="1">IFERROR(__xludf.DUMMYFUNCTION("""COMPUTED_VALUE"""),3254508)</f>
        <v>3254508</v>
      </c>
      <c r="D568" s="45"/>
      <c r="E568" s="45" t="str">
        <f ca="1">IFERROR(__xludf.DUMMYFUNCTION("""COMPUTED_VALUE"""),"CFS")</f>
        <v>CFS</v>
      </c>
      <c r="F568" s="45" t="str">
        <f ca="1">IFERROR(__xludf.DUMMYFUNCTION("""COMPUTED_VALUE"""),"MAS AMITY PTE LTD")</f>
        <v>MAS AMITY PTE LTD</v>
      </c>
      <c r="G568" s="45" t="str">
        <f ca="1">IFERROR(__xludf.DUMMYFUNCTION("""COMPUTED_VALUE"""),"MAS Fabrics (Pvt) Ltd Intimo")</f>
        <v>MAS Fabrics (Pvt) Ltd Intimo</v>
      </c>
      <c r="H568" s="43">
        <f ca="1">IFERROR(__xludf.DUMMYFUNCTION("""COMPUTED_VALUE"""),454717943996)</f>
        <v>454717943996</v>
      </c>
      <c r="I568" s="45">
        <f ca="1">IFERROR(__xludf.DUMMYFUNCTION("""COMPUTED_VALUE"""),19923284)</f>
        <v>19923284</v>
      </c>
      <c r="J568" s="45" t="str">
        <f ca="1">IFERROR(__xludf.DUMMYFUNCTION("""COMPUTED_VALUE"""),"LW3JE8S")</f>
        <v>LW3JE8S</v>
      </c>
      <c r="K568" s="45" t="str">
        <f ca="1">IFERROR(__xludf.DUMMYFUNCTION("""COMPUTED_VALUE"""),"LW3JE8S-4780")</f>
        <v>LW3JE8S-4780</v>
      </c>
      <c r="L568" s="45">
        <f ca="1">IFERROR(__xludf.DUMMYFUNCTION("""COMPUTED_VALUE"""),8)</f>
        <v>8</v>
      </c>
      <c r="M568" s="45">
        <f ca="1">IFERROR(__xludf.DUMMYFUNCTION("""COMPUTED_VALUE"""),390)</f>
        <v>390</v>
      </c>
      <c r="N568" s="45">
        <f ca="1">IFERROR(__xludf.DUMMYFUNCTION("""COMPUTED_VALUE"""),78.082)</f>
        <v>78.081999999999994</v>
      </c>
      <c r="O568" s="45">
        <f ca="1">IFERROR(__xludf.DUMMYFUNCTION("""COMPUTED_VALUE"""),0.592)</f>
        <v>0.59199999999999997</v>
      </c>
      <c r="P568" s="45" t="str">
        <f ca="1">IFERROR(__xludf.DUMMYFUNCTION("""COMPUTED_VALUE"""),"Colombo, LK")</f>
        <v>Colombo, LK</v>
      </c>
      <c r="Q568" s="45" t="str">
        <f ca="1">IFERROR(__xludf.DUMMYFUNCTION("""COMPUTED_VALUE"""),"New York, NY, US")</f>
        <v>New York, NY, US</v>
      </c>
      <c r="R568" s="44">
        <f ca="1">IFERROR(__xludf.DUMMYFUNCTION("""COMPUTED_VALUE"""),45824)</f>
        <v>45824</v>
      </c>
      <c r="S568" s="44">
        <f ca="1">IFERROR(__xludf.DUMMYFUNCTION("""COMPUTED_VALUE"""),45883)</f>
        <v>45883</v>
      </c>
      <c r="T568" s="45" t="str">
        <f ca="1">IFERROR(__xludf.DUMMYFUNCTION("""COMPUTED_VALUE"""),"Mississauga, ON, CA")</f>
        <v>Mississauga, ON, CA</v>
      </c>
      <c r="U568" s="45"/>
      <c r="V568" s="45"/>
      <c r="W568" s="45"/>
      <c r="X568" s="45"/>
      <c r="Y568" s="46">
        <f ca="1">IFERROR(__xludf.DUMMYFUNCTION("""COMPUTED_VALUE"""),45832)</f>
        <v>45832</v>
      </c>
      <c r="Z568" s="46">
        <f ca="1">IFERROR(__xludf.DUMMYFUNCTION("""COMPUTED_VALUE"""),45861)</f>
        <v>45861</v>
      </c>
      <c r="AA568" s="46">
        <f ca="1">IFERROR(__xludf.DUMMYFUNCTION("""COMPUTED_VALUE"""),45874)</f>
        <v>45874</v>
      </c>
      <c r="AB568" s="45" t="str">
        <f ca="1">IFERROR(__xludf.DUMMYFUNCTION("""COMPUTED_VALUE"""),"3500 Argentia Road")</f>
        <v>3500 Argentia Road</v>
      </c>
      <c r="AC568" s="45"/>
      <c r="AD568" s="45" t="str">
        <f ca="1">IFERROR(__xludf.DUMMYFUNCTION("""COMPUTED_VALUE"""),"OCEAN")</f>
        <v>OCEAN</v>
      </c>
      <c r="AE568" s="45" t="str">
        <f ca="1">IFERROR(__xludf.DUMMYFUNCTION("""COMPUTED_VALUE"""),"N")</f>
        <v>N</v>
      </c>
      <c r="AF568" s="45"/>
      <c r="AG568" s="49" t="str">
        <f ca="1">IFERROR(__xludf.DUMMYFUNCTION("IFNA(vlookup(H568,IMPORTRANGE(""1vUGwO1n0QQGx9kKbO0_M5gmuhXZ6-LaxQxgrmJnzgP0"",""'TP# look up'!A:C""),3,0),"""")"),"")</f>
        <v/>
      </c>
      <c r="AH568" s="49" t="str">
        <f t="shared" ca="1" si="8"/>
        <v>LW</v>
      </c>
    </row>
    <row r="569" spans="1:34" ht="12.75">
      <c r="A569" s="45" t="str">
        <f ca="1">IFERROR(__xludf.DUMMYFUNCTION("""COMPUTED_VALUE"""),"Colombo")</f>
        <v>Colombo</v>
      </c>
      <c r="B569" s="45"/>
      <c r="C569" s="45">
        <f ca="1">IFERROR(__xludf.DUMMYFUNCTION("""COMPUTED_VALUE"""),3254508)</f>
        <v>3254508</v>
      </c>
      <c r="D569" s="45"/>
      <c r="E569" s="45" t="str">
        <f ca="1">IFERROR(__xludf.DUMMYFUNCTION("""COMPUTED_VALUE"""),"CFS")</f>
        <v>CFS</v>
      </c>
      <c r="F569" s="45" t="str">
        <f ca="1">IFERROR(__xludf.DUMMYFUNCTION("""COMPUTED_VALUE"""),"MAS AMITY PTE LTD")</f>
        <v>MAS AMITY PTE LTD</v>
      </c>
      <c r="G569" s="45" t="str">
        <f ca="1">IFERROR(__xludf.DUMMYFUNCTION("""COMPUTED_VALUE"""),"MAS Fabrics (Pvt) Ltd Intimo")</f>
        <v>MAS Fabrics (Pvt) Ltd Intimo</v>
      </c>
      <c r="H569" s="43">
        <f ca="1">IFERROR(__xludf.DUMMYFUNCTION("""COMPUTED_VALUE"""),454718596121)</f>
        <v>454718596121</v>
      </c>
      <c r="I569" s="45">
        <f ca="1">IFERROR(__xludf.DUMMYFUNCTION("""COMPUTED_VALUE"""),19923439)</f>
        <v>19923439</v>
      </c>
      <c r="J569" s="45" t="str">
        <f ca="1">IFERROR(__xludf.DUMMYFUNCTION("""COMPUTED_VALUE"""),"LM3FG2S")</f>
        <v>LM3FG2S</v>
      </c>
      <c r="K569" s="45" t="str">
        <f ca="1">IFERROR(__xludf.DUMMYFUNCTION("""COMPUTED_VALUE"""),"LM3FG2S-071162")</f>
        <v>LM3FG2S-071162</v>
      </c>
      <c r="L569" s="45">
        <f ca="1">IFERROR(__xludf.DUMMYFUNCTION("""COMPUTED_VALUE"""),2)</f>
        <v>2</v>
      </c>
      <c r="M569" s="45">
        <f ca="1">IFERROR(__xludf.DUMMYFUNCTION("""COMPUTED_VALUE"""),98)</f>
        <v>98</v>
      </c>
      <c r="N569" s="45">
        <f ca="1">IFERROR(__xludf.DUMMYFUNCTION("""COMPUTED_VALUE"""),16.878)</f>
        <v>16.878</v>
      </c>
      <c r="O569" s="45">
        <f ca="1">IFERROR(__xludf.DUMMYFUNCTION("""COMPUTED_VALUE"""),0.118)</f>
        <v>0.11799999999999999</v>
      </c>
      <c r="P569" s="45" t="str">
        <f ca="1">IFERROR(__xludf.DUMMYFUNCTION("""COMPUTED_VALUE"""),"Colombo, LK")</f>
        <v>Colombo, LK</v>
      </c>
      <c r="Q569" s="45" t="str">
        <f ca="1">IFERROR(__xludf.DUMMYFUNCTION("""COMPUTED_VALUE"""),"New York, NY, US")</f>
        <v>New York, NY, US</v>
      </c>
      <c r="R569" s="44">
        <f ca="1">IFERROR(__xludf.DUMMYFUNCTION("""COMPUTED_VALUE"""),45824)</f>
        <v>45824</v>
      </c>
      <c r="S569" s="44">
        <f ca="1">IFERROR(__xludf.DUMMYFUNCTION("""COMPUTED_VALUE"""),45883)</f>
        <v>45883</v>
      </c>
      <c r="T569" s="45" t="str">
        <f ca="1">IFERROR(__xludf.DUMMYFUNCTION("""COMPUTED_VALUE"""),"Mississauga, ON, CA")</f>
        <v>Mississauga, ON, CA</v>
      </c>
      <c r="U569" s="45"/>
      <c r="V569" s="45"/>
      <c r="W569" s="45"/>
      <c r="X569" s="45"/>
      <c r="Y569" s="46">
        <f ca="1">IFERROR(__xludf.DUMMYFUNCTION("""COMPUTED_VALUE"""),45832)</f>
        <v>45832</v>
      </c>
      <c r="Z569" s="46">
        <f ca="1">IFERROR(__xludf.DUMMYFUNCTION("""COMPUTED_VALUE"""),45861)</f>
        <v>45861</v>
      </c>
      <c r="AA569" s="46">
        <f ca="1">IFERROR(__xludf.DUMMYFUNCTION("""COMPUTED_VALUE"""),45874)</f>
        <v>45874</v>
      </c>
      <c r="AB569" s="45" t="str">
        <f ca="1">IFERROR(__xludf.DUMMYFUNCTION("""COMPUTED_VALUE"""),"3500 Argentia Road")</f>
        <v>3500 Argentia Road</v>
      </c>
      <c r="AC569" s="45"/>
      <c r="AD569" s="45" t="str">
        <f ca="1">IFERROR(__xludf.DUMMYFUNCTION("""COMPUTED_VALUE"""),"OCEAN")</f>
        <v>OCEAN</v>
      </c>
      <c r="AE569" s="45" t="str">
        <f ca="1">IFERROR(__xludf.DUMMYFUNCTION("""COMPUTED_VALUE"""),"N")</f>
        <v>N</v>
      </c>
      <c r="AF569" s="45"/>
      <c r="AG569" s="49" t="str">
        <f ca="1">IFERROR(__xludf.DUMMYFUNCTION("IFNA(vlookup(H569,IMPORTRANGE(""1vUGwO1n0QQGx9kKbO0_M5gmuhXZ6-LaxQxgrmJnzgP0"",""'TP# look up'!A:C""),3,0),"""")"),"")</f>
        <v/>
      </c>
      <c r="AH569" s="49" t="str">
        <f t="shared" ca="1" si="8"/>
        <v>LM</v>
      </c>
    </row>
    <row r="570" spans="1:34" ht="12.75">
      <c r="A570" s="45" t="str">
        <f ca="1">IFERROR(__xludf.DUMMYFUNCTION("""COMPUTED_VALUE"""),"Colombo")</f>
        <v>Colombo</v>
      </c>
      <c r="B570" s="45"/>
      <c r="C570" s="45">
        <f ca="1">IFERROR(__xludf.DUMMYFUNCTION("""COMPUTED_VALUE"""),3254508)</f>
        <v>3254508</v>
      </c>
      <c r="D570" s="45"/>
      <c r="E570" s="45" t="str">
        <f ca="1">IFERROR(__xludf.DUMMYFUNCTION("""COMPUTED_VALUE"""),"CFS")</f>
        <v>CFS</v>
      </c>
      <c r="F570" s="45" t="str">
        <f ca="1">IFERROR(__xludf.DUMMYFUNCTION("""COMPUTED_VALUE"""),"MAS AMITY PTE LTD")</f>
        <v>MAS AMITY PTE LTD</v>
      </c>
      <c r="G570" s="45" t="str">
        <f ca="1">IFERROR(__xludf.DUMMYFUNCTION("""COMPUTED_VALUE"""),"MAS Fabrics (Pvt) Ltd Intimo")</f>
        <v>MAS Fabrics (Pvt) Ltd Intimo</v>
      </c>
      <c r="H570" s="43">
        <f ca="1">IFERROR(__xludf.DUMMYFUNCTION("""COMPUTED_VALUE"""),454718830888)</f>
        <v>454718830888</v>
      </c>
      <c r="I570" s="45">
        <f ca="1">IFERROR(__xludf.DUMMYFUNCTION("""COMPUTED_VALUE"""),19923463)</f>
        <v>19923463</v>
      </c>
      <c r="J570" s="45" t="str">
        <f ca="1">IFERROR(__xludf.DUMMYFUNCTION("""COMPUTED_VALUE"""),"LW3DFNS")</f>
        <v>LW3DFNS</v>
      </c>
      <c r="K570" s="45" t="str">
        <f ca="1">IFERROR(__xludf.DUMMYFUNCTION("""COMPUTED_VALUE"""),"LW3DFNS-012826")</f>
        <v>LW3DFNS-012826</v>
      </c>
      <c r="L570" s="45">
        <f ca="1">IFERROR(__xludf.DUMMYFUNCTION("""COMPUTED_VALUE"""),12)</f>
        <v>12</v>
      </c>
      <c r="M570" s="45">
        <f ca="1">IFERROR(__xludf.DUMMYFUNCTION("""COMPUTED_VALUE"""),957)</f>
        <v>957</v>
      </c>
      <c r="N570" s="45">
        <f ca="1">IFERROR(__xludf.DUMMYFUNCTION("""COMPUTED_VALUE"""),114.03)</f>
        <v>114.03</v>
      </c>
      <c r="O570" s="45">
        <f ca="1">IFERROR(__xludf.DUMMYFUNCTION("""COMPUTED_VALUE"""),0.872)</f>
        <v>0.872</v>
      </c>
      <c r="P570" s="45" t="str">
        <f ca="1">IFERROR(__xludf.DUMMYFUNCTION("""COMPUTED_VALUE"""),"Colombo, LK")</f>
        <v>Colombo, LK</v>
      </c>
      <c r="Q570" s="45" t="str">
        <f ca="1">IFERROR(__xludf.DUMMYFUNCTION("""COMPUTED_VALUE"""),"New York, NY, US")</f>
        <v>New York, NY, US</v>
      </c>
      <c r="R570" s="44">
        <f ca="1">IFERROR(__xludf.DUMMYFUNCTION("""COMPUTED_VALUE"""),45824)</f>
        <v>45824</v>
      </c>
      <c r="S570" s="44">
        <f ca="1">IFERROR(__xludf.DUMMYFUNCTION("""COMPUTED_VALUE"""),45883)</f>
        <v>45883</v>
      </c>
      <c r="T570" s="45" t="str">
        <f ca="1">IFERROR(__xludf.DUMMYFUNCTION("""COMPUTED_VALUE"""),"Mississauga, ON, CA")</f>
        <v>Mississauga, ON, CA</v>
      </c>
      <c r="U570" s="45"/>
      <c r="V570" s="45"/>
      <c r="W570" s="45"/>
      <c r="X570" s="45"/>
      <c r="Y570" s="46">
        <f ca="1">IFERROR(__xludf.DUMMYFUNCTION("""COMPUTED_VALUE"""),45832)</f>
        <v>45832</v>
      </c>
      <c r="Z570" s="46">
        <f ca="1">IFERROR(__xludf.DUMMYFUNCTION("""COMPUTED_VALUE"""),45861)</f>
        <v>45861</v>
      </c>
      <c r="AA570" s="46">
        <f ca="1">IFERROR(__xludf.DUMMYFUNCTION("""COMPUTED_VALUE"""),45874)</f>
        <v>45874</v>
      </c>
      <c r="AB570" s="45" t="str">
        <f ca="1">IFERROR(__xludf.DUMMYFUNCTION("""COMPUTED_VALUE"""),"3500 Argentia Road")</f>
        <v>3500 Argentia Road</v>
      </c>
      <c r="AC570" s="45"/>
      <c r="AD570" s="45" t="str">
        <f ca="1">IFERROR(__xludf.DUMMYFUNCTION("""COMPUTED_VALUE"""),"OCEAN")</f>
        <v>OCEAN</v>
      </c>
      <c r="AE570" s="45" t="str">
        <f ca="1">IFERROR(__xludf.DUMMYFUNCTION("""COMPUTED_VALUE"""),"N")</f>
        <v>N</v>
      </c>
      <c r="AF570" s="45"/>
      <c r="AG570" s="49" t="str">
        <f ca="1">IFERROR(__xludf.DUMMYFUNCTION("IFNA(vlookup(H570,IMPORTRANGE(""1vUGwO1n0QQGx9kKbO0_M5gmuhXZ6-LaxQxgrmJnzgP0"",""'TP# look up'!A:C""),3,0),"""")"),"")</f>
        <v/>
      </c>
      <c r="AH570" s="49" t="str">
        <f t="shared" ca="1" si="8"/>
        <v>LW</v>
      </c>
    </row>
    <row r="571" spans="1:34" ht="12.75">
      <c r="A571" s="45" t="str">
        <f ca="1">IFERROR(__xludf.DUMMYFUNCTION("""COMPUTED_VALUE"""),"Colombo")</f>
        <v>Colombo</v>
      </c>
      <c r="B571" s="45"/>
      <c r="C571" s="45">
        <f ca="1">IFERROR(__xludf.DUMMYFUNCTION("""COMPUTED_VALUE"""),3254508)</f>
        <v>3254508</v>
      </c>
      <c r="D571" s="45"/>
      <c r="E571" s="45" t="str">
        <f ca="1">IFERROR(__xludf.DUMMYFUNCTION("""COMPUTED_VALUE"""),"CFS")</f>
        <v>CFS</v>
      </c>
      <c r="F571" s="45" t="str">
        <f ca="1">IFERROR(__xludf.DUMMYFUNCTION("""COMPUTED_VALUE"""),"MAS AMITY PTE LTD")</f>
        <v>MAS AMITY PTE LTD</v>
      </c>
      <c r="G571" s="45" t="str">
        <f ca="1">IFERROR(__xludf.DUMMYFUNCTION("""COMPUTED_VALUE"""),"MAS Fabrics (Pvt) Ltd Intimo")</f>
        <v>MAS Fabrics (Pvt) Ltd Intimo</v>
      </c>
      <c r="H571" s="43">
        <f ca="1">IFERROR(__xludf.DUMMYFUNCTION("""COMPUTED_VALUE"""),454955582669)</f>
        <v>454955582669</v>
      </c>
      <c r="I571" s="45">
        <f ca="1">IFERROR(__xludf.DUMMYFUNCTION("""COMPUTED_VALUE"""),19900261)</f>
        <v>19900261</v>
      </c>
      <c r="J571" s="45" t="str">
        <f ca="1">IFERROR(__xludf.DUMMYFUNCTION("""COMPUTED_VALUE"""),"LM3FG2S")</f>
        <v>LM3FG2S</v>
      </c>
      <c r="K571" s="45" t="str">
        <f ca="1">IFERROR(__xludf.DUMMYFUNCTION("""COMPUTED_VALUE"""),"LM3FG2S-071159")</f>
        <v>LM3FG2S-071159</v>
      </c>
      <c r="L571" s="45">
        <f ca="1">IFERROR(__xludf.DUMMYFUNCTION("""COMPUTED_VALUE"""),3)</f>
        <v>3</v>
      </c>
      <c r="M571" s="45">
        <f ca="1">IFERROR(__xludf.DUMMYFUNCTION("""COMPUTED_VALUE"""),131)</f>
        <v>131</v>
      </c>
      <c r="N571" s="45">
        <f ca="1">IFERROR(__xludf.DUMMYFUNCTION("""COMPUTED_VALUE"""),23.083)</f>
        <v>23.082999999999998</v>
      </c>
      <c r="O571" s="45">
        <f ca="1">IFERROR(__xludf.DUMMYFUNCTION("""COMPUTED_VALUE"""),0.197)</f>
        <v>0.19700000000000001</v>
      </c>
      <c r="P571" s="45" t="str">
        <f ca="1">IFERROR(__xludf.DUMMYFUNCTION("""COMPUTED_VALUE"""),"Colombo, LK")</f>
        <v>Colombo, LK</v>
      </c>
      <c r="Q571" s="45" t="str">
        <f ca="1">IFERROR(__xludf.DUMMYFUNCTION("""COMPUTED_VALUE"""),"New York, NY, US")</f>
        <v>New York, NY, US</v>
      </c>
      <c r="R571" s="44">
        <f ca="1">IFERROR(__xludf.DUMMYFUNCTION("""COMPUTED_VALUE"""),45824)</f>
        <v>45824</v>
      </c>
      <c r="S571" s="44">
        <f ca="1">IFERROR(__xludf.DUMMYFUNCTION("""COMPUTED_VALUE"""),45883)</f>
        <v>45883</v>
      </c>
      <c r="T571" s="45" t="str">
        <f ca="1">IFERROR(__xludf.DUMMYFUNCTION("""COMPUTED_VALUE"""),"Milton, ON, CA")</f>
        <v>Milton, ON, CA</v>
      </c>
      <c r="U571" s="45"/>
      <c r="V571" s="45"/>
      <c r="W571" s="45"/>
      <c r="X571" s="45"/>
      <c r="Y571" s="46">
        <f ca="1">IFERROR(__xludf.DUMMYFUNCTION("""COMPUTED_VALUE"""),45832)</f>
        <v>45832</v>
      </c>
      <c r="Z571" s="46">
        <f ca="1">IFERROR(__xludf.DUMMYFUNCTION("""COMPUTED_VALUE"""),45861)</f>
        <v>45861</v>
      </c>
      <c r="AA571" s="46">
        <f ca="1">IFERROR(__xludf.DUMMYFUNCTION("""COMPUTED_VALUE"""),45874)</f>
        <v>45874</v>
      </c>
      <c r="AB571" s="45" t="str">
        <f ca="1">IFERROR(__xludf.DUMMYFUNCTION("""COMPUTED_VALUE"""),"7211 Fifth Line")</f>
        <v>7211 Fifth Line</v>
      </c>
      <c r="AC571" s="45"/>
      <c r="AD571" s="45" t="str">
        <f ca="1">IFERROR(__xludf.DUMMYFUNCTION("""COMPUTED_VALUE"""),"OCEAN")</f>
        <v>OCEAN</v>
      </c>
      <c r="AE571" s="45" t="str">
        <f ca="1">IFERROR(__xludf.DUMMYFUNCTION("""COMPUTED_VALUE"""),"N")</f>
        <v>N</v>
      </c>
      <c r="AF571" s="45"/>
      <c r="AG571" s="49" t="str">
        <f ca="1">IFERROR(__xludf.DUMMYFUNCTION("IFNA(vlookup(H571,IMPORTRANGE(""1vUGwO1n0QQGx9kKbO0_M5gmuhXZ6-LaxQxgrmJnzgP0"",""'TP# look up'!A:C""),3,0),"""")"),"")</f>
        <v/>
      </c>
      <c r="AH571" s="49" t="str">
        <f t="shared" ca="1" si="8"/>
        <v>LM</v>
      </c>
    </row>
    <row r="572" spans="1:34" ht="12.75">
      <c r="A572" s="45" t="str">
        <f ca="1">IFERROR(__xludf.DUMMYFUNCTION("""COMPUTED_VALUE"""),"Colombo")</f>
        <v>Colombo</v>
      </c>
      <c r="B572" s="45"/>
      <c r="C572" s="45">
        <f ca="1">IFERROR(__xludf.DUMMYFUNCTION("""COMPUTED_VALUE"""),3254508)</f>
        <v>3254508</v>
      </c>
      <c r="D572" s="45"/>
      <c r="E572" s="45" t="str">
        <f ca="1">IFERROR(__xludf.DUMMYFUNCTION("""COMPUTED_VALUE"""),"CFS")</f>
        <v>CFS</v>
      </c>
      <c r="F572" s="45" t="str">
        <f ca="1">IFERROR(__xludf.DUMMYFUNCTION("""COMPUTED_VALUE"""),"MAS AMITY PTE LTD")</f>
        <v>MAS AMITY PTE LTD</v>
      </c>
      <c r="G572" s="45" t="str">
        <f ca="1">IFERROR(__xludf.DUMMYFUNCTION("""COMPUTED_VALUE"""),"MAS Fabrics (Pvt) Ltd Intimo")</f>
        <v>MAS Fabrics (Pvt) Ltd Intimo</v>
      </c>
      <c r="H572" s="43">
        <f ca="1">IFERROR(__xludf.DUMMYFUNCTION("""COMPUTED_VALUE"""),454719489186)</f>
        <v>454719489186</v>
      </c>
      <c r="I572" s="45">
        <f ca="1">IFERROR(__xludf.DUMMYFUNCTION("""COMPUTED_VALUE"""),19923656)</f>
        <v>19923656</v>
      </c>
      <c r="J572" s="45" t="str">
        <f ca="1">IFERROR(__xludf.DUMMYFUNCTION("""COMPUTED_VALUE"""),"LW3JE8S")</f>
        <v>LW3JE8S</v>
      </c>
      <c r="K572" s="45" t="str">
        <f ca="1">IFERROR(__xludf.DUMMYFUNCTION("""COMPUTED_VALUE"""),"LW3JE8S-012826")</f>
        <v>LW3JE8S-012826</v>
      </c>
      <c r="L572" s="45">
        <f ca="1">IFERROR(__xludf.DUMMYFUNCTION("""COMPUTED_VALUE"""),7)</f>
        <v>7</v>
      </c>
      <c r="M572" s="45">
        <f ca="1">IFERROR(__xludf.DUMMYFUNCTION("""COMPUTED_VALUE"""),357)</f>
        <v>357</v>
      </c>
      <c r="N572" s="45">
        <f ca="1">IFERROR(__xludf.DUMMYFUNCTION("""COMPUTED_VALUE"""),70.243)</f>
        <v>70.242999999999995</v>
      </c>
      <c r="O572" s="45">
        <f ca="1">IFERROR(__xludf.DUMMYFUNCTION("""COMPUTED_VALUE"""),0.513)</f>
        <v>0.51300000000000001</v>
      </c>
      <c r="P572" s="45" t="str">
        <f ca="1">IFERROR(__xludf.DUMMYFUNCTION("""COMPUTED_VALUE"""),"Colombo, LK")</f>
        <v>Colombo, LK</v>
      </c>
      <c r="Q572" s="45" t="str">
        <f ca="1">IFERROR(__xludf.DUMMYFUNCTION("""COMPUTED_VALUE"""),"New York, NY, US")</f>
        <v>New York, NY, US</v>
      </c>
      <c r="R572" s="44">
        <f ca="1">IFERROR(__xludf.DUMMYFUNCTION("""COMPUTED_VALUE"""),45824)</f>
        <v>45824</v>
      </c>
      <c r="S572" s="44">
        <f ca="1">IFERROR(__xludf.DUMMYFUNCTION("""COMPUTED_VALUE"""),45883)</f>
        <v>45883</v>
      </c>
      <c r="T572" s="45" t="str">
        <f ca="1">IFERROR(__xludf.DUMMYFUNCTION("""COMPUTED_VALUE"""),"Mississauga, ON, CA")</f>
        <v>Mississauga, ON, CA</v>
      </c>
      <c r="U572" s="45"/>
      <c r="V572" s="45"/>
      <c r="W572" s="45"/>
      <c r="X572" s="45"/>
      <c r="Y572" s="46">
        <f ca="1">IFERROR(__xludf.DUMMYFUNCTION("""COMPUTED_VALUE"""),45832)</f>
        <v>45832</v>
      </c>
      <c r="Z572" s="46">
        <f ca="1">IFERROR(__xludf.DUMMYFUNCTION("""COMPUTED_VALUE"""),45861)</f>
        <v>45861</v>
      </c>
      <c r="AA572" s="46">
        <f ca="1">IFERROR(__xludf.DUMMYFUNCTION("""COMPUTED_VALUE"""),45874)</f>
        <v>45874</v>
      </c>
      <c r="AB572" s="45" t="str">
        <f ca="1">IFERROR(__xludf.DUMMYFUNCTION("""COMPUTED_VALUE"""),"3500 Argentia Road")</f>
        <v>3500 Argentia Road</v>
      </c>
      <c r="AC572" s="45"/>
      <c r="AD572" s="45" t="str">
        <f ca="1">IFERROR(__xludf.DUMMYFUNCTION("""COMPUTED_VALUE"""),"OCEAN")</f>
        <v>OCEAN</v>
      </c>
      <c r="AE572" s="45" t="str">
        <f ca="1">IFERROR(__xludf.DUMMYFUNCTION("""COMPUTED_VALUE"""),"N")</f>
        <v>N</v>
      </c>
      <c r="AF572" s="45"/>
      <c r="AG572" s="49" t="str">
        <f ca="1">IFERROR(__xludf.DUMMYFUNCTION("IFNA(vlookup(H572,IMPORTRANGE(""1vUGwO1n0QQGx9kKbO0_M5gmuhXZ6-LaxQxgrmJnzgP0"",""'TP# look up'!A:C""),3,0),"""")"),"")</f>
        <v/>
      </c>
      <c r="AH572" s="49" t="str">
        <f t="shared" ca="1" si="8"/>
        <v>LW</v>
      </c>
    </row>
    <row r="573" spans="1:34" ht="12.75">
      <c r="A573" s="45" t="str">
        <f ca="1">IFERROR(__xludf.DUMMYFUNCTION("""COMPUTED_VALUE"""),"Colombo")</f>
        <v>Colombo</v>
      </c>
      <c r="B573" s="45"/>
      <c r="C573" s="45">
        <f ca="1">IFERROR(__xludf.DUMMYFUNCTION("""COMPUTED_VALUE"""),3254508)</f>
        <v>3254508</v>
      </c>
      <c r="D573" s="45"/>
      <c r="E573" s="45" t="str">
        <f ca="1">IFERROR(__xludf.DUMMYFUNCTION("""COMPUTED_VALUE"""),"CFS")</f>
        <v>CFS</v>
      </c>
      <c r="F573" s="45" t="str">
        <f ca="1">IFERROR(__xludf.DUMMYFUNCTION("""COMPUTED_VALUE"""),"Bodyline Trading (Private) Limited")</f>
        <v>Bodyline Trading (Private) Limited</v>
      </c>
      <c r="G573" s="45" t="str">
        <f ca="1">IFERROR(__xludf.DUMMYFUNCTION("""COMPUTED_VALUE"""),"Bodyline (Private) Limited")</f>
        <v>Bodyline (Private) Limited</v>
      </c>
      <c r="H573" s="43">
        <f ca="1">IFERROR(__xludf.DUMMYFUNCTION("""COMPUTED_VALUE"""),455263739084)</f>
        <v>455263739084</v>
      </c>
      <c r="I573" s="45">
        <f ca="1">IFERROR(__xludf.DUMMYFUNCTION("""COMPUTED_VALUE"""),19877424)</f>
        <v>19877424</v>
      </c>
      <c r="J573" s="45" t="str">
        <f ca="1">IFERROR(__xludf.DUMMYFUNCTION("""COMPUTED_VALUE"""),"LW9DC3S")</f>
        <v>LW9DC3S</v>
      </c>
      <c r="K573" s="45" t="str">
        <f ca="1">IFERROR(__xludf.DUMMYFUNCTION("""COMPUTED_VALUE"""),"LW9DC3S-073330")</f>
        <v>LW9DC3S-073330</v>
      </c>
      <c r="L573" s="45">
        <f ca="1">IFERROR(__xludf.DUMMYFUNCTION("""COMPUTED_VALUE"""),3)</f>
        <v>3</v>
      </c>
      <c r="M573" s="45">
        <f ca="1">IFERROR(__xludf.DUMMYFUNCTION("""COMPUTED_VALUE"""),84)</f>
        <v>84</v>
      </c>
      <c r="N573" s="45">
        <f ca="1">IFERROR(__xludf.DUMMYFUNCTION("""COMPUTED_VALUE"""),7.788)</f>
        <v>7.7880000000000003</v>
      </c>
      <c r="O573" s="45">
        <f ca="1">IFERROR(__xludf.DUMMYFUNCTION("""COMPUTED_VALUE"""),0.132)</f>
        <v>0.13200000000000001</v>
      </c>
      <c r="P573" s="45" t="str">
        <f ca="1">IFERROR(__xludf.DUMMYFUNCTION("""COMPUTED_VALUE"""),"Colombo, LK")</f>
        <v>Colombo, LK</v>
      </c>
      <c r="Q573" s="45" t="str">
        <f ca="1">IFERROR(__xludf.DUMMYFUNCTION("""COMPUTED_VALUE"""),"New York, NY, US")</f>
        <v>New York, NY, US</v>
      </c>
      <c r="R573" s="44">
        <f ca="1">IFERROR(__xludf.DUMMYFUNCTION("""COMPUTED_VALUE"""),45824)</f>
        <v>45824</v>
      </c>
      <c r="S573" s="44">
        <f ca="1">IFERROR(__xludf.DUMMYFUNCTION("""COMPUTED_VALUE"""),45883)</f>
        <v>45883</v>
      </c>
      <c r="T573" s="45" t="str">
        <f ca="1">IFERROR(__xludf.DUMMYFUNCTION("""COMPUTED_VALUE"""),"Mississauga, ON, CA")</f>
        <v>Mississauga, ON, CA</v>
      </c>
      <c r="U573" s="45"/>
      <c r="V573" s="45"/>
      <c r="W573" s="45"/>
      <c r="X573" s="45"/>
      <c r="Y573" s="46">
        <f ca="1">IFERROR(__xludf.DUMMYFUNCTION("""COMPUTED_VALUE"""),45832)</f>
        <v>45832</v>
      </c>
      <c r="Z573" s="46">
        <f ca="1">IFERROR(__xludf.DUMMYFUNCTION("""COMPUTED_VALUE"""),45861)</f>
        <v>45861</v>
      </c>
      <c r="AA573" s="46">
        <f ca="1">IFERROR(__xludf.DUMMYFUNCTION("""COMPUTED_VALUE"""),45874)</f>
        <v>45874</v>
      </c>
      <c r="AB573" s="45" t="str">
        <f ca="1">IFERROR(__xludf.DUMMYFUNCTION("""COMPUTED_VALUE"""),"3500 Argentia Road")</f>
        <v>3500 Argentia Road</v>
      </c>
      <c r="AC573" s="45"/>
      <c r="AD573" s="45" t="str">
        <f ca="1">IFERROR(__xludf.DUMMYFUNCTION("""COMPUTED_VALUE"""),"OCEAN")</f>
        <v>OCEAN</v>
      </c>
      <c r="AE573" s="45" t="str">
        <f ca="1">IFERROR(__xludf.DUMMYFUNCTION("""COMPUTED_VALUE"""),"N")</f>
        <v>N</v>
      </c>
      <c r="AF573" s="45"/>
      <c r="AG573" s="49" t="str">
        <f ca="1">IFERROR(__xludf.DUMMYFUNCTION("IFNA(vlookup(H573,IMPORTRANGE(""1vUGwO1n0QQGx9kKbO0_M5gmuhXZ6-LaxQxgrmJnzgP0"",""'TP# look up'!A:C""),3,0),"""")"),"")</f>
        <v/>
      </c>
      <c r="AH573" s="49" t="str">
        <f t="shared" ca="1" si="8"/>
        <v>LW</v>
      </c>
    </row>
    <row r="574" spans="1:34" ht="12.75">
      <c r="A574" s="45" t="str">
        <f ca="1">IFERROR(__xludf.DUMMYFUNCTION("""COMPUTED_VALUE"""),"Colombo")</f>
        <v>Colombo</v>
      </c>
      <c r="B574" s="45"/>
      <c r="C574" s="45">
        <f ca="1">IFERROR(__xludf.DUMMYFUNCTION("""COMPUTED_VALUE"""),3254508)</f>
        <v>3254508</v>
      </c>
      <c r="D574" s="45"/>
      <c r="E574" s="45" t="str">
        <f ca="1">IFERROR(__xludf.DUMMYFUNCTION("""COMPUTED_VALUE"""),"CFS")</f>
        <v>CFS</v>
      </c>
      <c r="F574" s="45" t="str">
        <f ca="1">IFERROR(__xludf.DUMMYFUNCTION("""COMPUTED_VALUE"""),"Bodyline Trading (Private) Limited")</f>
        <v>Bodyline Trading (Private) Limited</v>
      </c>
      <c r="G574" s="45" t="str">
        <f ca="1">IFERROR(__xludf.DUMMYFUNCTION("""COMPUTED_VALUE"""),"Bodyline (Private) Limited")</f>
        <v>Bodyline (Private) Limited</v>
      </c>
      <c r="H574" s="43">
        <f ca="1">IFERROR(__xludf.DUMMYFUNCTION("""COMPUTED_VALUE"""),455263920586)</f>
        <v>455263920586</v>
      </c>
      <c r="I574" s="45">
        <f ca="1">IFERROR(__xludf.DUMMYFUNCTION("""COMPUTED_VALUE"""),19878381)</f>
        <v>19878381</v>
      </c>
      <c r="J574" s="45" t="str">
        <f ca="1">IFERROR(__xludf.DUMMYFUNCTION("""COMPUTED_VALUE"""),"LW9DEAS")</f>
        <v>LW9DEAS</v>
      </c>
      <c r="K574" s="45" t="str">
        <f ca="1">IFERROR(__xludf.DUMMYFUNCTION("""COMPUTED_VALUE"""),"LW9DEAS-070623")</f>
        <v>LW9DEAS-070623</v>
      </c>
      <c r="L574" s="45">
        <f ca="1">IFERROR(__xludf.DUMMYFUNCTION("""COMPUTED_VALUE"""),6)</f>
        <v>6</v>
      </c>
      <c r="M574" s="45">
        <f ca="1">IFERROR(__xludf.DUMMYFUNCTION("""COMPUTED_VALUE"""),164)</f>
        <v>164</v>
      </c>
      <c r="N574" s="45">
        <f ca="1">IFERROR(__xludf.DUMMYFUNCTION("""COMPUTED_VALUE"""),20.563)</f>
        <v>20.562999999999999</v>
      </c>
      <c r="O574" s="45">
        <f ca="1">IFERROR(__xludf.DUMMYFUNCTION("""COMPUTED_VALUE"""),0.264)</f>
        <v>0.26400000000000001</v>
      </c>
      <c r="P574" s="45" t="str">
        <f ca="1">IFERROR(__xludf.DUMMYFUNCTION("""COMPUTED_VALUE"""),"Colombo, LK")</f>
        <v>Colombo, LK</v>
      </c>
      <c r="Q574" s="45" t="str">
        <f ca="1">IFERROR(__xludf.DUMMYFUNCTION("""COMPUTED_VALUE"""),"New York, NY, US")</f>
        <v>New York, NY, US</v>
      </c>
      <c r="R574" s="44">
        <f ca="1">IFERROR(__xludf.DUMMYFUNCTION("""COMPUTED_VALUE"""),45824)</f>
        <v>45824</v>
      </c>
      <c r="S574" s="44">
        <f ca="1">IFERROR(__xludf.DUMMYFUNCTION("""COMPUTED_VALUE"""),45883)</f>
        <v>45883</v>
      </c>
      <c r="T574" s="45" t="str">
        <f ca="1">IFERROR(__xludf.DUMMYFUNCTION("""COMPUTED_VALUE"""),"Mississauga, ON, CA")</f>
        <v>Mississauga, ON, CA</v>
      </c>
      <c r="U574" s="45"/>
      <c r="V574" s="45"/>
      <c r="W574" s="45"/>
      <c r="X574" s="45"/>
      <c r="Y574" s="46">
        <f ca="1">IFERROR(__xludf.DUMMYFUNCTION("""COMPUTED_VALUE"""),45832)</f>
        <v>45832</v>
      </c>
      <c r="Z574" s="46">
        <f ca="1">IFERROR(__xludf.DUMMYFUNCTION("""COMPUTED_VALUE"""),45861)</f>
        <v>45861</v>
      </c>
      <c r="AA574" s="46">
        <f ca="1">IFERROR(__xludf.DUMMYFUNCTION("""COMPUTED_VALUE"""),45874)</f>
        <v>45874</v>
      </c>
      <c r="AB574" s="45" t="str">
        <f ca="1">IFERROR(__xludf.DUMMYFUNCTION("""COMPUTED_VALUE"""),"3500 Argentia Road")</f>
        <v>3500 Argentia Road</v>
      </c>
      <c r="AC574" s="45"/>
      <c r="AD574" s="45" t="str">
        <f ca="1">IFERROR(__xludf.DUMMYFUNCTION("""COMPUTED_VALUE"""),"OCEAN")</f>
        <v>OCEAN</v>
      </c>
      <c r="AE574" s="45" t="str">
        <f ca="1">IFERROR(__xludf.DUMMYFUNCTION("""COMPUTED_VALUE"""),"N")</f>
        <v>N</v>
      </c>
      <c r="AF574" s="45"/>
      <c r="AG574" s="49" t="str">
        <f ca="1">IFERROR(__xludf.DUMMYFUNCTION("IFNA(vlookup(H574,IMPORTRANGE(""1vUGwO1n0QQGx9kKbO0_M5gmuhXZ6-LaxQxgrmJnzgP0"",""'TP# look up'!A:C""),3,0),"""")"),"")</f>
        <v/>
      </c>
      <c r="AH574" s="49" t="str">
        <f t="shared" ca="1" si="8"/>
        <v>LW</v>
      </c>
    </row>
    <row r="575" spans="1:34" ht="12.75">
      <c r="A575" s="45" t="str">
        <f ca="1">IFERROR(__xludf.DUMMYFUNCTION("""COMPUTED_VALUE"""),"Colombo")</f>
        <v>Colombo</v>
      </c>
      <c r="B575" s="45"/>
      <c r="C575" s="45">
        <f ca="1">IFERROR(__xludf.DUMMYFUNCTION("""COMPUTED_VALUE"""),3254508)</f>
        <v>3254508</v>
      </c>
      <c r="D575" s="45"/>
      <c r="E575" s="45" t="str">
        <f ca="1">IFERROR(__xludf.DUMMYFUNCTION("""COMPUTED_VALUE"""),"CFS")</f>
        <v>CFS</v>
      </c>
      <c r="F575" s="45" t="str">
        <f ca="1">IFERROR(__xludf.DUMMYFUNCTION("""COMPUTED_VALUE"""),"Bodyline Trading (Private) Limited")</f>
        <v>Bodyline Trading (Private) Limited</v>
      </c>
      <c r="G575" s="45" t="str">
        <f ca="1">IFERROR(__xludf.DUMMYFUNCTION("""COMPUTED_VALUE"""),"Bodyline (Private) Limited")</f>
        <v>Bodyline (Private) Limited</v>
      </c>
      <c r="H575" s="43">
        <f ca="1">IFERROR(__xludf.DUMMYFUNCTION("""COMPUTED_VALUE"""),455264408885)</f>
        <v>455264408885</v>
      </c>
      <c r="I575" s="45">
        <f ca="1">IFERROR(__xludf.DUMMYFUNCTION("""COMPUTED_VALUE"""),19878107)</f>
        <v>19878107</v>
      </c>
      <c r="J575" s="45" t="str">
        <f ca="1">IFERROR(__xludf.DUMMYFUNCTION("""COMPUTED_VALUE"""),"LW9DCIS")</f>
        <v>LW9DCIS</v>
      </c>
      <c r="K575" s="45" t="str">
        <f ca="1">IFERROR(__xludf.DUMMYFUNCTION("""COMPUTED_VALUE"""),"LW9DCIS-073357")</f>
        <v>LW9DCIS-073357</v>
      </c>
      <c r="L575" s="45">
        <f ca="1">IFERROR(__xludf.DUMMYFUNCTION("""COMPUTED_VALUE"""),3)</f>
        <v>3</v>
      </c>
      <c r="M575" s="45">
        <f ca="1">IFERROR(__xludf.DUMMYFUNCTION("""COMPUTED_VALUE"""),97)</f>
        <v>97</v>
      </c>
      <c r="N575" s="45">
        <f ca="1">IFERROR(__xludf.DUMMYFUNCTION("""COMPUTED_VALUE"""),9.885)</f>
        <v>9.8849999999999998</v>
      </c>
      <c r="O575" s="45">
        <f ca="1">IFERROR(__xludf.DUMMYFUNCTION("""COMPUTED_VALUE"""),0.132)</f>
        <v>0.13200000000000001</v>
      </c>
      <c r="P575" s="45" t="str">
        <f ca="1">IFERROR(__xludf.DUMMYFUNCTION("""COMPUTED_VALUE"""),"Colombo, LK")</f>
        <v>Colombo, LK</v>
      </c>
      <c r="Q575" s="45" t="str">
        <f ca="1">IFERROR(__xludf.DUMMYFUNCTION("""COMPUTED_VALUE"""),"New York, NY, US")</f>
        <v>New York, NY, US</v>
      </c>
      <c r="R575" s="44">
        <f ca="1">IFERROR(__xludf.DUMMYFUNCTION("""COMPUTED_VALUE"""),45824)</f>
        <v>45824</v>
      </c>
      <c r="S575" s="44">
        <f ca="1">IFERROR(__xludf.DUMMYFUNCTION("""COMPUTED_VALUE"""),45883)</f>
        <v>45883</v>
      </c>
      <c r="T575" s="45" t="str">
        <f ca="1">IFERROR(__xludf.DUMMYFUNCTION("""COMPUTED_VALUE"""),"Mississauga, ON, CA")</f>
        <v>Mississauga, ON, CA</v>
      </c>
      <c r="U575" s="45"/>
      <c r="V575" s="45"/>
      <c r="W575" s="45"/>
      <c r="X575" s="45"/>
      <c r="Y575" s="46">
        <f ca="1">IFERROR(__xludf.DUMMYFUNCTION("""COMPUTED_VALUE"""),45832)</f>
        <v>45832</v>
      </c>
      <c r="Z575" s="46">
        <f ca="1">IFERROR(__xludf.DUMMYFUNCTION("""COMPUTED_VALUE"""),45861)</f>
        <v>45861</v>
      </c>
      <c r="AA575" s="46">
        <f ca="1">IFERROR(__xludf.DUMMYFUNCTION("""COMPUTED_VALUE"""),45874)</f>
        <v>45874</v>
      </c>
      <c r="AB575" s="45" t="str">
        <f ca="1">IFERROR(__xludf.DUMMYFUNCTION("""COMPUTED_VALUE"""),"3500 Argentia Road")</f>
        <v>3500 Argentia Road</v>
      </c>
      <c r="AC575" s="45"/>
      <c r="AD575" s="45" t="str">
        <f ca="1">IFERROR(__xludf.DUMMYFUNCTION("""COMPUTED_VALUE"""),"OCEAN")</f>
        <v>OCEAN</v>
      </c>
      <c r="AE575" s="45" t="str">
        <f ca="1">IFERROR(__xludf.DUMMYFUNCTION("""COMPUTED_VALUE"""),"N")</f>
        <v>N</v>
      </c>
      <c r="AF575" s="45"/>
      <c r="AG575" s="49" t="str">
        <f ca="1">IFERROR(__xludf.DUMMYFUNCTION("IFNA(vlookup(H575,IMPORTRANGE(""1vUGwO1n0QQGx9kKbO0_M5gmuhXZ6-LaxQxgrmJnzgP0"",""'TP# look up'!A:C""),3,0),"""")"),"")</f>
        <v/>
      </c>
      <c r="AH575" s="49" t="str">
        <f t="shared" ca="1" si="8"/>
        <v>LW</v>
      </c>
    </row>
    <row r="576" spans="1:34" ht="12.75">
      <c r="A576" s="45" t="str">
        <f ca="1">IFERROR(__xludf.DUMMYFUNCTION("""COMPUTED_VALUE"""),"Colombo")</f>
        <v>Colombo</v>
      </c>
      <c r="B576" s="45"/>
      <c r="C576" s="45">
        <f ca="1">IFERROR(__xludf.DUMMYFUNCTION("""COMPUTED_VALUE"""),3254508)</f>
        <v>3254508</v>
      </c>
      <c r="D576" s="45"/>
      <c r="E576" s="45" t="str">
        <f ca="1">IFERROR(__xludf.DUMMYFUNCTION("""COMPUTED_VALUE"""),"CFS")</f>
        <v>CFS</v>
      </c>
      <c r="F576" s="45" t="str">
        <f ca="1">IFERROR(__xludf.DUMMYFUNCTION("""COMPUTED_VALUE"""),"MAS AMITY PTE LTD")</f>
        <v>MAS AMITY PTE LTD</v>
      </c>
      <c r="G576" s="45" t="str">
        <f ca="1">IFERROR(__xludf.DUMMYFUNCTION("""COMPUTED_VALUE"""),"MAS Active(Pvt) Ltd – CONTOURLINE")</f>
        <v>MAS Active(Pvt) Ltd – CONTOURLINE</v>
      </c>
      <c r="H576" s="43">
        <f ca="1">IFERROR(__xludf.DUMMYFUNCTION("""COMPUTED_VALUE"""),454980124369)</f>
        <v>454980124369</v>
      </c>
      <c r="I576" s="45">
        <f ca="1">IFERROR(__xludf.DUMMYFUNCTION("""COMPUTED_VALUE"""),19896672)</f>
        <v>19896672</v>
      </c>
      <c r="J576" s="45" t="str">
        <f ca="1">IFERROR(__xludf.DUMMYFUNCTION("""COMPUTED_VALUE"""),"LW1DRKS")</f>
        <v>LW1DRKS</v>
      </c>
      <c r="K576" s="45" t="str">
        <f ca="1">IFERROR(__xludf.DUMMYFUNCTION("""COMPUTED_VALUE"""),"LW1DRKS-070108")</f>
        <v>LW1DRKS-070108</v>
      </c>
      <c r="L576" s="45">
        <f ca="1">IFERROR(__xludf.DUMMYFUNCTION("""COMPUTED_VALUE"""),1)</f>
        <v>1</v>
      </c>
      <c r="M576" s="45">
        <f ca="1">IFERROR(__xludf.DUMMYFUNCTION("""COMPUTED_VALUE"""),86)</f>
        <v>86</v>
      </c>
      <c r="N576" s="45">
        <f ca="1">IFERROR(__xludf.DUMMYFUNCTION("""COMPUTED_VALUE"""),10.882)</f>
        <v>10.882</v>
      </c>
      <c r="O576" s="45">
        <f ca="1">IFERROR(__xludf.DUMMYFUNCTION("""COMPUTED_VALUE"""),0.079)</f>
        <v>7.9000000000000001E-2</v>
      </c>
      <c r="P576" s="45" t="str">
        <f ca="1">IFERROR(__xludf.DUMMYFUNCTION("""COMPUTED_VALUE"""),"Colombo, LK")</f>
        <v>Colombo, LK</v>
      </c>
      <c r="Q576" s="45" t="str">
        <f ca="1">IFERROR(__xludf.DUMMYFUNCTION("""COMPUTED_VALUE"""),"New York, NY, US")</f>
        <v>New York, NY, US</v>
      </c>
      <c r="R576" s="44">
        <f ca="1">IFERROR(__xludf.DUMMYFUNCTION("""COMPUTED_VALUE"""),45824)</f>
        <v>45824</v>
      </c>
      <c r="S576" s="44">
        <f ca="1">IFERROR(__xludf.DUMMYFUNCTION("""COMPUTED_VALUE"""),45883)</f>
        <v>45883</v>
      </c>
      <c r="T576" s="45" t="str">
        <f ca="1">IFERROR(__xludf.DUMMYFUNCTION("""COMPUTED_VALUE"""),"Mississauga, ON, CA")</f>
        <v>Mississauga, ON, CA</v>
      </c>
      <c r="U576" s="45"/>
      <c r="V576" s="45"/>
      <c r="W576" s="45"/>
      <c r="X576" s="45"/>
      <c r="Y576" s="46">
        <f ca="1">IFERROR(__xludf.DUMMYFUNCTION("""COMPUTED_VALUE"""),45832)</f>
        <v>45832</v>
      </c>
      <c r="Z576" s="46">
        <f ca="1">IFERROR(__xludf.DUMMYFUNCTION("""COMPUTED_VALUE"""),45861)</f>
        <v>45861</v>
      </c>
      <c r="AA576" s="46">
        <f ca="1">IFERROR(__xludf.DUMMYFUNCTION("""COMPUTED_VALUE"""),45874)</f>
        <v>45874</v>
      </c>
      <c r="AB576" s="45" t="str">
        <f ca="1">IFERROR(__xludf.DUMMYFUNCTION("""COMPUTED_VALUE"""),"3500 Argentia Road")</f>
        <v>3500 Argentia Road</v>
      </c>
      <c r="AC576" s="45"/>
      <c r="AD576" s="45" t="str">
        <f ca="1">IFERROR(__xludf.DUMMYFUNCTION("""COMPUTED_VALUE"""),"OCEAN")</f>
        <v>OCEAN</v>
      </c>
      <c r="AE576" s="45" t="str">
        <f ca="1">IFERROR(__xludf.DUMMYFUNCTION("""COMPUTED_VALUE"""),"N")</f>
        <v>N</v>
      </c>
      <c r="AF576" s="45"/>
      <c r="AG576" s="49" t="str">
        <f ca="1">IFERROR(__xludf.DUMMYFUNCTION("IFNA(vlookup(H576,IMPORTRANGE(""1vUGwO1n0QQGx9kKbO0_M5gmuhXZ6-LaxQxgrmJnzgP0"",""'TP# look up'!A:C""),3,0),"""")"),"")</f>
        <v/>
      </c>
      <c r="AH576" s="49" t="str">
        <f t="shared" ca="1" si="8"/>
        <v>LW</v>
      </c>
    </row>
    <row r="577" spans="1:34" ht="12.75">
      <c r="A577" s="45" t="str">
        <f ca="1">IFERROR(__xludf.DUMMYFUNCTION("""COMPUTED_VALUE"""),"Colombo")</f>
        <v>Colombo</v>
      </c>
      <c r="B577" s="45"/>
      <c r="C577" s="45">
        <f ca="1">IFERROR(__xludf.DUMMYFUNCTION("""COMPUTED_VALUE"""),3254508)</f>
        <v>3254508</v>
      </c>
      <c r="D577" s="45"/>
      <c r="E577" s="45" t="str">
        <f ca="1">IFERROR(__xludf.DUMMYFUNCTION("""COMPUTED_VALUE"""),"CFS")</f>
        <v>CFS</v>
      </c>
      <c r="F577" s="45" t="str">
        <f ca="1">IFERROR(__xludf.DUMMYFUNCTION("""COMPUTED_VALUE"""),"MAS AMITY PTE LTD")</f>
        <v>MAS AMITY PTE LTD</v>
      </c>
      <c r="G577" s="45" t="str">
        <f ca="1">IFERROR(__xludf.DUMMYFUNCTION("""COMPUTED_VALUE"""),"MAS Active(Pvt) Ltd – CONTOURLINE")</f>
        <v>MAS Active(Pvt) Ltd – CONTOURLINE</v>
      </c>
      <c r="H577" s="43">
        <f ca="1">IFERROR(__xludf.DUMMYFUNCTION("""COMPUTED_VALUE"""),454984993809)</f>
        <v>454984993809</v>
      </c>
      <c r="I577" s="45">
        <f ca="1">IFERROR(__xludf.DUMMYFUNCTION("""COMPUTED_VALUE"""),19896697)</f>
        <v>19896697</v>
      </c>
      <c r="J577" s="45" t="str">
        <f ca="1">IFERROR(__xludf.DUMMYFUNCTION("""COMPUTED_VALUE"""),"LW1DRKS")</f>
        <v>LW1DRKS</v>
      </c>
      <c r="K577" s="45" t="str">
        <f ca="1">IFERROR(__xludf.DUMMYFUNCTION("""COMPUTED_VALUE"""),"LW1DRKS-070108")</f>
        <v>LW1DRKS-070108</v>
      </c>
      <c r="L577" s="45">
        <f ca="1">IFERROR(__xludf.DUMMYFUNCTION("""COMPUTED_VALUE"""),3)</f>
        <v>3</v>
      </c>
      <c r="M577" s="45">
        <f ca="1">IFERROR(__xludf.DUMMYFUNCTION("""COMPUTED_VALUE"""),252)</f>
        <v>252</v>
      </c>
      <c r="N577" s="45">
        <f ca="1">IFERROR(__xludf.DUMMYFUNCTION("""COMPUTED_VALUE"""),31.954)</f>
        <v>31.954000000000001</v>
      </c>
      <c r="O577" s="45">
        <f ca="1">IFERROR(__xludf.DUMMYFUNCTION("""COMPUTED_VALUE"""),0.237)</f>
        <v>0.23699999999999999</v>
      </c>
      <c r="P577" s="45" t="str">
        <f ca="1">IFERROR(__xludf.DUMMYFUNCTION("""COMPUTED_VALUE"""),"Colombo, LK")</f>
        <v>Colombo, LK</v>
      </c>
      <c r="Q577" s="45" t="str">
        <f ca="1">IFERROR(__xludf.DUMMYFUNCTION("""COMPUTED_VALUE"""),"New York, NY, US")</f>
        <v>New York, NY, US</v>
      </c>
      <c r="R577" s="44">
        <f ca="1">IFERROR(__xludf.DUMMYFUNCTION("""COMPUTED_VALUE"""),45824)</f>
        <v>45824</v>
      </c>
      <c r="S577" s="44">
        <f ca="1">IFERROR(__xludf.DUMMYFUNCTION("""COMPUTED_VALUE"""),45883)</f>
        <v>45883</v>
      </c>
      <c r="T577" s="45" t="str">
        <f ca="1">IFERROR(__xludf.DUMMYFUNCTION("""COMPUTED_VALUE"""),"Mississauga, ON, CA")</f>
        <v>Mississauga, ON, CA</v>
      </c>
      <c r="U577" s="45"/>
      <c r="V577" s="45"/>
      <c r="W577" s="45"/>
      <c r="X577" s="45"/>
      <c r="Y577" s="46">
        <f ca="1">IFERROR(__xludf.DUMMYFUNCTION("""COMPUTED_VALUE"""),45832)</f>
        <v>45832</v>
      </c>
      <c r="Z577" s="46">
        <f ca="1">IFERROR(__xludf.DUMMYFUNCTION("""COMPUTED_VALUE"""),45861)</f>
        <v>45861</v>
      </c>
      <c r="AA577" s="46">
        <f ca="1">IFERROR(__xludf.DUMMYFUNCTION("""COMPUTED_VALUE"""),45874)</f>
        <v>45874</v>
      </c>
      <c r="AB577" s="45" t="str">
        <f ca="1">IFERROR(__xludf.DUMMYFUNCTION("""COMPUTED_VALUE"""),"3500 Argentia Road")</f>
        <v>3500 Argentia Road</v>
      </c>
      <c r="AC577" s="45"/>
      <c r="AD577" s="45" t="str">
        <f ca="1">IFERROR(__xludf.DUMMYFUNCTION("""COMPUTED_VALUE"""),"OCEAN")</f>
        <v>OCEAN</v>
      </c>
      <c r="AE577" s="45" t="str">
        <f ca="1">IFERROR(__xludf.DUMMYFUNCTION("""COMPUTED_VALUE"""),"N")</f>
        <v>N</v>
      </c>
      <c r="AF577" s="45"/>
      <c r="AG577" s="49" t="str">
        <f ca="1">IFERROR(__xludf.DUMMYFUNCTION("IFNA(vlookup(H577,IMPORTRANGE(""1vUGwO1n0QQGx9kKbO0_M5gmuhXZ6-LaxQxgrmJnzgP0"",""'TP# look up'!A:C""),3,0),"""")"),"")</f>
        <v/>
      </c>
      <c r="AH577" s="49" t="str">
        <f t="shared" ca="1" si="8"/>
        <v>LW</v>
      </c>
    </row>
    <row r="578" spans="1:34" ht="12.75">
      <c r="A578" s="45" t="str">
        <f ca="1">IFERROR(__xludf.DUMMYFUNCTION("""COMPUTED_VALUE"""),"Colombo")</f>
        <v>Colombo</v>
      </c>
      <c r="B578" s="45"/>
      <c r="C578" s="45">
        <f ca="1">IFERROR(__xludf.DUMMYFUNCTION("""COMPUTED_VALUE"""),3254508)</f>
        <v>3254508</v>
      </c>
      <c r="D578" s="45"/>
      <c r="E578" s="45" t="str">
        <f ca="1">IFERROR(__xludf.DUMMYFUNCTION("""COMPUTED_VALUE"""),"CFS")</f>
        <v>CFS</v>
      </c>
      <c r="F578" s="45" t="str">
        <f ca="1">IFERROR(__xludf.DUMMYFUNCTION("""COMPUTED_VALUE"""),"Inqube Global (PVT) Ltd")</f>
        <v>Inqube Global (PVT) Ltd</v>
      </c>
      <c r="G578" s="45" t="str">
        <f ca="1">IFERROR(__xludf.DUMMYFUNCTION("""COMPUTED_VALUE"""),"Brandix Apparel Solutions Limited - Minuwangoda")</f>
        <v>Brandix Apparel Solutions Limited - Minuwangoda</v>
      </c>
      <c r="H578" s="43">
        <f ca="1">IFERROR(__xludf.DUMMYFUNCTION("""COMPUTED_VALUE"""),455683716916)</f>
        <v>455683716916</v>
      </c>
      <c r="I578" s="45">
        <f ca="1">IFERROR(__xludf.DUMMYFUNCTION("""COMPUTED_VALUE"""),19855040)</f>
        <v>19855040</v>
      </c>
      <c r="J578" s="45" t="str">
        <f ca="1">IFERROR(__xludf.DUMMYFUNCTION("""COMPUTED_VALUE"""),"LW1FQ4S")</f>
        <v>LW1FQ4S</v>
      </c>
      <c r="K578" s="45" t="str">
        <f ca="1">IFERROR(__xludf.DUMMYFUNCTION("""COMPUTED_VALUE"""),"LW1FQ4S-049106")</f>
        <v>LW1FQ4S-049106</v>
      </c>
      <c r="L578" s="45">
        <f ca="1">IFERROR(__xludf.DUMMYFUNCTION("""COMPUTED_VALUE"""),5)</f>
        <v>5</v>
      </c>
      <c r="M578" s="45">
        <f ca="1">IFERROR(__xludf.DUMMYFUNCTION("""COMPUTED_VALUE"""),156)</f>
        <v>156</v>
      </c>
      <c r="N578" s="45">
        <f ca="1">IFERROR(__xludf.DUMMYFUNCTION("""COMPUTED_VALUE"""),31.712)</f>
        <v>31.712</v>
      </c>
      <c r="O578" s="45">
        <f ca="1">IFERROR(__xludf.DUMMYFUNCTION("""COMPUTED_VALUE"""),0.393)</f>
        <v>0.39300000000000002</v>
      </c>
      <c r="P578" s="45" t="str">
        <f ca="1">IFERROR(__xludf.DUMMYFUNCTION("""COMPUTED_VALUE"""),"Colombo, LK")</f>
        <v>Colombo, LK</v>
      </c>
      <c r="Q578" s="45" t="str">
        <f ca="1">IFERROR(__xludf.DUMMYFUNCTION("""COMPUTED_VALUE"""),"New York, NY, US")</f>
        <v>New York, NY, US</v>
      </c>
      <c r="R578" s="44">
        <f ca="1">IFERROR(__xludf.DUMMYFUNCTION("""COMPUTED_VALUE"""),45824)</f>
        <v>45824</v>
      </c>
      <c r="S578" s="44">
        <f ca="1">IFERROR(__xludf.DUMMYFUNCTION("""COMPUTED_VALUE"""),45883)</f>
        <v>45883</v>
      </c>
      <c r="T578" s="45" t="str">
        <f ca="1">IFERROR(__xludf.DUMMYFUNCTION("""COMPUTED_VALUE"""),"Mississauga, ON, CA")</f>
        <v>Mississauga, ON, CA</v>
      </c>
      <c r="U578" s="45"/>
      <c r="V578" s="45"/>
      <c r="W578" s="45"/>
      <c r="X578" s="45"/>
      <c r="Y578" s="46">
        <f ca="1">IFERROR(__xludf.DUMMYFUNCTION("""COMPUTED_VALUE"""),45831)</f>
        <v>45831</v>
      </c>
      <c r="Z578" s="46">
        <f ca="1">IFERROR(__xludf.DUMMYFUNCTION("""COMPUTED_VALUE"""),45852)</f>
        <v>45852</v>
      </c>
      <c r="AA578" s="46">
        <f ca="1">IFERROR(__xludf.DUMMYFUNCTION("""COMPUTED_VALUE"""),45852)</f>
        <v>45852</v>
      </c>
      <c r="AB578" s="45" t="str">
        <f ca="1">IFERROR(__xludf.DUMMYFUNCTION("""COMPUTED_VALUE"""),"3500 Argentia Road")</f>
        <v>3500 Argentia Road</v>
      </c>
      <c r="AC578" s="45"/>
      <c r="AD578" s="45" t="str">
        <f ca="1">IFERROR(__xludf.DUMMYFUNCTION("""COMPUTED_VALUE"""),"OCEAN")</f>
        <v>OCEAN</v>
      </c>
      <c r="AE578" s="45" t="str">
        <f ca="1">IFERROR(__xludf.DUMMYFUNCTION("""COMPUTED_VALUE"""),"N")</f>
        <v>N</v>
      </c>
      <c r="AF578" s="45"/>
      <c r="AG578" s="49" t="str">
        <f ca="1">IFERROR(__xludf.DUMMYFUNCTION("IFNA(vlookup(H578,IMPORTRANGE(""1vUGwO1n0QQGx9kKbO0_M5gmuhXZ6-LaxQxgrmJnzgP0"",""'TP# look up'!A:C""),3,0),"""")"),"")</f>
        <v/>
      </c>
      <c r="AH578" s="49" t="str">
        <f t="shared" ref="AH578:AH641" ca="1" si="9">LEFT(J578,2)</f>
        <v>LW</v>
      </c>
    </row>
    <row r="579" spans="1:34" ht="12.75">
      <c r="A579" s="45" t="str">
        <f ca="1">IFERROR(__xludf.DUMMYFUNCTION("""COMPUTED_VALUE"""),"Colombo")</f>
        <v>Colombo</v>
      </c>
      <c r="B579" s="45"/>
      <c r="C579" s="45">
        <f ca="1">IFERROR(__xludf.DUMMYFUNCTION("""COMPUTED_VALUE"""),3254508)</f>
        <v>3254508</v>
      </c>
      <c r="D579" s="45"/>
      <c r="E579" s="45" t="str">
        <f ca="1">IFERROR(__xludf.DUMMYFUNCTION("""COMPUTED_VALUE"""),"CFS")</f>
        <v>CFS</v>
      </c>
      <c r="F579" s="45" t="str">
        <f ca="1">IFERROR(__xludf.DUMMYFUNCTION("""COMPUTED_VALUE"""),"Inqube Global (PVT) Ltd")</f>
        <v>Inqube Global (PVT) Ltd</v>
      </c>
      <c r="G579" s="45" t="str">
        <f ca="1">IFERROR(__xludf.DUMMYFUNCTION("""COMPUTED_VALUE"""),"Brandix Apparel Solutions Limited - Minuwangoda")</f>
        <v>Brandix Apparel Solutions Limited - Minuwangoda</v>
      </c>
      <c r="H579" s="43">
        <f ca="1">IFERROR(__xludf.DUMMYFUNCTION("""COMPUTED_VALUE"""),455688329627)</f>
        <v>455688329627</v>
      </c>
      <c r="I579" s="45">
        <f ca="1">IFERROR(__xludf.DUMMYFUNCTION("""COMPUTED_VALUE"""),19855123)</f>
        <v>19855123</v>
      </c>
      <c r="J579" s="45" t="str">
        <f ca="1">IFERROR(__xludf.DUMMYFUNCTION("""COMPUTED_VALUE"""),"LW1FQ4S")</f>
        <v>LW1FQ4S</v>
      </c>
      <c r="K579" s="45" t="str">
        <f ca="1">IFERROR(__xludf.DUMMYFUNCTION("""COMPUTED_VALUE"""),"LW1FQ4S-049106")</f>
        <v>LW1FQ4S-049106</v>
      </c>
      <c r="L579" s="45">
        <f ca="1">IFERROR(__xludf.DUMMYFUNCTION("""COMPUTED_VALUE"""),12)</f>
        <v>12</v>
      </c>
      <c r="M579" s="45">
        <f ca="1">IFERROR(__xludf.DUMMYFUNCTION("""COMPUTED_VALUE"""),631)</f>
        <v>631</v>
      </c>
      <c r="N579" s="45">
        <f ca="1">IFERROR(__xludf.DUMMYFUNCTION("""COMPUTED_VALUE"""),119.58)</f>
        <v>119.58</v>
      </c>
      <c r="O579" s="45">
        <f ca="1">IFERROR(__xludf.DUMMYFUNCTION("""COMPUTED_VALUE"""),0.942)</f>
        <v>0.94199999999999995</v>
      </c>
      <c r="P579" s="45" t="str">
        <f ca="1">IFERROR(__xludf.DUMMYFUNCTION("""COMPUTED_VALUE"""),"Colombo, LK")</f>
        <v>Colombo, LK</v>
      </c>
      <c r="Q579" s="45" t="str">
        <f ca="1">IFERROR(__xludf.DUMMYFUNCTION("""COMPUTED_VALUE"""),"New York, NY, US")</f>
        <v>New York, NY, US</v>
      </c>
      <c r="R579" s="44">
        <f ca="1">IFERROR(__xludf.DUMMYFUNCTION("""COMPUTED_VALUE"""),45824)</f>
        <v>45824</v>
      </c>
      <c r="S579" s="44">
        <f ca="1">IFERROR(__xludf.DUMMYFUNCTION("""COMPUTED_VALUE"""),45883)</f>
        <v>45883</v>
      </c>
      <c r="T579" s="45" t="str">
        <f ca="1">IFERROR(__xludf.DUMMYFUNCTION("""COMPUTED_VALUE"""),"Mississauga, ON, CA")</f>
        <v>Mississauga, ON, CA</v>
      </c>
      <c r="U579" s="45"/>
      <c r="V579" s="45"/>
      <c r="W579" s="45"/>
      <c r="X579" s="45"/>
      <c r="Y579" s="46">
        <f ca="1">IFERROR(__xludf.DUMMYFUNCTION("""COMPUTED_VALUE"""),45831)</f>
        <v>45831</v>
      </c>
      <c r="Z579" s="46">
        <f ca="1">IFERROR(__xludf.DUMMYFUNCTION("""COMPUTED_VALUE"""),45852)</f>
        <v>45852</v>
      </c>
      <c r="AA579" s="46">
        <f ca="1">IFERROR(__xludf.DUMMYFUNCTION("""COMPUTED_VALUE"""),45852)</f>
        <v>45852</v>
      </c>
      <c r="AB579" s="45" t="str">
        <f ca="1">IFERROR(__xludf.DUMMYFUNCTION("""COMPUTED_VALUE"""),"3500 Argentia Road")</f>
        <v>3500 Argentia Road</v>
      </c>
      <c r="AC579" s="45"/>
      <c r="AD579" s="45" t="str">
        <f ca="1">IFERROR(__xludf.DUMMYFUNCTION("""COMPUTED_VALUE"""),"OCEAN")</f>
        <v>OCEAN</v>
      </c>
      <c r="AE579" s="45" t="str">
        <f ca="1">IFERROR(__xludf.DUMMYFUNCTION("""COMPUTED_VALUE"""),"N")</f>
        <v>N</v>
      </c>
      <c r="AF579" s="45"/>
      <c r="AG579" s="49" t="str">
        <f ca="1">IFERROR(__xludf.DUMMYFUNCTION("IFNA(vlookup(H579,IMPORTRANGE(""1vUGwO1n0QQGx9kKbO0_M5gmuhXZ6-LaxQxgrmJnzgP0"",""'TP# look up'!A:C""),3,0),"""")"),"")</f>
        <v/>
      </c>
      <c r="AH579" s="49" t="str">
        <f t="shared" ca="1" si="9"/>
        <v>LW</v>
      </c>
    </row>
    <row r="580" spans="1:34" ht="12.75">
      <c r="A580" s="45" t="str">
        <f ca="1">IFERROR(__xludf.DUMMYFUNCTION("""COMPUTED_VALUE"""),"Colombo")</f>
        <v>Colombo</v>
      </c>
      <c r="B580" s="45"/>
      <c r="C580" s="45">
        <f ca="1">IFERROR(__xludf.DUMMYFUNCTION("""COMPUTED_VALUE"""),3254508)</f>
        <v>3254508</v>
      </c>
      <c r="D580" s="45"/>
      <c r="E580" s="45" t="str">
        <f ca="1">IFERROR(__xludf.DUMMYFUNCTION("""COMPUTED_VALUE"""),"CFS")</f>
        <v>CFS</v>
      </c>
      <c r="F580" s="45" t="str">
        <f ca="1">IFERROR(__xludf.DUMMYFUNCTION("""COMPUTED_VALUE"""),"MAS AMITY PTE LTD")</f>
        <v>MAS AMITY PTE LTD</v>
      </c>
      <c r="G580" s="45" t="str">
        <f ca="1">IFERROR(__xludf.DUMMYFUNCTION("""COMPUTED_VALUE"""),"MAS Fabrics (Pvt) Ltd Intimo")</f>
        <v>MAS Fabrics (Pvt) Ltd Intimo</v>
      </c>
      <c r="H580" s="43">
        <f ca="1">IFERROR(__xludf.DUMMYFUNCTION("""COMPUTED_VALUE"""),455588526597)</f>
        <v>455588526597</v>
      </c>
      <c r="I580" s="45">
        <f ca="1">IFERROR(__xludf.DUMMYFUNCTION("""COMPUTED_VALUE"""),19911298)</f>
        <v>19911298</v>
      </c>
      <c r="J580" s="45" t="str">
        <f ca="1">IFERROR(__xludf.DUMMYFUNCTION("""COMPUTED_VALUE"""),"LW5HC0S")</f>
        <v>LW5HC0S</v>
      </c>
      <c r="K580" s="45" t="str">
        <f ca="1">IFERROR(__xludf.DUMMYFUNCTION("""COMPUTED_VALUE"""),"LW5HC0S-071101")</f>
        <v>LW5HC0S-071101</v>
      </c>
      <c r="L580" s="45">
        <f ca="1">IFERROR(__xludf.DUMMYFUNCTION("""COMPUTED_VALUE"""),11)</f>
        <v>11</v>
      </c>
      <c r="M580" s="45">
        <f ca="1">IFERROR(__xludf.DUMMYFUNCTION("""COMPUTED_VALUE"""),520)</f>
        <v>520</v>
      </c>
      <c r="N580" s="45">
        <f ca="1">IFERROR(__xludf.DUMMYFUNCTION("""COMPUTED_VALUE"""),167.397)</f>
        <v>167.39699999999999</v>
      </c>
      <c r="O580" s="45">
        <f ca="1">IFERROR(__xludf.DUMMYFUNCTION("""COMPUTED_VALUE"""),0.869)</f>
        <v>0.86899999999999999</v>
      </c>
      <c r="P580" s="45" t="str">
        <f ca="1">IFERROR(__xludf.DUMMYFUNCTION("""COMPUTED_VALUE"""),"Colombo, LK")</f>
        <v>Colombo, LK</v>
      </c>
      <c r="Q580" s="45" t="str">
        <f ca="1">IFERROR(__xludf.DUMMYFUNCTION("""COMPUTED_VALUE"""),"New York, NY, US")</f>
        <v>New York, NY, US</v>
      </c>
      <c r="R580" s="44">
        <f ca="1">IFERROR(__xludf.DUMMYFUNCTION("""COMPUTED_VALUE"""),45824)</f>
        <v>45824</v>
      </c>
      <c r="S580" s="44">
        <f ca="1">IFERROR(__xludf.DUMMYFUNCTION("""COMPUTED_VALUE"""),45883)</f>
        <v>45883</v>
      </c>
      <c r="T580" s="45" t="str">
        <f ca="1">IFERROR(__xludf.DUMMYFUNCTION("""COMPUTED_VALUE"""),"Mississauga, ON, CA")</f>
        <v>Mississauga, ON, CA</v>
      </c>
      <c r="U580" s="45"/>
      <c r="V580" s="45"/>
      <c r="W580" s="45"/>
      <c r="X580" s="45"/>
      <c r="Y580" s="46">
        <f ca="1">IFERROR(__xludf.DUMMYFUNCTION("""COMPUTED_VALUE"""),45831)</f>
        <v>45831</v>
      </c>
      <c r="Z580" s="46">
        <f ca="1">IFERROR(__xludf.DUMMYFUNCTION("""COMPUTED_VALUE"""),45852)</f>
        <v>45852</v>
      </c>
      <c r="AA580" s="46">
        <f ca="1">IFERROR(__xludf.DUMMYFUNCTION("""COMPUTED_VALUE"""),45852)</f>
        <v>45852</v>
      </c>
      <c r="AB580" s="45" t="str">
        <f ca="1">IFERROR(__xludf.DUMMYFUNCTION("""COMPUTED_VALUE"""),"3500 Argentia Road")</f>
        <v>3500 Argentia Road</v>
      </c>
      <c r="AC580" s="45"/>
      <c r="AD580" s="45" t="str">
        <f ca="1">IFERROR(__xludf.DUMMYFUNCTION("""COMPUTED_VALUE"""),"OCEAN")</f>
        <v>OCEAN</v>
      </c>
      <c r="AE580" s="45" t="str">
        <f ca="1">IFERROR(__xludf.DUMMYFUNCTION("""COMPUTED_VALUE"""),"N")</f>
        <v>N</v>
      </c>
      <c r="AF580" s="45"/>
      <c r="AG580" s="49" t="str">
        <f ca="1">IFERROR(__xludf.DUMMYFUNCTION("IFNA(vlookup(H580,IMPORTRANGE(""1vUGwO1n0QQGx9kKbO0_M5gmuhXZ6-LaxQxgrmJnzgP0"",""'TP# look up'!A:C""),3,0),"""")"),"")</f>
        <v/>
      </c>
      <c r="AH580" s="49" t="str">
        <f t="shared" ca="1" si="9"/>
        <v>LW</v>
      </c>
    </row>
    <row r="581" spans="1:34" ht="12.75">
      <c r="A581" s="45" t="str">
        <f ca="1">IFERROR(__xludf.DUMMYFUNCTION("""COMPUTED_VALUE"""),"Colombo")</f>
        <v>Colombo</v>
      </c>
      <c r="B581" s="45"/>
      <c r="C581" s="45">
        <f ca="1">IFERROR(__xludf.DUMMYFUNCTION("""COMPUTED_VALUE"""),3254508)</f>
        <v>3254508</v>
      </c>
      <c r="D581" s="45"/>
      <c r="E581" s="45" t="str">
        <f ca="1">IFERROR(__xludf.DUMMYFUNCTION("""COMPUTED_VALUE"""),"CFS")</f>
        <v>CFS</v>
      </c>
      <c r="F581" s="45" t="str">
        <f ca="1">IFERROR(__xludf.DUMMYFUNCTION("""COMPUTED_VALUE"""),"MAS AMITY PTE LTD")</f>
        <v>MAS AMITY PTE LTD</v>
      </c>
      <c r="G581" s="45" t="str">
        <f ca="1">IFERROR(__xludf.DUMMYFUNCTION("""COMPUTED_VALUE"""),"MAS Fabrics (Pvt) Ltd Intimo")</f>
        <v>MAS Fabrics (Pvt) Ltd Intimo</v>
      </c>
      <c r="H581" s="43">
        <f ca="1">IFERROR(__xludf.DUMMYFUNCTION("""COMPUTED_VALUE"""),455588584748)</f>
        <v>455588584748</v>
      </c>
      <c r="I581" s="45">
        <f ca="1">IFERROR(__xludf.DUMMYFUNCTION("""COMPUTED_VALUE"""),19900246)</f>
        <v>19900246</v>
      </c>
      <c r="J581" s="45" t="str">
        <f ca="1">IFERROR(__xludf.DUMMYFUNCTION("""COMPUTED_VALUE"""),"LW5HC0S")</f>
        <v>LW5HC0S</v>
      </c>
      <c r="K581" s="45" t="str">
        <f ca="1">IFERROR(__xludf.DUMMYFUNCTION("""COMPUTED_VALUE"""),"LW5HC0S-071101")</f>
        <v>LW5HC0S-071101</v>
      </c>
      <c r="L581" s="45">
        <f ca="1">IFERROR(__xludf.DUMMYFUNCTION("""COMPUTED_VALUE"""),2)</f>
        <v>2</v>
      </c>
      <c r="M581" s="45">
        <f ca="1">IFERROR(__xludf.DUMMYFUNCTION("""COMPUTED_VALUE"""),46)</f>
        <v>46</v>
      </c>
      <c r="N581" s="45">
        <f ca="1">IFERROR(__xludf.DUMMYFUNCTION("""COMPUTED_VALUE"""),15.406)</f>
        <v>15.406000000000001</v>
      </c>
      <c r="O581" s="45">
        <f ca="1">IFERROR(__xludf.DUMMYFUNCTION("""COMPUTED_VALUE"""),0.118)</f>
        <v>0.11799999999999999</v>
      </c>
      <c r="P581" s="45" t="str">
        <f ca="1">IFERROR(__xludf.DUMMYFUNCTION("""COMPUTED_VALUE"""),"Colombo, LK")</f>
        <v>Colombo, LK</v>
      </c>
      <c r="Q581" s="45" t="str">
        <f ca="1">IFERROR(__xludf.DUMMYFUNCTION("""COMPUTED_VALUE"""),"New York, NY, US")</f>
        <v>New York, NY, US</v>
      </c>
      <c r="R581" s="44">
        <f ca="1">IFERROR(__xludf.DUMMYFUNCTION("""COMPUTED_VALUE"""),45824)</f>
        <v>45824</v>
      </c>
      <c r="S581" s="44">
        <f ca="1">IFERROR(__xludf.DUMMYFUNCTION("""COMPUTED_VALUE"""),45883)</f>
        <v>45883</v>
      </c>
      <c r="T581" s="45" t="str">
        <f ca="1">IFERROR(__xludf.DUMMYFUNCTION("""COMPUTED_VALUE"""),"Milton, ON, CA")</f>
        <v>Milton, ON, CA</v>
      </c>
      <c r="U581" s="45"/>
      <c r="V581" s="45"/>
      <c r="W581" s="45"/>
      <c r="X581" s="45"/>
      <c r="Y581" s="46">
        <f ca="1">IFERROR(__xludf.DUMMYFUNCTION("""COMPUTED_VALUE"""),45831)</f>
        <v>45831</v>
      </c>
      <c r="Z581" s="46">
        <f ca="1">IFERROR(__xludf.DUMMYFUNCTION("""COMPUTED_VALUE"""),45852)</f>
        <v>45852</v>
      </c>
      <c r="AA581" s="46">
        <f ca="1">IFERROR(__xludf.DUMMYFUNCTION("""COMPUTED_VALUE"""),45852)</f>
        <v>45852</v>
      </c>
      <c r="AB581" s="45" t="str">
        <f ca="1">IFERROR(__xludf.DUMMYFUNCTION("""COMPUTED_VALUE"""),"7211 Fifth Line")</f>
        <v>7211 Fifth Line</v>
      </c>
      <c r="AC581" s="45"/>
      <c r="AD581" s="45" t="str">
        <f ca="1">IFERROR(__xludf.DUMMYFUNCTION("""COMPUTED_VALUE"""),"OCEAN")</f>
        <v>OCEAN</v>
      </c>
      <c r="AE581" s="45" t="str">
        <f ca="1">IFERROR(__xludf.DUMMYFUNCTION("""COMPUTED_VALUE"""),"N")</f>
        <v>N</v>
      </c>
      <c r="AF581" s="45"/>
      <c r="AG581" s="49" t="str">
        <f ca="1">IFERROR(__xludf.DUMMYFUNCTION("IFNA(vlookup(H581,IMPORTRANGE(""1vUGwO1n0QQGx9kKbO0_M5gmuhXZ6-LaxQxgrmJnzgP0"",""'TP# look up'!A:C""),3,0),"""")"),"")</f>
        <v/>
      </c>
      <c r="AH581" s="49" t="str">
        <f t="shared" ca="1" si="9"/>
        <v>LW</v>
      </c>
    </row>
    <row r="582" spans="1:34" ht="12.75">
      <c r="A582" s="45" t="str">
        <f ca="1">IFERROR(__xludf.DUMMYFUNCTION("""COMPUTED_VALUE"""),"Colombo")</f>
        <v>Colombo</v>
      </c>
      <c r="B582" s="45"/>
      <c r="C582" s="45">
        <f ca="1">IFERROR(__xludf.DUMMYFUNCTION("""COMPUTED_VALUE"""),3254508)</f>
        <v>3254508</v>
      </c>
      <c r="D582" s="45"/>
      <c r="E582" s="45" t="str">
        <f ca="1">IFERROR(__xludf.DUMMYFUNCTION("""COMPUTED_VALUE"""),"CFS")</f>
        <v>CFS</v>
      </c>
      <c r="F582" s="45" t="str">
        <f ca="1">IFERROR(__xludf.DUMMYFUNCTION("""COMPUTED_VALUE"""),"MAS AMITY PTE LTD")</f>
        <v>MAS AMITY PTE LTD</v>
      </c>
      <c r="G582" s="45" t="str">
        <f ca="1">IFERROR(__xludf.DUMMYFUNCTION("""COMPUTED_VALUE"""),"MAS Fabrics (Pvt) Ltd Intimo")</f>
        <v>MAS Fabrics (Pvt) Ltd Intimo</v>
      </c>
      <c r="H582" s="43">
        <f ca="1">IFERROR(__xludf.DUMMYFUNCTION("""COMPUTED_VALUE"""),455589046661)</f>
        <v>455589046661</v>
      </c>
      <c r="I582" s="45">
        <f ca="1">IFERROR(__xludf.DUMMYFUNCTION("""COMPUTED_VALUE"""),19923407)</f>
        <v>19923407</v>
      </c>
      <c r="J582" s="45" t="str">
        <f ca="1">IFERROR(__xludf.DUMMYFUNCTION("""COMPUTED_VALUE"""),"LW5HC0S")</f>
        <v>LW5HC0S</v>
      </c>
      <c r="K582" s="45" t="str">
        <f ca="1">IFERROR(__xludf.DUMMYFUNCTION("""COMPUTED_VALUE"""),"LW5HC0S-071101")</f>
        <v>LW5HC0S-071101</v>
      </c>
      <c r="L582" s="45">
        <f ca="1">IFERROR(__xludf.DUMMYFUNCTION("""COMPUTED_VALUE"""),5)</f>
        <v>5</v>
      </c>
      <c r="M582" s="45">
        <f ca="1">IFERROR(__xludf.DUMMYFUNCTION("""COMPUTED_VALUE"""),162)</f>
        <v>162</v>
      </c>
      <c r="N582" s="45">
        <f ca="1">IFERROR(__xludf.DUMMYFUNCTION("""COMPUTED_VALUE"""),53.596)</f>
        <v>53.595999999999997</v>
      </c>
      <c r="O582" s="45">
        <f ca="1">IFERROR(__xludf.DUMMYFUNCTION("""COMPUTED_VALUE"""),0.355)</f>
        <v>0.35499999999999998</v>
      </c>
      <c r="P582" s="45" t="str">
        <f ca="1">IFERROR(__xludf.DUMMYFUNCTION("""COMPUTED_VALUE"""),"Colombo, LK")</f>
        <v>Colombo, LK</v>
      </c>
      <c r="Q582" s="45" t="str">
        <f ca="1">IFERROR(__xludf.DUMMYFUNCTION("""COMPUTED_VALUE"""),"New York, NY, US")</f>
        <v>New York, NY, US</v>
      </c>
      <c r="R582" s="44">
        <f ca="1">IFERROR(__xludf.DUMMYFUNCTION("""COMPUTED_VALUE"""),45824)</f>
        <v>45824</v>
      </c>
      <c r="S582" s="44">
        <f ca="1">IFERROR(__xludf.DUMMYFUNCTION("""COMPUTED_VALUE"""),45883)</f>
        <v>45883</v>
      </c>
      <c r="T582" s="45" t="str">
        <f ca="1">IFERROR(__xludf.DUMMYFUNCTION("""COMPUTED_VALUE"""),"Mississauga, ON, CA")</f>
        <v>Mississauga, ON, CA</v>
      </c>
      <c r="U582" s="45"/>
      <c r="V582" s="45"/>
      <c r="W582" s="45"/>
      <c r="X582" s="45"/>
      <c r="Y582" s="46">
        <f ca="1">IFERROR(__xludf.DUMMYFUNCTION("""COMPUTED_VALUE"""),45831)</f>
        <v>45831</v>
      </c>
      <c r="Z582" s="46">
        <f ca="1">IFERROR(__xludf.DUMMYFUNCTION("""COMPUTED_VALUE"""),45852)</f>
        <v>45852</v>
      </c>
      <c r="AA582" s="46">
        <f ca="1">IFERROR(__xludf.DUMMYFUNCTION("""COMPUTED_VALUE"""),45852)</f>
        <v>45852</v>
      </c>
      <c r="AB582" s="45" t="str">
        <f ca="1">IFERROR(__xludf.DUMMYFUNCTION("""COMPUTED_VALUE"""),"3500 Argentia Road")</f>
        <v>3500 Argentia Road</v>
      </c>
      <c r="AC582" s="45"/>
      <c r="AD582" s="45" t="str">
        <f ca="1">IFERROR(__xludf.DUMMYFUNCTION("""COMPUTED_VALUE"""),"OCEAN")</f>
        <v>OCEAN</v>
      </c>
      <c r="AE582" s="45" t="str">
        <f ca="1">IFERROR(__xludf.DUMMYFUNCTION("""COMPUTED_VALUE"""),"N")</f>
        <v>N</v>
      </c>
      <c r="AF582" s="45"/>
      <c r="AG582" s="49" t="str">
        <f ca="1">IFERROR(__xludf.DUMMYFUNCTION("IFNA(vlookup(H582,IMPORTRANGE(""1vUGwO1n0QQGx9kKbO0_M5gmuhXZ6-LaxQxgrmJnzgP0"",""'TP# look up'!A:C""),3,0),"""")"),"")</f>
        <v/>
      </c>
      <c r="AH582" s="49" t="str">
        <f t="shared" ca="1" si="9"/>
        <v>LW</v>
      </c>
    </row>
    <row r="583" spans="1:34" ht="12.75">
      <c r="A583" s="45" t="str">
        <f ca="1">IFERROR(__xludf.DUMMYFUNCTION("""COMPUTED_VALUE"""),"Colombo")</f>
        <v>Colombo</v>
      </c>
      <c r="B583" s="45"/>
      <c r="C583" s="45">
        <f ca="1">IFERROR(__xludf.DUMMYFUNCTION("""COMPUTED_VALUE"""),3254508)</f>
        <v>3254508</v>
      </c>
      <c r="D583" s="45"/>
      <c r="E583" s="45" t="str">
        <f ca="1">IFERROR(__xludf.DUMMYFUNCTION("""COMPUTED_VALUE"""),"CFS")</f>
        <v>CFS</v>
      </c>
      <c r="F583" s="45" t="str">
        <f ca="1">IFERROR(__xludf.DUMMYFUNCTION("""COMPUTED_VALUE"""),"Inqube Global (PVT) Ltd")</f>
        <v>Inqube Global (PVT) Ltd</v>
      </c>
      <c r="G583" s="45" t="str">
        <f ca="1">IFERROR(__xludf.DUMMYFUNCTION("""COMPUTED_VALUE"""),"Quantum Clothing Lanka (Pvt) Ltd")</f>
        <v>Quantum Clothing Lanka (Pvt) Ltd</v>
      </c>
      <c r="H583" s="43">
        <f ca="1">IFERROR(__xludf.DUMMYFUNCTION("""COMPUTED_VALUE"""),452347858422)</f>
        <v>452347858422</v>
      </c>
      <c r="I583" s="45">
        <f ca="1">IFERROR(__xludf.DUMMYFUNCTION("""COMPUTED_VALUE"""),19877095)</f>
        <v>19877095</v>
      </c>
      <c r="J583" s="45" t="str">
        <f ca="1">IFERROR(__xludf.DUMMYFUNCTION("""COMPUTED_VALUE"""),"LW9FUES")</f>
        <v>LW9FUES</v>
      </c>
      <c r="K583" s="45" t="str">
        <f ca="1">IFERROR(__xludf.DUMMYFUNCTION("""COMPUTED_VALUE"""),"LW9FUES-071150")</f>
        <v>LW9FUES-071150</v>
      </c>
      <c r="L583" s="45">
        <f ca="1">IFERROR(__xludf.DUMMYFUNCTION("""COMPUTED_VALUE"""),1)</f>
        <v>1</v>
      </c>
      <c r="M583" s="45">
        <f ca="1">IFERROR(__xludf.DUMMYFUNCTION("""COMPUTED_VALUE"""),69)</f>
        <v>69</v>
      </c>
      <c r="N583" s="45">
        <f ca="1">IFERROR(__xludf.DUMMYFUNCTION("""COMPUTED_VALUE"""),5.868)</f>
        <v>5.8680000000000003</v>
      </c>
      <c r="O583" s="45">
        <f ca="1">IFERROR(__xludf.DUMMYFUNCTION("""COMPUTED_VALUE"""),0.04)</f>
        <v>0.04</v>
      </c>
      <c r="P583" s="45" t="str">
        <f ca="1">IFERROR(__xludf.DUMMYFUNCTION("""COMPUTED_VALUE"""),"Colombo, LK")</f>
        <v>Colombo, LK</v>
      </c>
      <c r="Q583" s="45" t="str">
        <f ca="1">IFERROR(__xludf.DUMMYFUNCTION("""COMPUTED_VALUE"""),"New York, NY, US")</f>
        <v>New York, NY, US</v>
      </c>
      <c r="R583" s="44">
        <f ca="1">IFERROR(__xludf.DUMMYFUNCTION("""COMPUTED_VALUE"""),45824)</f>
        <v>45824</v>
      </c>
      <c r="S583" s="44">
        <f ca="1">IFERROR(__xludf.DUMMYFUNCTION("""COMPUTED_VALUE"""),45883)</f>
        <v>45883</v>
      </c>
      <c r="T583" s="45" t="str">
        <f ca="1">IFERROR(__xludf.DUMMYFUNCTION("""COMPUTED_VALUE"""),"Mississauga, ON, CA")</f>
        <v>Mississauga, ON, CA</v>
      </c>
      <c r="U583" s="45"/>
      <c r="V583" s="45"/>
      <c r="W583" s="45"/>
      <c r="X583" s="45"/>
      <c r="Y583" s="46">
        <f ca="1">IFERROR(__xludf.DUMMYFUNCTION("""COMPUTED_VALUE"""),45832)</f>
        <v>45832</v>
      </c>
      <c r="Z583" s="46">
        <f ca="1">IFERROR(__xludf.DUMMYFUNCTION("""COMPUTED_VALUE"""),45861)</f>
        <v>45861</v>
      </c>
      <c r="AA583" s="46">
        <f ca="1">IFERROR(__xludf.DUMMYFUNCTION("""COMPUTED_VALUE"""),45874)</f>
        <v>45874</v>
      </c>
      <c r="AB583" s="45" t="str">
        <f ca="1">IFERROR(__xludf.DUMMYFUNCTION("""COMPUTED_VALUE"""),"3500 Argentia Road")</f>
        <v>3500 Argentia Road</v>
      </c>
      <c r="AC583" s="45"/>
      <c r="AD583" s="45" t="str">
        <f ca="1">IFERROR(__xludf.DUMMYFUNCTION("""COMPUTED_VALUE"""),"OCEAN")</f>
        <v>OCEAN</v>
      </c>
      <c r="AE583" s="45" t="str">
        <f ca="1">IFERROR(__xludf.DUMMYFUNCTION("""COMPUTED_VALUE"""),"N")</f>
        <v>N</v>
      </c>
      <c r="AF583" s="45"/>
      <c r="AG583" s="49" t="str">
        <f ca="1">IFERROR(__xludf.DUMMYFUNCTION("IFNA(vlookup(H583,IMPORTRANGE(""1vUGwO1n0QQGx9kKbO0_M5gmuhXZ6-LaxQxgrmJnzgP0"",""'TP# look up'!A:C""),3,0),"""")"),"")</f>
        <v/>
      </c>
      <c r="AH583" s="49" t="str">
        <f t="shared" ca="1" si="9"/>
        <v>LW</v>
      </c>
    </row>
    <row r="584" spans="1:34" ht="12.75">
      <c r="A584" s="45" t="str">
        <f ca="1">IFERROR(__xludf.DUMMYFUNCTION("""COMPUTED_VALUE"""),"Colombo")</f>
        <v>Colombo</v>
      </c>
      <c r="B584" s="45"/>
      <c r="C584" s="45">
        <f ca="1">IFERROR(__xludf.DUMMYFUNCTION("""COMPUTED_VALUE"""),3259830)</f>
        <v>3259830</v>
      </c>
      <c r="D584" s="45"/>
      <c r="E584" s="45" t="str">
        <f ca="1">IFERROR(__xludf.DUMMYFUNCTION("""COMPUTED_VALUE"""),"CFS")</f>
        <v>CFS</v>
      </c>
      <c r="F584" s="45" t="str">
        <f ca="1">IFERROR(__xludf.DUMMYFUNCTION("""COMPUTED_VALUE"""),"MAS AMITY PTE LTD")</f>
        <v>MAS AMITY PTE LTD</v>
      </c>
      <c r="G584" s="45" t="str">
        <f ca="1">IFERROR(__xludf.DUMMYFUNCTION("""COMPUTED_VALUE"""),"MAS Active (Pvt) Ltd - Linea Intimo")</f>
        <v>MAS Active (Pvt) Ltd - Linea Intimo</v>
      </c>
      <c r="H584" s="43">
        <f ca="1">IFERROR(__xludf.DUMMYFUNCTION("""COMPUTED_VALUE"""),456886028901)</f>
        <v>456886028901</v>
      </c>
      <c r="I584" s="45">
        <f ca="1">IFERROR(__xludf.DUMMYFUNCTION("""COMPUTED_VALUE"""),19822090)</f>
        <v>19822090</v>
      </c>
      <c r="J584" s="45" t="str">
        <f ca="1">IFERROR(__xludf.DUMMYFUNCTION("""COMPUTED_VALUE"""),"LW3JE9S")</f>
        <v>LW3JE9S</v>
      </c>
      <c r="K584" s="45" t="str">
        <f ca="1">IFERROR(__xludf.DUMMYFUNCTION("""COMPUTED_VALUE"""),"LW3JE9S-071170")</f>
        <v>LW3JE9S-071170</v>
      </c>
      <c r="L584" s="45">
        <f ca="1">IFERROR(__xludf.DUMMYFUNCTION("""COMPUTED_VALUE"""),4)</f>
        <v>4</v>
      </c>
      <c r="M584" s="45">
        <f ca="1">IFERROR(__xludf.DUMMYFUNCTION("""COMPUTED_VALUE"""),130)</f>
        <v>130</v>
      </c>
      <c r="N584" s="45">
        <f ca="1">IFERROR(__xludf.DUMMYFUNCTION("""COMPUTED_VALUE"""),25.239)</f>
        <v>25.239000000000001</v>
      </c>
      <c r="O584" s="45">
        <f ca="1">IFERROR(__xludf.DUMMYFUNCTION("""COMPUTED_VALUE"""),0.197)</f>
        <v>0.19700000000000001</v>
      </c>
      <c r="P584" s="45" t="str">
        <f ca="1">IFERROR(__xludf.DUMMYFUNCTION("""COMPUTED_VALUE"""),"Colombo, LK")</f>
        <v>Colombo, LK</v>
      </c>
      <c r="Q584" s="45" t="str">
        <f ca="1">IFERROR(__xludf.DUMMYFUNCTION("""COMPUTED_VALUE"""),"Rotterdam, NL")</f>
        <v>Rotterdam, NL</v>
      </c>
      <c r="R584" s="44">
        <f ca="1">IFERROR(__xludf.DUMMYFUNCTION("""COMPUTED_VALUE"""),45831)</f>
        <v>45831</v>
      </c>
      <c r="S584" s="44">
        <f ca="1">IFERROR(__xludf.DUMMYFUNCTION("""COMPUTED_VALUE"""),45885)</f>
        <v>45885</v>
      </c>
      <c r="T584" s="45" t="str">
        <f ca="1">IFERROR(__xludf.DUMMYFUNCTION("""COMPUTED_VALUE"""),"Rotterdam, NL")</f>
        <v>Rotterdam, NL</v>
      </c>
      <c r="U584" s="45"/>
      <c r="V584" s="45"/>
      <c r="W584" s="45"/>
      <c r="X584" s="45"/>
      <c r="Y584" s="46">
        <f ca="1">IFERROR(__xludf.DUMMYFUNCTION("""COMPUTED_VALUE"""),45838)</f>
        <v>45838</v>
      </c>
      <c r="Z584" s="46">
        <f ca="1">IFERROR(__xludf.DUMMYFUNCTION("""COMPUTED_VALUE"""),45859)</f>
        <v>45859</v>
      </c>
      <c r="AA584" s="46">
        <f ca="1">IFERROR(__xludf.DUMMYFUNCTION("""COMPUTED_VALUE"""),45859)</f>
        <v>45859</v>
      </c>
      <c r="AB584" s="45" t="str">
        <f ca="1">IFERROR(__xludf.DUMMYFUNCTION("""COMPUTED_VALUE"""),"Conradweg 26")</f>
        <v>Conradweg 26</v>
      </c>
      <c r="AC584" s="45"/>
      <c r="AD584" s="45" t="str">
        <f ca="1">IFERROR(__xludf.DUMMYFUNCTION("""COMPUTED_VALUE"""),"OCEAN")</f>
        <v>OCEAN</v>
      </c>
      <c r="AE584" s="45" t="str">
        <f ca="1">IFERROR(__xludf.DUMMYFUNCTION("""COMPUTED_VALUE"""),"N")</f>
        <v>N</v>
      </c>
      <c r="AF584" s="45"/>
      <c r="AG584" s="49" t="str">
        <f ca="1">IFERROR(__xludf.DUMMYFUNCTION("IFNA(vlookup(H584,IMPORTRANGE(""1vUGwO1n0QQGx9kKbO0_M5gmuhXZ6-LaxQxgrmJnzgP0"",""'TP# look up'!A:C""),3,0),"""")"),"")</f>
        <v/>
      </c>
      <c r="AH584" s="49" t="str">
        <f t="shared" ca="1" si="9"/>
        <v>LW</v>
      </c>
    </row>
    <row r="585" spans="1:34" ht="12.75">
      <c r="A585" s="45" t="str">
        <f ca="1">IFERROR(__xludf.DUMMYFUNCTION("""COMPUTED_VALUE"""),"Colombo")</f>
        <v>Colombo</v>
      </c>
      <c r="B585" s="45"/>
      <c r="C585" s="45">
        <f ca="1">IFERROR(__xludf.DUMMYFUNCTION("""COMPUTED_VALUE"""),3259830)</f>
        <v>3259830</v>
      </c>
      <c r="D585" s="45"/>
      <c r="E585" s="45" t="str">
        <f ca="1">IFERROR(__xludf.DUMMYFUNCTION("""COMPUTED_VALUE"""),"CFS")</f>
        <v>CFS</v>
      </c>
      <c r="F585" s="45" t="str">
        <f ca="1">IFERROR(__xludf.DUMMYFUNCTION("""COMPUTED_VALUE"""),"MAS AMITY PTE LTD")</f>
        <v>MAS AMITY PTE LTD</v>
      </c>
      <c r="G585" s="45" t="str">
        <f ca="1">IFERROR(__xludf.DUMMYFUNCTION("""COMPUTED_VALUE"""),"MAS Active (Pvt) Ltd - Linea Intimo")</f>
        <v>MAS Active (Pvt) Ltd - Linea Intimo</v>
      </c>
      <c r="H585" s="43">
        <f ca="1">IFERROR(__xludf.DUMMYFUNCTION("""COMPUTED_VALUE"""),456912516171)</f>
        <v>456912516171</v>
      </c>
      <c r="I585" s="45">
        <f ca="1">IFERROR(__xludf.DUMMYFUNCTION("""COMPUTED_VALUE"""),91018359)</f>
        <v>91018359</v>
      </c>
      <c r="J585" s="45" t="str">
        <f ca="1">IFERROR(__xludf.DUMMYFUNCTION("""COMPUTED_VALUE"""),"LW1CHSS")</f>
        <v>LW1CHSS</v>
      </c>
      <c r="K585" s="45" t="str">
        <f ca="1">IFERROR(__xludf.DUMMYFUNCTION("""COMPUTED_VALUE"""),"LW1CHSS-012826")</f>
        <v>LW1CHSS-012826</v>
      </c>
      <c r="L585" s="45">
        <f ca="1">IFERROR(__xludf.DUMMYFUNCTION("""COMPUTED_VALUE"""),2)</f>
        <v>2</v>
      </c>
      <c r="M585" s="45">
        <f ca="1">IFERROR(__xludf.DUMMYFUNCTION("""COMPUTED_VALUE"""),132)</f>
        <v>132</v>
      </c>
      <c r="N585" s="45">
        <f ca="1">IFERROR(__xludf.DUMMYFUNCTION("""COMPUTED_VALUE"""),13.568)</f>
        <v>13.568</v>
      </c>
      <c r="O585" s="45">
        <f ca="1">IFERROR(__xludf.DUMMYFUNCTION("""COMPUTED_VALUE"""),0.118)</f>
        <v>0.11799999999999999</v>
      </c>
      <c r="P585" s="45" t="str">
        <f ca="1">IFERROR(__xludf.DUMMYFUNCTION("""COMPUTED_VALUE"""),"Colombo, LK")</f>
        <v>Colombo, LK</v>
      </c>
      <c r="Q585" s="45" t="str">
        <f ca="1">IFERROR(__xludf.DUMMYFUNCTION("""COMPUTED_VALUE"""),"Rotterdam, NL")</f>
        <v>Rotterdam, NL</v>
      </c>
      <c r="R585" s="44">
        <f ca="1">IFERROR(__xludf.DUMMYFUNCTION("""COMPUTED_VALUE"""),45831)</f>
        <v>45831</v>
      </c>
      <c r="S585" s="44">
        <f ca="1">IFERROR(__xludf.DUMMYFUNCTION("""COMPUTED_VALUE"""),45885)</f>
        <v>45885</v>
      </c>
      <c r="T585" s="45" t="str">
        <f ca="1">IFERROR(__xludf.DUMMYFUNCTION("""COMPUTED_VALUE"""),"Rotterdam, NL")</f>
        <v>Rotterdam, NL</v>
      </c>
      <c r="U585" s="45"/>
      <c r="V585" s="45"/>
      <c r="W585" s="45"/>
      <c r="X585" s="45"/>
      <c r="Y585" s="46">
        <f ca="1">IFERROR(__xludf.DUMMYFUNCTION("""COMPUTED_VALUE"""),45838)</f>
        <v>45838</v>
      </c>
      <c r="Z585" s="46">
        <f ca="1">IFERROR(__xludf.DUMMYFUNCTION("""COMPUTED_VALUE"""),45859)</f>
        <v>45859</v>
      </c>
      <c r="AA585" s="46">
        <f ca="1">IFERROR(__xludf.DUMMYFUNCTION("""COMPUTED_VALUE"""),45859)</f>
        <v>45859</v>
      </c>
      <c r="AB585" s="45" t="str">
        <f ca="1">IFERROR(__xludf.DUMMYFUNCTION("""COMPUTED_VALUE"""),"Conradweg 26")</f>
        <v>Conradweg 26</v>
      </c>
      <c r="AC585" s="45"/>
      <c r="AD585" s="45" t="str">
        <f ca="1">IFERROR(__xludf.DUMMYFUNCTION("""COMPUTED_VALUE"""),"OCEAN")</f>
        <v>OCEAN</v>
      </c>
      <c r="AE585" s="45" t="str">
        <f ca="1">IFERROR(__xludf.DUMMYFUNCTION("""COMPUTED_VALUE"""),"N")</f>
        <v>N</v>
      </c>
      <c r="AF585" s="45"/>
      <c r="AG585" s="49" t="str">
        <f ca="1">IFERROR(__xludf.DUMMYFUNCTION("IFNA(vlookup(H585,IMPORTRANGE(""1vUGwO1n0QQGx9kKbO0_M5gmuhXZ6-LaxQxgrmJnzgP0"",""'TP# look up'!A:C""),3,0),"""")"),"")</f>
        <v/>
      </c>
      <c r="AH585" s="49" t="str">
        <f t="shared" ca="1" si="9"/>
        <v>LW</v>
      </c>
    </row>
    <row r="586" spans="1:34" ht="12.75">
      <c r="A586" s="45" t="str">
        <f ca="1">IFERROR(__xludf.DUMMYFUNCTION("""COMPUTED_VALUE"""),"Colombo")</f>
        <v>Colombo</v>
      </c>
      <c r="B586" s="45"/>
      <c r="C586" s="45">
        <f ca="1">IFERROR(__xludf.DUMMYFUNCTION("""COMPUTED_VALUE"""),3259830)</f>
        <v>3259830</v>
      </c>
      <c r="D586" s="45"/>
      <c r="E586" s="45" t="str">
        <f ca="1">IFERROR(__xludf.DUMMYFUNCTION("""COMPUTED_VALUE"""),"CFS")</f>
        <v>CFS</v>
      </c>
      <c r="F586" s="45" t="str">
        <f ca="1">IFERROR(__xludf.DUMMYFUNCTION("""COMPUTED_VALUE"""),"MAS AMITY PTE LTD")</f>
        <v>MAS AMITY PTE LTD</v>
      </c>
      <c r="G586" s="45" t="str">
        <f ca="1">IFERROR(__xludf.DUMMYFUNCTION("""COMPUTED_VALUE"""),"MAS Fabrics (Pvt) Ltd Intimo")</f>
        <v>MAS Fabrics (Pvt) Ltd Intimo</v>
      </c>
      <c r="H586" s="43">
        <f ca="1">IFERROR(__xludf.DUMMYFUNCTION("""COMPUTED_VALUE"""),456883432301)</f>
        <v>456883432301</v>
      </c>
      <c r="I586" s="45">
        <f ca="1">IFERROR(__xludf.DUMMYFUNCTION("""COMPUTED_VALUE"""),19820870)</f>
        <v>19820870</v>
      </c>
      <c r="J586" s="45" t="str">
        <f ca="1">IFERROR(__xludf.DUMMYFUNCTION("""COMPUTED_VALUE"""),"LW3JE8S")</f>
        <v>LW3JE8S</v>
      </c>
      <c r="K586" s="45" t="str">
        <f ca="1">IFERROR(__xludf.DUMMYFUNCTION("""COMPUTED_VALUE"""),"LW3JE8S-071170")</f>
        <v>LW3JE8S-071170</v>
      </c>
      <c r="L586" s="45">
        <f ca="1">IFERROR(__xludf.DUMMYFUNCTION("""COMPUTED_VALUE"""),3)</f>
        <v>3</v>
      </c>
      <c r="M586" s="45">
        <f ca="1">IFERROR(__xludf.DUMMYFUNCTION("""COMPUTED_VALUE"""),96)</f>
        <v>96</v>
      </c>
      <c r="N586" s="45">
        <f ca="1">IFERROR(__xludf.DUMMYFUNCTION("""COMPUTED_VALUE"""),18.659)</f>
        <v>18.658999999999999</v>
      </c>
      <c r="O586" s="45">
        <f ca="1">IFERROR(__xludf.DUMMYFUNCTION("""COMPUTED_VALUE"""),0.158)</f>
        <v>0.158</v>
      </c>
      <c r="P586" s="45" t="str">
        <f ca="1">IFERROR(__xludf.DUMMYFUNCTION("""COMPUTED_VALUE"""),"Colombo, LK")</f>
        <v>Colombo, LK</v>
      </c>
      <c r="Q586" s="45" t="str">
        <f ca="1">IFERROR(__xludf.DUMMYFUNCTION("""COMPUTED_VALUE"""),"Rotterdam, NL")</f>
        <v>Rotterdam, NL</v>
      </c>
      <c r="R586" s="44">
        <f ca="1">IFERROR(__xludf.DUMMYFUNCTION("""COMPUTED_VALUE"""),45831)</f>
        <v>45831</v>
      </c>
      <c r="S586" s="44">
        <f ca="1">IFERROR(__xludf.DUMMYFUNCTION("""COMPUTED_VALUE"""),45885)</f>
        <v>45885</v>
      </c>
      <c r="T586" s="45" t="str">
        <f ca="1">IFERROR(__xludf.DUMMYFUNCTION("""COMPUTED_VALUE"""),"Rotterdam, NL")</f>
        <v>Rotterdam, NL</v>
      </c>
      <c r="U586" s="45"/>
      <c r="V586" s="45"/>
      <c r="W586" s="45"/>
      <c r="X586" s="45"/>
      <c r="Y586" s="46">
        <f ca="1">IFERROR(__xludf.DUMMYFUNCTION("""COMPUTED_VALUE"""),45838)</f>
        <v>45838</v>
      </c>
      <c r="Z586" s="46">
        <f ca="1">IFERROR(__xludf.DUMMYFUNCTION("""COMPUTED_VALUE"""),45859)</f>
        <v>45859</v>
      </c>
      <c r="AA586" s="46">
        <f ca="1">IFERROR(__xludf.DUMMYFUNCTION("""COMPUTED_VALUE"""),45859)</f>
        <v>45859</v>
      </c>
      <c r="AB586" s="45" t="str">
        <f ca="1">IFERROR(__xludf.DUMMYFUNCTION("""COMPUTED_VALUE"""),"Conradweg 26")</f>
        <v>Conradweg 26</v>
      </c>
      <c r="AC586" s="45"/>
      <c r="AD586" s="45" t="str">
        <f ca="1">IFERROR(__xludf.DUMMYFUNCTION("""COMPUTED_VALUE"""),"OCEAN")</f>
        <v>OCEAN</v>
      </c>
      <c r="AE586" s="45" t="str">
        <f ca="1">IFERROR(__xludf.DUMMYFUNCTION("""COMPUTED_VALUE"""),"N")</f>
        <v>N</v>
      </c>
      <c r="AF586" s="45"/>
      <c r="AG586" s="49" t="str">
        <f ca="1">IFERROR(__xludf.DUMMYFUNCTION("IFNA(vlookup(H586,IMPORTRANGE(""1vUGwO1n0QQGx9kKbO0_M5gmuhXZ6-LaxQxgrmJnzgP0"",""'TP# look up'!A:C""),3,0),"""")"),"")</f>
        <v/>
      </c>
      <c r="AH586" s="49" t="str">
        <f t="shared" ca="1" si="9"/>
        <v>LW</v>
      </c>
    </row>
    <row r="587" spans="1:34" ht="12.75">
      <c r="A587" s="45" t="str">
        <f ca="1">IFERROR(__xludf.DUMMYFUNCTION("""COMPUTED_VALUE"""),"Colombo")</f>
        <v>Colombo</v>
      </c>
      <c r="B587" s="45"/>
      <c r="C587" s="45">
        <f ca="1">IFERROR(__xludf.DUMMYFUNCTION("""COMPUTED_VALUE"""),3259830)</f>
        <v>3259830</v>
      </c>
      <c r="D587" s="45"/>
      <c r="E587" s="45" t="str">
        <f ca="1">IFERROR(__xludf.DUMMYFUNCTION("""COMPUTED_VALUE"""),"CFS")</f>
        <v>CFS</v>
      </c>
      <c r="F587" s="45" t="str">
        <f ca="1">IFERROR(__xludf.DUMMYFUNCTION("""COMPUTED_VALUE"""),"MAS AMITY PTE LTD")</f>
        <v>MAS AMITY PTE LTD</v>
      </c>
      <c r="G587" s="45" t="str">
        <f ca="1">IFERROR(__xludf.DUMMYFUNCTION("""COMPUTED_VALUE"""),"MAS Active (Pvt) Ltd – Shadowline")</f>
        <v>MAS Active (Pvt) Ltd – Shadowline</v>
      </c>
      <c r="H587" s="43">
        <f ca="1">IFERROR(__xludf.DUMMYFUNCTION("""COMPUTED_VALUE"""),457022291241)</f>
        <v>457022291241</v>
      </c>
      <c r="I587" s="45">
        <f ca="1">IFERROR(__xludf.DUMMYFUNCTION("""COMPUTED_VALUE"""),19814190)</f>
        <v>19814190</v>
      </c>
      <c r="J587" s="45" t="str">
        <f ca="1">IFERROR(__xludf.DUMMYFUNCTION("""COMPUTED_VALUE"""),"LW1DUDS")</f>
        <v>LW1DUDS</v>
      </c>
      <c r="K587" s="45" t="str">
        <f ca="1">IFERROR(__xludf.DUMMYFUNCTION("""COMPUTED_VALUE"""),"LW1DUDS-0002")</f>
        <v>LW1DUDS-0002</v>
      </c>
      <c r="L587" s="45">
        <f ca="1">IFERROR(__xludf.DUMMYFUNCTION("""COMPUTED_VALUE"""),11)</f>
        <v>11</v>
      </c>
      <c r="M587" s="45">
        <f ca="1">IFERROR(__xludf.DUMMYFUNCTION("""COMPUTED_VALUE"""),671)</f>
        <v>671</v>
      </c>
      <c r="N587" s="45">
        <f ca="1">IFERROR(__xludf.DUMMYFUNCTION("""COMPUTED_VALUE"""),101.336)</f>
        <v>101.336</v>
      </c>
      <c r="O587" s="45">
        <f ca="1">IFERROR(__xludf.DUMMYFUNCTION("""COMPUTED_VALUE"""),0.79)</f>
        <v>0.79</v>
      </c>
      <c r="P587" s="45" t="str">
        <f ca="1">IFERROR(__xludf.DUMMYFUNCTION("""COMPUTED_VALUE"""),"Colombo, LK")</f>
        <v>Colombo, LK</v>
      </c>
      <c r="Q587" s="45" t="str">
        <f ca="1">IFERROR(__xludf.DUMMYFUNCTION("""COMPUTED_VALUE"""),"Rotterdam, NL")</f>
        <v>Rotterdam, NL</v>
      </c>
      <c r="R587" s="44">
        <f ca="1">IFERROR(__xludf.DUMMYFUNCTION("""COMPUTED_VALUE"""),45831)</f>
        <v>45831</v>
      </c>
      <c r="S587" s="44">
        <f ca="1">IFERROR(__xludf.DUMMYFUNCTION("""COMPUTED_VALUE"""),45885)</f>
        <v>45885</v>
      </c>
      <c r="T587" s="45" t="str">
        <f ca="1">IFERROR(__xludf.DUMMYFUNCTION("""COMPUTED_VALUE"""),"Rotterdam, NL")</f>
        <v>Rotterdam, NL</v>
      </c>
      <c r="U587" s="45"/>
      <c r="V587" s="45"/>
      <c r="W587" s="45"/>
      <c r="X587" s="45"/>
      <c r="Y587" s="46">
        <f ca="1">IFERROR(__xludf.DUMMYFUNCTION("""COMPUTED_VALUE"""),45838)</f>
        <v>45838</v>
      </c>
      <c r="Z587" s="46">
        <f ca="1">IFERROR(__xludf.DUMMYFUNCTION("""COMPUTED_VALUE"""),45859)</f>
        <v>45859</v>
      </c>
      <c r="AA587" s="46">
        <f ca="1">IFERROR(__xludf.DUMMYFUNCTION("""COMPUTED_VALUE"""),45859)</f>
        <v>45859</v>
      </c>
      <c r="AB587" s="45" t="str">
        <f ca="1">IFERROR(__xludf.DUMMYFUNCTION("""COMPUTED_VALUE"""),"Conradweg 26")</f>
        <v>Conradweg 26</v>
      </c>
      <c r="AC587" s="45"/>
      <c r="AD587" s="45" t="str">
        <f ca="1">IFERROR(__xludf.DUMMYFUNCTION("""COMPUTED_VALUE"""),"OCEAN")</f>
        <v>OCEAN</v>
      </c>
      <c r="AE587" s="45" t="str">
        <f ca="1">IFERROR(__xludf.DUMMYFUNCTION("""COMPUTED_VALUE"""),"N")</f>
        <v>N</v>
      </c>
      <c r="AF587" s="45"/>
      <c r="AG587" s="49" t="str">
        <f ca="1">IFERROR(__xludf.DUMMYFUNCTION("IFNA(vlookup(H587,IMPORTRANGE(""1vUGwO1n0QQGx9kKbO0_M5gmuhXZ6-LaxQxgrmJnzgP0"",""'TP# look up'!A:C""),3,0),"""")"),"")</f>
        <v/>
      </c>
      <c r="AH587" s="49" t="str">
        <f t="shared" ca="1" si="9"/>
        <v>LW</v>
      </c>
    </row>
    <row r="588" spans="1:34" ht="12.75">
      <c r="A588" s="45" t="str">
        <f ca="1">IFERROR(__xludf.DUMMYFUNCTION("""COMPUTED_VALUE"""),"Colombo")</f>
        <v>Colombo</v>
      </c>
      <c r="B588" s="45"/>
      <c r="C588" s="45">
        <f ca="1">IFERROR(__xludf.DUMMYFUNCTION("""COMPUTED_VALUE"""),3259830)</f>
        <v>3259830</v>
      </c>
      <c r="D588" s="45"/>
      <c r="E588" s="45" t="str">
        <f ca="1">IFERROR(__xludf.DUMMYFUNCTION("""COMPUTED_VALUE"""),"CFS")</f>
        <v>CFS</v>
      </c>
      <c r="F588" s="45" t="str">
        <f ca="1">IFERROR(__xludf.DUMMYFUNCTION("""COMPUTED_VALUE"""),"MAS AMITY PTE LTD")</f>
        <v>MAS AMITY PTE LTD</v>
      </c>
      <c r="G588" s="45" t="str">
        <f ca="1">IFERROR(__xludf.DUMMYFUNCTION("""COMPUTED_VALUE"""),"MAS Active (Pvt) Ltd – Shadowline")</f>
        <v>MAS Active (Pvt) Ltd – Shadowline</v>
      </c>
      <c r="H588" s="43">
        <f ca="1">IFERROR(__xludf.DUMMYFUNCTION("""COMPUTED_VALUE"""),457028102880)</f>
        <v>457028102880</v>
      </c>
      <c r="I588" s="45">
        <f ca="1">IFERROR(__xludf.DUMMYFUNCTION("""COMPUTED_VALUE"""),19814199)</f>
        <v>19814199</v>
      </c>
      <c r="J588" s="45" t="str">
        <f ca="1">IFERROR(__xludf.DUMMYFUNCTION("""COMPUTED_VALUE"""),"LW1DUDS")</f>
        <v>LW1DUDS</v>
      </c>
      <c r="K588" s="45" t="str">
        <f ca="1">IFERROR(__xludf.DUMMYFUNCTION("""COMPUTED_VALUE"""),"LW1DUDS-020392")</f>
        <v>LW1DUDS-020392</v>
      </c>
      <c r="L588" s="45">
        <f ca="1">IFERROR(__xludf.DUMMYFUNCTION("""COMPUTED_VALUE"""),8)</f>
        <v>8</v>
      </c>
      <c r="M588" s="45">
        <f ca="1">IFERROR(__xludf.DUMMYFUNCTION("""COMPUTED_VALUE"""),356)</f>
        <v>356</v>
      </c>
      <c r="N588" s="45">
        <f ca="1">IFERROR(__xludf.DUMMYFUNCTION("""COMPUTED_VALUE"""),56.446)</f>
        <v>56.445999999999998</v>
      </c>
      <c r="O588" s="45">
        <f ca="1">IFERROR(__xludf.DUMMYFUNCTION("""COMPUTED_VALUE"""),0.474)</f>
        <v>0.47399999999999998</v>
      </c>
      <c r="P588" s="45" t="str">
        <f ca="1">IFERROR(__xludf.DUMMYFUNCTION("""COMPUTED_VALUE"""),"Colombo, LK")</f>
        <v>Colombo, LK</v>
      </c>
      <c r="Q588" s="45" t="str">
        <f ca="1">IFERROR(__xludf.DUMMYFUNCTION("""COMPUTED_VALUE"""),"Rotterdam, NL")</f>
        <v>Rotterdam, NL</v>
      </c>
      <c r="R588" s="44">
        <f ca="1">IFERROR(__xludf.DUMMYFUNCTION("""COMPUTED_VALUE"""),45831)</f>
        <v>45831</v>
      </c>
      <c r="S588" s="44">
        <f ca="1">IFERROR(__xludf.DUMMYFUNCTION("""COMPUTED_VALUE"""),45885)</f>
        <v>45885</v>
      </c>
      <c r="T588" s="45" t="str">
        <f ca="1">IFERROR(__xludf.DUMMYFUNCTION("""COMPUTED_VALUE"""),"Rotterdam, NL")</f>
        <v>Rotterdam, NL</v>
      </c>
      <c r="U588" s="45"/>
      <c r="V588" s="45"/>
      <c r="W588" s="45"/>
      <c r="X588" s="45"/>
      <c r="Y588" s="46">
        <f ca="1">IFERROR(__xludf.DUMMYFUNCTION("""COMPUTED_VALUE"""),45838)</f>
        <v>45838</v>
      </c>
      <c r="Z588" s="46">
        <f ca="1">IFERROR(__xludf.DUMMYFUNCTION("""COMPUTED_VALUE"""),45859)</f>
        <v>45859</v>
      </c>
      <c r="AA588" s="46">
        <f ca="1">IFERROR(__xludf.DUMMYFUNCTION("""COMPUTED_VALUE"""),45859)</f>
        <v>45859</v>
      </c>
      <c r="AB588" s="45" t="str">
        <f ca="1">IFERROR(__xludf.DUMMYFUNCTION("""COMPUTED_VALUE"""),"Conradweg 26")</f>
        <v>Conradweg 26</v>
      </c>
      <c r="AC588" s="45"/>
      <c r="AD588" s="45" t="str">
        <f ca="1">IFERROR(__xludf.DUMMYFUNCTION("""COMPUTED_VALUE"""),"OCEAN")</f>
        <v>OCEAN</v>
      </c>
      <c r="AE588" s="45" t="str">
        <f ca="1">IFERROR(__xludf.DUMMYFUNCTION("""COMPUTED_VALUE"""),"N")</f>
        <v>N</v>
      </c>
      <c r="AF588" s="45"/>
      <c r="AG588" s="49" t="str">
        <f ca="1">IFERROR(__xludf.DUMMYFUNCTION("IFNA(vlookup(H588,IMPORTRANGE(""1vUGwO1n0QQGx9kKbO0_M5gmuhXZ6-LaxQxgrmJnzgP0"",""'TP# look up'!A:C""),3,0),"""")"),"")</f>
        <v/>
      </c>
      <c r="AH588" s="49" t="str">
        <f t="shared" ca="1" si="9"/>
        <v>LW</v>
      </c>
    </row>
    <row r="589" spans="1:34" ht="12.75">
      <c r="A589" s="45" t="str">
        <f ca="1">IFERROR(__xludf.DUMMYFUNCTION("""COMPUTED_VALUE"""),"Colombo")</f>
        <v>Colombo</v>
      </c>
      <c r="B589" s="45"/>
      <c r="C589" s="45">
        <f ca="1">IFERROR(__xludf.DUMMYFUNCTION("""COMPUTED_VALUE"""),3259830)</f>
        <v>3259830</v>
      </c>
      <c r="D589" s="45"/>
      <c r="E589" s="45" t="str">
        <f ca="1">IFERROR(__xludf.DUMMYFUNCTION("""COMPUTED_VALUE"""),"CFS")</f>
        <v>CFS</v>
      </c>
      <c r="F589" s="45" t="str">
        <f ca="1">IFERROR(__xludf.DUMMYFUNCTION("""COMPUTED_VALUE"""),"MAS AMITY PTE LTD")</f>
        <v>MAS AMITY PTE LTD</v>
      </c>
      <c r="G589" s="45" t="str">
        <f ca="1">IFERROR(__xludf.DUMMYFUNCTION("""COMPUTED_VALUE"""),"MAS Active (Pvt) Ltd – Shadowline")</f>
        <v>MAS Active (Pvt) Ltd – Shadowline</v>
      </c>
      <c r="H589" s="43">
        <f ca="1">IFERROR(__xludf.DUMMYFUNCTION("""COMPUTED_VALUE"""),457032093687)</f>
        <v>457032093687</v>
      </c>
      <c r="I589" s="45">
        <f ca="1">IFERROR(__xludf.DUMMYFUNCTION("""COMPUTED_VALUE"""),19919852)</f>
        <v>19919852</v>
      </c>
      <c r="J589" s="45" t="str">
        <f ca="1">IFERROR(__xludf.DUMMYFUNCTION("""COMPUTED_VALUE"""),"LW5FLOS")</f>
        <v>LW5FLOS</v>
      </c>
      <c r="K589" s="45" t="str">
        <f ca="1">IFERROR(__xludf.DUMMYFUNCTION("""COMPUTED_VALUE"""),"LW5FLOS-0001")</f>
        <v>LW5FLOS-0001</v>
      </c>
      <c r="L589" s="45">
        <f ca="1">IFERROR(__xludf.DUMMYFUNCTION("""COMPUTED_VALUE"""),12)</f>
        <v>12</v>
      </c>
      <c r="M589" s="45">
        <f ca="1">IFERROR(__xludf.DUMMYFUNCTION("""COMPUTED_VALUE"""),648)</f>
        <v>648</v>
      </c>
      <c r="N589" s="45">
        <f ca="1">IFERROR(__xludf.DUMMYFUNCTION("""COMPUTED_VALUE"""),137.009)</f>
        <v>137.00899999999999</v>
      </c>
      <c r="O589" s="45">
        <f ca="1">IFERROR(__xludf.DUMMYFUNCTION("""COMPUTED_VALUE"""),0.869)</f>
        <v>0.86899999999999999</v>
      </c>
      <c r="P589" s="45" t="str">
        <f ca="1">IFERROR(__xludf.DUMMYFUNCTION("""COMPUTED_VALUE"""),"Colombo, LK")</f>
        <v>Colombo, LK</v>
      </c>
      <c r="Q589" s="45" t="str">
        <f ca="1">IFERROR(__xludf.DUMMYFUNCTION("""COMPUTED_VALUE"""),"Rotterdam, NL")</f>
        <v>Rotterdam, NL</v>
      </c>
      <c r="R589" s="44">
        <f ca="1">IFERROR(__xludf.DUMMYFUNCTION("""COMPUTED_VALUE"""),45831)</f>
        <v>45831</v>
      </c>
      <c r="S589" s="44">
        <f ca="1">IFERROR(__xludf.DUMMYFUNCTION("""COMPUTED_VALUE"""),45885)</f>
        <v>45885</v>
      </c>
      <c r="T589" s="45" t="str">
        <f ca="1">IFERROR(__xludf.DUMMYFUNCTION("""COMPUTED_VALUE"""),"Rotterdam, NL")</f>
        <v>Rotterdam, NL</v>
      </c>
      <c r="U589" s="45"/>
      <c r="V589" s="45"/>
      <c r="W589" s="45"/>
      <c r="X589" s="45"/>
      <c r="Y589" s="46">
        <f ca="1">IFERROR(__xludf.DUMMYFUNCTION("""COMPUTED_VALUE"""),45838)</f>
        <v>45838</v>
      </c>
      <c r="Z589" s="46">
        <f ca="1">IFERROR(__xludf.DUMMYFUNCTION("""COMPUTED_VALUE"""),45859)</f>
        <v>45859</v>
      </c>
      <c r="AA589" s="46">
        <f ca="1">IFERROR(__xludf.DUMMYFUNCTION("""COMPUTED_VALUE"""),45859)</f>
        <v>45859</v>
      </c>
      <c r="AB589" s="45" t="str">
        <f ca="1">IFERROR(__xludf.DUMMYFUNCTION("""COMPUTED_VALUE"""),"Conradweg 26")</f>
        <v>Conradweg 26</v>
      </c>
      <c r="AC589" s="45"/>
      <c r="AD589" s="45" t="str">
        <f ca="1">IFERROR(__xludf.DUMMYFUNCTION("""COMPUTED_VALUE"""),"OCEAN")</f>
        <v>OCEAN</v>
      </c>
      <c r="AE589" s="45" t="str">
        <f ca="1">IFERROR(__xludf.DUMMYFUNCTION("""COMPUTED_VALUE"""),"N")</f>
        <v>N</v>
      </c>
      <c r="AF589" s="45"/>
      <c r="AG589" s="49" t="str">
        <f ca="1">IFERROR(__xludf.DUMMYFUNCTION("IFNA(vlookup(H589,IMPORTRANGE(""1vUGwO1n0QQGx9kKbO0_M5gmuhXZ6-LaxQxgrmJnzgP0"",""'TP# look up'!A:C""),3,0),"""")"),"")</f>
        <v/>
      </c>
      <c r="AH589" s="49" t="str">
        <f t="shared" ca="1" si="9"/>
        <v>LW</v>
      </c>
    </row>
    <row r="590" spans="1:34" ht="12.75">
      <c r="A590" s="45" t="str">
        <f ca="1">IFERROR(__xludf.DUMMYFUNCTION("""COMPUTED_VALUE"""),"Colombo")</f>
        <v>Colombo</v>
      </c>
      <c r="B590" s="45"/>
      <c r="C590" s="45">
        <f ca="1">IFERROR(__xludf.DUMMYFUNCTION("""COMPUTED_VALUE"""),3259830)</f>
        <v>3259830</v>
      </c>
      <c r="D590" s="45"/>
      <c r="E590" s="45" t="str">
        <f ca="1">IFERROR(__xludf.DUMMYFUNCTION("""COMPUTED_VALUE"""),"CFS")</f>
        <v>CFS</v>
      </c>
      <c r="F590" s="45" t="str">
        <f ca="1">IFERROR(__xludf.DUMMYFUNCTION("""COMPUTED_VALUE"""),"MAS AMITY PTE LTD")</f>
        <v>MAS AMITY PTE LTD</v>
      </c>
      <c r="G590" s="45" t="str">
        <f ca="1">IFERROR(__xludf.DUMMYFUNCTION("""COMPUTED_VALUE"""),"MAS Active (Pvt) Ltd – Shadowline")</f>
        <v>MAS Active (Pvt) Ltd – Shadowline</v>
      </c>
      <c r="H590" s="43">
        <f ca="1">IFERROR(__xludf.DUMMYFUNCTION("""COMPUTED_VALUE"""),457035532800)</f>
        <v>457035532800</v>
      </c>
      <c r="I590" s="45">
        <f ca="1">IFERROR(__xludf.DUMMYFUNCTION("""COMPUTED_VALUE"""),19892441)</f>
        <v>19892441</v>
      </c>
      <c r="J590" s="45" t="str">
        <f ca="1">IFERROR(__xludf.DUMMYFUNCTION("""COMPUTED_VALUE"""),"LM1366S")</f>
        <v>LM1366S</v>
      </c>
      <c r="K590" s="45" t="str">
        <f ca="1">IFERROR(__xludf.DUMMYFUNCTION("""COMPUTED_VALUE"""),"LM1366S-032507")</f>
        <v>LM1366S-032507</v>
      </c>
      <c r="L590" s="45">
        <f ca="1">IFERROR(__xludf.DUMMYFUNCTION("""COMPUTED_VALUE"""),5)</f>
        <v>5</v>
      </c>
      <c r="M590" s="45">
        <f ca="1">IFERROR(__xludf.DUMMYFUNCTION("""COMPUTED_VALUE"""),404)</f>
        <v>404</v>
      </c>
      <c r="N590" s="45">
        <f ca="1">IFERROR(__xludf.DUMMYFUNCTION("""COMPUTED_VALUE"""),39.465)</f>
        <v>39.465000000000003</v>
      </c>
      <c r="O590" s="45">
        <f ca="1">IFERROR(__xludf.DUMMYFUNCTION("""COMPUTED_VALUE"""),0.316)</f>
        <v>0.316</v>
      </c>
      <c r="P590" s="45" t="str">
        <f ca="1">IFERROR(__xludf.DUMMYFUNCTION("""COMPUTED_VALUE"""),"Colombo, LK")</f>
        <v>Colombo, LK</v>
      </c>
      <c r="Q590" s="45" t="str">
        <f ca="1">IFERROR(__xludf.DUMMYFUNCTION("""COMPUTED_VALUE"""),"Rotterdam, NL")</f>
        <v>Rotterdam, NL</v>
      </c>
      <c r="R590" s="44">
        <f ca="1">IFERROR(__xludf.DUMMYFUNCTION("""COMPUTED_VALUE"""),45831)</f>
        <v>45831</v>
      </c>
      <c r="S590" s="44">
        <f ca="1">IFERROR(__xludf.DUMMYFUNCTION("""COMPUTED_VALUE"""),45885)</f>
        <v>45885</v>
      </c>
      <c r="T590" s="45" t="str">
        <f ca="1">IFERROR(__xludf.DUMMYFUNCTION("""COMPUTED_VALUE"""),"Rotterdam, NL")</f>
        <v>Rotterdam, NL</v>
      </c>
      <c r="U590" s="45"/>
      <c r="V590" s="45"/>
      <c r="W590" s="45"/>
      <c r="X590" s="45"/>
      <c r="Y590" s="46">
        <f ca="1">IFERROR(__xludf.DUMMYFUNCTION("""COMPUTED_VALUE"""),45838)</f>
        <v>45838</v>
      </c>
      <c r="Z590" s="46">
        <f ca="1">IFERROR(__xludf.DUMMYFUNCTION("""COMPUTED_VALUE"""),45859)</f>
        <v>45859</v>
      </c>
      <c r="AA590" s="46">
        <f ca="1">IFERROR(__xludf.DUMMYFUNCTION("""COMPUTED_VALUE"""),45859)</f>
        <v>45859</v>
      </c>
      <c r="AB590" s="45" t="str">
        <f ca="1">IFERROR(__xludf.DUMMYFUNCTION("""COMPUTED_VALUE"""),"Conradweg 26")</f>
        <v>Conradweg 26</v>
      </c>
      <c r="AC590" s="45"/>
      <c r="AD590" s="45" t="str">
        <f ca="1">IFERROR(__xludf.DUMMYFUNCTION("""COMPUTED_VALUE"""),"OCEAN")</f>
        <v>OCEAN</v>
      </c>
      <c r="AE590" s="45" t="str">
        <f ca="1">IFERROR(__xludf.DUMMYFUNCTION("""COMPUTED_VALUE"""),"N")</f>
        <v>N</v>
      </c>
      <c r="AF590" s="45"/>
      <c r="AG590" s="49" t="str">
        <f ca="1">IFERROR(__xludf.DUMMYFUNCTION("IFNA(vlookup(H590,IMPORTRANGE(""1vUGwO1n0QQGx9kKbO0_M5gmuhXZ6-LaxQxgrmJnzgP0"",""'TP# look up'!A:C""),3,0),"""")"),"")</f>
        <v/>
      </c>
      <c r="AH590" s="49" t="str">
        <f t="shared" ca="1" si="9"/>
        <v>LM</v>
      </c>
    </row>
    <row r="591" spans="1:34" ht="12.75">
      <c r="A591" s="45" t="str">
        <f ca="1">IFERROR(__xludf.DUMMYFUNCTION("""COMPUTED_VALUE"""),"Colombo")</f>
        <v>Colombo</v>
      </c>
      <c r="B591" s="45"/>
      <c r="C591" s="45">
        <f ca="1">IFERROR(__xludf.DUMMYFUNCTION("""COMPUTED_VALUE"""),3259830)</f>
        <v>3259830</v>
      </c>
      <c r="D591" s="45"/>
      <c r="E591" s="45" t="str">
        <f ca="1">IFERROR(__xludf.DUMMYFUNCTION("""COMPUTED_VALUE"""),"CFS")</f>
        <v>CFS</v>
      </c>
      <c r="F591" s="45" t="str">
        <f ca="1">IFERROR(__xludf.DUMMYFUNCTION("""COMPUTED_VALUE"""),"MAS AMITY PTE LTD")</f>
        <v>MAS AMITY PTE LTD</v>
      </c>
      <c r="G591" s="45" t="str">
        <f ca="1">IFERROR(__xludf.DUMMYFUNCTION("""COMPUTED_VALUE"""),"MAS Active (Pvt) Ltd – Shadowline")</f>
        <v>MAS Active (Pvt) Ltd – Shadowline</v>
      </c>
      <c r="H591" s="43">
        <f ca="1">IFERROR(__xludf.DUMMYFUNCTION("""COMPUTED_VALUE"""),457036880160)</f>
        <v>457036880160</v>
      </c>
      <c r="I591" s="45">
        <f ca="1">IFERROR(__xludf.DUMMYFUNCTION("""COMPUTED_VALUE"""),19814194)</f>
        <v>19814194</v>
      </c>
      <c r="J591" s="45" t="str">
        <f ca="1">IFERROR(__xludf.DUMMYFUNCTION("""COMPUTED_VALUE"""),"LW1DUDS")</f>
        <v>LW1DUDS</v>
      </c>
      <c r="K591" s="45" t="str">
        <f ca="1">IFERROR(__xludf.DUMMYFUNCTION("""COMPUTED_VALUE"""),"LW1DUDS-0002")</f>
        <v>LW1DUDS-0002</v>
      </c>
      <c r="L591" s="45">
        <f ca="1">IFERROR(__xludf.DUMMYFUNCTION("""COMPUTED_VALUE"""),7)</f>
        <v>7</v>
      </c>
      <c r="M591" s="45">
        <f ca="1">IFERROR(__xludf.DUMMYFUNCTION("""COMPUTED_VALUE"""),350)</f>
        <v>350</v>
      </c>
      <c r="N591" s="45">
        <f ca="1">IFERROR(__xludf.DUMMYFUNCTION("""COMPUTED_VALUE"""),54.878)</f>
        <v>54.878</v>
      </c>
      <c r="O591" s="45">
        <f ca="1">IFERROR(__xludf.DUMMYFUNCTION("""COMPUTED_VALUE"""),0.474)</f>
        <v>0.47399999999999998</v>
      </c>
      <c r="P591" s="45" t="str">
        <f ca="1">IFERROR(__xludf.DUMMYFUNCTION("""COMPUTED_VALUE"""),"Colombo, LK")</f>
        <v>Colombo, LK</v>
      </c>
      <c r="Q591" s="45" t="str">
        <f ca="1">IFERROR(__xludf.DUMMYFUNCTION("""COMPUTED_VALUE"""),"Rotterdam, NL")</f>
        <v>Rotterdam, NL</v>
      </c>
      <c r="R591" s="44">
        <f ca="1">IFERROR(__xludf.DUMMYFUNCTION("""COMPUTED_VALUE"""),45831)</f>
        <v>45831</v>
      </c>
      <c r="S591" s="44">
        <f ca="1">IFERROR(__xludf.DUMMYFUNCTION("""COMPUTED_VALUE"""),45885)</f>
        <v>45885</v>
      </c>
      <c r="T591" s="45" t="str">
        <f ca="1">IFERROR(__xludf.DUMMYFUNCTION("""COMPUTED_VALUE"""),"Rotterdam, NL")</f>
        <v>Rotterdam, NL</v>
      </c>
      <c r="U591" s="45"/>
      <c r="V591" s="45"/>
      <c r="W591" s="45"/>
      <c r="X591" s="45"/>
      <c r="Y591" s="46">
        <f ca="1">IFERROR(__xludf.DUMMYFUNCTION("""COMPUTED_VALUE"""),45838)</f>
        <v>45838</v>
      </c>
      <c r="Z591" s="46">
        <f ca="1">IFERROR(__xludf.DUMMYFUNCTION("""COMPUTED_VALUE"""),45859)</f>
        <v>45859</v>
      </c>
      <c r="AA591" s="46">
        <f ca="1">IFERROR(__xludf.DUMMYFUNCTION("""COMPUTED_VALUE"""),45859)</f>
        <v>45859</v>
      </c>
      <c r="AB591" s="45" t="str">
        <f ca="1">IFERROR(__xludf.DUMMYFUNCTION("""COMPUTED_VALUE"""),"Conradweg 26")</f>
        <v>Conradweg 26</v>
      </c>
      <c r="AC591" s="45"/>
      <c r="AD591" s="45" t="str">
        <f ca="1">IFERROR(__xludf.DUMMYFUNCTION("""COMPUTED_VALUE"""),"OCEAN")</f>
        <v>OCEAN</v>
      </c>
      <c r="AE591" s="45" t="str">
        <f ca="1">IFERROR(__xludf.DUMMYFUNCTION("""COMPUTED_VALUE"""),"N")</f>
        <v>N</v>
      </c>
      <c r="AF591" s="45"/>
      <c r="AG591" s="49" t="str">
        <f ca="1">IFERROR(__xludf.DUMMYFUNCTION("IFNA(vlookup(H591,IMPORTRANGE(""1vUGwO1n0QQGx9kKbO0_M5gmuhXZ6-LaxQxgrmJnzgP0"",""'TP# look up'!A:C""),3,0),"""")"),"")</f>
        <v/>
      </c>
      <c r="AH591" s="49" t="str">
        <f t="shared" ca="1" si="9"/>
        <v>LW</v>
      </c>
    </row>
    <row r="592" spans="1:34" ht="12.75">
      <c r="A592" s="45" t="str">
        <f ca="1">IFERROR(__xludf.DUMMYFUNCTION("""COMPUTED_VALUE"""),"Colombo")</f>
        <v>Colombo</v>
      </c>
      <c r="B592" s="45"/>
      <c r="C592" s="45">
        <f ca="1">IFERROR(__xludf.DUMMYFUNCTION("""COMPUTED_VALUE"""),3259830)</f>
        <v>3259830</v>
      </c>
      <c r="D592" s="45"/>
      <c r="E592" s="45" t="str">
        <f ca="1">IFERROR(__xludf.DUMMYFUNCTION("""COMPUTED_VALUE"""),"CFS")</f>
        <v>CFS</v>
      </c>
      <c r="F592" s="45" t="str">
        <f ca="1">IFERROR(__xludf.DUMMYFUNCTION("""COMPUTED_VALUE"""),"MAS AMITY PTE LTD")</f>
        <v>MAS AMITY PTE LTD</v>
      </c>
      <c r="G592" s="45" t="str">
        <f ca="1">IFERROR(__xludf.DUMMYFUNCTION("""COMPUTED_VALUE"""),"MAS Active (Pvt) Ltd – Shadowline")</f>
        <v>MAS Active (Pvt) Ltd – Shadowline</v>
      </c>
      <c r="H592" s="43">
        <f ca="1">IFERROR(__xludf.DUMMYFUNCTION("""COMPUTED_VALUE"""),457045386476)</f>
        <v>457045386476</v>
      </c>
      <c r="I592" s="45">
        <f ca="1">IFERROR(__xludf.DUMMYFUNCTION("""COMPUTED_VALUE"""),19923504)</f>
        <v>19923504</v>
      </c>
      <c r="J592" s="45" t="str">
        <f ca="1">IFERROR(__xludf.DUMMYFUNCTION("""COMPUTED_VALUE"""),"LW5FLOS")</f>
        <v>LW5FLOS</v>
      </c>
      <c r="K592" s="45" t="str">
        <f ca="1">IFERROR(__xludf.DUMMYFUNCTION("""COMPUTED_VALUE"""),"LW5FLOS-071150")</f>
        <v>LW5FLOS-071150</v>
      </c>
      <c r="L592" s="45">
        <f ca="1">IFERROR(__xludf.DUMMYFUNCTION("""COMPUTED_VALUE"""),1)</f>
        <v>1</v>
      </c>
      <c r="M592" s="45">
        <f ca="1">IFERROR(__xludf.DUMMYFUNCTION("""COMPUTED_VALUE"""),9)</f>
        <v>9</v>
      </c>
      <c r="N592" s="45">
        <f ca="1">IFERROR(__xludf.DUMMYFUNCTION("""COMPUTED_VALUE"""),2.58)</f>
        <v>2.58</v>
      </c>
      <c r="O592" s="45">
        <f ca="1">IFERROR(__xludf.DUMMYFUNCTION("""COMPUTED_VALUE"""),0.039)</f>
        <v>3.9E-2</v>
      </c>
      <c r="P592" s="45" t="str">
        <f ca="1">IFERROR(__xludf.DUMMYFUNCTION("""COMPUTED_VALUE"""),"Colombo, LK")</f>
        <v>Colombo, LK</v>
      </c>
      <c r="Q592" s="45" t="str">
        <f ca="1">IFERROR(__xludf.DUMMYFUNCTION("""COMPUTED_VALUE"""),"Rotterdam, NL")</f>
        <v>Rotterdam, NL</v>
      </c>
      <c r="R592" s="44">
        <f ca="1">IFERROR(__xludf.DUMMYFUNCTION("""COMPUTED_VALUE"""),45831)</f>
        <v>45831</v>
      </c>
      <c r="S592" s="44">
        <f ca="1">IFERROR(__xludf.DUMMYFUNCTION("""COMPUTED_VALUE"""),45885)</f>
        <v>45885</v>
      </c>
      <c r="T592" s="45" t="str">
        <f ca="1">IFERROR(__xludf.DUMMYFUNCTION("""COMPUTED_VALUE"""),"Rotterdam, NL")</f>
        <v>Rotterdam, NL</v>
      </c>
      <c r="U592" s="45"/>
      <c r="V592" s="45"/>
      <c r="W592" s="45"/>
      <c r="X592" s="45"/>
      <c r="Y592" s="46">
        <f ca="1">IFERROR(__xludf.DUMMYFUNCTION("""COMPUTED_VALUE"""),45838)</f>
        <v>45838</v>
      </c>
      <c r="Z592" s="46">
        <f ca="1">IFERROR(__xludf.DUMMYFUNCTION("""COMPUTED_VALUE"""),45859)</f>
        <v>45859</v>
      </c>
      <c r="AA592" s="46">
        <f ca="1">IFERROR(__xludf.DUMMYFUNCTION("""COMPUTED_VALUE"""),45859)</f>
        <v>45859</v>
      </c>
      <c r="AB592" s="45" t="str">
        <f ca="1">IFERROR(__xludf.DUMMYFUNCTION("""COMPUTED_VALUE"""),"Conradweg 26")</f>
        <v>Conradweg 26</v>
      </c>
      <c r="AC592" s="45"/>
      <c r="AD592" s="45" t="str">
        <f ca="1">IFERROR(__xludf.DUMMYFUNCTION("""COMPUTED_VALUE"""),"OCEAN")</f>
        <v>OCEAN</v>
      </c>
      <c r="AE592" s="45" t="str">
        <f ca="1">IFERROR(__xludf.DUMMYFUNCTION("""COMPUTED_VALUE"""),"N")</f>
        <v>N</v>
      </c>
      <c r="AF592" s="45"/>
      <c r="AG592" s="49" t="str">
        <f ca="1">IFERROR(__xludf.DUMMYFUNCTION("IFNA(vlookup(H592,IMPORTRANGE(""1vUGwO1n0QQGx9kKbO0_M5gmuhXZ6-LaxQxgrmJnzgP0"",""'TP# look up'!A:C""),3,0),"""")"),"")</f>
        <v/>
      </c>
      <c r="AH592" s="49" t="str">
        <f t="shared" ca="1" si="9"/>
        <v>LW</v>
      </c>
    </row>
    <row r="593" spans="1:34" ht="12.75">
      <c r="A593" s="45" t="str">
        <f ca="1">IFERROR(__xludf.DUMMYFUNCTION("""COMPUTED_VALUE"""),"Colombo")</f>
        <v>Colombo</v>
      </c>
      <c r="B593" s="45"/>
      <c r="C593" s="45">
        <f ca="1">IFERROR(__xludf.DUMMYFUNCTION("""COMPUTED_VALUE"""),3259830)</f>
        <v>3259830</v>
      </c>
      <c r="D593" s="45"/>
      <c r="E593" s="45" t="str">
        <f ca="1">IFERROR(__xludf.DUMMYFUNCTION("""COMPUTED_VALUE"""),"CFS")</f>
        <v>CFS</v>
      </c>
      <c r="F593" s="45" t="str">
        <f ca="1">IFERROR(__xludf.DUMMYFUNCTION("""COMPUTED_VALUE"""),"MAS AMITY PTE LTD")</f>
        <v>MAS AMITY PTE LTD</v>
      </c>
      <c r="G593" s="45" t="str">
        <f ca="1">IFERROR(__xludf.DUMMYFUNCTION("""COMPUTED_VALUE"""),"MAS Active (Pvt) Ltd – Sleekline")</f>
        <v>MAS Active (Pvt) Ltd – Sleekline</v>
      </c>
      <c r="H593" s="43">
        <f ca="1">IFERROR(__xludf.DUMMYFUNCTION("""COMPUTED_VALUE"""),457017261877)</f>
        <v>457017261877</v>
      </c>
      <c r="I593" s="45">
        <f ca="1">IFERROR(__xludf.DUMMYFUNCTION("""COMPUTED_VALUE"""),19810099)</f>
        <v>19810099</v>
      </c>
      <c r="J593" s="45" t="str">
        <f ca="1">IFERROR(__xludf.DUMMYFUNCTION("""COMPUTED_VALUE"""),"LM9AYLS")</f>
        <v>LM9AYLS</v>
      </c>
      <c r="K593" s="45" t="str">
        <f ca="1">IFERROR(__xludf.DUMMYFUNCTION("""COMPUTED_VALUE"""),"LM9AYLS-035487")</f>
        <v>LM9AYLS-035487</v>
      </c>
      <c r="L593" s="45">
        <f ca="1">IFERROR(__xludf.DUMMYFUNCTION("""COMPUTED_VALUE"""),3)</f>
        <v>3</v>
      </c>
      <c r="M593" s="45">
        <f ca="1">IFERROR(__xludf.DUMMYFUNCTION("""COMPUTED_VALUE"""),238)</f>
        <v>238</v>
      </c>
      <c r="N593" s="45">
        <f ca="1">IFERROR(__xludf.DUMMYFUNCTION("""COMPUTED_VALUE"""),23.47)</f>
        <v>23.47</v>
      </c>
      <c r="O593" s="45">
        <f ca="1">IFERROR(__xludf.DUMMYFUNCTION("""COMPUTED_VALUE"""),0.198)</f>
        <v>0.19800000000000001</v>
      </c>
      <c r="P593" s="45" t="str">
        <f ca="1">IFERROR(__xludf.DUMMYFUNCTION("""COMPUTED_VALUE"""),"Colombo, LK")</f>
        <v>Colombo, LK</v>
      </c>
      <c r="Q593" s="45" t="str">
        <f ca="1">IFERROR(__xludf.DUMMYFUNCTION("""COMPUTED_VALUE"""),"Rotterdam, NL")</f>
        <v>Rotterdam, NL</v>
      </c>
      <c r="R593" s="44">
        <f ca="1">IFERROR(__xludf.DUMMYFUNCTION("""COMPUTED_VALUE"""),45831)</f>
        <v>45831</v>
      </c>
      <c r="S593" s="44">
        <f ca="1">IFERROR(__xludf.DUMMYFUNCTION("""COMPUTED_VALUE"""),45885)</f>
        <v>45885</v>
      </c>
      <c r="T593" s="45" t="str">
        <f ca="1">IFERROR(__xludf.DUMMYFUNCTION("""COMPUTED_VALUE"""),"Rotterdam, NL")</f>
        <v>Rotterdam, NL</v>
      </c>
      <c r="U593" s="45"/>
      <c r="V593" s="45"/>
      <c r="W593" s="45"/>
      <c r="X593" s="45"/>
      <c r="Y593" s="46">
        <f ca="1">IFERROR(__xludf.DUMMYFUNCTION("""COMPUTED_VALUE"""),45838)</f>
        <v>45838</v>
      </c>
      <c r="Z593" s="46">
        <f ca="1">IFERROR(__xludf.DUMMYFUNCTION("""COMPUTED_VALUE"""),45859)</f>
        <v>45859</v>
      </c>
      <c r="AA593" s="46">
        <f ca="1">IFERROR(__xludf.DUMMYFUNCTION("""COMPUTED_VALUE"""),45859)</f>
        <v>45859</v>
      </c>
      <c r="AB593" s="45" t="str">
        <f ca="1">IFERROR(__xludf.DUMMYFUNCTION("""COMPUTED_VALUE"""),"Conradweg 26")</f>
        <v>Conradweg 26</v>
      </c>
      <c r="AC593" s="45"/>
      <c r="AD593" s="45" t="str">
        <f ca="1">IFERROR(__xludf.DUMMYFUNCTION("""COMPUTED_VALUE"""),"OCEAN")</f>
        <v>OCEAN</v>
      </c>
      <c r="AE593" s="45" t="str">
        <f ca="1">IFERROR(__xludf.DUMMYFUNCTION("""COMPUTED_VALUE"""),"N")</f>
        <v>N</v>
      </c>
      <c r="AF593" s="45"/>
      <c r="AG593" s="49" t="str">
        <f ca="1">IFERROR(__xludf.DUMMYFUNCTION("IFNA(vlookup(H593,IMPORTRANGE(""1vUGwO1n0QQGx9kKbO0_M5gmuhXZ6-LaxQxgrmJnzgP0"",""'TP# look up'!A:C""),3,0),"""")"),"")</f>
        <v/>
      </c>
      <c r="AH593" s="49" t="str">
        <f t="shared" ca="1" si="9"/>
        <v>LM</v>
      </c>
    </row>
    <row r="594" spans="1:34" ht="12.75">
      <c r="A594" s="45" t="str">
        <f ca="1">IFERROR(__xludf.DUMMYFUNCTION("""COMPUTED_VALUE"""),"Colombo")</f>
        <v>Colombo</v>
      </c>
      <c r="B594" s="45"/>
      <c r="C594" s="45">
        <f ca="1">IFERROR(__xludf.DUMMYFUNCTION("""COMPUTED_VALUE"""),3259830)</f>
        <v>3259830</v>
      </c>
      <c r="D594" s="45"/>
      <c r="E594" s="45" t="str">
        <f ca="1">IFERROR(__xludf.DUMMYFUNCTION("""COMPUTED_VALUE"""),"CFS")</f>
        <v>CFS</v>
      </c>
      <c r="F594" s="45" t="str">
        <f ca="1">IFERROR(__xludf.DUMMYFUNCTION("""COMPUTED_VALUE"""),"MAS AMITY PTE LTD")</f>
        <v>MAS AMITY PTE LTD</v>
      </c>
      <c r="G594" s="45" t="str">
        <f ca="1">IFERROR(__xludf.DUMMYFUNCTION("""COMPUTED_VALUE"""),"MAS Active (Pvt) Ltd – Sleekline")</f>
        <v>MAS Active (Pvt) Ltd – Sleekline</v>
      </c>
      <c r="H594" s="43">
        <f ca="1">IFERROR(__xludf.DUMMYFUNCTION("""COMPUTED_VALUE"""),457019297788)</f>
        <v>457019297788</v>
      </c>
      <c r="I594" s="45">
        <f ca="1">IFERROR(__xludf.DUMMYFUNCTION("""COMPUTED_VALUE"""),19805694)</f>
        <v>19805694</v>
      </c>
      <c r="J594" s="45" t="str">
        <f ca="1">IFERROR(__xludf.DUMMYFUNCTION("""COMPUTED_VALUE"""),"LM9AY9S")</f>
        <v>LM9AY9S</v>
      </c>
      <c r="K594" s="45" t="str">
        <f ca="1">IFERROR(__xludf.DUMMYFUNCTION("""COMPUTED_VALUE"""),"LM9AY9S-042751")</f>
        <v>LM9AY9S-042751</v>
      </c>
      <c r="L594" s="45">
        <f ca="1">IFERROR(__xludf.DUMMYFUNCTION("""COMPUTED_VALUE"""),2)</f>
        <v>2</v>
      </c>
      <c r="M594" s="45">
        <f ca="1">IFERROR(__xludf.DUMMYFUNCTION("""COMPUTED_VALUE"""),53)</f>
        <v>53</v>
      </c>
      <c r="N594" s="45">
        <f ca="1">IFERROR(__xludf.DUMMYFUNCTION("""COMPUTED_VALUE"""),16.31)</f>
        <v>16.309999999999999</v>
      </c>
      <c r="O594" s="45">
        <f ca="1">IFERROR(__xludf.DUMMYFUNCTION("""COMPUTED_VALUE"""),0.119)</f>
        <v>0.11899999999999999</v>
      </c>
      <c r="P594" s="45" t="str">
        <f ca="1">IFERROR(__xludf.DUMMYFUNCTION("""COMPUTED_VALUE"""),"Colombo, LK")</f>
        <v>Colombo, LK</v>
      </c>
      <c r="Q594" s="45" t="str">
        <f ca="1">IFERROR(__xludf.DUMMYFUNCTION("""COMPUTED_VALUE"""),"Rotterdam, NL")</f>
        <v>Rotterdam, NL</v>
      </c>
      <c r="R594" s="44">
        <f ca="1">IFERROR(__xludf.DUMMYFUNCTION("""COMPUTED_VALUE"""),45831)</f>
        <v>45831</v>
      </c>
      <c r="S594" s="44">
        <f ca="1">IFERROR(__xludf.DUMMYFUNCTION("""COMPUTED_VALUE"""),45885)</f>
        <v>45885</v>
      </c>
      <c r="T594" s="45" t="str">
        <f ca="1">IFERROR(__xludf.DUMMYFUNCTION("""COMPUTED_VALUE"""),"Rotterdam, NL")</f>
        <v>Rotterdam, NL</v>
      </c>
      <c r="U594" s="45"/>
      <c r="V594" s="45"/>
      <c r="W594" s="45"/>
      <c r="X594" s="45"/>
      <c r="Y594" s="46">
        <f ca="1">IFERROR(__xludf.DUMMYFUNCTION("""COMPUTED_VALUE"""),45838)</f>
        <v>45838</v>
      </c>
      <c r="Z594" s="46">
        <f ca="1">IFERROR(__xludf.DUMMYFUNCTION("""COMPUTED_VALUE"""),45859)</f>
        <v>45859</v>
      </c>
      <c r="AA594" s="46">
        <f ca="1">IFERROR(__xludf.DUMMYFUNCTION("""COMPUTED_VALUE"""),45859)</f>
        <v>45859</v>
      </c>
      <c r="AB594" s="45" t="str">
        <f ca="1">IFERROR(__xludf.DUMMYFUNCTION("""COMPUTED_VALUE"""),"Conradweg 26")</f>
        <v>Conradweg 26</v>
      </c>
      <c r="AC594" s="45"/>
      <c r="AD594" s="45" t="str">
        <f ca="1">IFERROR(__xludf.DUMMYFUNCTION("""COMPUTED_VALUE"""),"OCEAN")</f>
        <v>OCEAN</v>
      </c>
      <c r="AE594" s="45" t="str">
        <f ca="1">IFERROR(__xludf.DUMMYFUNCTION("""COMPUTED_VALUE"""),"N")</f>
        <v>N</v>
      </c>
      <c r="AF594" s="45"/>
      <c r="AG594" s="49" t="str">
        <f ca="1">IFERROR(__xludf.DUMMYFUNCTION("IFNA(vlookup(H594,IMPORTRANGE(""1vUGwO1n0QQGx9kKbO0_M5gmuhXZ6-LaxQxgrmJnzgP0"",""'TP# look up'!A:C""),3,0),"""")"),"")</f>
        <v/>
      </c>
      <c r="AH594" s="49" t="str">
        <f t="shared" ca="1" si="9"/>
        <v>LM</v>
      </c>
    </row>
    <row r="595" spans="1:34" ht="12.75">
      <c r="A595" s="45" t="str">
        <f ca="1">IFERROR(__xludf.DUMMYFUNCTION("""COMPUTED_VALUE"""),"Colombo")</f>
        <v>Colombo</v>
      </c>
      <c r="B595" s="45"/>
      <c r="C595" s="45">
        <f ca="1">IFERROR(__xludf.DUMMYFUNCTION("""COMPUTED_VALUE"""),3259830)</f>
        <v>3259830</v>
      </c>
      <c r="D595" s="45"/>
      <c r="E595" s="45" t="str">
        <f ca="1">IFERROR(__xludf.DUMMYFUNCTION("""COMPUTED_VALUE"""),"CFS")</f>
        <v>CFS</v>
      </c>
      <c r="F595" s="45" t="str">
        <f ca="1">IFERROR(__xludf.DUMMYFUNCTION("""COMPUTED_VALUE"""),"MAS AMITY PTE LTD")</f>
        <v>MAS AMITY PTE LTD</v>
      </c>
      <c r="G595" s="45" t="str">
        <f ca="1">IFERROR(__xludf.DUMMYFUNCTION("""COMPUTED_VALUE"""),"MAS Active (Pvt) Ltd – Sleekline")</f>
        <v>MAS Active (Pvt) Ltd – Sleekline</v>
      </c>
      <c r="H595" s="43">
        <f ca="1">IFERROR(__xludf.DUMMYFUNCTION("""COMPUTED_VALUE"""),457022287383)</f>
        <v>457022287383</v>
      </c>
      <c r="I595" s="45">
        <f ca="1">IFERROR(__xludf.DUMMYFUNCTION("""COMPUTED_VALUE"""),19805642)</f>
        <v>19805642</v>
      </c>
      <c r="J595" s="45" t="str">
        <f ca="1">IFERROR(__xludf.DUMMYFUNCTION("""COMPUTED_VALUE"""),"LM9B19S")</f>
        <v>LM9B19S</v>
      </c>
      <c r="K595" s="45" t="str">
        <f ca="1">IFERROR(__xludf.DUMMYFUNCTION("""COMPUTED_VALUE"""),"LM9B19S-4310")</f>
        <v>LM9B19S-4310</v>
      </c>
      <c r="L595" s="45">
        <f ca="1">IFERROR(__xludf.DUMMYFUNCTION("""COMPUTED_VALUE"""),1)</f>
        <v>1</v>
      </c>
      <c r="M595" s="45">
        <f ca="1">IFERROR(__xludf.DUMMYFUNCTION("""COMPUTED_VALUE"""),29)</f>
        <v>29</v>
      </c>
      <c r="N595" s="45">
        <f ca="1">IFERROR(__xludf.DUMMYFUNCTION("""COMPUTED_VALUE"""),8.55)</f>
        <v>8.5500000000000007</v>
      </c>
      <c r="O595" s="45">
        <f ca="1">IFERROR(__xludf.DUMMYFUNCTION("""COMPUTED_VALUE"""),0.079)</f>
        <v>7.9000000000000001E-2</v>
      </c>
      <c r="P595" s="45" t="str">
        <f ca="1">IFERROR(__xludf.DUMMYFUNCTION("""COMPUTED_VALUE"""),"Colombo, LK")</f>
        <v>Colombo, LK</v>
      </c>
      <c r="Q595" s="45" t="str">
        <f ca="1">IFERROR(__xludf.DUMMYFUNCTION("""COMPUTED_VALUE"""),"Rotterdam, NL")</f>
        <v>Rotterdam, NL</v>
      </c>
      <c r="R595" s="44">
        <f ca="1">IFERROR(__xludf.DUMMYFUNCTION("""COMPUTED_VALUE"""),45831)</f>
        <v>45831</v>
      </c>
      <c r="S595" s="44">
        <f ca="1">IFERROR(__xludf.DUMMYFUNCTION("""COMPUTED_VALUE"""),45885)</f>
        <v>45885</v>
      </c>
      <c r="T595" s="45" t="str">
        <f ca="1">IFERROR(__xludf.DUMMYFUNCTION("""COMPUTED_VALUE"""),"Rotterdam, NL")</f>
        <v>Rotterdam, NL</v>
      </c>
      <c r="U595" s="45"/>
      <c r="V595" s="45"/>
      <c r="W595" s="45"/>
      <c r="X595" s="45"/>
      <c r="Y595" s="46">
        <f ca="1">IFERROR(__xludf.DUMMYFUNCTION("""COMPUTED_VALUE"""),45838)</f>
        <v>45838</v>
      </c>
      <c r="Z595" s="46">
        <f ca="1">IFERROR(__xludf.DUMMYFUNCTION("""COMPUTED_VALUE"""),45859)</f>
        <v>45859</v>
      </c>
      <c r="AA595" s="46">
        <f ca="1">IFERROR(__xludf.DUMMYFUNCTION("""COMPUTED_VALUE"""),45859)</f>
        <v>45859</v>
      </c>
      <c r="AB595" s="45" t="str">
        <f ca="1">IFERROR(__xludf.DUMMYFUNCTION("""COMPUTED_VALUE"""),"Conradweg 26")</f>
        <v>Conradweg 26</v>
      </c>
      <c r="AC595" s="45"/>
      <c r="AD595" s="45" t="str">
        <f ca="1">IFERROR(__xludf.DUMMYFUNCTION("""COMPUTED_VALUE"""),"OCEAN")</f>
        <v>OCEAN</v>
      </c>
      <c r="AE595" s="45" t="str">
        <f ca="1">IFERROR(__xludf.DUMMYFUNCTION("""COMPUTED_VALUE"""),"N")</f>
        <v>N</v>
      </c>
      <c r="AF595" s="45"/>
      <c r="AG595" s="49" t="str">
        <f ca="1">IFERROR(__xludf.DUMMYFUNCTION("IFNA(vlookup(H595,IMPORTRANGE(""1vUGwO1n0QQGx9kKbO0_M5gmuhXZ6-LaxQxgrmJnzgP0"",""'TP# look up'!A:C""),3,0),"""")"),"")</f>
        <v/>
      </c>
      <c r="AH595" s="49" t="str">
        <f t="shared" ca="1" si="9"/>
        <v>LM</v>
      </c>
    </row>
    <row r="596" spans="1:34" ht="12.75">
      <c r="A596" s="45" t="str">
        <f ca="1">IFERROR(__xludf.DUMMYFUNCTION("""COMPUTED_VALUE"""),"Colombo")</f>
        <v>Colombo</v>
      </c>
      <c r="B596" s="45"/>
      <c r="C596" s="45">
        <f ca="1">IFERROR(__xludf.DUMMYFUNCTION("""COMPUTED_VALUE"""),3259830)</f>
        <v>3259830</v>
      </c>
      <c r="D596" s="45"/>
      <c r="E596" s="45" t="str">
        <f ca="1">IFERROR(__xludf.DUMMYFUNCTION("""COMPUTED_VALUE"""),"CFS")</f>
        <v>CFS</v>
      </c>
      <c r="F596" s="45" t="str">
        <f ca="1">IFERROR(__xludf.DUMMYFUNCTION("""COMPUTED_VALUE"""),"MAS AMITY PTE LTD")</f>
        <v>MAS AMITY PTE LTD</v>
      </c>
      <c r="G596" s="45" t="str">
        <f ca="1">IFERROR(__xludf.DUMMYFUNCTION("""COMPUTED_VALUE"""),"MAS Active (Pvt) Ltd – Sleekline")</f>
        <v>MAS Active (Pvt) Ltd – Sleekline</v>
      </c>
      <c r="H596" s="43">
        <f ca="1">IFERROR(__xludf.DUMMYFUNCTION("""COMPUTED_VALUE"""),457022287805)</f>
        <v>457022287805</v>
      </c>
      <c r="I596" s="45">
        <f ca="1">IFERROR(__xludf.DUMMYFUNCTION("""COMPUTED_VALUE"""),19810097)</f>
        <v>19810097</v>
      </c>
      <c r="J596" s="45" t="str">
        <f ca="1">IFERROR(__xludf.DUMMYFUNCTION("""COMPUTED_VALUE"""),"LM9AY9S")</f>
        <v>LM9AY9S</v>
      </c>
      <c r="K596" s="45" t="str">
        <f ca="1">IFERROR(__xludf.DUMMYFUNCTION("""COMPUTED_VALUE"""),"LM9AY9S-042751")</f>
        <v>LM9AY9S-042751</v>
      </c>
      <c r="L596" s="45">
        <f ca="1">IFERROR(__xludf.DUMMYFUNCTION("""COMPUTED_VALUE"""),6)</f>
        <v>6</v>
      </c>
      <c r="M596" s="45">
        <f ca="1">IFERROR(__xludf.DUMMYFUNCTION("""COMPUTED_VALUE"""),263)</f>
        <v>263</v>
      </c>
      <c r="N596" s="45">
        <f ca="1">IFERROR(__xludf.DUMMYFUNCTION("""COMPUTED_VALUE"""),77.26)</f>
        <v>77.260000000000005</v>
      </c>
      <c r="O596" s="45">
        <f ca="1">IFERROR(__xludf.DUMMYFUNCTION("""COMPUTED_VALUE"""),0.476)</f>
        <v>0.47599999999999998</v>
      </c>
      <c r="P596" s="45" t="str">
        <f ca="1">IFERROR(__xludf.DUMMYFUNCTION("""COMPUTED_VALUE"""),"Colombo, LK")</f>
        <v>Colombo, LK</v>
      </c>
      <c r="Q596" s="45" t="str">
        <f ca="1">IFERROR(__xludf.DUMMYFUNCTION("""COMPUTED_VALUE"""),"Rotterdam, NL")</f>
        <v>Rotterdam, NL</v>
      </c>
      <c r="R596" s="44">
        <f ca="1">IFERROR(__xludf.DUMMYFUNCTION("""COMPUTED_VALUE"""),45831)</f>
        <v>45831</v>
      </c>
      <c r="S596" s="44">
        <f ca="1">IFERROR(__xludf.DUMMYFUNCTION("""COMPUTED_VALUE"""),45885)</f>
        <v>45885</v>
      </c>
      <c r="T596" s="45" t="str">
        <f ca="1">IFERROR(__xludf.DUMMYFUNCTION("""COMPUTED_VALUE"""),"Rotterdam, NL")</f>
        <v>Rotterdam, NL</v>
      </c>
      <c r="U596" s="45"/>
      <c r="V596" s="45"/>
      <c r="W596" s="45"/>
      <c r="X596" s="45"/>
      <c r="Y596" s="46">
        <f ca="1">IFERROR(__xludf.DUMMYFUNCTION("""COMPUTED_VALUE"""),45838)</f>
        <v>45838</v>
      </c>
      <c r="Z596" s="46">
        <f ca="1">IFERROR(__xludf.DUMMYFUNCTION("""COMPUTED_VALUE"""),45859)</f>
        <v>45859</v>
      </c>
      <c r="AA596" s="46">
        <f ca="1">IFERROR(__xludf.DUMMYFUNCTION("""COMPUTED_VALUE"""),45859)</f>
        <v>45859</v>
      </c>
      <c r="AB596" s="45" t="str">
        <f ca="1">IFERROR(__xludf.DUMMYFUNCTION("""COMPUTED_VALUE"""),"Conradweg 26")</f>
        <v>Conradweg 26</v>
      </c>
      <c r="AC596" s="45"/>
      <c r="AD596" s="45" t="str">
        <f ca="1">IFERROR(__xludf.DUMMYFUNCTION("""COMPUTED_VALUE"""),"OCEAN")</f>
        <v>OCEAN</v>
      </c>
      <c r="AE596" s="45" t="str">
        <f ca="1">IFERROR(__xludf.DUMMYFUNCTION("""COMPUTED_VALUE"""),"N")</f>
        <v>N</v>
      </c>
      <c r="AF596" s="45"/>
      <c r="AG596" s="49" t="str">
        <f ca="1">IFERROR(__xludf.DUMMYFUNCTION("IFNA(vlookup(H596,IMPORTRANGE(""1vUGwO1n0QQGx9kKbO0_M5gmuhXZ6-LaxQxgrmJnzgP0"",""'TP# look up'!A:C""),3,0),"""")"),"")</f>
        <v/>
      </c>
      <c r="AH596" s="49" t="str">
        <f t="shared" ca="1" si="9"/>
        <v>LM</v>
      </c>
    </row>
    <row r="597" spans="1:34" ht="12.75">
      <c r="A597" s="45" t="str">
        <f ca="1">IFERROR(__xludf.DUMMYFUNCTION("""COMPUTED_VALUE"""),"Colombo")</f>
        <v>Colombo</v>
      </c>
      <c r="B597" s="45"/>
      <c r="C597" s="45">
        <f ca="1">IFERROR(__xludf.DUMMYFUNCTION("""COMPUTED_VALUE"""),3259830)</f>
        <v>3259830</v>
      </c>
      <c r="D597" s="45"/>
      <c r="E597" s="45" t="str">
        <f ca="1">IFERROR(__xludf.DUMMYFUNCTION("""COMPUTED_VALUE"""),"CFS")</f>
        <v>CFS</v>
      </c>
      <c r="F597" s="45" t="str">
        <f ca="1">IFERROR(__xludf.DUMMYFUNCTION("""COMPUTED_VALUE"""),"MAS AMITY PTE LTD")</f>
        <v>MAS AMITY PTE LTD</v>
      </c>
      <c r="G597" s="45" t="str">
        <f ca="1">IFERROR(__xludf.DUMMYFUNCTION("""COMPUTED_VALUE"""),"MAS Active (Pvt) Ltd – Sleekline")</f>
        <v>MAS Active (Pvt) Ltd – Sleekline</v>
      </c>
      <c r="H597" s="43">
        <f ca="1">IFERROR(__xludf.DUMMYFUNCTION("""COMPUTED_VALUE"""),457023341324)</f>
        <v>457023341324</v>
      </c>
      <c r="I597" s="45">
        <f ca="1">IFERROR(__xludf.DUMMYFUNCTION("""COMPUTED_VALUE"""),19805638)</f>
        <v>19805638</v>
      </c>
      <c r="J597" s="45" t="str">
        <f ca="1">IFERROR(__xludf.DUMMYFUNCTION("""COMPUTED_VALUE"""),"LM9AYLS")</f>
        <v>LM9AYLS</v>
      </c>
      <c r="K597" s="45" t="str">
        <f ca="1">IFERROR(__xludf.DUMMYFUNCTION("""COMPUTED_VALUE"""),"LM9AYLS-035487")</f>
        <v>LM9AYLS-035487</v>
      </c>
      <c r="L597" s="45">
        <f ca="1">IFERROR(__xludf.DUMMYFUNCTION("""COMPUTED_VALUE"""),1)</f>
        <v>1</v>
      </c>
      <c r="M597" s="45">
        <f ca="1">IFERROR(__xludf.DUMMYFUNCTION("""COMPUTED_VALUE"""),37)</f>
        <v>37</v>
      </c>
      <c r="N597" s="45">
        <f ca="1">IFERROR(__xludf.DUMMYFUNCTION("""COMPUTED_VALUE"""),4.02)</f>
        <v>4.0199999999999996</v>
      </c>
      <c r="O597" s="45">
        <f ca="1">IFERROR(__xludf.DUMMYFUNCTION("""COMPUTED_VALUE"""),0.04)</f>
        <v>0.04</v>
      </c>
      <c r="P597" s="45" t="str">
        <f ca="1">IFERROR(__xludf.DUMMYFUNCTION("""COMPUTED_VALUE"""),"Colombo, LK")</f>
        <v>Colombo, LK</v>
      </c>
      <c r="Q597" s="45" t="str">
        <f ca="1">IFERROR(__xludf.DUMMYFUNCTION("""COMPUTED_VALUE"""),"Rotterdam, NL")</f>
        <v>Rotterdam, NL</v>
      </c>
      <c r="R597" s="44">
        <f ca="1">IFERROR(__xludf.DUMMYFUNCTION("""COMPUTED_VALUE"""),45831)</f>
        <v>45831</v>
      </c>
      <c r="S597" s="44">
        <f ca="1">IFERROR(__xludf.DUMMYFUNCTION("""COMPUTED_VALUE"""),45885)</f>
        <v>45885</v>
      </c>
      <c r="T597" s="45" t="str">
        <f ca="1">IFERROR(__xludf.DUMMYFUNCTION("""COMPUTED_VALUE"""),"Rotterdam, NL")</f>
        <v>Rotterdam, NL</v>
      </c>
      <c r="U597" s="45"/>
      <c r="V597" s="45"/>
      <c r="W597" s="45"/>
      <c r="X597" s="45"/>
      <c r="Y597" s="46">
        <f ca="1">IFERROR(__xludf.DUMMYFUNCTION("""COMPUTED_VALUE"""),45838)</f>
        <v>45838</v>
      </c>
      <c r="Z597" s="46">
        <f ca="1">IFERROR(__xludf.DUMMYFUNCTION("""COMPUTED_VALUE"""),45859)</f>
        <v>45859</v>
      </c>
      <c r="AA597" s="46">
        <f ca="1">IFERROR(__xludf.DUMMYFUNCTION("""COMPUTED_VALUE"""),45859)</f>
        <v>45859</v>
      </c>
      <c r="AB597" s="45" t="str">
        <f ca="1">IFERROR(__xludf.DUMMYFUNCTION("""COMPUTED_VALUE"""),"Conradweg 26")</f>
        <v>Conradweg 26</v>
      </c>
      <c r="AC597" s="45"/>
      <c r="AD597" s="45" t="str">
        <f ca="1">IFERROR(__xludf.DUMMYFUNCTION("""COMPUTED_VALUE"""),"OCEAN")</f>
        <v>OCEAN</v>
      </c>
      <c r="AE597" s="45" t="str">
        <f ca="1">IFERROR(__xludf.DUMMYFUNCTION("""COMPUTED_VALUE"""),"N")</f>
        <v>N</v>
      </c>
      <c r="AF597" s="45"/>
      <c r="AG597" s="49" t="str">
        <f ca="1">IFERROR(__xludf.DUMMYFUNCTION("IFNA(vlookup(H597,IMPORTRANGE(""1vUGwO1n0QQGx9kKbO0_M5gmuhXZ6-LaxQxgrmJnzgP0"",""'TP# look up'!A:C""),3,0),"""")"),"")</f>
        <v/>
      </c>
      <c r="AH597" s="49" t="str">
        <f t="shared" ca="1" si="9"/>
        <v>LM</v>
      </c>
    </row>
    <row r="598" spans="1:34" ht="12.75">
      <c r="A598" s="45" t="str">
        <f ca="1">IFERROR(__xludf.DUMMYFUNCTION("""COMPUTED_VALUE"""),"Colombo")</f>
        <v>Colombo</v>
      </c>
      <c r="B598" s="45"/>
      <c r="C598" s="45">
        <f ca="1">IFERROR(__xludf.DUMMYFUNCTION("""COMPUTED_VALUE"""),3259830)</f>
        <v>3259830</v>
      </c>
      <c r="D598" s="45"/>
      <c r="E598" s="45" t="str">
        <f ca="1">IFERROR(__xludf.DUMMYFUNCTION("""COMPUTED_VALUE"""),"CFS")</f>
        <v>CFS</v>
      </c>
      <c r="F598" s="45" t="str">
        <f ca="1">IFERROR(__xludf.DUMMYFUNCTION("""COMPUTED_VALUE"""),"MAS AMITY PTE LTD")</f>
        <v>MAS AMITY PTE LTD</v>
      </c>
      <c r="G598" s="45" t="str">
        <f ca="1">IFERROR(__xludf.DUMMYFUNCTION("""COMPUTED_VALUE"""),"MAS Active (Pvt) Ltd – Sleekline")</f>
        <v>MAS Active (Pvt) Ltd – Sleekline</v>
      </c>
      <c r="H598" s="43">
        <f ca="1">IFERROR(__xludf.DUMMYFUNCTION("""COMPUTED_VALUE"""),457024005236)</f>
        <v>457024005236</v>
      </c>
      <c r="I598" s="45">
        <f ca="1">IFERROR(__xludf.DUMMYFUNCTION("""COMPUTED_VALUE"""),19810101)</f>
        <v>19810101</v>
      </c>
      <c r="J598" s="45" t="str">
        <f ca="1">IFERROR(__xludf.DUMMYFUNCTION("""COMPUTED_VALUE"""),"LM9B19S")</f>
        <v>LM9B19S</v>
      </c>
      <c r="K598" s="45" t="str">
        <f ca="1">IFERROR(__xludf.DUMMYFUNCTION("""COMPUTED_VALUE"""),"LM9B19S-4310")</f>
        <v>LM9B19S-4310</v>
      </c>
      <c r="L598" s="45">
        <f ca="1">IFERROR(__xludf.DUMMYFUNCTION("""COMPUTED_VALUE"""),5)</f>
        <v>5</v>
      </c>
      <c r="M598" s="45">
        <f ca="1">IFERROR(__xludf.DUMMYFUNCTION("""COMPUTED_VALUE"""),227)</f>
        <v>227</v>
      </c>
      <c r="N598" s="45">
        <f ca="1">IFERROR(__xludf.DUMMYFUNCTION("""COMPUTED_VALUE"""),63.78)</f>
        <v>63.78</v>
      </c>
      <c r="O598" s="45">
        <f ca="1">IFERROR(__xludf.DUMMYFUNCTION("""COMPUTED_VALUE"""),0.397)</f>
        <v>0.39700000000000002</v>
      </c>
      <c r="P598" s="45" t="str">
        <f ca="1">IFERROR(__xludf.DUMMYFUNCTION("""COMPUTED_VALUE"""),"Colombo, LK")</f>
        <v>Colombo, LK</v>
      </c>
      <c r="Q598" s="45" t="str">
        <f ca="1">IFERROR(__xludf.DUMMYFUNCTION("""COMPUTED_VALUE"""),"Rotterdam, NL")</f>
        <v>Rotterdam, NL</v>
      </c>
      <c r="R598" s="44">
        <f ca="1">IFERROR(__xludf.DUMMYFUNCTION("""COMPUTED_VALUE"""),45831)</f>
        <v>45831</v>
      </c>
      <c r="S598" s="44">
        <f ca="1">IFERROR(__xludf.DUMMYFUNCTION("""COMPUTED_VALUE"""),45885)</f>
        <v>45885</v>
      </c>
      <c r="T598" s="45" t="str">
        <f ca="1">IFERROR(__xludf.DUMMYFUNCTION("""COMPUTED_VALUE"""),"Rotterdam, NL")</f>
        <v>Rotterdam, NL</v>
      </c>
      <c r="U598" s="45"/>
      <c r="V598" s="45"/>
      <c r="W598" s="45"/>
      <c r="X598" s="45"/>
      <c r="Y598" s="46">
        <f ca="1">IFERROR(__xludf.DUMMYFUNCTION("""COMPUTED_VALUE"""),45838)</f>
        <v>45838</v>
      </c>
      <c r="Z598" s="46">
        <f ca="1">IFERROR(__xludf.DUMMYFUNCTION("""COMPUTED_VALUE"""),45859)</f>
        <v>45859</v>
      </c>
      <c r="AA598" s="46">
        <f ca="1">IFERROR(__xludf.DUMMYFUNCTION("""COMPUTED_VALUE"""),45859)</f>
        <v>45859</v>
      </c>
      <c r="AB598" s="45" t="str">
        <f ca="1">IFERROR(__xludf.DUMMYFUNCTION("""COMPUTED_VALUE"""),"Conradweg 26")</f>
        <v>Conradweg 26</v>
      </c>
      <c r="AC598" s="45"/>
      <c r="AD598" s="45" t="str">
        <f ca="1">IFERROR(__xludf.DUMMYFUNCTION("""COMPUTED_VALUE"""),"OCEAN")</f>
        <v>OCEAN</v>
      </c>
      <c r="AE598" s="45" t="str">
        <f ca="1">IFERROR(__xludf.DUMMYFUNCTION("""COMPUTED_VALUE"""),"N")</f>
        <v>N</v>
      </c>
      <c r="AF598" s="45"/>
      <c r="AG598" s="49" t="str">
        <f ca="1">IFERROR(__xludf.DUMMYFUNCTION("IFNA(vlookup(H598,IMPORTRANGE(""1vUGwO1n0QQGx9kKbO0_M5gmuhXZ6-LaxQxgrmJnzgP0"",""'TP# look up'!A:C""),3,0),"""")"),"")</f>
        <v/>
      </c>
      <c r="AH598" s="49" t="str">
        <f t="shared" ca="1" si="9"/>
        <v>LM</v>
      </c>
    </row>
    <row r="599" spans="1:34" ht="12.75">
      <c r="A599" s="45" t="str">
        <f ca="1">IFERROR(__xludf.DUMMYFUNCTION("""COMPUTED_VALUE"""),"Colombo")</f>
        <v>Colombo</v>
      </c>
      <c r="B599" s="45"/>
      <c r="C599" s="45">
        <f ca="1">IFERROR(__xludf.DUMMYFUNCTION("""COMPUTED_VALUE"""),3259830)</f>
        <v>3259830</v>
      </c>
      <c r="D599" s="45"/>
      <c r="E599" s="45" t="str">
        <f ca="1">IFERROR(__xludf.DUMMYFUNCTION("""COMPUTED_VALUE"""),"CFS")</f>
        <v>CFS</v>
      </c>
      <c r="F599" s="45" t="str">
        <f ca="1">IFERROR(__xludf.DUMMYFUNCTION("""COMPUTED_VALUE"""),"MAS AMITY PTE LTD")</f>
        <v>MAS AMITY PTE LTD</v>
      </c>
      <c r="G599" s="45" t="str">
        <f ca="1">IFERROR(__xludf.DUMMYFUNCTION("""COMPUTED_VALUE"""),"MAS Active(Pvt) Ltd – CONTOURLINE")</f>
        <v>MAS Active(Pvt) Ltd – CONTOURLINE</v>
      </c>
      <c r="H599" s="43">
        <f ca="1">IFERROR(__xludf.DUMMYFUNCTION("""COMPUTED_VALUE"""),457017263021)</f>
        <v>457017263021</v>
      </c>
      <c r="I599" s="45">
        <f ca="1">IFERROR(__xludf.DUMMYFUNCTION("""COMPUTED_VALUE"""),19820909)</f>
        <v>19820909</v>
      </c>
      <c r="J599" s="45" t="str">
        <f ca="1">IFERROR(__xludf.DUMMYFUNCTION("""COMPUTED_VALUE"""),"LW1DRKS")</f>
        <v>LW1DRKS</v>
      </c>
      <c r="K599" s="45" t="str">
        <f ca="1">IFERROR(__xludf.DUMMYFUNCTION("""COMPUTED_VALUE"""),"LW1DRKS-070108")</f>
        <v>LW1DRKS-070108</v>
      </c>
      <c r="L599" s="45">
        <f ca="1">IFERROR(__xludf.DUMMYFUNCTION("""COMPUTED_VALUE"""),2)</f>
        <v>2</v>
      </c>
      <c r="M599" s="45">
        <f ca="1">IFERROR(__xludf.DUMMYFUNCTION("""COMPUTED_VALUE"""),123)</f>
        <v>123</v>
      </c>
      <c r="N599" s="45">
        <f ca="1">IFERROR(__xludf.DUMMYFUNCTION("""COMPUTED_VALUE"""),15.582)</f>
        <v>15.582000000000001</v>
      </c>
      <c r="O599" s="45">
        <f ca="1">IFERROR(__xludf.DUMMYFUNCTION("""COMPUTED_VALUE"""),0.118)</f>
        <v>0.11799999999999999</v>
      </c>
      <c r="P599" s="45" t="str">
        <f ca="1">IFERROR(__xludf.DUMMYFUNCTION("""COMPUTED_VALUE"""),"Colombo, LK")</f>
        <v>Colombo, LK</v>
      </c>
      <c r="Q599" s="45" t="str">
        <f ca="1">IFERROR(__xludf.DUMMYFUNCTION("""COMPUTED_VALUE"""),"Rotterdam, NL")</f>
        <v>Rotterdam, NL</v>
      </c>
      <c r="R599" s="44">
        <f ca="1">IFERROR(__xludf.DUMMYFUNCTION("""COMPUTED_VALUE"""),45831)</f>
        <v>45831</v>
      </c>
      <c r="S599" s="44">
        <f ca="1">IFERROR(__xludf.DUMMYFUNCTION("""COMPUTED_VALUE"""),45885)</f>
        <v>45885</v>
      </c>
      <c r="T599" s="45" t="str">
        <f ca="1">IFERROR(__xludf.DUMMYFUNCTION("""COMPUTED_VALUE"""),"Rotterdam, NL")</f>
        <v>Rotterdam, NL</v>
      </c>
      <c r="U599" s="45"/>
      <c r="V599" s="45"/>
      <c r="W599" s="45"/>
      <c r="X599" s="45"/>
      <c r="Y599" s="46">
        <f ca="1">IFERROR(__xludf.DUMMYFUNCTION("""COMPUTED_VALUE"""),45838)</f>
        <v>45838</v>
      </c>
      <c r="Z599" s="46">
        <f ca="1">IFERROR(__xludf.DUMMYFUNCTION("""COMPUTED_VALUE"""),45859)</f>
        <v>45859</v>
      </c>
      <c r="AA599" s="46">
        <f ca="1">IFERROR(__xludf.DUMMYFUNCTION("""COMPUTED_VALUE"""),45859)</f>
        <v>45859</v>
      </c>
      <c r="AB599" s="45" t="str">
        <f ca="1">IFERROR(__xludf.DUMMYFUNCTION("""COMPUTED_VALUE"""),"Conradweg 26")</f>
        <v>Conradweg 26</v>
      </c>
      <c r="AC599" s="45"/>
      <c r="AD599" s="45" t="str">
        <f ca="1">IFERROR(__xludf.DUMMYFUNCTION("""COMPUTED_VALUE"""),"OCEAN")</f>
        <v>OCEAN</v>
      </c>
      <c r="AE599" s="45" t="str">
        <f ca="1">IFERROR(__xludf.DUMMYFUNCTION("""COMPUTED_VALUE"""),"N")</f>
        <v>N</v>
      </c>
      <c r="AF599" s="45"/>
      <c r="AG599" s="49" t="str">
        <f ca="1">IFERROR(__xludf.DUMMYFUNCTION("IFNA(vlookup(H599,IMPORTRANGE(""1vUGwO1n0QQGx9kKbO0_M5gmuhXZ6-LaxQxgrmJnzgP0"",""'TP# look up'!A:C""),3,0),"""")"),"")</f>
        <v/>
      </c>
      <c r="AH599" s="49" t="str">
        <f t="shared" ca="1" si="9"/>
        <v>LW</v>
      </c>
    </row>
    <row r="600" spans="1:34" ht="12.75">
      <c r="A600" s="45" t="str">
        <f ca="1">IFERROR(__xludf.DUMMYFUNCTION("""COMPUTED_VALUE"""),"Colombo")</f>
        <v>Colombo</v>
      </c>
      <c r="B600" s="45"/>
      <c r="C600" s="45">
        <f ca="1">IFERROR(__xludf.DUMMYFUNCTION("""COMPUTED_VALUE"""),3259830)</f>
        <v>3259830</v>
      </c>
      <c r="D600" s="45"/>
      <c r="E600" s="45" t="str">
        <f ca="1">IFERROR(__xludf.DUMMYFUNCTION("""COMPUTED_VALUE"""),"CFS")</f>
        <v>CFS</v>
      </c>
      <c r="F600" s="45" t="str">
        <f ca="1">IFERROR(__xludf.DUMMYFUNCTION("""COMPUTED_VALUE"""),"MAS AMITY PTE LTD")</f>
        <v>MAS AMITY PTE LTD</v>
      </c>
      <c r="G600" s="45" t="str">
        <f ca="1">IFERROR(__xludf.DUMMYFUNCTION("""COMPUTED_VALUE"""),"MAS Active(Pvt) Ltd – CONTOURLINE")</f>
        <v>MAS Active(Pvt) Ltd – CONTOURLINE</v>
      </c>
      <c r="H600" s="43">
        <f ca="1">IFERROR(__xludf.DUMMYFUNCTION("""COMPUTED_VALUE"""),457017263432)</f>
        <v>457017263432</v>
      </c>
      <c r="I600" s="45">
        <f ca="1">IFERROR(__xludf.DUMMYFUNCTION("""COMPUTED_VALUE"""),19921011)</f>
        <v>19921011</v>
      </c>
      <c r="J600" s="45" t="str">
        <f ca="1">IFERROR(__xludf.DUMMYFUNCTION("""COMPUTED_VALUE"""),"LW7DPES")</f>
        <v>LW7DPES</v>
      </c>
      <c r="K600" s="45" t="str">
        <f ca="1">IFERROR(__xludf.DUMMYFUNCTION("""COMPUTED_VALUE"""),"LW7DPES-071168")</f>
        <v>LW7DPES-071168</v>
      </c>
      <c r="L600" s="45">
        <f ca="1">IFERROR(__xludf.DUMMYFUNCTION("""COMPUTED_VALUE"""),6)</f>
        <v>6</v>
      </c>
      <c r="M600" s="45">
        <f ca="1">IFERROR(__xludf.DUMMYFUNCTION("""COMPUTED_VALUE"""),348)</f>
        <v>348</v>
      </c>
      <c r="N600" s="45">
        <f ca="1">IFERROR(__xludf.DUMMYFUNCTION("""COMPUTED_VALUE"""),56.938)</f>
        <v>56.938000000000002</v>
      </c>
      <c r="O600" s="45">
        <f ca="1">IFERROR(__xludf.DUMMYFUNCTION("""COMPUTED_VALUE"""),0.395)</f>
        <v>0.39500000000000002</v>
      </c>
      <c r="P600" s="45" t="str">
        <f ca="1">IFERROR(__xludf.DUMMYFUNCTION("""COMPUTED_VALUE"""),"Colombo, LK")</f>
        <v>Colombo, LK</v>
      </c>
      <c r="Q600" s="45" t="str">
        <f ca="1">IFERROR(__xludf.DUMMYFUNCTION("""COMPUTED_VALUE"""),"Rotterdam, NL")</f>
        <v>Rotterdam, NL</v>
      </c>
      <c r="R600" s="44">
        <f ca="1">IFERROR(__xludf.DUMMYFUNCTION("""COMPUTED_VALUE"""),45831)</f>
        <v>45831</v>
      </c>
      <c r="S600" s="44">
        <f ca="1">IFERROR(__xludf.DUMMYFUNCTION("""COMPUTED_VALUE"""),45885)</f>
        <v>45885</v>
      </c>
      <c r="T600" s="45" t="str">
        <f ca="1">IFERROR(__xludf.DUMMYFUNCTION("""COMPUTED_VALUE"""),"Rotterdam, NL")</f>
        <v>Rotterdam, NL</v>
      </c>
      <c r="U600" s="45"/>
      <c r="V600" s="45"/>
      <c r="W600" s="45"/>
      <c r="X600" s="45"/>
      <c r="Y600" s="46">
        <f ca="1">IFERROR(__xludf.DUMMYFUNCTION("""COMPUTED_VALUE"""),45838)</f>
        <v>45838</v>
      </c>
      <c r="Z600" s="46">
        <f ca="1">IFERROR(__xludf.DUMMYFUNCTION("""COMPUTED_VALUE"""),45859)</f>
        <v>45859</v>
      </c>
      <c r="AA600" s="46">
        <f ca="1">IFERROR(__xludf.DUMMYFUNCTION("""COMPUTED_VALUE"""),45859)</f>
        <v>45859</v>
      </c>
      <c r="AB600" s="45" t="str">
        <f ca="1">IFERROR(__xludf.DUMMYFUNCTION("""COMPUTED_VALUE"""),"Conradweg 26")</f>
        <v>Conradweg 26</v>
      </c>
      <c r="AC600" s="45"/>
      <c r="AD600" s="45" t="str">
        <f ca="1">IFERROR(__xludf.DUMMYFUNCTION("""COMPUTED_VALUE"""),"OCEAN")</f>
        <v>OCEAN</v>
      </c>
      <c r="AE600" s="45" t="str">
        <f ca="1">IFERROR(__xludf.DUMMYFUNCTION("""COMPUTED_VALUE"""),"N")</f>
        <v>N</v>
      </c>
      <c r="AF600" s="45"/>
      <c r="AG600" s="49" t="str">
        <f ca="1">IFERROR(__xludf.DUMMYFUNCTION("IFNA(vlookup(H600,IMPORTRANGE(""1vUGwO1n0QQGx9kKbO0_M5gmuhXZ6-LaxQxgrmJnzgP0"",""'TP# look up'!A:C""),3,0),"""")"),"")</f>
        <v/>
      </c>
      <c r="AH600" s="49" t="str">
        <f t="shared" ca="1" si="9"/>
        <v>LW</v>
      </c>
    </row>
    <row r="601" spans="1:34" ht="12.75">
      <c r="A601" s="45" t="str">
        <f ca="1">IFERROR(__xludf.DUMMYFUNCTION("""COMPUTED_VALUE"""),"Colombo")</f>
        <v>Colombo</v>
      </c>
      <c r="B601" s="45"/>
      <c r="C601" s="45">
        <f ca="1">IFERROR(__xludf.DUMMYFUNCTION("""COMPUTED_VALUE"""),3259830)</f>
        <v>3259830</v>
      </c>
      <c r="D601" s="45"/>
      <c r="E601" s="45" t="str">
        <f ca="1">IFERROR(__xludf.DUMMYFUNCTION("""COMPUTED_VALUE"""),"CFS")</f>
        <v>CFS</v>
      </c>
      <c r="F601" s="45" t="str">
        <f ca="1">IFERROR(__xludf.DUMMYFUNCTION("""COMPUTED_VALUE"""),"MAS AMITY PTE LTD")</f>
        <v>MAS AMITY PTE LTD</v>
      </c>
      <c r="G601" s="45" t="str">
        <f ca="1">IFERROR(__xludf.DUMMYFUNCTION("""COMPUTED_VALUE"""),"MAS Active(Pvt) Ltd – CONTOURLINE")</f>
        <v>MAS Active(Pvt) Ltd – CONTOURLINE</v>
      </c>
      <c r="H601" s="43">
        <f ca="1">IFERROR(__xludf.DUMMYFUNCTION("""COMPUTED_VALUE"""),457019157226)</f>
        <v>457019157226</v>
      </c>
      <c r="I601" s="45">
        <f ca="1">IFERROR(__xludf.DUMMYFUNCTION("""COMPUTED_VALUE"""),19820905)</f>
        <v>19820905</v>
      </c>
      <c r="J601" s="45" t="str">
        <f ca="1">IFERROR(__xludf.DUMMYFUNCTION("""COMPUTED_VALUE"""),"LW1DRKS")</f>
        <v>LW1DRKS</v>
      </c>
      <c r="K601" s="45" t="str">
        <f ca="1">IFERROR(__xludf.DUMMYFUNCTION("""COMPUTED_VALUE"""),"LW1DRKS-070108")</f>
        <v>LW1DRKS-070108</v>
      </c>
      <c r="L601" s="45">
        <f ca="1">IFERROR(__xludf.DUMMYFUNCTION("""COMPUTED_VALUE"""),5)</f>
        <v>5</v>
      </c>
      <c r="M601" s="45">
        <f ca="1">IFERROR(__xludf.DUMMYFUNCTION("""COMPUTED_VALUE"""),302)</f>
        <v>302</v>
      </c>
      <c r="N601" s="45">
        <f ca="1">IFERROR(__xludf.DUMMYFUNCTION("""COMPUTED_VALUE"""),38.355)</f>
        <v>38.354999999999997</v>
      </c>
      <c r="O601" s="45">
        <f ca="1">IFERROR(__xludf.DUMMYFUNCTION("""COMPUTED_VALUE"""),0.276)</f>
        <v>0.27600000000000002</v>
      </c>
      <c r="P601" s="45" t="str">
        <f ca="1">IFERROR(__xludf.DUMMYFUNCTION("""COMPUTED_VALUE"""),"Colombo, LK")</f>
        <v>Colombo, LK</v>
      </c>
      <c r="Q601" s="45" t="str">
        <f ca="1">IFERROR(__xludf.DUMMYFUNCTION("""COMPUTED_VALUE"""),"Rotterdam, NL")</f>
        <v>Rotterdam, NL</v>
      </c>
      <c r="R601" s="44">
        <f ca="1">IFERROR(__xludf.DUMMYFUNCTION("""COMPUTED_VALUE"""),45831)</f>
        <v>45831</v>
      </c>
      <c r="S601" s="44">
        <f ca="1">IFERROR(__xludf.DUMMYFUNCTION("""COMPUTED_VALUE"""),45885)</f>
        <v>45885</v>
      </c>
      <c r="T601" s="45" t="str">
        <f ca="1">IFERROR(__xludf.DUMMYFUNCTION("""COMPUTED_VALUE"""),"Rotterdam, NL")</f>
        <v>Rotterdam, NL</v>
      </c>
      <c r="U601" s="45"/>
      <c r="V601" s="45"/>
      <c r="W601" s="45"/>
      <c r="X601" s="45"/>
      <c r="Y601" s="46">
        <f ca="1">IFERROR(__xludf.DUMMYFUNCTION("""COMPUTED_VALUE"""),45838)</f>
        <v>45838</v>
      </c>
      <c r="Z601" s="46">
        <f ca="1">IFERROR(__xludf.DUMMYFUNCTION("""COMPUTED_VALUE"""),45859)</f>
        <v>45859</v>
      </c>
      <c r="AA601" s="46">
        <f ca="1">IFERROR(__xludf.DUMMYFUNCTION("""COMPUTED_VALUE"""),45859)</f>
        <v>45859</v>
      </c>
      <c r="AB601" s="45" t="str">
        <f ca="1">IFERROR(__xludf.DUMMYFUNCTION("""COMPUTED_VALUE"""),"Conradweg 26")</f>
        <v>Conradweg 26</v>
      </c>
      <c r="AC601" s="45"/>
      <c r="AD601" s="45" t="str">
        <f ca="1">IFERROR(__xludf.DUMMYFUNCTION("""COMPUTED_VALUE"""),"OCEAN")</f>
        <v>OCEAN</v>
      </c>
      <c r="AE601" s="45" t="str">
        <f ca="1">IFERROR(__xludf.DUMMYFUNCTION("""COMPUTED_VALUE"""),"N")</f>
        <v>N</v>
      </c>
      <c r="AF601" s="45"/>
      <c r="AG601" s="49" t="str">
        <f ca="1">IFERROR(__xludf.DUMMYFUNCTION("IFNA(vlookup(H601,IMPORTRANGE(""1vUGwO1n0QQGx9kKbO0_M5gmuhXZ6-LaxQxgrmJnzgP0"",""'TP# look up'!A:C""),3,0),"""")"),"")</f>
        <v/>
      </c>
      <c r="AH601" s="49" t="str">
        <f t="shared" ca="1" si="9"/>
        <v>LW</v>
      </c>
    </row>
    <row r="602" spans="1:34" ht="12.75">
      <c r="A602" s="45" t="str">
        <f ca="1">IFERROR(__xludf.DUMMYFUNCTION("""COMPUTED_VALUE"""),"Colombo")</f>
        <v>Colombo</v>
      </c>
      <c r="B602" s="45"/>
      <c r="C602" s="45">
        <f ca="1">IFERROR(__xludf.DUMMYFUNCTION("""COMPUTED_VALUE"""),3259830)</f>
        <v>3259830</v>
      </c>
      <c r="D602" s="45"/>
      <c r="E602" s="45" t="str">
        <f ca="1">IFERROR(__xludf.DUMMYFUNCTION("""COMPUTED_VALUE"""),"CFS")</f>
        <v>CFS</v>
      </c>
      <c r="F602" s="45" t="str">
        <f ca="1">IFERROR(__xludf.DUMMYFUNCTION("""COMPUTED_VALUE"""),"MAS AMITY PTE LTD")</f>
        <v>MAS AMITY PTE LTD</v>
      </c>
      <c r="G602" s="45" t="str">
        <f ca="1">IFERROR(__xludf.DUMMYFUNCTION("""COMPUTED_VALUE"""),"MAS Active(Pvt) Ltd – CONTOURLINE")</f>
        <v>MAS Active(Pvt) Ltd – CONTOURLINE</v>
      </c>
      <c r="H602" s="43">
        <f ca="1">IFERROR(__xludf.DUMMYFUNCTION("""COMPUTED_VALUE"""),457019299559)</f>
        <v>457019299559</v>
      </c>
      <c r="I602" s="45">
        <f ca="1">IFERROR(__xludf.DUMMYFUNCTION("""COMPUTED_VALUE"""),19921013)</f>
        <v>19921013</v>
      </c>
      <c r="J602" s="45" t="str">
        <f ca="1">IFERROR(__xludf.DUMMYFUNCTION("""COMPUTED_VALUE"""),"LW7DPES")</f>
        <v>LW7DPES</v>
      </c>
      <c r="K602" s="45" t="str">
        <f ca="1">IFERROR(__xludf.DUMMYFUNCTION("""COMPUTED_VALUE"""),"LW7DPES-031382")</f>
        <v>LW7DPES-031382</v>
      </c>
      <c r="L602" s="45">
        <f ca="1">IFERROR(__xludf.DUMMYFUNCTION("""COMPUTED_VALUE"""),6)</f>
        <v>6</v>
      </c>
      <c r="M602" s="45">
        <f ca="1">IFERROR(__xludf.DUMMYFUNCTION("""COMPUTED_VALUE"""),351)</f>
        <v>351</v>
      </c>
      <c r="N602" s="45">
        <f ca="1">IFERROR(__xludf.DUMMYFUNCTION("""COMPUTED_VALUE"""),57.349)</f>
        <v>57.348999999999997</v>
      </c>
      <c r="O602" s="45">
        <f ca="1">IFERROR(__xludf.DUMMYFUNCTION("""COMPUTED_VALUE"""),0.395)</f>
        <v>0.39500000000000002</v>
      </c>
      <c r="P602" s="45" t="str">
        <f ca="1">IFERROR(__xludf.DUMMYFUNCTION("""COMPUTED_VALUE"""),"Colombo, LK")</f>
        <v>Colombo, LK</v>
      </c>
      <c r="Q602" s="45" t="str">
        <f ca="1">IFERROR(__xludf.DUMMYFUNCTION("""COMPUTED_VALUE"""),"Rotterdam, NL")</f>
        <v>Rotterdam, NL</v>
      </c>
      <c r="R602" s="44">
        <f ca="1">IFERROR(__xludf.DUMMYFUNCTION("""COMPUTED_VALUE"""),45831)</f>
        <v>45831</v>
      </c>
      <c r="S602" s="44">
        <f ca="1">IFERROR(__xludf.DUMMYFUNCTION("""COMPUTED_VALUE"""),45885)</f>
        <v>45885</v>
      </c>
      <c r="T602" s="45" t="str">
        <f ca="1">IFERROR(__xludf.DUMMYFUNCTION("""COMPUTED_VALUE"""),"Rotterdam, NL")</f>
        <v>Rotterdam, NL</v>
      </c>
      <c r="U602" s="45"/>
      <c r="V602" s="45"/>
      <c r="W602" s="45"/>
      <c r="X602" s="45"/>
      <c r="Y602" s="46">
        <f ca="1">IFERROR(__xludf.DUMMYFUNCTION("""COMPUTED_VALUE"""),45838)</f>
        <v>45838</v>
      </c>
      <c r="Z602" s="46">
        <f ca="1">IFERROR(__xludf.DUMMYFUNCTION("""COMPUTED_VALUE"""),45859)</f>
        <v>45859</v>
      </c>
      <c r="AA602" s="46">
        <f ca="1">IFERROR(__xludf.DUMMYFUNCTION("""COMPUTED_VALUE"""),45859)</f>
        <v>45859</v>
      </c>
      <c r="AB602" s="45" t="str">
        <f ca="1">IFERROR(__xludf.DUMMYFUNCTION("""COMPUTED_VALUE"""),"Conradweg 26")</f>
        <v>Conradweg 26</v>
      </c>
      <c r="AC602" s="45"/>
      <c r="AD602" s="45" t="str">
        <f ca="1">IFERROR(__xludf.DUMMYFUNCTION("""COMPUTED_VALUE"""),"OCEAN")</f>
        <v>OCEAN</v>
      </c>
      <c r="AE602" s="45" t="str">
        <f ca="1">IFERROR(__xludf.DUMMYFUNCTION("""COMPUTED_VALUE"""),"N")</f>
        <v>N</v>
      </c>
      <c r="AF602" s="45"/>
      <c r="AG602" s="49" t="str">
        <f ca="1">IFERROR(__xludf.DUMMYFUNCTION("IFNA(vlookup(H602,IMPORTRANGE(""1vUGwO1n0QQGx9kKbO0_M5gmuhXZ6-LaxQxgrmJnzgP0"",""'TP# look up'!A:C""),3,0),"""")"),"")</f>
        <v/>
      </c>
      <c r="AH602" s="49" t="str">
        <f t="shared" ca="1" si="9"/>
        <v>LW</v>
      </c>
    </row>
    <row r="603" spans="1:34" ht="12.75">
      <c r="A603" s="45" t="str">
        <f ca="1">IFERROR(__xludf.DUMMYFUNCTION("""COMPUTED_VALUE"""),"Colombo")</f>
        <v>Colombo</v>
      </c>
      <c r="B603" s="45"/>
      <c r="C603" s="45">
        <f ca="1">IFERROR(__xludf.DUMMYFUNCTION("""COMPUTED_VALUE"""),3259830)</f>
        <v>3259830</v>
      </c>
      <c r="D603" s="45"/>
      <c r="E603" s="45" t="str">
        <f ca="1">IFERROR(__xludf.DUMMYFUNCTION("""COMPUTED_VALUE"""),"CFS")</f>
        <v>CFS</v>
      </c>
      <c r="F603" s="45" t="str">
        <f ca="1">IFERROR(__xludf.DUMMYFUNCTION("""COMPUTED_VALUE"""),"MAS AMITY PTE LTD")</f>
        <v>MAS AMITY PTE LTD</v>
      </c>
      <c r="G603" s="45" t="str">
        <f ca="1">IFERROR(__xludf.DUMMYFUNCTION("""COMPUTED_VALUE"""),"MAS Active(Pvt) Ltd – CONTOURLINE")</f>
        <v>MAS Active(Pvt) Ltd – CONTOURLINE</v>
      </c>
      <c r="H603" s="43">
        <f ca="1">IFERROR(__xludf.DUMMYFUNCTION("""COMPUTED_VALUE"""),457022289453)</f>
        <v>457022289453</v>
      </c>
      <c r="I603" s="45">
        <f ca="1">IFERROR(__xludf.DUMMYFUNCTION("""COMPUTED_VALUE"""),19921006)</f>
        <v>19921006</v>
      </c>
      <c r="J603" s="45" t="str">
        <f ca="1">IFERROR(__xludf.DUMMYFUNCTION("""COMPUTED_VALUE"""),"LW7CPPS")</f>
        <v>LW7CPPS</v>
      </c>
      <c r="K603" s="45" t="str">
        <f ca="1">IFERROR(__xludf.DUMMYFUNCTION("""COMPUTED_VALUE"""),"LW7CPPS-062214")</f>
        <v>LW7CPPS-062214</v>
      </c>
      <c r="L603" s="45">
        <f ca="1">IFERROR(__xludf.DUMMYFUNCTION("""COMPUTED_VALUE"""),5)</f>
        <v>5</v>
      </c>
      <c r="M603" s="45">
        <f ca="1">IFERROR(__xludf.DUMMYFUNCTION("""COMPUTED_VALUE"""),293)</f>
        <v>293</v>
      </c>
      <c r="N603" s="45">
        <f ca="1">IFERROR(__xludf.DUMMYFUNCTION("""COMPUTED_VALUE"""),45.513)</f>
        <v>45.512999999999998</v>
      </c>
      <c r="O603" s="45">
        <f ca="1">IFERROR(__xludf.DUMMYFUNCTION("""COMPUTED_VALUE"""),0.355)</f>
        <v>0.35499999999999998</v>
      </c>
      <c r="P603" s="45" t="str">
        <f ca="1">IFERROR(__xludf.DUMMYFUNCTION("""COMPUTED_VALUE"""),"Colombo, LK")</f>
        <v>Colombo, LK</v>
      </c>
      <c r="Q603" s="45" t="str">
        <f ca="1">IFERROR(__xludf.DUMMYFUNCTION("""COMPUTED_VALUE"""),"Rotterdam, NL")</f>
        <v>Rotterdam, NL</v>
      </c>
      <c r="R603" s="44">
        <f ca="1">IFERROR(__xludf.DUMMYFUNCTION("""COMPUTED_VALUE"""),45831)</f>
        <v>45831</v>
      </c>
      <c r="S603" s="44">
        <f ca="1">IFERROR(__xludf.DUMMYFUNCTION("""COMPUTED_VALUE"""),45885)</f>
        <v>45885</v>
      </c>
      <c r="T603" s="45" t="str">
        <f ca="1">IFERROR(__xludf.DUMMYFUNCTION("""COMPUTED_VALUE"""),"Rotterdam, NL")</f>
        <v>Rotterdam, NL</v>
      </c>
      <c r="U603" s="45"/>
      <c r="V603" s="45"/>
      <c r="W603" s="45"/>
      <c r="X603" s="45"/>
      <c r="Y603" s="46">
        <f ca="1">IFERROR(__xludf.DUMMYFUNCTION("""COMPUTED_VALUE"""),45838)</f>
        <v>45838</v>
      </c>
      <c r="Z603" s="46">
        <f ca="1">IFERROR(__xludf.DUMMYFUNCTION("""COMPUTED_VALUE"""),45859)</f>
        <v>45859</v>
      </c>
      <c r="AA603" s="46">
        <f ca="1">IFERROR(__xludf.DUMMYFUNCTION("""COMPUTED_VALUE"""),45859)</f>
        <v>45859</v>
      </c>
      <c r="AB603" s="45" t="str">
        <f ca="1">IFERROR(__xludf.DUMMYFUNCTION("""COMPUTED_VALUE"""),"Conradweg 26")</f>
        <v>Conradweg 26</v>
      </c>
      <c r="AC603" s="45"/>
      <c r="AD603" s="45" t="str">
        <f ca="1">IFERROR(__xludf.DUMMYFUNCTION("""COMPUTED_VALUE"""),"OCEAN")</f>
        <v>OCEAN</v>
      </c>
      <c r="AE603" s="45" t="str">
        <f ca="1">IFERROR(__xludf.DUMMYFUNCTION("""COMPUTED_VALUE"""),"N")</f>
        <v>N</v>
      </c>
      <c r="AF603" s="45"/>
      <c r="AG603" s="49" t="str">
        <f ca="1">IFERROR(__xludf.DUMMYFUNCTION("IFNA(vlookup(H603,IMPORTRANGE(""1vUGwO1n0QQGx9kKbO0_M5gmuhXZ6-LaxQxgrmJnzgP0"",""'TP# look up'!A:C""),3,0),"""")"),"")</f>
        <v/>
      </c>
      <c r="AH603" s="49" t="str">
        <f t="shared" ca="1" si="9"/>
        <v>LW</v>
      </c>
    </row>
    <row r="604" spans="1:34" ht="12.75">
      <c r="A604" s="45" t="str">
        <f ca="1">IFERROR(__xludf.DUMMYFUNCTION("""COMPUTED_VALUE"""),"Colombo")</f>
        <v>Colombo</v>
      </c>
      <c r="B604" s="45"/>
      <c r="C604" s="45">
        <f ca="1">IFERROR(__xludf.DUMMYFUNCTION("""COMPUTED_VALUE"""),3259830)</f>
        <v>3259830</v>
      </c>
      <c r="D604" s="45"/>
      <c r="E604" s="45" t="str">
        <f ca="1">IFERROR(__xludf.DUMMYFUNCTION("""COMPUTED_VALUE"""),"CFS")</f>
        <v>CFS</v>
      </c>
      <c r="F604" s="45" t="str">
        <f ca="1">IFERROR(__xludf.DUMMYFUNCTION("""COMPUTED_VALUE"""),"MAS AMITY PTE LTD")</f>
        <v>MAS AMITY PTE LTD</v>
      </c>
      <c r="G604" s="45" t="str">
        <f ca="1">IFERROR(__xludf.DUMMYFUNCTION("""COMPUTED_VALUE"""),"MAS Active(Pvt) Ltd – CONTOURLINE")</f>
        <v>MAS Active(Pvt) Ltd – CONTOURLINE</v>
      </c>
      <c r="H604" s="43">
        <f ca="1">IFERROR(__xludf.DUMMYFUNCTION("""COMPUTED_VALUE"""),457022289673)</f>
        <v>457022289673</v>
      </c>
      <c r="I604" s="45">
        <f ca="1">IFERROR(__xludf.DUMMYFUNCTION("""COMPUTED_VALUE"""),19926191)</f>
        <v>19926191</v>
      </c>
      <c r="J604" s="45" t="str">
        <f ca="1">IFERROR(__xludf.DUMMYFUNCTION("""COMPUTED_VALUE"""),"LW7CPPS")</f>
        <v>LW7CPPS</v>
      </c>
      <c r="K604" s="45" t="str">
        <f ca="1">IFERROR(__xludf.DUMMYFUNCTION("""COMPUTED_VALUE"""),"LW7CPPS-049106")</f>
        <v>LW7CPPS-049106</v>
      </c>
      <c r="L604" s="45">
        <f ca="1">IFERROR(__xludf.DUMMYFUNCTION("""COMPUTED_VALUE"""),1)</f>
        <v>1</v>
      </c>
      <c r="M604" s="45">
        <f ca="1">IFERROR(__xludf.DUMMYFUNCTION("""COMPUTED_VALUE"""),60)</f>
        <v>60</v>
      </c>
      <c r="N604" s="45">
        <f ca="1">IFERROR(__xludf.DUMMYFUNCTION("""COMPUTED_VALUE"""),9.482)</f>
        <v>9.4819999999999993</v>
      </c>
      <c r="O604" s="45">
        <f ca="1">IFERROR(__xludf.DUMMYFUNCTION("""COMPUTED_VALUE"""),0.079)</f>
        <v>7.9000000000000001E-2</v>
      </c>
      <c r="P604" s="45" t="str">
        <f ca="1">IFERROR(__xludf.DUMMYFUNCTION("""COMPUTED_VALUE"""),"Colombo, LK")</f>
        <v>Colombo, LK</v>
      </c>
      <c r="Q604" s="45" t="str">
        <f ca="1">IFERROR(__xludf.DUMMYFUNCTION("""COMPUTED_VALUE"""),"Rotterdam, NL")</f>
        <v>Rotterdam, NL</v>
      </c>
      <c r="R604" s="44">
        <f ca="1">IFERROR(__xludf.DUMMYFUNCTION("""COMPUTED_VALUE"""),45831)</f>
        <v>45831</v>
      </c>
      <c r="S604" s="44">
        <f ca="1">IFERROR(__xludf.DUMMYFUNCTION("""COMPUTED_VALUE"""),45885)</f>
        <v>45885</v>
      </c>
      <c r="T604" s="45" t="str">
        <f ca="1">IFERROR(__xludf.DUMMYFUNCTION("""COMPUTED_VALUE"""),"Rotterdam, NL")</f>
        <v>Rotterdam, NL</v>
      </c>
      <c r="U604" s="45"/>
      <c r="V604" s="45"/>
      <c r="W604" s="45"/>
      <c r="X604" s="45"/>
      <c r="Y604" s="46">
        <f ca="1">IFERROR(__xludf.DUMMYFUNCTION("""COMPUTED_VALUE"""),45838)</f>
        <v>45838</v>
      </c>
      <c r="Z604" s="46">
        <f ca="1">IFERROR(__xludf.DUMMYFUNCTION("""COMPUTED_VALUE"""),45859)</f>
        <v>45859</v>
      </c>
      <c r="AA604" s="46">
        <f ca="1">IFERROR(__xludf.DUMMYFUNCTION("""COMPUTED_VALUE"""),45859)</f>
        <v>45859</v>
      </c>
      <c r="AB604" s="45" t="str">
        <f ca="1">IFERROR(__xludf.DUMMYFUNCTION("""COMPUTED_VALUE"""),"Conradweg 26")</f>
        <v>Conradweg 26</v>
      </c>
      <c r="AC604" s="45"/>
      <c r="AD604" s="45" t="str">
        <f ca="1">IFERROR(__xludf.DUMMYFUNCTION("""COMPUTED_VALUE"""),"OCEAN")</f>
        <v>OCEAN</v>
      </c>
      <c r="AE604" s="45" t="str">
        <f ca="1">IFERROR(__xludf.DUMMYFUNCTION("""COMPUTED_VALUE"""),"N")</f>
        <v>N</v>
      </c>
      <c r="AF604" s="45"/>
      <c r="AG604" s="49" t="str">
        <f ca="1">IFERROR(__xludf.DUMMYFUNCTION("IFNA(vlookup(H604,IMPORTRANGE(""1vUGwO1n0QQGx9kKbO0_M5gmuhXZ6-LaxQxgrmJnzgP0"",""'TP# look up'!A:C""),3,0),"""")"),"")</f>
        <v/>
      </c>
      <c r="AH604" s="49" t="str">
        <f t="shared" ca="1" si="9"/>
        <v>LW</v>
      </c>
    </row>
    <row r="605" spans="1:34" ht="12.75">
      <c r="A605" s="45" t="str">
        <f ca="1">IFERROR(__xludf.DUMMYFUNCTION("""COMPUTED_VALUE"""),"Colombo")</f>
        <v>Colombo</v>
      </c>
      <c r="B605" s="45"/>
      <c r="C605" s="45">
        <f ca="1">IFERROR(__xludf.DUMMYFUNCTION("""COMPUTED_VALUE"""),3259830)</f>
        <v>3259830</v>
      </c>
      <c r="D605" s="45"/>
      <c r="E605" s="45" t="str">
        <f ca="1">IFERROR(__xludf.DUMMYFUNCTION("""COMPUTED_VALUE"""),"CFS")</f>
        <v>CFS</v>
      </c>
      <c r="F605" s="45" t="str">
        <f ca="1">IFERROR(__xludf.DUMMYFUNCTION("""COMPUTED_VALUE"""),"MAS AMITY PTE LTD")</f>
        <v>MAS AMITY PTE LTD</v>
      </c>
      <c r="G605" s="45" t="str">
        <f ca="1">IFERROR(__xludf.DUMMYFUNCTION("""COMPUTED_VALUE"""),"MAS Active(Pvt) Ltd – CONTOURLINE")</f>
        <v>MAS Active(Pvt) Ltd – CONTOURLINE</v>
      </c>
      <c r="H605" s="43">
        <f ca="1">IFERROR(__xludf.DUMMYFUNCTION("""COMPUTED_VALUE"""),457028101475)</f>
        <v>457028101475</v>
      </c>
      <c r="I605" s="45">
        <f ca="1">IFERROR(__xludf.DUMMYFUNCTION("""COMPUTED_VALUE"""),19926208)</f>
        <v>19926208</v>
      </c>
      <c r="J605" s="45" t="str">
        <f ca="1">IFERROR(__xludf.DUMMYFUNCTION("""COMPUTED_VALUE"""),"LW7CPPS")</f>
        <v>LW7CPPS</v>
      </c>
      <c r="K605" s="45" t="str">
        <f ca="1">IFERROR(__xludf.DUMMYFUNCTION("""COMPUTED_VALUE"""),"LW7CPPS-049106")</f>
        <v>LW7CPPS-049106</v>
      </c>
      <c r="L605" s="45">
        <f ca="1">IFERROR(__xludf.DUMMYFUNCTION("""COMPUTED_VALUE"""),4)</f>
        <v>4</v>
      </c>
      <c r="M605" s="45">
        <f ca="1">IFERROR(__xludf.DUMMYFUNCTION("""COMPUTED_VALUE"""),180)</f>
        <v>180</v>
      </c>
      <c r="N605" s="45">
        <f ca="1">IFERROR(__xludf.DUMMYFUNCTION("""COMPUTED_VALUE"""),29.215)</f>
        <v>29.215</v>
      </c>
      <c r="O605" s="45">
        <f ca="1">IFERROR(__xludf.DUMMYFUNCTION("""COMPUTED_VALUE"""),0.237)</f>
        <v>0.23699999999999999</v>
      </c>
      <c r="P605" s="45" t="str">
        <f ca="1">IFERROR(__xludf.DUMMYFUNCTION("""COMPUTED_VALUE"""),"Colombo, LK")</f>
        <v>Colombo, LK</v>
      </c>
      <c r="Q605" s="45" t="str">
        <f ca="1">IFERROR(__xludf.DUMMYFUNCTION("""COMPUTED_VALUE"""),"Rotterdam, NL")</f>
        <v>Rotterdam, NL</v>
      </c>
      <c r="R605" s="44">
        <f ca="1">IFERROR(__xludf.DUMMYFUNCTION("""COMPUTED_VALUE"""),45831)</f>
        <v>45831</v>
      </c>
      <c r="S605" s="44">
        <f ca="1">IFERROR(__xludf.DUMMYFUNCTION("""COMPUTED_VALUE"""),45885)</f>
        <v>45885</v>
      </c>
      <c r="T605" s="45" t="str">
        <f ca="1">IFERROR(__xludf.DUMMYFUNCTION("""COMPUTED_VALUE"""),"Rotterdam, NL")</f>
        <v>Rotterdam, NL</v>
      </c>
      <c r="U605" s="45"/>
      <c r="V605" s="45"/>
      <c r="W605" s="45"/>
      <c r="X605" s="45"/>
      <c r="Y605" s="46">
        <f ca="1">IFERROR(__xludf.DUMMYFUNCTION("""COMPUTED_VALUE"""),45838)</f>
        <v>45838</v>
      </c>
      <c r="Z605" s="46">
        <f ca="1">IFERROR(__xludf.DUMMYFUNCTION("""COMPUTED_VALUE"""),45859)</f>
        <v>45859</v>
      </c>
      <c r="AA605" s="46">
        <f ca="1">IFERROR(__xludf.DUMMYFUNCTION("""COMPUTED_VALUE"""),45859)</f>
        <v>45859</v>
      </c>
      <c r="AB605" s="45" t="str">
        <f ca="1">IFERROR(__xludf.DUMMYFUNCTION("""COMPUTED_VALUE"""),"Conradweg 26")</f>
        <v>Conradweg 26</v>
      </c>
      <c r="AC605" s="45"/>
      <c r="AD605" s="45" t="str">
        <f ca="1">IFERROR(__xludf.DUMMYFUNCTION("""COMPUTED_VALUE"""),"OCEAN")</f>
        <v>OCEAN</v>
      </c>
      <c r="AE605" s="45" t="str">
        <f ca="1">IFERROR(__xludf.DUMMYFUNCTION("""COMPUTED_VALUE"""),"N")</f>
        <v>N</v>
      </c>
      <c r="AF605" s="45"/>
      <c r="AG605" s="49" t="str">
        <f ca="1">IFERROR(__xludf.DUMMYFUNCTION("IFNA(vlookup(H605,IMPORTRANGE(""1vUGwO1n0QQGx9kKbO0_M5gmuhXZ6-LaxQxgrmJnzgP0"",""'TP# look up'!A:C""),3,0),"""")"),"")</f>
        <v/>
      </c>
      <c r="AH605" s="49" t="str">
        <f t="shared" ca="1" si="9"/>
        <v>LW</v>
      </c>
    </row>
    <row r="606" spans="1:34" ht="12.75">
      <c r="A606" s="45" t="str">
        <f ca="1">IFERROR(__xludf.DUMMYFUNCTION("""COMPUTED_VALUE"""),"Colombo")</f>
        <v>Colombo</v>
      </c>
      <c r="B606" s="45"/>
      <c r="C606" s="45">
        <f ca="1">IFERROR(__xludf.DUMMYFUNCTION("""COMPUTED_VALUE"""),3259830)</f>
        <v>3259830</v>
      </c>
      <c r="D606" s="45"/>
      <c r="E606" s="45" t="str">
        <f ca="1">IFERROR(__xludf.DUMMYFUNCTION("""COMPUTED_VALUE"""),"CFS")</f>
        <v>CFS</v>
      </c>
      <c r="F606" s="45" t="str">
        <f ca="1">IFERROR(__xludf.DUMMYFUNCTION("""COMPUTED_VALUE"""),"MAS AMITY PTE LTD")</f>
        <v>MAS AMITY PTE LTD</v>
      </c>
      <c r="G606" s="45" t="str">
        <f ca="1">IFERROR(__xludf.DUMMYFUNCTION("""COMPUTED_VALUE"""),"MAS Active(Pvt) Ltd – CONTOURLINE")</f>
        <v>MAS Active(Pvt) Ltd – CONTOURLINE</v>
      </c>
      <c r="H606" s="43">
        <f ca="1">IFERROR(__xludf.DUMMYFUNCTION("""COMPUTED_VALUE"""),457033356641)</f>
        <v>457033356641</v>
      </c>
      <c r="I606" s="45">
        <f ca="1">IFERROR(__xludf.DUMMYFUNCTION("""COMPUTED_VALUE"""),19926222)</f>
        <v>19926222</v>
      </c>
      <c r="J606" s="45" t="str">
        <f ca="1">IFERROR(__xludf.DUMMYFUNCTION("""COMPUTED_VALUE"""),"LW7DPES")</f>
        <v>LW7DPES</v>
      </c>
      <c r="K606" s="45" t="str">
        <f ca="1">IFERROR(__xludf.DUMMYFUNCTION("""COMPUTED_VALUE"""),"LW7DPES-049106")</f>
        <v>LW7DPES-049106</v>
      </c>
      <c r="L606" s="45">
        <f ca="1">IFERROR(__xludf.DUMMYFUNCTION("""COMPUTED_VALUE"""),7)</f>
        <v>7</v>
      </c>
      <c r="M606" s="45">
        <f ca="1">IFERROR(__xludf.DUMMYFUNCTION("""COMPUTED_VALUE"""),406)</f>
        <v>406</v>
      </c>
      <c r="N606" s="45">
        <f ca="1">IFERROR(__xludf.DUMMYFUNCTION("""COMPUTED_VALUE"""),66.925)</f>
        <v>66.924999999999997</v>
      </c>
      <c r="O606" s="45">
        <f ca="1">IFERROR(__xludf.DUMMYFUNCTION("""COMPUTED_VALUE"""),0.434)</f>
        <v>0.434</v>
      </c>
      <c r="P606" s="45" t="str">
        <f ca="1">IFERROR(__xludf.DUMMYFUNCTION("""COMPUTED_VALUE"""),"Colombo, LK")</f>
        <v>Colombo, LK</v>
      </c>
      <c r="Q606" s="45" t="str">
        <f ca="1">IFERROR(__xludf.DUMMYFUNCTION("""COMPUTED_VALUE"""),"Rotterdam, NL")</f>
        <v>Rotterdam, NL</v>
      </c>
      <c r="R606" s="44">
        <f ca="1">IFERROR(__xludf.DUMMYFUNCTION("""COMPUTED_VALUE"""),45831)</f>
        <v>45831</v>
      </c>
      <c r="S606" s="44">
        <f ca="1">IFERROR(__xludf.DUMMYFUNCTION("""COMPUTED_VALUE"""),45885)</f>
        <v>45885</v>
      </c>
      <c r="T606" s="45" t="str">
        <f ca="1">IFERROR(__xludf.DUMMYFUNCTION("""COMPUTED_VALUE"""),"Rotterdam, NL")</f>
        <v>Rotterdam, NL</v>
      </c>
      <c r="U606" s="45"/>
      <c r="V606" s="45"/>
      <c r="W606" s="45"/>
      <c r="X606" s="45"/>
      <c r="Y606" s="46">
        <f ca="1">IFERROR(__xludf.DUMMYFUNCTION("""COMPUTED_VALUE"""),45838)</f>
        <v>45838</v>
      </c>
      <c r="Z606" s="46">
        <f ca="1">IFERROR(__xludf.DUMMYFUNCTION("""COMPUTED_VALUE"""),45859)</f>
        <v>45859</v>
      </c>
      <c r="AA606" s="46">
        <f ca="1">IFERROR(__xludf.DUMMYFUNCTION("""COMPUTED_VALUE"""),45859)</f>
        <v>45859</v>
      </c>
      <c r="AB606" s="45" t="str">
        <f ca="1">IFERROR(__xludf.DUMMYFUNCTION("""COMPUTED_VALUE"""),"Conradweg 26")</f>
        <v>Conradweg 26</v>
      </c>
      <c r="AC606" s="45"/>
      <c r="AD606" s="45" t="str">
        <f ca="1">IFERROR(__xludf.DUMMYFUNCTION("""COMPUTED_VALUE"""),"OCEAN")</f>
        <v>OCEAN</v>
      </c>
      <c r="AE606" s="45" t="str">
        <f ca="1">IFERROR(__xludf.DUMMYFUNCTION("""COMPUTED_VALUE"""),"N")</f>
        <v>N</v>
      </c>
      <c r="AF606" s="45"/>
      <c r="AG606" s="49" t="str">
        <f ca="1">IFERROR(__xludf.DUMMYFUNCTION("IFNA(vlookup(H606,IMPORTRANGE(""1vUGwO1n0QQGx9kKbO0_M5gmuhXZ6-LaxQxgrmJnzgP0"",""'TP# look up'!A:C""),3,0),"""")"),"")</f>
        <v/>
      </c>
      <c r="AH606" s="49" t="str">
        <f t="shared" ca="1" si="9"/>
        <v>LW</v>
      </c>
    </row>
    <row r="607" spans="1:34" ht="12.75">
      <c r="A607" s="45" t="str">
        <f ca="1">IFERROR(__xludf.DUMMYFUNCTION("""COMPUTED_VALUE"""),"Colombo")</f>
        <v>Colombo</v>
      </c>
      <c r="B607" s="45"/>
      <c r="C607" s="45">
        <f ca="1">IFERROR(__xludf.DUMMYFUNCTION("""COMPUTED_VALUE"""),3259830)</f>
        <v>3259830</v>
      </c>
      <c r="D607" s="45"/>
      <c r="E607" s="45" t="str">
        <f ca="1">IFERROR(__xludf.DUMMYFUNCTION("""COMPUTED_VALUE"""),"CFS")</f>
        <v>CFS</v>
      </c>
      <c r="F607" s="45" t="str">
        <f ca="1">IFERROR(__xludf.DUMMYFUNCTION("""COMPUTED_VALUE"""),"Inqube Global (PVT) Ltd")</f>
        <v>Inqube Global (PVT) Ltd</v>
      </c>
      <c r="G607" s="45" t="str">
        <f ca="1">IFERROR(__xludf.DUMMYFUNCTION("""COMPUTED_VALUE"""),"Brandix Apparel Solutions Limited - Minuwangoda")</f>
        <v>Brandix Apparel Solutions Limited - Minuwangoda</v>
      </c>
      <c r="H607" s="43">
        <f ca="1">IFERROR(__xludf.DUMMYFUNCTION("""COMPUTED_VALUE"""),455735922109)</f>
        <v>455735922109</v>
      </c>
      <c r="I607" s="45">
        <f ca="1">IFERROR(__xludf.DUMMYFUNCTION("""COMPUTED_VALUE"""),19855233)</f>
        <v>19855233</v>
      </c>
      <c r="J607" s="45" t="str">
        <f ca="1">IFERROR(__xludf.DUMMYFUNCTION("""COMPUTED_VALUE"""),"LW1FQ4S")</f>
        <v>LW1FQ4S</v>
      </c>
      <c r="K607" s="45" t="str">
        <f ca="1">IFERROR(__xludf.DUMMYFUNCTION("""COMPUTED_VALUE"""),"LW1FQ4S-031382")</f>
        <v>LW1FQ4S-031382</v>
      </c>
      <c r="L607" s="45">
        <f ca="1">IFERROR(__xludf.DUMMYFUNCTION("""COMPUTED_VALUE"""),5)</f>
        <v>5</v>
      </c>
      <c r="M607" s="45">
        <f ca="1">IFERROR(__xludf.DUMMYFUNCTION("""COMPUTED_VALUE"""),234)</f>
        <v>234</v>
      </c>
      <c r="N607" s="45">
        <f ca="1">IFERROR(__xludf.DUMMYFUNCTION("""COMPUTED_VALUE"""),44.13)</f>
        <v>44.13</v>
      </c>
      <c r="O607" s="45">
        <f ca="1">IFERROR(__xludf.DUMMYFUNCTION("""COMPUTED_VALUE"""),0.393)</f>
        <v>0.39300000000000002</v>
      </c>
      <c r="P607" s="45" t="str">
        <f ca="1">IFERROR(__xludf.DUMMYFUNCTION("""COMPUTED_VALUE"""),"Colombo, LK")</f>
        <v>Colombo, LK</v>
      </c>
      <c r="Q607" s="45" t="str">
        <f ca="1">IFERROR(__xludf.DUMMYFUNCTION("""COMPUTED_VALUE"""),"Rotterdam, NL")</f>
        <v>Rotterdam, NL</v>
      </c>
      <c r="R607" s="44">
        <f ca="1">IFERROR(__xludf.DUMMYFUNCTION("""COMPUTED_VALUE"""),45831)</f>
        <v>45831</v>
      </c>
      <c r="S607" s="44">
        <f ca="1">IFERROR(__xludf.DUMMYFUNCTION("""COMPUTED_VALUE"""),45885)</f>
        <v>45885</v>
      </c>
      <c r="T607" s="45" t="str">
        <f ca="1">IFERROR(__xludf.DUMMYFUNCTION("""COMPUTED_VALUE"""),"Rotterdam, NL")</f>
        <v>Rotterdam, NL</v>
      </c>
      <c r="U607" s="45"/>
      <c r="V607" s="45"/>
      <c r="W607" s="45"/>
      <c r="X607" s="45"/>
      <c r="Y607" s="46">
        <f ca="1">IFERROR(__xludf.DUMMYFUNCTION("""COMPUTED_VALUE"""),45838)</f>
        <v>45838</v>
      </c>
      <c r="Z607" s="46">
        <f ca="1">IFERROR(__xludf.DUMMYFUNCTION("""COMPUTED_VALUE"""),45859)</f>
        <v>45859</v>
      </c>
      <c r="AA607" s="46">
        <f ca="1">IFERROR(__xludf.DUMMYFUNCTION("""COMPUTED_VALUE"""),45859)</f>
        <v>45859</v>
      </c>
      <c r="AB607" s="45" t="str">
        <f ca="1">IFERROR(__xludf.DUMMYFUNCTION("""COMPUTED_VALUE"""),"Conradweg 26")</f>
        <v>Conradweg 26</v>
      </c>
      <c r="AC607" s="45"/>
      <c r="AD607" s="45" t="str">
        <f ca="1">IFERROR(__xludf.DUMMYFUNCTION("""COMPUTED_VALUE"""),"OCEAN")</f>
        <v>OCEAN</v>
      </c>
      <c r="AE607" s="45" t="str">
        <f ca="1">IFERROR(__xludf.DUMMYFUNCTION("""COMPUTED_VALUE"""),"N")</f>
        <v>N</v>
      </c>
      <c r="AF607" s="45"/>
      <c r="AG607" s="49" t="str">
        <f ca="1">IFERROR(__xludf.DUMMYFUNCTION("IFNA(vlookup(H607,IMPORTRANGE(""1vUGwO1n0QQGx9kKbO0_M5gmuhXZ6-LaxQxgrmJnzgP0"",""'TP# look up'!A:C""),3,0),"""")"),"")</f>
        <v/>
      </c>
      <c r="AH607" s="49" t="str">
        <f t="shared" ca="1" si="9"/>
        <v>LW</v>
      </c>
    </row>
    <row r="608" spans="1:34" ht="12.75">
      <c r="A608" s="45" t="str">
        <f ca="1">IFERROR(__xludf.DUMMYFUNCTION("""COMPUTED_VALUE"""),"Colombo")</f>
        <v>Colombo</v>
      </c>
      <c r="B608" s="45"/>
      <c r="C608" s="45">
        <f ca="1">IFERROR(__xludf.DUMMYFUNCTION("""COMPUTED_VALUE"""),3259830)</f>
        <v>3259830</v>
      </c>
      <c r="D608" s="45"/>
      <c r="E608" s="45" t="str">
        <f ca="1">IFERROR(__xludf.DUMMYFUNCTION("""COMPUTED_VALUE"""),"CFS")</f>
        <v>CFS</v>
      </c>
      <c r="F608" s="45" t="str">
        <f ca="1">IFERROR(__xludf.DUMMYFUNCTION("""COMPUTED_VALUE"""),"Inqube Global (PVT) Ltd")</f>
        <v>Inqube Global (PVT) Ltd</v>
      </c>
      <c r="G608" s="45" t="str">
        <f ca="1">IFERROR(__xludf.DUMMYFUNCTION("""COMPUTED_VALUE"""),"Quantum Clothing Lanka (Pvt) Ltd")</f>
        <v>Quantum Clothing Lanka (Pvt) Ltd</v>
      </c>
      <c r="H608" s="43">
        <f ca="1">IFERROR(__xludf.DUMMYFUNCTION("""COMPUTED_VALUE"""),454531702328)</f>
        <v>454531702328</v>
      </c>
      <c r="I608" s="45">
        <f ca="1">IFERROR(__xludf.DUMMYFUNCTION("""COMPUTED_VALUE"""),19802396)</f>
        <v>19802396</v>
      </c>
      <c r="J608" s="45" t="str">
        <f ca="1">IFERROR(__xludf.DUMMYFUNCTION("""COMPUTED_VALUE"""),"LW2EC1S")</f>
        <v>LW2EC1S</v>
      </c>
      <c r="K608" s="45" t="str">
        <f ca="1">IFERROR(__xludf.DUMMYFUNCTION("""COMPUTED_VALUE"""),"LW2EC1S-069122")</f>
        <v>LW2EC1S-069122</v>
      </c>
      <c r="L608" s="45">
        <f ca="1">IFERROR(__xludf.DUMMYFUNCTION("""COMPUTED_VALUE"""),46)</f>
        <v>46</v>
      </c>
      <c r="M608" s="45">
        <f ca="1">IFERROR(__xludf.DUMMYFUNCTION("""COMPUTED_VALUE"""),455)</f>
        <v>455</v>
      </c>
      <c r="N608" s="45">
        <f ca="1">IFERROR(__xludf.DUMMYFUNCTION("""COMPUTED_VALUE"""),159.303)</f>
        <v>159.303</v>
      </c>
      <c r="O608" s="45">
        <f ca="1">IFERROR(__xludf.DUMMYFUNCTION("""COMPUTED_VALUE"""),3.822)</f>
        <v>3.8220000000000001</v>
      </c>
      <c r="P608" s="45" t="str">
        <f ca="1">IFERROR(__xludf.DUMMYFUNCTION("""COMPUTED_VALUE"""),"Colombo, LK")</f>
        <v>Colombo, LK</v>
      </c>
      <c r="Q608" s="45" t="str">
        <f ca="1">IFERROR(__xludf.DUMMYFUNCTION("""COMPUTED_VALUE"""),"Rotterdam, NL")</f>
        <v>Rotterdam, NL</v>
      </c>
      <c r="R608" s="44">
        <f ca="1">IFERROR(__xludf.DUMMYFUNCTION("""COMPUTED_VALUE"""),45831)</f>
        <v>45831</v>
      </c>
      <c r="S608" s="44">
        <f ca="1">IFERROR(__xludf.DUMMYFUNCTION("""COMPUTED_VALUE"""),45885)</f>
        <v>45885</v>
      </c>
      <c r="T608" s="45" t="str">
        <f ca="1">IFERROR(__xludf.DUMMYFUNCTION("""COMPUTED_VALUE"""),"Rotterdam, NL")</f>
        <v>Rotterdam, NL</v>
      </c>
      <c r="U608" s="45"/>
      <c r="V608" s="45"/>
      <c r="W608" s="45"/>
      <c r="X608" s="45"/>
      <c r="Y608" s="46">
        <f ca="1">IFERROR(__xludf.DUMMYFUNCTION("""COMPUTED_VALUE"""),45838)</f>
        <v>45838</v>
      </c>
      <c r="Z608" s="46">
        <f ca="1">IFERROR(__xludf.DUMMYFUNCTION("""COMPUTED_VALUE"""),45859)</f>
        <v>45859</v>
      </c>
      <c r="AA608" s="46">
        <f ca="1">IFERROR(__xludf.DUMMYFUNCTION("""COMPUTED_VALUE"""),45866)</f>
        <v>45866</v>
      </c>
      <c r="AB608" s="45" t="str">
        <f ca="1">IFERROR(__xludf.DUMMYFUNCTION("""COMPUTED_VALUE"""),"Conradweg 26")</f>
        <v>Conradweg 26</v>
      </c>
      <c r="AC608" s="45"/>
      <c r="AD608" s="45" t="str">
        <f ca="1">IFERROR(__xludf.DUMMYFUNCTION("""COMPUTED_VALUE"""),"OCEAN")</f>
        <v>OCEAN</v>
      </c>
      <c r="AE608" s="45" t="str">
        <f ca="1">IFERROR(__xludf.DUMMYFUNCTION("""COMPUTED_VALUE"""),"N")</f>
        <v>N</v>
      </c>
      <c r="AF608" s="45"/>
      <c r="AG608" s="49" t="str">
        <f ca="1">IFERROR(__xludf.DUMMYFUNCTION("IFNA(vlookup(H608,IMPORTRANGE(""1vUGwO1n0QQGx9kKbO0_M5gmuhXZ6-LaxQxgrmJnzgP0"",""'TP# look up'!A:C""),3,0),"""")"),"")</f>
        <v/>
      </c>
      <c r="AH608" s="49" t="str">
        <f t="shared" ca="1" si="9"/>
        <v>LW</v>
      </c>
    </row>
    <row r="609" spans="1:34" ht="12.75">
      <c r="A609" s="45" t="str">
        <f ca="1">IFERROR(__xludf.DUMMYFUNCTION("""COMPUTED_VALUE"""),"Colombo")</f>
        <v>Colombo</v>
      </c>
      <c r="B609" s="45"/>
      <c r="C609" s="45">
        <f ca="1">IFERROR(__xludf.DUMMYFUNCTION("""COMPUTED_VALUE"""),3259512)</f>
        <v>3259512</v>
      </c>
      <c r="D609" s="45"/>
      <c r="E609" s="45" t="str">
        <f ca="1">IFERROR(__xludf.DUMMYFUNCTION("""COMPUTED_VALUE"""),"CFS")</f>
        <v>CFS</v>
      </c>
      <c r="F609" s="45" t="str">
        <f ca="1">IFERROR(__xludf.DUMMYFUNCTION("""COMPUTED_VALUE"""),"Bodyline Trading (Private) Limited")</f>
        <v>Bodyline Trading (Private) Limited</v>
      </c>
      <c r="G609" s="45" t="str">
        <f ca="1">IFERROR(__xludf.DUMMYFUNCTION("""COMPUTED_VALUE"""),"Bodyline (Private) Limited")</f>
        <v>Bodyline (Private) Limited</v>
      </c>
      <c r="H609" s="43">
        <f ca="1">IFERROR(__xludf.DUMMYFUNCTION("""COMPUTED_VALUE"""),454749988325)</f>
        <v>454749988325</v>
      </c>
      <c r="I609" s="45">
        <f ca="1">IFERROR(__xludf.DUMMYFUNCTION("""COMPUTED_VALUE"""),19843889)</f>
        <v>19843889</v>
      </c>
      <c r="J609" s="45" t="str">
        <f ca="1">IFERROR(__xludf.DUMMYFUNCTION("""COMPUTED_VALUE"""),"LW1FM7S")</f>
        <v>LW1FM7S</v>
      </c>
      <c r="K609" s="45" t="str">
        <f ca="1">IFERROR(__xludf.DUMMYFUNCTION("""COMPUTED_VALUE"""),"LW1FM7S-069097")</f>
        <v>LW1FM7S-069097</v>
      </c>
      <c r="L609" s="45">
        <f ca="1">IFERROR(__xludf.DUMMYFUNCTION("""COMPUTED_VALUE"""),9)</f>
        <v>9</v>
      </c>
      <c r="M609" s="45">
        <f ca="1">IFERROR(__xludf.DUMMYFUNCTION("""COMPUTED_VALUE"""),376)</f>
        <v>376</v>
      </c>
      <c r="N609" s="45">
        <f ca="1">IFERROR(__xludf.DUMMYFUNCTION("""COMPUTED_VALUE"""),39.795)</f>
        <v>39.795000000000002</v>
      </c>
      <c r="O609" s="45">
        <f ca="1">IFERROR(__xludf.DUMMYFUNCTION("""COMPUTED_VALUE"""),0.395)</f>
        <v>0.39500000000000002</v>
      </c>
      <c r="P609" s="45" t="str">
        <f ca="1">IFERROR(__xludf.DUMMYFUNCTION("""COMPUTED_VALUE"""),"Colombo, LK")</f>
        <v>Colombo, LK</v>
      </c>
      <c r="Q609" s="45" t="str">
        <f ca="1">IFERROR(__xludf.DUMMYFUNCTION("""COMPUTED_VALUE"""),"New York, NY, US")</f>
        <v>New York, NY, US</v>
      </c>
      <c r="R609" s="44">
        <f ca="1">IFERROR(__xludf.DUMMYFUNCTION("""COMPUTED_VALUE"""),45831)</f>
        <v>45831</v>
      </c>
      <c r="S609" s="44">
        <f ca="1">IFERROR(__xludf.DUMMYFUNCTION("""COMPUTED_VALUE"""),45890)</f>
        <v>45890</v>
      </c>
      <c r="T609" s="45" t="str">
        <f ca="1">IFERROR(__xludf.DUMMYFUNCTION("""COMPUTED_VALUE"""),"Mississauga, ON, CA")</f>
        <v>Mississauga, ON, CA</v>
      </c>
      <c r="U609" s="45"/>
      <c r="V609" s="45"/>
      <c r="W609" s="45"/>
      <c r="X609" s="45"/>
      <c r="Y609" s="46">
        <f ca="1">IFERROR(__xludf.DUMMYFUNCTION("""COMPUTED_VALUE"""),45838)</f>
        <v>45838</v>
      </c>
      <c r="Z609" s="46">
        <f ca="1">IFERROR(__xludf.DUMMYFUNCTION("""COMPUTED_VALUE"""),45859)</f>
        <v>45859</v>
      </c>
      <c r="AA609" s="46">
        <f ca="1">IFERROR(__xludf.DUMMYFUNCTION("""COMPUTED_VALUE"""),45859)</f>
        <v>45859</v>
      </c>
      <c r="AB609" s="45" t="str">
        <f ca="1">IFERROR(__xludf.DUMMYFUNCTION("""COMPUTED_VALUE"""),"3500 Argentia Road")</f>
        <v>3500 Argentia Road</v>
      </c>
      <c r="AC609" s="45"/>
      <c r="AD609" s="45" t="str">
        <f ca="1">IFERROR(__xludf.DUMMYFUNCTION("""COMPUTED_VALUE"""),"OCEAN")</f>
        <v>OCEAN</v>
      </c>
      <c r="AE609" s="45" t="str">
        <f ca="1">IFERROR(__xludf.DUMMYFUNCTION("""COMPUTED_VALUE"""),"N")</f>
        <v>N</v>
      </c>
      <c r="AF609" s="45"/>
      <c r="AG609" s="49" t="str">
        <f ca="1">IFERROR(__xludf.DUMMYFUNCTION("IFNA(vlookup(H609,IMPORTRANGE(""1vUGwO1n0QQGx9kKbO0_M5gmuhXZ6-LaxQxgrmJnzgP0"",""'TP# look up'!A:C""),3,0),"""")"),"")</f>
        <v/>
      </c>
      <c r="AH609" s="49" t="str">
        <f t="shared" ca="1" si="9"/>
        <v>LW</v>
      </c>
    </row>
    <row r="610" spans="1:34" ht="12.75">
      <c r="A610" s="45" t="str">
        <f ca="1">IFERROR(__xludf.DUMMYFUNCTION("""COMPUTED_VALUE"""),"Colombo")</f>
        <v>Colombo</v>
      </c>
      <c r="B610" s="45"/>
      <c r="C610" s="45">
        <f ca="1">IFERROR(__xludf.DUMMYFUNCTION("""COMPUTED_VALUE"""),3259512)</f>
        <v>3259512</v>
      </c>
      <c r="D610" s="45"/>
      <c r="E610" s="45" t="str">
        <f ca="1">IFERROR(__xludf.DUMMYFUNCTION("""COMPUTED_VALUE"""),"CFS")</f>
        <v>CFS</v>
      </c>
      <c r="F610" s="45" t="str">
        <f ca="1">IFERROR(__xludf.DUMMYFUNCTION("""COMPUTED_VALUE"""),"Bodyline Trading (Private) Limited")</f>
        <v>Bodyline Trading (Private) Limited</v>
      </c>
      <c r="G610" s="45" t="str">
        <f ca="1">IFERROR(__xludf.DUMMYFUNCTION("""COMPUTED_VALUE"""),"Bodyline (Private) Limited")</f>
        <v>Bodyline (Private) Limited</v>
      </c>
      <c r="H610" s="43">
        <f ca="1">IFERROR(__xludf.DUMMYFUNCTION("""COMPUTED_VALUE"""),454750600606)</f>
        <v>454750600606</v>
      </c>
      <c r="I610" s="45">
        <f ca="1">IFERROR(__xludf.DUMMYFUNCTION("""COMPUTED_VALUE"""),19843768)</f>
        <v>19843768</v>
      </c>
      <c r="J610" s="45" t="str">
        <f ca="1">IFERROR(__xludf.DUMMYFUNCTION("""COMPUTED_VALUE"""),"LW1FM7S")</f>
        <v>LW1FM7S</v>
      </c>
      <c r="K610" s="45" t="str">
        <f ca="1">IFERROR(__xludf.DUMMYFUNCTION("""COMPUTED_VALUE"""),"LW1FM7S-069097")</f>
        <v>LW1FM7S-069097</v>
      </c>
      <c r="L610" s="45">
        <f ca="1">IFERROR(__xludf.DUMMYFUNCTION("""COMPUTED_VALUE"""),1)</f>
        <v>1</v>
      </c>
      <c r="M610" s="45">
        <f ca="1">IFERROR(__xludf.DUMMYFUNCTION("""COMPUTED_VALUE"""),15)</f>
        <v>15</v>
      </c>
      <c r="N610" s="45">
        <f ca="1">IFERROR(__xludf.DUMMYFUNCTION("""COMPUTED_VALUE"""),2.209)</f>
        <v>2.2090000000000001</v>
      </c>
      <c r="O610" s="45">
        <f ca="1">IFERROR(__xludf.DUMMYFUNCTION("""COMPUTED_VALUE"""),0.044)</f>
        <v>4.3999999999999997E-2</v>
      </c>
      <c r="P610" s="45" t="str">
        <f ca="1">IFERROR(__xludf.DUMMYFUNCTION("""COMPUTED_VALUE"""),"Colombo, LK")</f>
        <v>Colombo, LK</v>
      </c>
      <c r="Q610" s="45" t="str">
        <f ca="1">IFERROR(__xludf.DUMMYFUNCTION("""COMPUTED_VALUE"""),"New York, NY, US")</f>
        <v>New York, NY, US</v>
      </c>
      <c r="R610" s="44">
        <f ca="1">IFERROR(__xludf.DUMMYFUNCTION("""COMPUTED_VALUE"""),45831)</f>
        <v>45831</v>
      </c>
      <c r="S610" s="44">
        <f ca="1">IFERROR(__xludf.DUMMYFUNCTION("""COMPUTED_VALUE"""),45890)</f>
        <v>45890</v>
      </c>
      <c r="T610" s="45" t="str">
        <f ca="1">IFERROR(__xludf.DUMMYFUNCTION("""COMPUTED_VALUE"""),"Milton, ON, CA")</f>
        <v>Milton, ON, CA</v>
      </c>
      <c r="U610" s="45"/>
      <c r="V610" s="45"/>
      <c r="W610" s="45"/>
      <c r="X610" s="45"/>
      <c r="Y610" s="46">
        <f ca="1">IFERROR(__xludf.DUMMYFUNCTION("""COMPUTED_VALUE"""),45838)</f>
        <v>45838</v>
      </c>
      <c r="Z610" s="46">
        <f ca="1">IFERROR(__xludf.DUMMYFUNCTION("""COMPUTED_VALUE"""),45859)</f>
        <v>45859</v>
      </c>
      <c r="AA610" s="46">
        <f ca="1">IFERROR(__xludf.DUMMYFUNCTION("""COMPUTED_VALUE"""),45859)</f>
        <v>45859</v>
      </c>
      <c r="AB610" s="45" t="str">
        <f ca="1">IFERROR(__xludf.DUMMYFUNCTION("""COMPUTED_VALUE"""),"7211 Fifth Line")</f>
        <v>7211 Fifth Line</v>
      </c>
      <c r="AC610" s="45"/>
      <c r="AD610" s="45" t="str">
        <f ca="1">IFERROR(__xludf.DUMMYFUNCTION("""COMPUTED_VALUE"""),"OCEAN")</f>
        <v>OCEAN</v>
      </c>
      <c r="AE610" s="45" t="str">
        <f ca="1">IFERROR(__xludf.DUMMYFUNCTION("""COMPUTED_VALUE"""),"N")</f>
        <v>N</v>
      </c>
      <c r="AF610" s="45"/>
      <c r="AG610" s="49" t="str">
        <f ca="1">IFERROR(__xludf.DUMMYFUNCTION("IFNA(vlookup(H610,IMPORTRANGE(""1vUGwO1n0QQGx9kKbO0_M5gmuhXZ6-LaxQxgrmJnzgP0"",""'TP# look up'!A:C""),3,0),"""")"),"")</f>
        <v/>
      </c>
      <c r="AH610" s="49" t="str">
        <f t="shared" ca="1" si="9"/>
        <v>LW</v>
      </c>
    </row>
    <row r="611" spans="1:34" ht="12.75">
      <c r="A611" s="45" t="str">
        <f ca="1">IFERROR(__xludf.DUMMYFUNCTION("""COMPUTED_VALUE"""),"Colombo")</f>
        <v>Colombo</v>
      </c>
      <c r="B611" s="45"/>
      <c r="C611" s="45">
        <f ca="1">IFERROR(__xludf.DUMMYFUNCTION("""COMPUTED_VALUE"""),3259512)</f>
        <v>3259512</v>
      </c>
      <c r="D611" s="45"/>
      <c r="E611" s="45" t="str">
        <f ca="1">IFERROR(__xludf.DUMMYFUNCTION("""COMPUTED_VALUE"""),"CFS")</f>
        <v>CFS</v>
      </c>
      <c r="F611" s="45" t="str">
        <f ca="1">IFERROR(__xludf.DUMMYFUNCTION("""COMPUTED_VALUE"""),"Bodyline Trading (Private) Limited")</f>
        <v>Bodyline Trading (Private) Limited</v>
      </c>
      <c r="G611" s="45" t="str">
        <f ca="1">IFERROR(__xludf.DUMMYFUNCTION("""COMPUTED_VALUE"""),"Bodyline (Private) Limited")</f>
        <v>Bodyline (Private) Limited</v>
      </c>
      <c r="H611" s="43">
        <f ca="1">IFERROR(__xludf.DUMMYFUNCTION("""COMPUTED_VALUE"""),454750676644)</f>
        <v>454750676644</v>
      </c>
      <c r="I611" s="45">
        <f ca="1">IFERROR(__xludf.DUMMYFUNCTION("""COMPUTED_VALUE"""),19878603)</f>
        <v>19878603</v>
      </c>
      <c r="J611" s="45" t="str">
        <f ca="1">IFERROR(__xludf.DUMMYFUNCTION("""COMPUTED_VALUE"""),"LW2731S")</f>
        <v>LW2731S</v>
      </c>
      <c r="K611" s="45" t="str">
        <f ca="1">IFERROR(__xludf.DUMMYFUNCTION("""COMPUTED_VALUE"""),"LW2731S-035486")</f>
        <v>LW2731S-035486</v>
      </c>
      <c r="L611" s="45">
        <f ca="1">IFERROR(__xludf.DUMMYFUNCTION("""COMPUTED_VALUE"""),12)</f>
        <v>12</v>
      </c>
      <c r="M611" s="45">
        <f ca="1">IFERROR(__xludf.DUMMYFUNCTION("""COMPUTED_VALUE"""),673)</f>
        <v>673</v>
      </c>
      <c r="N611" s="45">
        <f ca="1">IFERROR(__xludf.DUMMYFUNCTION("""COMPUTED_VALUE"""),69.738)</f>
        <v>69.738</v>
      </c>
      <c r="O611" s="45">
        <f ca="1">IFERROR(__xludf.DUMMYFUNCTION("""COMPUTED_VALUE"""),0.93)</f>
        <v>0.93</v>
      </c>
      <c r="P611" s="45" t="str">
        <f ca="1">IFERROR(__xludf.DUMMYFUNCTION("""COMPUTED_VALUE"""),"Colombo, LK")</f>
        <v>Colombo, LK</v>
      </c>
      <c r="Q611" s="45" t="str">
        <f ca="1">IFERROR(__xludf.DUMMYFUNCTION("""COMPUTED_VALUE"""),"New York, NY, US")</f>
        <v>New York, NY, US</v>
      </c>
      <c r="R611" s="44">
        <f ca="1">IFERROR(__xludf.DUMMYFUNCTION("""COMPUTED_VALUE"""),45831)</f>
        <v>45831</v>
      </c>
      <c r="S611" s="44">
        <f ca="1">IFERROR(__xludf.DUMMYFUNCTION("""COMPUTED_VALUE"""),45890)</f>
        <v>45890</v>
      </c>
      <c r="T611" s="45" t="str">
        <f ca="1">IFERROR(__xludf.DUMMYFUNCTION("""COMPUTED_VALUE"""),"Mississauga, ON, CA")</f>
        <v>Mississauga, ON, CA</v>
      </c>
      <c r="U611" s="45"/>
      <c r="V611" s="45"/>
      <c r="W611" s="45"/>
      <c r="X611" s="45"/>
      <c r="Y611" s="46">
        <f ca="1">IFERROR(__xludf.DUMMYFUNCTION("""COMPUTED_VALUE"""),45838)</f>
        <v>45838</v>
      </c>
      <c r="Z611" s="46">
        <f ca="1">IFERROR(__xludf.DUMMYFUNCTION("""COMPUTED_VALUE"""),45859)</f>
        <v>45859</v>
      </c>
      <c r="AA611" s="46">
        <f ca="1">IFERROR(__xludf.DUMMYFUNCTION("""COMPUTED_VALUE"""),45859)</f>
        <v>45859</v>
      </c>
      <c r="AB611" s="45" t="str">
        <f ca="1">IFERROR(__xludf.DUMMYFUNCTION("""COMPUTED_VALUE"""),"3500 Argentia Road")</f>
        <v>3500 Argentia Road</v>
      </c>
      <c r="AC611" s="45"/>
      <c r="AD611" s="45" t="str">
        <f ca="1">IFERROR(__xludf.DUMMYFUNCTION("""COMPUTED_VALUE"""),"OCEAN")</f>
        <v>OCEAN</v>
      </c>
      <c r="AE611" s="45" t="str">
        <f ca="1">IFERROR(__xludf.DUMMYFUNCTION("""COMPUTED_VALUE"""),"N")</f>
        <v>N</v>
      </c>
      <c r="AF611" s="45"/>
      <c r="AG611" s="49" t="str">
        <f ca="1">IFERROR(__xludf.DUMMYFUNCTION("IFNA(vlookup(H611,IMPORTRANGE(""1vUGwO1n0QQGx9kKbO0_M5gmuhXZ6-LaxQxgrmJnzgP0"",""'TP# look up'!A:C""),3,0),"""")"),"")</f>
        <v/>
      </c>
      <c r="AH611" s="49" t="str">
        <f t="shared" ca="1" si="9"/>
        <v>LW</v>
      </c>
    </row>
    <row r="612" spans="1:34" ht="12.75">
      <c r="A612" s="45" t="str">
        <f ca="1">IFERROR(__xludf.DUMMYFUNCTION("""COMPUTED_VALUE"""),"Colombo")</f>
        <v>Colombo</v>
      </c>
      <c r="B612" s="45"/>
      <c r="C612" s="45">
        <f ca="1">IFERROR(__xludf.DUMMYFUNCTION("""COMPUTED_VALUE"""),3259512)</f>
        <v>3259512</v>
      </c>
      <c r="D612" s="45"/>
      <c r="E612" s="45" t="str">
        <f ca="1">IFERROR(__xludf.DUMMYFUNCTION("""COMPUTED_VALUE"""),"CFS")</f>
        <v>CFS</v>
      </c>
      <c r="F612" s="45" t="str">
        <f ca="1">IFERROR(__xludf.DUMMYFUNCTION("""COMPUTED_VALUE"""),"Bodyline Trading (Private) Limited")</f>
        <v>Bodyline Trading (Private) Limited</v>
      </c>
      <c r="G612" s="45" t="str">
        <f ca="1">IFERROR(__xludf.DUMMYFUNCTION("""COMPUTED_VALUE"""),"Bodyline (Private) Limited")</f>
        <v>Bodyline (Private) Limited</v>
      </c>
      <c r="H612" s="43">
        <f ca="1">IFERROR(__xludf.DUMMYFUNCTION("""COMPUTED_VALUE"""),454750676857)</f>
        <v>454750676857</v>
      </c>
      <c r="I612" s="45">
        <f ca="1">IFERROR(__xludf.DUMMYFUNCTION("""COMPUTED_VALUE"""),19878619)</f>
        <v>19878619</v>
      </c>
      <c r="J612" s="45" t="str">
        <f ca="1">IFERROR(__xludf.DUMMYFUNCTION("""COMPUTED_VALUE"""),"LW2DTIS")</f>
        <v>LW2DTIS</v>
      </c>
      <c r="K612" s="45" t="str">
        <f ca="1">IFERROR(__xludf.DUMMYFUNCTION("""COMPUTED_VALUE"""),"LW2DTIS-035486")</f>
        <v>LW2DTIS-035486</v>
      </c>
      <c r="L612" s="45">
        <f ca="1">IFERROR(__xludf.DUMMYFUNCTION("""COMPUTED_VALUE"""),4)</f>
        <v>4</v>
      </c>
      <c r="M612" s="45">
        <f ca="1">IFERROR(__xludf.DUMMYFUNCTION("""COMPUTED_VALUE"""),249)</f>
        <v>249</v>
      </c>
      <c r="N612" s="45">
        <f ca="1">IFERROR(__xludf.DUMMYFUNCTION("""COMPUTED_VALUE"""),30.057)</f>
        <v>30.056999999999999</v>
      </c>
      <c r="O612" s="45">
        <f ca="1">IFERROR(__xludf.DUMMYFUNCTION("""COMPUTED_VALUE"""),0.322)</f>
        <v>0.32200000000000001</v>
      </c>
      <c r="P612" s="45" t="str">
        <f ca="1">IFERROR(__xludf.DUMMYFUNCTION("""COMPUTED_VALUE"""),"Colombo, LK")</f>
        <v>Colombo, LK</v>
      </c>
      <c r="Q612" s="45" t="str">
        <f ca="1">IFERROR(__xludf.DUMMYFUNCTION("""COMPUTED_VALUE"""),"New York, NY, US")</f>
        <v>New York, NY, US</v>
      </c>
      <c r="R612" s="44">
        <f ca="1">IFERROR(__xludf.DUMMYFUNCTION("""COMPUTED_VALUE"""),45831)</f>
        <v>45831</v>
      </c>
      <c r="S612" s="44">
        <f ca="1">IFERROR(__xludf.DUMMYFUNCTION("""COMPUTED_VALUE"""),45890)</f>
        <v>45890</v>
      </c>
      <c r="T612" s="45" t="str">
        <f ca="1">IFERROR(__xludf.DUMMYFUNCTION("""COMPUTED_VALUE"""),"Mississauga, ON, CA")</f>
        <v>Mississauga, ON, CA</v>
      </c>
      <c r="U612" s="45"/>
      <c r="V612" s="45"/>
      <c r="W612" s="45"/>
      <c r="X612" s="45"/>
      <c r="Y612" s="46">
        <f ca="1">IFERROR(__xludf.DUMMYFUNCTION("""COMPUTED_VALUE"""),45838)</f>
        <v>45838</v>
      </c>
      <c r="Z612" s="46">
        <f ca="1">IFERROR(__xludf.DUMMYFUNCTION("""COMPUTED_VALUE"""),45859)</f>
        <v>45859</v>
      </c>
      <c r="AA612" s="46">
        <f ca="1">IFERROR(__xludf.DUMMYFUNCTION("""COMPUTED_VALUE"""),45859)</f>
        <v>45859</v>
      </c>
      <c r="AB612" s="45" t="str">
        <f ca="1">IFERROR(__xludf.DUMMYFUNCTION("""COMPUTED_VALUE"""),"3500 Argentia Road")</f>
        <v>3500 Argentia Road</v>
      </c>
      <c r="AC612" s="45"/>
      <c r="AD612" s="45" t="str">
        <f ca="1">IFERROR(__xludf.DUMMYFUNCTION("""COMPUTED_VALUE"""),"OCEAN")</f>
        <v>OCEAN</v>
      </c>
      <c r="AE612" s="45" t="str">
        <f ca="1">IFERROR(__xludf.DUMMYFUNCTION("""COMPUTED_VALUE"""),"N")</f>
        <v>N</v>
      </c>
      <c r="AF612" s="45"/>
      <c r="AG612" s="49" t="str">
        <f ca="1">IFERROR(__xludf.DUMMYFUNCTION("IFNA(vlookup(H612,IMPORTRANGE(""1vUGwO1n0QQGx9kKbO0_M5gmuhXZ6-LaxQxgrmJnzgP0"",""'TP# look up'!A:C""),3,0),"""")"),"")</f>
        <v/>
      </c>
      <c r="AH612" s="49" t="str">
        <f t="shared" ca="1" si="9"/>
        <v>LW</v>
      </c>
    </row>
    <row r="613" spans="1:34" ht="12.75">
      <c r="A613" s="45" t="str">
        <f ca="1">IFERROR(__xludf.DUMMYFUNCTION("""COMPUTED_VALUE"""),"Colombo")</f>
        <v>Colombo</v>
      </c>
      <c r="B613" s="45"/>
      <c r="C613" s="45">
        <f ca="1">IFERROR(__xludf.DUMMYFUNCTION("""COMPUTED_VALUE"""),3259512)</f>
        <v>3259512</v>
      </c>
      <c r="D613" s="45"/>
      <c r="E613" s="45" t="str">
        <f ca="1">IFERROR(__xludf.DUMMYFUNCTION("""COMPUTED_VALUE"""),"CFS")</f>
        <v>CFS</v>
      </c>
      <c r="F613" s="45" t="str">
        <f ca="1">IFERROR(__xludf.DUMMYFUNCTION("""COMPUTED_VALUE"""),"Bodyline Trading (Private) Limited")</f>
        <v>Bodyline Trading (Private) Limited</v>
      </c>
      <c r="G613" s="45" t="str">
        <f ca="1">IFERROR(__xludf.DUMMYFUNCTION("""COMPUTED_VALUE"""),"Bodyline (Private) Limited")</f>
        <v>Bodyline (Private) Limited</v>
      </c>
      <c r="H613" s="43">
        <f ca="1">IFERROR(__xludf.DUMMYFUNCTION("""COMPUTED_VALUE"""),454750716339)</f>
        <v>454750716339</v>
      </c>
      <c r="I613" s="45">
        <f ca="1">IFERROR(__xludf.DUMMYFUNCTION("""COMPUTED_VALUE"""),19878389)</f>
        <v>19878389</v>
      </c>
      <c r="J613" s="45" t="str">
        <f ca="1">IFERROR(__xludf.DUMMYFUNCTION("""COMPUTED_VALUE"""),"LW2731S")</f>
        <v>LW2731S</v>
      </c>
      <c r="K613" s="45" t="str">
        <f ca="1">IFERROR(__xludf.DUMMYFUNCTION("""COMPUTED_VALUE"""),"LW2731S-035486")</f>
        <v>LW2731S-035486</v>
      </c>
      <c r="L613" s="45">
        <f ca="1">IFERROR(__xludf.DUMMYFUNCTION("""COMPUTED_VALUE"""),7)</f>
        <v>7</v>
      </c>
      <c r="M613" s="45">
        <f ca="1">IFERROR(__xludf.DUMMYFUNCTION("""COMPUTED_VALUE"""),364)</f>
        <v>364</v>
      </c>
      <c r="N613" s="45">
        <f ca="1">IFERROR(__xludf.DUMMYFUNCTION("""COMPUTED_VALUE"""),38.752)</f>
        <v>38.752000000000002</v>
      </c>
      <c r="O613" s="45">
        <f ca="1">IFERROR(__xludf.DUMMYFUNCTION("""COMPUTED_VALUE"""),0.527)</f>
        <v>0.52700000000000002</v>
      </c>
      <c r="P613" s="45" t="str">
        <f ca="1">IFERROR(__xludf.DUMMYFUNCTION("""COMPUTED_VALUE"""),"Colombo, LK")</f>
        <v>Colombo, LK</v>
      </c>
      <c r="Q613" s="45" t="str">
        <f ca="1">IFERROR(__xludf.DUMMYFUNCTION("""COMPUTED_VALUE"""),"New York, NY, US")</f>
        <v>New York, NY, US</v>
      </c>
      <c r="R613" s="44">
        <f ca="1">IFERROR(__xludf.DUMMYFUNCTION("""COMPUTED_VALUE"""),45831)</f>
        <v>45831</v>
      </c>
      <c r="S613" s="44">
        <f ca="1">IFERROR(__xludf.DUMMYFUNCTION("""COMPUTED_VALUE"""),45890)</f>
        <v>45890</v>
      </c>
      <c r="T613" s="45" t="str">
        <f ca="1">IFERROR(__xludf.DUMMYFUNCTION("""COMPUTED_VALUE"""),"Mississauga, ON, CA")</f>
        <v>Mississauga, ON, CA</v>
      </c>
      <c r="U613" s="45"/>
      <c r="V613" s="45"/>
      <c r="W613" s="45"/>
      <c r="X613" s="45"/>
      <c r="Y613" s="46">
        <f ca="1">IFERROR(__xludf.DUMMYFUNCTION("""COMPUTED_VALUE"""),45838)</f>
        <v>45838</v>
      </c>
      <c r="Z613" s="46">
        <f ca="1">IFERROR(__xludf.DUMMYFUNCTION("""COMPUTED_VALUE"""),45859)</f>
        <v>45859</v>
      </c>
      <c r="AA613" s="46">
        <f ca="1">IFERROR(__xludf.DUMMYFUNCTION("""COMPUTED_VALUE"""),45859)</f>
        <v>45859</v>
      </c>
      <c r="AB613" s="45" t="str">
        <f ca="1">IFERROR(__xludf.DUMMYFUNCTION("""COMPUTED_VALUE"""),"3500 Argentia Road")</f>
        <v>3500 Argentia Road</v>
      </c>
      <c r="AC613" s="45"/>
      <c r="AD613" s="45" t="str">
        <f ca="1">IFERROR(__xludf.DUMMYFUNCTION("""COMPUTED_VALUE"""),"OCEAN")</f>
        <v>OCEAN</v>
      </c>
      <c r="AE613" s="45" t="str">
        <f ca="1">IFERROR(__xludf.DUMMYFUNCTION("""COMPUTED_VALUE"""),"N")</f>
        <v>N</v>
      </c>
      <c r="AF613" s="45"/>
      <c r="AG613" s="49" t="str">
        <f ca="1">IFERROR(__xludf.DUMMYFUNCTION("IFNA(vlookup(H613,IMPORTRANGE(""1vUGwO1n0QQGx9kKbO0_M5gmuhXZ6-LaxQxgrmJnzgP0"",""'TP# look up'!A:C""),3,0),"""")"),"")</f>
        <v/>
      </c>
      <c r="AH613" s="49" t="str">
        <f t="shared" ca="1" si="9"/>
        <v>LW</v>
      </c>
    </row>
    <row r="614" spans="1:34" ht="12.75">
      <c r="A614" s="45" t="str">
        <f ca="1">IFERROR(__xludf.DUMMYFUNCTION("""COMPUTED_VALUE"""),"Colombo")</f>
        <v>Colombo</v>
      </c>
      <c r="B614" s="45"/>
      <c r="C614" s="45">
        <f ca="1">IFERROR(__xludf.DUMMYFUNCTION("""COMPUTED_VALUE"""),3259512)</f>
        <v>3259512</v>
      </c>
      <c r="D614" s="45"/>
      <c r="E614" s="45" t="str">
        <f ca="1">IFERROR(__xludf.DUMMYFUNCTION("""COMPUTED_VALUE"""),"CFS")</f>
        <v>CFS</v>
      </c>
      <c r="F614" s="45" t="str">
        <f ca="1">IFERROR(__xludf.DUMMYFUNCTION("""COMPUTED_VALUE"""),"Bodyline Trading (Private) Limited")</f>
        <v>Bodyline Trading (Private) Limited</v>
      </c>
      <c r="G614" s="45" t="str">
        <f ca="1">IFERROR(__xludf.DUMMYFUNCTION("""COMPUTED_VALUE"""),"Bodyline (Private) Limited")</f>
        <v>Bodyline (Private) Limited</v>
      </c>
      <c r="H614" s="43">
        <f ca="1">IFERROR(__xludf.DUMMYFUNCTION("""COMPUTED_VALUE"""),454750717500)</f>
        <v>454750717500</v>
      </c>
      <c r="I614" s="45">
        <f ca="1">IFERROR(__xludf.DUMMYFUNCTION("""COMPUTED_VALUE"""),19878843)</f>
        <v>19878843</v>
      </c>
      <c r="J614" s="45" t="str">
        <f ca="1">IFERROR(__xludf.DUMMYFUNCTION("""COMPUTED_VALUE"""),"LW2DTJS")</f>
        <v>LW2DTJS</v>
      </c>
      <c r="K614" s="45" t="str">
        <f ca="1">IFERROR(__xludf.DUMMYFUNCTION("""COMPUTED_VALUE"""),"LW2DTJS-035486")</f>
        <v>LW2DTJS-035486</v>
      </c>
      <c r="L614" s="45">
        <f ca="1">IFERROR(__xludf.DUMMYFUNCTION("""COMPUTED_VALUE"""),12)</f>
        <v>12</v>
      </c>
      <c r="M614" s="45">
        <f ca="1">IFERROR(__xludf.DUMMYFUNCTION("""COMPUTED_VALUE"""),662)</f>
        <v>662</v>
      </c>
      <c r="N614" s="45">
        <f ca="1">IFERROR(__xludf.DUMMYFUNCTION("""COMPUTED_VALUE"""),96.047)</f>
        <v>96.046999999999997</v>
      </c>
      <c r="O614" s="45">
        <f ca="1">IFERROR(__xludf.DUMMYFUNCTION("""COMPUTED_VALUE"""),0.966)</f>
        <v>0.96599999999999997</v>
      </c>
      <c r="P614" s="45" t="str">
        <f ca="1">IFERROR(__xludf.DUMMYFUNCTION("""COMPUTED_VALUE"""),"Colombo, LK")</f>
        <v>Colombo, LK</v>
      </c>
      <c r="Q614" s="45" t="str">
        <f ca="1">IFERROR(__xludf.DUMMYFUNCTION("""COMPUTED_VALUE"""),"New York, NY, US")</f>
        <v>New York, NY, US</v>
      </c>
      <c r="R614" s="44">
        <f ca="1">IFERROR(__xludf.DUMMYFUNCTION("""COMPUTED_VALUE"""),45831)</f>
        <v>45831</v>
      </c>
      <c r="S614" s="44">
        <f ca="1">IFERROR(__xludf.DUMMYFUNCTION("""COMPUTED_VALUE"""),45890)</f>
        <v>45890</v>
      </c>
      <c r="T614" s="45" t="str">
        <f ca="1">IFERROR(__xludf.DUMMYFUNCTION("""COMPUTED_VALUE"""),"Mississauga, ON, CA")</f>
        <v>Mississauga, ON, CA</v>
      </c>
      <c r="U614" s="45"/>
      <c r="V614" s="45"/>
      <c r="W614" s="45"/>
      <c r="X614" s="45"/>
      <c r="Y614" s="46">
        <f ca="1">IFERROR(__xludf.DUMMYFUNCTION("""COMPUTED_VALUE"""),45838)</f>
        <v>45838</v>
      </c>
      <c r="Z614" s="46">
        <f ca="1">IFERROR(__xludf.DUMMYFUNCTION("""COMPUTED_VALUE"""),45859)</f>
        <v>45859</v>
      </c>
      <c r="AA614" s="46">
        <f ca="1">IFERROR(__xludf.DUMMYFUNCTION("""COMPUTED_VALUE"""),45859)</f>
        <v>45859</v>
      </c>
      <c r="AB614" s="45" t="str">
        <f ca="1">IFERROR(__xludf.DUMMYFUNCTION("""COMPUTED_VALUE"""),"3500 Argentia Road")</f>
        <v>3500 Argentia Road</v>
      </c>
      <c r="AC614" s="45"/>
      <c r="AD614" s="45" t="str">
        <f ca="1">IFERROR(__xludf.DUMMYFUNCTION("""COMPUTED_VALUE"""),"OCEAN")</f>
        <v>OCEAN</v>
      </c>
      <c r="AE614" s="45" t="str">
        <f ca="1">IFERROR(__xludf.DUMMYFUNCTION("""COMPUTED_VALUE"""),"N")</f>
        <v>N</v>
      </c>
      <c r="AF614" s="45"/>
      <c r="AG614" s="49" t="str">
        <f ca="1">IFERROR(__xludf.DUMMYFUNCTION("IFNA(vlookup(H614,IMPORTRANGE(""1vUGwO1n0QQGx9kKbO0_M5gmuhXZ6-LaxQxgrmJnzgP0"",""'TP# look up'!A:C""),3,0),"""")"),"")</f>
        <v/>
      </c>
      <c r="AH614" s="49" t="str">
        <f t="shared" ca="1" si="9"/>
        <v>LW</v>
      </c>
    </row>
    <row r="615" spans="1:34" ht="12.75">
      <c r="A615" s="45" t="str">
        <f ca="1">IFERROR(__xludf.DUMMYFUNCTION("""COMPUTED_VALUE"""),"Colombo")</f>
        <v>Colombo</v>
      </c>
      <c r="B615" s="45"/>
      <c r="C615" s="45">
        <f ca="1">IFERROR(__xludf.DUMMYFUNCTION("""COMPUTED_VALUE"""),3259512)</f>
        <v>3259512</v>
      </c>
      <c r="D615" s="45"/>
      <c r="E615" s="45" t="str">
        <f ca="1">IFERROR(__xludf.DUMMYFUNCTION("""COMPUTED_VALUE"""),"CFS")</f>
        <v>CFS</v>
      </c>
      <c r="F615" s="45" t="str">
        <f ca="1">IFERROR(__xludf.DUMMYFUNCTION("""COMPUTED_VALUE"""),"Bodyline Trading (Private) Limited")</f>
        <v>Bodyline Trading (Private) Limited</v>
      </c>
      <c r="G615" s="45" t="str">
        <f ca="1">IFERROR(__xludf.DUMMYFUNCTION("""COMPUTED_VALUE"""),"Bodyline (Private) Limited")</f>
        <v>Bodyline (Private) Limited</v>
      </c>
      <c r="H615" s="43">
        <f ca="1">IFERROR(__xludf.DUMMYFUNCTION("""COMPUTED_VALUE"""),454750719407)</f>
        <v>454750719407</v>
      </c>
      <c r="I615" s="45">
        <f ca="1">IFERROR(__xludf.DUMMYFUNCTION("""COMPUTED_VALUE"""),19843774)</f>
        <v>19843774</v>
      </c>
      <c r="J615" s="45" t="str">
        <f ca="1">IFERROR(__xludf.DUMMYFUNCTION("""COMPUTED_VALUE"""),"LW1FM7S")</f>
        <v>LW1FM7S</v>
      </c>
      <c r="K615" s="45" t="str">
        <f ca="1">IFERROR(__xludf.DUMMYFUNCTION("""COMPUTED_VALUE"""),"LW1FM7S-035487")</f>
        <v>LW1FM7S-035487</v>
      </c>
      <c r="L615" s="45">
        <f ca="1">IFERROR(__xludf.DUMMYFUNCTION("""COMPUTED_VALUE"""),3)</f>
        <v>3</v>
      </c>
      <c r="M615" s="45">
        <f ca="1">IFERROR(__xludf.DUMMYFUNCTION("""COMPUTED_VALUE"""),143)</f>
        <v>143</v>
      </c>
      <c r="N615" s="45">
        <f ca="1">IFERROR(__xludf.DUMMYFUNCTION("""COMPUTED_VALUE"""),14.75)</f>
        <v>14.75</v>
      </c>
      <c r="O615" s="45">
        <f ca="1">IFERROR(__xludf.DUMMYFUNCTION("""COMPUTED_VALUE"""),0.132)</f>
        <v>0.13200000000000001</v>
      </c>
      <c r="P615" s="45" t="str">
        <f ca="1">IFERROR(__xludf.DUMMYFUNCTION("""COMPUTED_VALUE"""),"Colombo, LK")</f>
        <v>Colombo, LK</v>
      </c>
      <c r="Q615" s="45" t="str">
        <f ca="1">IFERROR(__xludf.DUMMYFUNCTION("""COMPUTED_VALUE"""),"New York, NY, US")</f>
        <v>New York, NY, US</v>
      </c>
      <c r="R615" s="44">
        <f ca="1">IFERROR(__xludf.DUMMYFUNCTION("""COMPUTED_VALUE"""),45831)</f>
        <v>45831</v>
      </c>
      <c r="S615" s="44">
        <f ca="1">IFERROR(__xludf.DUMMYFUNCTION("""COMPUTED_VALUE"""),45890)</f>
        <v>45890</v>
      </c>
      <c r="T615" s="45" t="str">
        <f ca="1">IFERROR(__xludf.DUMMYFUNCTION("""COMPUTED_VALUE"""),"Mississauga, ON, CA")</f>
        <v>Mississauga, ON, CA</v>
      </c>
      <c r="U615" s="45"/>
      <c r="V615" s="45"/>
      <c r="W615" s="45"/>
      <c r="X615" s="45"/>
      <c r="Y615" s="46">
        <f ca="1">IFERROR(__xludf.DUMMYFUNCTION("""COMPUTED_VALUE"""),45838)</f>
        <v>45838</v>
      </c>
      <c r="Z615" s="46">
        <f ca="1">IFERROR(__xludf.DUMMYFUNCTION("""COMPUTED_VALUE"""),45859)</f>
        <v>45859</v>
      </c>
      <c r="AA615" s="46">
        <f ca="1">IFERROR(__xludf.DUMMYFUNCTION("""COMPUTED_VALUE"""),45859)</f>
        <v>45859</v>
      </c>
      <c r="AB615" s="45" t="str">
        <f ca="1">IFERROR(__xludf.DUMMYFUNCTION("""COMPUTED_VALUE"""),"3500 Argentia Road")</f>
        <v>3500 Argentia Road</v>
      </c>
      <c r="AC615" s="45"/>
      <c r="AD615" s="45" t="str">
        <f ca="1">IFERROR(__xludf.DUMMYFUNCTION("""COMPUTED_VALUE"""),"OCEAN")</f>
        <v>OCEAN</v>
      </c>
      <c r="AE615" s="45" t="str">
        <f ca="1">IFERROR(__xludf.DUMMYFUNCTION("""COMPUTED_VALUE"""),"N")</f>
        <v>N</v>
      </c>
      <c r="AF615" s="45"/>
      <c r="AG615" s="49" t="str">
        <f ca="1">IFERROR(__xludf.DUMMYFUNCTION("IFNA(vlookup(H615,IMPORTRANGE(""1vUGwO1n0QQGx9kKbO0_M5gmuhXZ6-LaxQxgrmJnzgP0"",""'TP# look up'!A:C""),3,0),"""")"),"")</f>
        <v/>
      </c>
      <c r="AH615" s="49" t="str">
        <f t="shared" ca="1" si="9"/>
        <v>LW</v>
      </c>
    </row>
    <row r="616" spans="1:34" ht="12.75">
      <c r="A616" s="45" t="str">
        <f ca="1">IFERROR(__xludf.DUMMYFUNCTION("""COMPUTED_VALUE"""),"Colombo")</f>
        <v>Colombo</v>
      </c>
      <c r="B616" s="45"/>
      <c r="C616" s="45">
        <f ca="1">IFERROR(__xludf.DUMMYFUNCTION("""COMPUTED_VALUE"""),3259512)</f>
        <v>3259512</v>
      </c>
      <c r="D616" s="45"/>
      <c r="E616" s="45" t="str">
        <f ca="1">IFERROR(__xludf.DUMMYFUNCTION("""COMPUTED_VALUE"""),"CFS")</f>
        <v>CFS</v>
      </c>
      <c r="F616" s="45" t="str">
        <f ca="1">IFERROR(__xludf.DUMMYFUNCTION("""COMPUTED_VALUE"""),"Bodyline Trading (Private) Limited")</f>
        <v>Bodyline Trading (Private) Limited</v>
      </c>
      <c r="G616" s="45" t="str">
        <f ca="1">IFERROR(__xludf.DUMMYFUNCTION("""COMPUTED_VALUE"""),"Bodyline (Private) Limited")</f>
        <v>Bodyline (Private) Limited</v>
      </c>
      <c r="H616" s="43">
        <f ca="1">IFERROR(__xludf.DUMMYFUNCTION("""COMPUTED_VALUE"""),454750719636)</f>
        <v>454750719636</v>
      </c>
      <c r="I616" s="45">
        <f ca="1">IFERROR(__xludf.DUMMYFUNCTION("""COMPUTED_VALUE"""),19843773)</f>
        <v>19843773</v>
      </c>
      <c r="J616" s="45" t="str">
        <f ca="1">IFERROR(__xludf.DUMMYFUNCTION("""COMPUTED_VALUE"""),"LW1FM7S")</f>
        <v>LW1FM7S</v>
      </c>
      <c r="K616" s="45" t="str">
        <f ca="1">IFERROR(__xludf.DUMMYFUNCTION("""COMPUTED_VALUE"""),"LW1FM7S-035487")</f>
        <v>LW1FM7S-035487</v>
      </c>
      <c r="L616" s="45">
        <f ca="1">IFERROR(__xludf.DUMMYFUNCTION("""COMPUTED_VALUE"""),1)</f>
        <v>1</v>
      </c>
      <c r="M616" s="45">
        <f ca="1">IFERROR(__xludf.DUMMYFUNCTION("""COMPUTED_VALUE"""),13)</f>
        <v>13</v>
      </c>
      <c r="N616" s="45">
        <f ca="1">IFERROR(__xludf.DUMMYFUNCTION("""COMPUTED_VALUE"""),1.999)</f>
        <v>1.9990000000000001</v>
      </c>
      <c r="O616" s="45">
        <f ca="1">IFERROR(__xludf.DUMMYFUNCTION("""COMPUTED_VALUE"""),0.044)</f>
        <v>4.3999999999999997E-2</v>
      </c>
      <c r="P616" s="45" t="str">
        <f ca="1">IFERROR(__xludf.DUMMYFUNCTION("""COMPUTED_VALUE"""),"Colombo, LK")</f>
        <v>Colombo, LK</v>
      </c>
      <c r="Q616" s="45" t="str">
        <f ca="1">IFERROR(__xludf.DUMMYFUNCTION("""COMPUTED_VALUE"""),"New York, NY, US")</f>
        <v>New York, NY, US</v>
      </c>
      <c r="R616" s="44">
        <f ca="1">IFERROR(__xludf.DUMMYFUNCTION("""COMPUTED_VALUE"""),45831)</f>
        <v>45831</v>
      </c>
      <c r="S616" s="44">
        <f ca="1">IFERROR(__xludf.DUMMYFUNCTION("""COMPUTED_VALUE"""),45890)</f>
        <v>45890</v>
      </c>
      <c r="T616" s="45" t="str">
        <f ca="1">IFERROR(__xludf.DUMMYFUNCTION("""COMPUTED_VALUE"""),"Milton, ON, CA")</f>
        <v>Milton, ON, CA</v>
      </c>
      <c r="U616" s="45"/>
      <c r="V616" s="45"/>
      <c r="W616" s="45"/>
      <c r="X616" s="45"/>
      <c r="Y616" s="46">
        <f ca="1">IFERROR(__xludf.DUMMYFUNCTION("""COMPUTED_VALUE"""),45838)</f>
        <v>45838</v>
      </c>
      <c r="Z616" s="46">
        <f ca="1">IFERROR(__xludf.DUMMYFUNCTION("""COMPUTED_VALUE"""),45859)</f>
        <v>45859</v>
      </c>
      <c r="AA616" s="46">
        <f ca="1">IFERROR(__xludf.DUMMYFUNCTION("""COMPUTED_VALUE"""),45859)</f>
        <v>45859</v>
      </c>
      <c r="AB616" s="45" t="str">
        <f ca="1">IFERROR(__xludf.DUMMYFUNCTION("""COMPUTED_VALUE"""),"7211 Fifth Line")</f>
        <v>7211 Fifth Line</v>
      </c>
      <c r="AC616" s="45"/>
      <c r="AD616" s="45" t="str">
        <f ca="1">IFERROR(__xludf.DUMMYFUNCTION("""COMPUTED_VALUE"""),"OCEAN")</f>
        <v>OCEAN</v>
      </c>
      <c r="AE616" s="45" t="str">
        <f ca="1">IFERROR(__xludf.DUMMYFUNCTION("""COMPUTED_VALUE"""),"N")</f>
        <v>N</v>
      </c>
      <c r="AF616" s="45"/>
      <c r="AG616" s="49" t="str">
        <f ca="1">IFERROR(__xludf.DUMMYFUNCTION("IFNA(vlookup(H616,IMPORTRANGE(""1vUGwO1n0QQGx9kKbO0_M5gmuhXZ6-LaxQxgrmJnzgP0"",""'TP# look up'!A:C""),3,0),"""")"),"")</f>
        <v/>
      </c>
      <c r="AH616" s="49" t="str">
        <f t="shared" ca="1" si="9"/>
        <v>LW</v>
      </c>
    </row>
    <row r="617" spans="1:34" ht="12.75">
      <c r="A617" s="45" t="str">
        <f ca="1">IFERROR(__xludf.DUMMYFUNCTION("""COMPUTED_VALUE"""),"Colombo")</f>
        <v>Colombo</v>
      </c>
      <c r="B617" s="45"/>
      <c r="C617" s="45">
        <f ca="1">IFERROR(__xludf.DUMMYFUNCTION("""COMPUTED_VALUE"""),3259512)</f>
        <v>3259512</v>
      </c>
      <c r="D617" s="45"/>
      <c r="E617" s="45" t="str">
        <f ca="1">IFERROR(__xludf.DUMMYFUNCTION("""COMPUTED_VALUE"""),"CFS")</f>
        <v>CFS</v>
      </c>
      <c r="F617" s="45" t="str">
        <f ca="1">IFERROR(__xludf.DUMMYFUNCTION("""COMPUTED_VALUE"""),"Bodyline Trading (Private) Limited")</f>
        <v>Bodyline Trading (Private) Limited</v>
      </c>
      <c r="G617" s="45" t="str">
        <f ca="1">IFERROR(__xludf.DUMMYFUNCTION("""COMPUTED_VALUE"""),"Bodyline (Private) Limited")</f>
        <v>Bodyline (Private) Limited</v>
      </c>
      <c r="H617" s="43">
        <f ca="1">IFERROR(__xludf.DUMMYFUNCTION("""COMPUTED_VALUE"""),454751025053)</f>
        <v>454751025053</v>
      </c>
      <c r="I617" s="45">
        <f ca="1">IFERROR(__xludf.DUMMYFUNCTION("""COMPUTED_VALUE"""),19843769)</f>
        <v>19843769</v>
      </c>
      <c r="J617" s="45" t="str">
        <f ca="1">IFERROR(__xludf.DUMMYFUNCTION("""COMPUTED_VALUE"""),"LW1FM7S")</f>
        <v>LW1FM7S</v>
      </c>
      <c r="K617" s="45" t="str">
        <f ca="1">IFERROR(__xludf.DUMMYFUNCTION("""COMPUTED_VALUE"""),"LW1FM7S-069097")</f>
        <v>LW1FM7S-069097</v>
      </c>
      <c r="L617" s="45">
        <f ca="1">IFERROR(__xludf.DUMMYFUNCTION("""COMPUTED_VALUE"""),3)</f>
        <v>3</v>
      </c>
      <c r="M617" s="45">
        <f ca="1">IFERROR(__xludf.DUMMYFUNCTION("""COMPUTED_VALUE"""),147)</f>
        <v>147</v>
      </c>
      <c r="N617" s="45">
        <f ca="1">IFERROR(__xludf.DUMMYFUNCTION("""COMPUTED_VALUE"""),15.101)</f>
        <v>15.101000000000001</v>
      </c>
      <c r="O617" s="45">
        <f ca="1">IFERROR(__xludf.DUMMYFUNCTION("""COMPUTED_VALUE"""),0.132)</f>
        <v>0.13200000000000001</v>
      </c>
      <c r="P617" s="45" t="str">
        <f ca="1">IFERROR(__xludf.DUMMYFUNCTION("""COMPUTED_VALUE"""),"Colombo, LK")</f>
        <v>Colombo, LK</v>
      </c>
      <c r="Q617" s="45" t="str">
        <f ca="1">IFERROR(__xludf.DUMMYFUNCTION("""COMPUTED_VALUE"""),"New York, NY, US")</f>
        <v>New York, NY, US</v>
      </c>
      <c r="R617" s="44">
        <f ca="1">IFERROR(__xludf.DUMMYFUNCTION("""COMPUTED_VALUE"""),45831)</f>
        <v>45831</v>
      </c>
      <c r="S617" s="44">
        <f ca="1">IFERROR(__xludf.DUMMYFUNCTION("""COMPUTED_VALUE"""),45890)</f>
        <v>45890</v>
      </c>
      <c r="T617" s="45" t="str">
        <f ca="1">IFERROR(__xludf.DUMMYFUNCTION("""COMPUTED_VALUE"""),"Mississauga, ON, CA")</f>
        <v>Mississauga, ON, CA</v>
      </c>
      <c r="U617" s="45"/>
      <c r="V617" s="45"/>
      <c r="W617" s="45"/>
      <c r="X617" s="45"/>
      <c r="Y617" s="46">
        <f ca="1">IFERROR(__xludf.DUMMYFUNCTION("""COMPUTED_VALUE"""),45838)</f>
        <v>45838</v>
      </c>
      <c r="Z617" s="46">
        <f ca="1">IFERROR(__xludf.DUMMYFUNCTION("""COMPUTED_VALUE"""),45859)</f>
        <v>45859</v>
      </c>
      <c r="AA617" s="46">
        <f ca="1">IFERROR(__xludf.DUMMYFUNCTION("""COMPUTED_VALUE"""),45859)</f>
        <v>45859</v>
      </c>
      <c r="AB617" s="45" t="str">
        <f ca="1">IFERROR(__xludf.DUMMYFUNCTION("""COMPUTED_VALUE"""),"3500 Argentia Road")</f>
        <v>3500 Argentia Road</v>
      </c>
      <c r="AC617" s="45"/>
      <c r="AD617" s="45" t="str">
        <f ca="1">IFERROR(__xludf.DUMMYFUNCTION("""COMPUTED_VALUE"""),"OCEAN")</f>
        <v>OCEAN</v>
      </c>
      <c r="AE617" s="45" t="str">
        <f ca="1">IFERROR(__xludf.DUMMYFUNCTION("""COMPUTED_VALUE"""),"N")</f>
        <v>N</v>
      </c>
      <c r="AF617" s="45"/>
      <c r="AG617" s="49" t="str">
        <f ca="1">IFERROR(__xludf.DUMMYFUNCTION("IFNA(vlookup(H617,IMPORTRANGE(""1vUGwO1n0QQGx9kKbO0_M5gmuhXZ6-LaxQxgrmJnzgP0"",""'TP# look up'!A:C""),3,0),"""")"),"")</f>
        <v/>
      </c>
      <c r="AH617" s="49" t="str">
        <f t="shared" ca="1" si="9"/>
        <v>LW</v>
      </c>
    </row>
    <row r="618" spans="1:34" ht="12.75">
      <c r="A618" s="45" t="str">
        <f ca="1">IFERROR(__xludf.DUMMYFUNCTION("""COMPUTED_VALUE"""),"Colombo")</f>
        <v>Colombo</v>
      </c>
      <c r="B618" s="45"/>
      <c r="C618" s="45">
        <f ca="1">IFERROR(__xludf.DUMMYFUNCTION("""COMPUTED_VALUE"""),3259512)</f>
        <v>3259512</v>
      </c>
      <c r="D618" s="45"/>
      <c r="E618" s="45" t="str">
        <f ca="1">IFERROR(__xludf.DUMMYFUNCTION("""COMPUTED_VALUE"""),"CFS")</f>
        <v>CFS</v>
      </c>
      <c r="F618" s="45" t="str">
        <f ca="1">IFERROR(__xludf.DUMMYFUNCTION("""COMPUTED_VALUE"""),"Bodyline Trading (Private) Limited")</f>
        <v>Bodyline Trading (Private) Limited</v>
      </c>
      <c r="G618" s="45" t="str">
        <f ca="1">IFERROR(__xludf.DUMMYFUNCTION("""COMPUTED_VALUE"""),"Bodyline (Private) Limited")</f>
        <v>Bodyline (Private) Limited</v>
      </c>
      <c r="H618" s="43">
        <f ca="1">IFERROR(__xludf.DUMMYFUNCTION("""COMPUTED_VALUE"""),454751025712)</f>
        <v>454751025712</v>
      </c>
      <c r="I618" s="45">
        <f ca="1">IFERROR(__xludf.DUMMYFUNCTION("""COMPUTED_VALUE"""),19843895)</f>
        <v>19843895</v>
      </c>
      <c r="J618" s="45" t="str">
        <f ca="1">IFERROR(__xludf.DUMMYFUNCTION("""COMPUTED_VALUE"""),"LW1FM7S")</f>
        <v>LW1FM7S</v>
      </c>
      <c r="K618" s="45" t="str">
        <f ca="1">IFERROR(__xludf.DUMMYFUNCTION("""COMPUTED_VALUE"""),"LW1FM7S-035487")</f>
        <v>LW1FM7S-035487</v>
      </c>
      <c r="L618" s="45">
        <f ca="1">IFERROR(__xludf.DUMMYFUNCTION("""COMPUTED_VALUE"""),9)</f>
        <v>9</v>
      </c>
      <c r="M618" s="45">
        <f ca="1">IFERROR(__xludf.DUMMYFUNCTION("""COMPUTED_VALUE"""),514)</f>
        <v>514</v>
      </c>
      <c r="N618" s="45">
        <f ca="1">IFERROR(__xludf.DUMMYFUNCTION("""COMPUTED_VALUE"""),51.434)</f>
        <v>51.433999999999997</v>
      </c>
      <c r="O618" s="45">
        <f ca="1">IFERROR(__xludf.DUMMYFUNCTION("""COMPUTED_VALUE"""),0.395)</f>
        <v>0.39500000000000002</v>
      </c>
      <c r="P618" s="45" t="str">
        <f ca="1">IFERROR(__xludf.DUMMYFUNCTION("""COMPUTED_VALUE"""),"Colombo, LK")</f>
        <v>Colombo, LK</v>
      </c>
      <c r="Q618" s="45" t="str">
        <f ca="1">IFERROR(__xludf.DUMMYFUNCTION("""COMPUTED_VALUE"""),"New York, NY, US")</f>
        <v>New York, NY, US</v>
      </c>
      <c r="R618" s="44">
        <f ca="1">IFERROR(__xludf.DUMMYFUNCTION("""COMPUTED_VALUE"""),45831)</f>
        <v>45831</v>
      </c>
      <c r="S618" s="44">
        <f ca="1">IFERROR(__xludf.DUMMYFUNCTION("""COMPUTED_VALUE"""),45890)</f>
        <v>45890</v>
      </c>
      <c r="T618" s="45" t="str">
        <f ca="1">IFERROR(__xludf.DUMMYFUNCTION("""COMPUTED_VALUE"""),"Mississauga, ON, CA")</f>
        <v>Mississauga, ON, CA</v>
      </c>
      <c r="U618" s="45"/>
      <c r="V618" s="45"/>
      <c r="W618" s="45"/>
      <c r="X618" s="45"/>
      <c r="Y618" s="46">
        <f ca="1">IFERROR(__xludf.DUMMYFUNCTION("""COMPUTED_VALUE"""),45838)</f>
        <v>45838</v>
      </c>
      <c r="Z618" s="46">
        <f ca="1">IFERROR(__xludf.DUMMYFUNCTION("""COMPUTED_VALUE"""),45859)</f>
        <v>45859</v>
      </c>
      <c r="AA618" s="46">
        <f ca="1">IFERROR(__xludf.DUMMYFUNCTION("""COMPUTED_VALUE"""),45859)</f>
        <v>45859</v>
      </c>
      <c r="AB618" s="45" t="str">
        <f ca="1">IFERROR(__xludf.DUMMYFUNCTION("""COMPUTED_VALUE"""),"3500 Argentia Road")</f>
        <v>3500 Argentia Road</v>
      </c>
      <c r="AC618" s="45"/>
      <c r="AD618" s="45" t="str">
        <f ca="1">IFERROR(__xludf.DUMMYFUNCTION("""COMPUTED_VALUE"""),"OCEAN")</f>
        <v>OCEAN</v>
      </c>
      <c r="AE618" s="45" t="str">
        <f ca="1">IFERROR(__xludf.DUMMYFUNCTION("""COMPUTED_VALUE"""),"N")</f>
        <v>N</v>
      </c>
      <c r="AF618" s="45"/>
      <c r="AG618" s="49" t="str">
        <f ca="1">IFERROR(__xludf.DUMMYFUNCTION("IFNA(vlookup(H618,IMPORTRANGE(""1vUGwO1n0QQGx9kKbO0_M5gmuhXZ6-LaxQxgrmJnzgP0"",""'TP# look up'!A:C""),3,0),"""")"),"")</f>
        <v/>
      </c>
      <c r="AH618" s="49" t="str">
        <f t="shared" ca="1" si="9"/>
        <v>LW</v>
      </c>
    </row>
    <row r="619" spans="1:34" ht="12.75">
      <c r="A619" s="45" t="str">
        <f ca="1">IFERROR(__xludf.DUMMYFUNCTION("""COMPUTED_VALUE"""),"Colombo")</f>
        <v>Colombo</v>
      </c>
      <c r="B619" s="45"/>
      <c r="C619" s="45">
        <f ca="1">IFERROR(__xludf.DUMMYFUNCTION("""COMPUTED_VALUE"""),3259512)</f>
        <v>3259512</v>
      </c>
      <c r="D619" s="45"/>
      <c r="E619" s="45" t="str">
        <f ca="1">IFERROR(__xludf.DUMMYFUNCTION("""COMPUTED_VALUE"""),"CFS")</f>
        <v>CFS</v>
      </c>
      <c r="F619" s="45" t="str">
        <f ca="1">IFERROR(__xludf.DUMMYFUNCTION("""COMPUTED_VALUE"""),"Bodyline Trading (Private) Limited")</f>
        <v>Bodyline Trading (Private) Limited</v>
      </c>
      <c r="G619" s="45" t="str">
        <f ca="1">IFERROR(__xludf.DUMMYFUNCTION("""COMPUTED_VALUE"""),"Bodyline (Private) Limited")</f>
        <v>Bodyline (Private) Limited</v>
      </c>
      <c r="H619" s="43">
        <f ca="1">IFERROR(__xludf.DUMMYFUNCTION("""COMPUTED_VALUE"""),454753071428)</f>
        <v>454753071428</v>
      </c>
      <c r="I619" s="45">
        <f ca="1">IFERROR(__xludf.DUMMYFUNCTION("""COMPUTED_VALUE"""),19878839)</f>
        <v>19878839</v>
      </c>
      <c r="J619" s="45" t="str">
        <f ca="1">IFERROR(__xludf.DUMMYFUNCTION("""COMPUTED_VALUE"""),"LW2DTIS")</f>
        <v>LW2DTIS</v>
      </c>
      <c r="K619" s="45" t="str">
        <f ca="1">IFERROR(__xludf.DUMMYFUNCTION("""COMPUTED_VALUE"""),"LW2DTIS-035486")</f>
        <v>LW2DTIS-035486</v>
      </c>
      <c r="L619" s="45">
        <f ca="1">IFERROR(__xludf.DUMMYFUNCTION("""COMPUTED_VALUE"""),9)</f>
        <v>9</v>
      </c>
      <c r="M619" s="45">
        <f ca="1">IFERROR(__xludf.DUMMYFUNCTION("""COMPUTED_VALUE"""),663)</f>
        <v>663</v>
      </c>
      <c r="N619" s="45">
        <f ca="1">IFERROR(__xludf.DUMMYFUNCTION("""COMPUTED_VALUE"""),78.227)</f>
        <v>78.227000000000004</v>
      </c>
      <c r="O619" s="45">
        <f ca="1">IFERROR(__xludf.DUMMYFUNCTION("""COMPUTED_VALUE"""),0.725)</f>
        <v>0.72499999999999998</v>
      </c>
      <c r="P619" s="45" t="str">
        <f ca="1">IFERROR(__xludf.DUMMYFUNCTION("""COMPUTED_VALUE"""),"Colombo, LK")</f>
        <v>Colombo, LK</v>
      </c>
      <c r="Q619" s="45" t="str">
        <f ca="1">IFERROR(__xludf.DUMMYFUNCTION("""COMPUTED_VALUE"""),"New York, NY, US")</f>
        <v>New York, NY, US</v>
      </c>
      <c r="R619" s="44">
        <f ca="1">IFERROR(__xludf.DUMMYFUNCTION("""COMPUTED_VALUE"""),45831)</f>
        <v>45831</v>
      </c>
      <c r="S619" s="44">
        <f ca="1">IFERROR(__xludf.DUMMYFUNCTION("""COMPUTED_VALUE"""),45890)</f>
        <v>45890</v>
      </c>
      <c r="T619" s="45" t="str">
        <f ca="1">IFERROR(__xludf.DUMMYFUNCTION("""COMPUTED_VALUE"""),"Mississauga, ON, CA")</f>
        <v>Mississauga, ON, CA</v>
      </c>
      <c r="U619" s="45"/>
      <c r="V619" s="45"/>
      <c r="W619" s="45"/>
      <c r="X619" s="45"/>
      <c r="Y619" s="46">
        <f ca="1">IFERROR(__xludf.DUMMYFUNCTION("""COMPUTED_VALUE"""),45838)</f>
        <v>45838</v>
      </c>
      <c r="Z619" s="46">
        <f ca="1">IFERROR(__xludf.DUMMYFUNCTION("""COMPUTED_VALUE"""),45859)</f>
        <v>45859</v>
      </c>
      <c r="AA619" s="46">
        <f ca="1">IFERROR(__xludf.DUMMYFUNCTION("""COMPUTED_VALUE"""),45859)</f>
        <v>45859</v>
      </c>
      <c r="AB619" s="45" t="str">
        <f ca="1">IFERROR(__xludf.DUMMYFUNCTION("""COMPUTED_VALUE"""),"3500 Argentia Road")</f>
        <v>3500 Argentia Road</v>
      </c>
      <c r="AC619" s="45"/>
      <c r="AD619" s="45" t="str">
        <f ca="1">IFERROR(__xludf.DUMMYFUNCTION("""COMPUTED_VALUE"""),"OCEAN")</f>
        <v>OCEAN</v>
      </c>
      <c r="AE619" s="45" t="str">
        <f ca="1">IFERROR(__xludf.DUMMYFUNCTION("""COMPUTED_VALUE"""),"N")</f>
        <v>N</v>
      </c>
      <c r="AF619" s="45"/>
      <c r="AG619" s="49" t="str">
        <f ca="1">IFERROR(__xludf.DUMMYFUNCTION("IFNA(vlookup(H619,IMPORTRANGE(""1vUGwO1n0QQGx9kKbO0_M5gmuhXZ6-LaxQxgrmJnzgP0"",""'TP# look up'!A:C""),3,0),"""")"),"")</f>
        <v/>
      </c>
      <c r="AH619" s="49" t="str">
        <f t="shared" ca="1" si="9"/>
        <v>LW</v>
      </c>
    </row>
    <row r="620" spans="1:34" ht="12.75">
      <c r="A620" s="45" t="str">
        <f ca="1">IFERROR(__xludf.DUMMYFUNCTION("""COMPUTED_VALUE"""),"Colombo")</f>
        <v>Colombo</v>
      </c>
      <c r="B620" s="45"/>
      <c r="C620" s="45">
        <f ca="1">IFERROR(__xludf.DUMMYFUNCTION("""COMPUTED_VALUE"""),3259512)</f>
        <v>3259512</v>
      </c>
      <c r="D620" s="45"/>
      <c r="E620" s="45" t="str">
        <f ca="1">IFERROR(__xludf.DUMMYFUNCTION("""COMPUTED_VALUE"""),"CFS")</f>
        <v>CFS</v>
      </c>
      <c r="F620" s="45" t="str">
        <f ca="1">IFERROR(__xludf.DUMMYFUNCTION("""COMPUTED_VALUE"""),"Bodyline Trading (Private) Limited")</f>
        <v>Bodyline Trading (Private) Limited</v>
      </c>
      <c r="G620" s="45" t="str">
        <f ca="1">IFERROR(__xludf.DUMMYFUNCTION("""COMPUTED_VALUE"""),"Bodyline (Private) Limited")</f>
        <v>Bodyline (Private) Limited</v>
      </c>
      <c r="H620" s="43">
        <f ca="1">IFERROR(__xludf.DUMMYFUNCTION("""COMPUTED_VALUE"""),454753671812)</f>
        <v>454753671812</v>
      </c>
      <c r="I620" s="45">
        <f ca="1">IFERROR(__xludf.DUMMYFUNCTION("""COMPUTED_VALUE"""),19878625)</f>
        <v>19878625</v>
      </c>
      <c r="J620" s="45" t="str">
        <f ca="1">IFERROR(__xludf.DUMMYFUNCTION("""COMPUTED_VALUE"""),"LW2DTJS")</f>
        <v>LW2DTJS</v>
      </c>
      <c r="K620" s="45" t="str">
        <f ca="1">IFERROR(__xludf.DUMMYFUNCTION("""COMPUTED_VALUE"""),"LW2DTJS-035486")</f>
        <v>LW2DTJS-035486</v>
      </c>
      <c r="L620" s="45">
        <f ca="1">IFERROR(__xludf.DUMMYFUNCTION("""COMPUTED_VALUE"""),6)</f>
        <v>6</v>
      </c>
      <c r="M620" s="45">
        <f ca="1">IFERROR(__xludf.DUMMYFUNCTION("""COMPUTED_VALUE"""),250)</f>
        <v>250</v>
      </c>
      <c r="N620" s="45">
        <f ca="1">IFERROR(__xludf.DUMMYFUNCTION("""COMPUTED_VALUE"""),37.663)</f>
        <v>37.662999999999997</v>
      </c>
      <c r="O620" s="45">
        <f ca="1">IFERROR(__xludf.DUMMYFUNCTION("""COMPUTED_VALUE"""),0.447)</f>
        <v>0.44700000000000001</v>
      </c>
      <c r="P620" s="45" t="str">
        <f ca="1">IFERROR(__xludf.DUMMYFUNCTION("""COMPUTED_VALUE"""),"Colombo, LK")</f>
        <v>Colombo, LK</v>
      </c>
      <c r="Q620" s="45" t="str">
        <f ca="1">IFERROR(__xludf.DUMMYFUNCTION("""COMPUTED_VALUE"""),"New York, NY, US")</f>
        <v>New York, NY, US</v>
      </c>
      <c r="R620" s="44">
        <f ca="1">IFERROR(__xludf.DUMMYFUNCTION("""COMPUTED_VALUE"""),45831)</f>
        <v>45831</v>
      </c>
      <c r="S620" s="44">
        <f ca="1">IFERROR(__xludf.DUMMYFUNCTION("""COMPUTED_VALUE"""),45890)</f>
        <v>45890</v>
      </c>
      <c r="T620" s="45" t="str">
        <f ca="1">IFERROR(__xludf.DUMMYFUNCTION("""COMPUTED_VALUE"""),"Mississauga, ON, CA")</f>
        <v>Mississauga, ON, CA</v>
      </c>
      <c r="U620" s="45"/>
      <c r="V620" s="45"/>
      <c r="W620" s="45"/>
      <c r="X620" s="45"/>
      <c r="Y620" s="46">
        <f ca="1">IFERROR(__xludf.DUMMYFUNCTION("""COMPUTED_VALUE"""),45838)</f>
        <v>45838</v>
      </c>
      <c r="Z620" s="46">
        <f ca="1">IFERROR(__xludf.DUMMYFUNCTION("""COMPUTED_VALUE"""),45859)</f>
        <v>45859</v>
      </c>
      <c r="AA620" s="46">
        <f ca="1">IFERROR(__xludf.DUMMYFUNCTION("""COMPUTED_VALUE"""),45859)</f>
        <v>45859</v>
      </c>
      <c r="AB620" s="45" t="str">
        <f ca="1">IFERROR(__xludf.DUMMYFUNCTION("""COMPUTED_VALUE"""),"3500 Argentia Road")</f>
        <v>3500 Argentia Road</v>
      </c>
      <c r="AC620" s="45"/>
      <c r="AD620" s="45" t="str">
        <f ca="1">IFERROR(__xludf.DUMMYFUNCTION("""COMPUTED_VALUE"""),"OCEAN")</f>
        <v>OCEAN</v>
      </c>
      <c r="AE620" s="45" t="str">
        <f ca="1">IFERROR(__xludf.DUMMYFUNCTION("""COMPUTED_VALUE"""),"N")</f>
        <v>N</v>
      </c>
      <c r="AF620" s="45"/>
      <c r="AG620" s="49" t="str">
        <f ca="1">IFERROR(__xludf.DUMMYFUNCTION("IFNA(vlookup(H620,IMPORTRANGE(""1vUGwO1n0QQGx9kKbO0_M5gmuhXZ6-LaxQxgrmJnzgP0"",""'TP# look up'!A:C""),3,0),"""")"),"")</f>
        <v/>
      </c>
      <c r="AH620" s="49" t="str">
        <f t="shared" ca="1" si="9"/>
        <v>LW</v>
      </c>
    </row>
    <row r="621" spans="1:34" ht="12.75">
      <c r="A621" s="45" t="str">
        <f ca="1">IFERROR(__xludf.DUMMYFUNCTION("""COMPUTED_VALUE"""),"Colombo")</f>
        <v>Colombo</v>
      </c>
      <c r="B621" s="45"/>
      <c r="C621" s="45">
        <f ca="1">IFERROR(__xludf.DUMMYFUNCTION("""COMPUTED_VALUE"""),3259512)</f>
        <v>3259512</v>
      </c>
      <c r="D621" s="45"/>
      <c r="E621" s="45" t="str">
        <f ca="1">IFERROR(__xludf.DUMMYFUNCTION("""COMPUTED_VALUE"""),"CFS")</f>
        <v>CFS</v>
      </c>
      <c r="F621" s="45" t="str">
        <f ca="1">IFERROR(__xludf.DUMMYFUNCTION("""COMPUTED_VALUE"""),"Bodyline Trading (Private) Limited")</f>
        <v>Bodyline Trading (Private) Limited</v>
      </c>
      <c r="G621" s="45" t="str">
        <f ca="1">IFERROR(__xludf.DUMMYFUNCTION("""COMPUTED_VALUE"""),"Bodyline (Private) Limited")</f>
        <v>Bodyline (Private) Limited</v>
      </c>
      <c r="H621" s="43">
        <f ca="1">IFERROR(__xludf.DUMMYFUNCTION("""COMPUTED_VALUE"""),454753767911)</f>
        <v>454753767911</v>
      </c>
      <c r="I621" s="45">
        <f ca="1">IFERROR(__xludf.DUMMYFUNCTION("""COMPUTED_VALUE"""),19878673)</f>
        <v>19878673</v>
      </c>
      <c r="J621" s="45" t="str">
        <f ca="1">IFERROR(__xludf.DUMMYFUNCTION("""COMPUTED_VALUE"""),"LW2DZVS")</f>
        <v>LW2DZVS</v>
      </c>
      <c r="K621" s="45" t="str">
        <f ca="1">IFERROR(__xludf.DUMMYFUNCTION("""COMPUTED_VALUE"""),"LW2DZVS-071150")</f>
        <v>LW2DZVS-071150</v>
      </c>
      <c r="L621" s="45">
        <f ca="1">IFERROR(__xludf.DUMMYFUNCTION("""COMPUTED_VALUE"""),3)</f>
        <v>3</v>
      </c>
      <c r="M621" s="45">
        <f ca="1">IFERROR(__xludf.DUMMYFUNCTION("""COMPUTED_VALUE"""),118)</f>
        <v>118</v>
      </c>
      <c r="N621" s="45">
        <f ca="1">IFERROR(__xludf.DUMMYFUNCTION("""COMPUTED_VALUE"""),22.112)</f>
        <v>22.111999999999998</v>
      </c>
      <c r="O621" s="45">
        <f ca="1">IFERROR(__xludf.DUMMYFUNCTION("""COMPUTED_VALUE"""),0.242)</f>
        <v>0.24199999999999999</v>
      </c>
      <c r="P621" s="45" t="str">
        <f ca="1">IFERROR(__xludf.DUMMYFUNCTION("""COMPUTED_VALUE"""),"Colombo, LK")</f>
        <v>Colombo, LK</v>
      </c>
      <c r="Q621" s="45" t="str">
        <f ca="1">IFERROR(__xludf.DUMMYFUNCTION("""COMPUTED_VALUE"""),"New York, NY, US")</f>
        <v>New York, NY, US</v>
      </c>
      <c r="R621" s="44">
        <f ca="1">IFERROR(__xludf.DUMMYFUNCTION("""COMPUTED_VALUE"""),45831)</f>
        <v>45831</v>
      </c>
      <c r="S621" s="44">
        <f ca="1">IFERROR(__xludf.DUMMYFUNCTION("""COMPUTED_VALUE"""),45890)</f>
        <v>45890</v>
      </c>
      <c r="T621" s="45" t="str">
        <f ca="1">IFERROR(__xludf.DUMMYFUNCTION("""COMPUTED_VALUE"""),"Mississauga, ON, CA")</f>
        <v>Mississauga, ON, CA</v>
      </c>
      <c r="U621" s="45"/>
      <c r="V621" s="45"/>
      <c r="W621" s="45"/>
      <c r="X621" s="45"/>
      <c r="Y621" s="46">
        <f ca="1">IFERROR(__xludf.DUMMYFUNCTION("""COMPUTED_VALUE"""),45838)</f>
        <v>45838</v>
      </c>
      <c r="Z621" s="46">
        <f ca="1">IFERROR(__xludf.DUMMYFUNCTION("""COMPUTED_VALUE"""),45859)</f>
        <v>45859</v>
      </c>
      <c r="AA621" s="46">
        <f ca="1">IFERROR(__xludf.DUMMYFUNCTION("""COMPUTED_VALUE"""),45859)</f>
        <v>45859</v>
      </c>
      <c r="AB621" s="45" t="str">
        <f ca="1">IFERROR(__xludf.DUMMYFUNCTION("""COMPUTED_VALUE"""),"3500 Argentia Road")</f>
        <v>3500 Argentia Road</v>
      </c>
      <c r="AC621" s="45"/>
      <c r="AD621" s="45" t="str">
        <f ca="1">IFERROR(__xludf.DUMMYFUNCTION("""COMPUTED_VALUE"""),"OCEAN")</f>
        <v>OCEAN</v>
      </c>
      <c r="AE621" s="45" t="str">
        <f ca="1">IFERROR(__xludf.DUMMYFUNCTION("""COMPUTED_VALUE"""),"N")</f>
        <v>N</v>
      </c>
      <c r="AF621" s="45"/>
      <c r="AG621" s="49" t="str">
        <f ca="1">IFERROR(__xludf.DUMMYFUNCTION("IFNA(vlookup(H621,IMPORTRANGE(""1vUGwO1n0QQGx9kKbO0_M5gmuhXZ6-LaxQxgrmJnzgP0"",""'TP# look up'!A:C""),3,0),"""")"),"")</f>
        <v/>
      </c>
      <c r="AH621" s="49" t="str">
        <f t="shared" ca="1" si="9"/>
        <v>LW</v>
      </c>
    </row>
    <row r="622" spans="1:34" ht="12.75">
      <c r="A622" s="45" t="str">
        <f ca="1">IFERROR(__xludf.DUMMYFUNCTION("""COMPUTED_VALUE"""),"Colombo")</f>
        <v>Colombo</v>
      </c>
      <c r="B622" s="45"/>
      <c r="C622" s="45">
        <f ca="1">IFERROR(__xludf.DUMMYFUNCTION("""COMPUTED_VALUE"""),3259512)</f>
        <v>3259512</v>
      </c>
      <c r="D622" s="45"/>
      <c r="E622" s="45" t="str">
        <f ca="1">IFERROR(__xludf.DUMMYFUNCTION("""COMPUTED_VALUE"""),"CFS")</f>
        <v>CFS</v>
      </c>
      <c r="F622" s="45" t="str">
        <f ca="1">IFERROR(__xludf.DUMMYFUNCTION("""COMPUTED_VALUE"""),"Bodyline Trading (Private) Limited")</f>
        <v>Bodyline Trading (Private) Limited</v>
      </c>
      <c r="G622" s="45" t="str">
        <f ca="1">IFERROR(__xludf.DUMMYFUNCTION("""COMPUTED_VALUE"""),"Bodyline (Private) Limited")</f>
        <v>Bodyline (Private) Limited</v>
      </c>
      <c r="H622" s="43">
        <f ca="1">IFERROR(__xludf.DUMMYFUNCTION("""COMPUTED_VALUE"""),454753883194)</f>
        <v>454753883194</v>
      </c>
      <c r="I622" s="45">
        <f ca="1">IFERROR(__xludf.DUMMYFUNCTION("""COMPUTED_VALUE"""),19843793)</f>
        <v>19843793</v>
      </c>
      <c r="J622" s="45" t="str">
        <f ca="1">IFERROR(__xludf.DUMMYFUNCTION("""COMPUTED_VALUE"""),"LW2EB8S")</f>
        <v>LW2EB8S</v>
      </c>
      <c r="K622" s="45" t="str">
        <f ca="1">IFERROR(__xludf.DUMMYFUNCTION("""COMPUTED_VALUE"""),"LW2EB8S-049106")</f>
        <v>LW2EB8S-049106</v>
      </c>
      <c r="L622" s="45">
        <f ca="1">IFERROR(__xludf.DUMMYFUNCTION("""COMPUTED_VALUE"""),5)</f>
        <v>5</v>
      </c>
      <c r="M622" s="45">
        <f ca="1">IFERROR(__xludf.DUMMYFUNCTION("""COMPUTED_VALUE"""),258)</f>
        <v>258</v>
      </c>
      <c r="N622" s="45">
        <f ca="1">IFERROR(__xludf.DUMMYFUNCTION("""COMPUTED_VALUE"""),38.548)</f>
        <v>38.548000000000002</v>
      </c>
      <c r="O622" s="45">
        <f ca="1">IFERROR(__xludf.DUMMYFUNCTION("""COMPUTED_VALUE"""),0.403)</f>
        <v>0.40300000000000002</v>
      </c>
      <c r="P622" s="45" t="str">
        <f ca="1">IFERROR(__xludf.DUMMYFUNCTION("""COMPUTED_VALUE"""),"Colombo, LK")</f>
        <v>Colombo, LK</v>
      </c>
      <c r="Q622" s="45" t="str">
        <f ca="1">IFERROR(__xludf.DUMMYFUNCTION("""COMPUTED_VALUE"""),"New York, NY, US")</f>
        <v>New York, NY, US</v>
      </c>
      <c r="R622" s="44">
        <f ca="1">IFERROR(__xludf.DUMMYFUNCTION("""COMPUTED_VALUE"""),45831)</f>
        <v>45831</v>
      </c>
      <c r="S622" s="44">
        <f ca="1">IFERROR(__xludf.DUMMYFUNCTION("""COMPUTED_VALUE"""),45890)</f>
        <v>45890</v>
      </c>
      <c r="T622" s="45" t="str">
        <f ca="1">IFERROR(__xludf.DUMMYFUNCTION("""COMPUTED_VALUE"""),"Milton, ON, CA")</f>
        <v>Milton, ON, CA</v>
      </c>
      <c r="U622" s="45"/>
      <c r="V622" s="45"/>
      <c r="W622" s="45"/>
      <c r="X622" s="45"/>
      <c r="Y622" s="46">
        <f ca="1">IFERROR(__xludf.DUMMYFUNCTION("""COMPUTED_VALUE"""),45838)</f>
        <v>45838</v>
      </c>
      <c r="Z622" s="46">
        <f ca="1">IFERROR(__xludf.DUMMYFUNCTION("""COMPUTED_VALUE"""),45859)</f>
        <v>45859</v>
      </c>
      <c r="AA622" s="46">
        <f ca="1">IFERROR(__xludf.DUMMYFUNCTION("""COMPUTED_VALUE"""),45859)</f>
        <v>45859</v>
      </c>
      <c r="AB622" s="45" t="str">
        <f ca="1">IFERROR(__xludf.DUMMYFUNCTION("""COMPUTED_VALUE"""),"7211 Fifth Line")</f>
        <v>7211 Fifth Line</v>
      </c>
      <c r="AC622" s="45"/>
      <c r="AD622" s="45" t="str">
        <f ca="1">IFERROR(__xludf.DUMMYFUNCTION("""COMPUTED_VALUE"""),"OCEAN")</f>
        <v>OCEAN</v>
      </c>
      <c r="AE622" s="45" t="str">
        <f ca="1">IFERROR(__xludf.DUMMYFUNCTION("""COMPUTED_VALUE"""),"N")</f>
        <v>N</v>
      </c>
      <c r="AF622" s="45"/>
      <c r="AG622" s="49" t="str">
        <f ca="1">IFERROR(__xludf.DUMMYFUNCTION("IFNA(vlookup(H622,IMPORTRANGE(""1vUGwO1n0QQGx9kKbO0_M5gmuhXZ6-LaxQxgrmJnzgP0"",""'TP# look up'!A:C""),3,0),"""")"),"")</f>
        <v/>
      </c>
      <c r="AH622" s="49" t="str">
        <f t="shared" ca="1" si="9"/>
        <v>LW</v>
      </c>
    </row>
    <row r="623" spans="1:34" ht="12.75">
      <c r="A623" s="45" t="str">
        <f ca="1">IFERROR(__xludf.DUMMYFUNCTION("""COMPUTED_VALUE"""),"Colombo")</f>
        <v>Colombo</v>
      </c>
      <c r="B623" s="45"/>
      <c r="C623" s="45">
        <f ca="1">IFERROR(__xludf.DUMMYFUNCTION("""COMPUTED_VALUE"""),3259512)</f>
        <v>3259512</v>
      </c>
      <c r="D623" s="45"/>
      <c r="E623" s="45" t="str">
        <f ca="1">IFERROR(__xludf.DUMMYFUNCTION("""COMPUTED_VALUE"""),"CFS")</f>
        <v>CFS</v>
      </c>
      <c r="F623" s="45" t="str">
        <f ca="1">IFERROR(__xludf.DUMMYFUNCTION("""COMPUTED_VALUE"""),"Bodyline Trading (Private) Limited")</f>
        <v>Bodyline Trading (Private) Limited</v>
      </c>
      <c r="G623" s="45" t="str">
        <f ca="1">IFERROR(__xludf.DUMMYFUNCTION("""COMPUTED_VALUE"""),"Bodyline (Private) Limited")</f>
        <v>Bodyline (Private) Limited</v>
      </c>
      <c r="H623" s="43">
        <f ca="1">IFERROR(__xludf.DUMMYFUNCTION("""COMPUTED_VALUE"""),454753927825)</f>
        <v>454753927825</v>
      </c>
      <c r="I623" s="45">
        <f ca="1">IFERROR(__xludf.DUMMYFUNCTION("""COMPUTED_VALUE"""),19843792)</f>
        <v>19843792</v>
      </c>
      <c r="J623" s="45" t="str">
        <f ca="1">IFERROR(__xludf.DUMMYFUNCTION("""COMPUTED_VALUE"""),"LW2EB8S")</f>
        <v>LW2EB8S</v>
      </c>
      <c r="K623" s="45" t="str">
        <f ca="1">IFERROR(__xludf.DUMMYFUNCTION("""COMPUTED_VALUE"""),"LW2EB8S-071188")</f>
        <v>LW2EB8S-071188</v>
      </c>
      <c r="L623" s="45">
        <f ca="1">IFERROR(__xludf.DUMMYFUNCTION("""COMPUTED_VALUE"""),4)</f>
        <v>4</v>
      </c>
      <c r="M623" s="45">
        <f ca="1">IFERROR(__xludf.DUMMYFUNCTION("""COMPUTED_VALUE"""),154)</f>
        <v>154</v>
      </c>
      <c r="N623" s="45">
        <f ca="1">IFERROR(__xludf.DUMMYFUNCTION("""COMPUTED_VALUE"""),23.93)</f>
        <v>23.93</v>
      </c>
      <c r="O623" s="45">
        <f ca="1">IFERROR(__xludf.DUMMYFUNCTION("""COMPUTED_VALUE"""),0.285)</f>
        <v>0.28499999999999998</v>
      </c>
      <c r="P623" s="45" t="str">
        <f ca="1">IFERROR(__xludf.DUMMYFUNCTION("""COMPUTED_VALUE"""),"Colombo, LK")</f>
        <v>Colombo, LK</v>
      </c>
      <c r="Q623" s="45" t="str">
        <f ca="1">IFERROR(__xludf.DUMMYFUNCTION("""COMPUTED_VALUE"""),"New York, NY, US")</f>
        <v>New York, NY, US</v>
      </c>
      <c r="R623" s="44">
        <f ca="1">IFERROR(__xludf.DUMMYFUNCTION("""COMPUTED_VALUE"""),45831)</f>
        <v>45831</v>
      </c>
      <c r="S623" s="44">
        <f ca="1">IFERROR(__xludf.DUMMYFUNCTION("""COMPUTED_VALUE"""),45890)</f>
        <v>45890</v>
      </c>
      <c r="T623" s="45" t="str">
        <f ca="1">IFERROR(__xludf.DUMMYFUNCTION("""COMPUTED_VALUE"""),"Milton, ON, CA")</f>
        <v>Milton, ON, CA</v>
      </c>
      <c r="U623" s="45"/>
      <c r="V623" s="45"/>
      <c r="W623" s="45"/>
      <c r="X623" s="45"/>
      <c r="Y623" s="46">
        <f ca="1">IFERROR(__xludf.DUMMYFUNCTION("""COMPUTED_VALUE"""),45838)</f>
        <v>45838</v>
      </c>
      <c r="Z623" s="46">
        <f ca="1">IFERROR(__xludf.DUMMYFUNCTION("""COMPUTED_VALUE"""),45859)</f>
        <v>45859</v>
      </c>
      <c r="AA623" s="46">
        <f ca="1">IFERROR(__xludf.DUMMYFUNCTION("""COMPUTED_VALUE"""),45859)</f>
        <v>45859</v>
      </c>
      <c r="AB623" s="45" t="str">
        <f ca="1">IFERROR(__xludf.DUMMYFUNCTION("""COMPUTED_VALUE"""),"7211 Fifth Line")</f>
        <v>7211 Fifth Line</v>
      </c>
      <c r="AC623" s="45"/>
      <c r="AD623" s="45" t="str">
        <f ca="1">IFERROR(__xludf.DUMMYFUNCTION("""COMPUTED_VALUE"""),"OCEAN")</f>
        <v>OCEAN</v>
      </c>
      <c r="AE623" s="45" t="str">
        <f ca="1">IFERROR(__xludf.DUMMYFUNCTION("""COMPUTED_VALUE"""),"N")</f>
        <v>N</v>
      </c>
      <c r="AF623" s="45"/>
      <c r="AG623" s="49" t="str">
        <f ca="1">IFERROR(__xludf.DUMMYFUNCTION("IFNA(vlookup(H623,IMPORTRANGE(""1vUGwO1n0QQGx9kKbO0_M5gmuhXZ6-LaxQxgrmJnzgP0"",""'TP# look up'!A:C""),3,0),"""")"),"")</f>
        <v/>
      </c>
      <c r="AH623" s="49" t="str">
        <f t="shared" ca="1" si="9"/>
        <v>LW</v>
      </c>
    </row>
    <row r="624" spans="1:34" ht="12.75">
      <c r="A624" s="45" t="str">
        <f ca="1">IFERROR(__xludf.DUMMYFUNCTION("""COMPUTED_VALUE"""),"Colombo")</f>
        <v>Colombo</v>
      </c>
      <c r="B624" s="45"/>
      <c r="C624" s="45">
        <f ca="1">IFERROR(__xludf.DUMMYFUNCTION("""COMPUTED_VALUE"""),3259512)</f>
        <v>3259512</v>
      </c>
      <c r="D624" s="45"/>
      <c r="E624" s="45" t="str">
        <f ca="1">IFERROR(__xludf.DUMMYFUNCTION("""COMPUTED_VALUE"""),"CFS")</f>
        <v>CFS</v>
      </c>
      <c r="F624" s="45" t="str">
        <f ca="1">IFERROR(__xludf.DUMMYFUNCTION("""COMPUTED_VALUE"""),"Bodyline Trading (Private) Limited")</f>
        <v>Bodyline Trading (Private) Limited</v>
      </c>
      <c r="G624" s="45" t="str">
        <f ca="1">IFERROR(__xludf.DUMMYFUNCTION("""COMPUTED_VALUE"""),"Bodyline (Private) Limited")</f>
        <v>Bodyline (Private) Limited</v>
      </c>
      <c r="H624" s="43">
        <f ca="1">IFERROR(__xludf.DUMMYFUNCTION("""COMPUTED_VALUE"""),454754017781)</f>
        <v>454754017781</v>
      </c>
      <c r="I624" s="45">
        <f ca="1">IFERROR(__xludf.DUMMYFUNCTION("""COMPUTED_VALUE"""),19878887)</f>
        <v>19878887</v>
      </c>
      <c r="J624" s="45" t="str">
        <f ca="1">IFERROR(__xludf.DUMMYFUNCTION("""COMPUTED_VALUE"""),"LW2DZVS")</f>
        <v>LW2DZVS</v>
      </c>
      <c r="K624" s="45" t="str">
        <f ca="1">IFERROR(__xludf.DUMMYFUNCTION("""COMPUTED_VALUE"""),"LW2DZVS-071150")</f>
        <v>LW2DZVS-071150</v>
      </c>
      <c r="L624" s="45">
        <f ca="1">IFERROR(__xludf.DUMMYFUNCTION("""COMPUTED_VALUE"""),5)</f>
        <v>5</v>
      </c>
      <c r="M624" s="45">
        <f ca="1">IFERROR(__xludf.DUMMYFUNCTION("""COMPUTED_VALUE"""),223)</f>
        <v>223</v>
      </c>
      <c r="N624" s="45">
        <f ca="1">IFERROR(__xludf.DUMMYFUNCTION("""COMPUTED_VALUE"""),40.897)</f>
        <v>40.896999999999998</v>
      </c>
      <c r="O624" s="45">
        <f ca="1">IFERROR(__xludf.DUMMYFUNCTION("""COMPUTED_VALUE"""),0.366)</f>
        <v>0.36599999999999999</v>
      </c>
      <c r="P624" s="45" t="str">
        <f ca="1">IFERROR(__xludf.DUMMYFUNCTION("""COMPUTED_VALUE"""),"Colombo, LK")</f>
        <v>Colombo, LK</v>
      </c>
      <c r="Q624" s="45" t="str">
        <f ca="1">IFERROR(__xludf.DUMMYFUNCTION("""COMPUTED_VALUE"""),"New York, NY, US")</f>
        <v>New York, NY, US</v>
      </c>
      <c r="R624" s="44">
        <f ca="1">IFERROR(__xludf.DUMMYFUNCTION("""COMPUTED_VALUE"""),45831)</f>
        <v>45831</v>
      </c>
      <c r="S624" s="44">
        <f ca="1">IFERROR(__xludf.DUMMYFUNCTION("""COMPUTED_VALUE"""),45890)</f>
        <v>45890</v>
      </c>
      <c r="T624" s="45" t="str">
        <f ca="1">IFERROR(__xludf.DUMMYFUNCTION("""COMPUTED_VALUE"""),"Mississauga, ON, CA")</f>
        <v>Mississauga, ON, CA</v>
      </c>
      <c r="U624" s="45"/>
      <c r="V624" s="45"/>
      <c r="W624" s="45"/>
      <c r="X624" s="45"/>
      <c r="Y624" s="46">
        <f ca="1">IFERROR(__xludf.DUMMYFUNCTION("""COMPUTED_VALUE"""),45838)</f>
        <v>45838</v>
      </c>
      <c r="Z624" s="46">
        <f ca="1">IFERROR(__xludf.DUMMYFUNCTION("""COMPUTED_VALUE"""),45859)</f>
        <v>45859</v>
      </c>
      <c r="AA624" s="46">
        <f ca="1">IFERROR(__xludf.DUMMYFUNCTION("""COMPUTED_VALUE"""),45859)</f>
        <v>45859</v>
      </c>
      <c r="AB624" s="45" t="str">
        <f ca="1">IFERROR(__xludf.DUMMYFUNCTION("""COMPUTED_VALUE"""),"3500 Argentia Road")</f>
        <v>3500 Argentia Road</v>
      </c>
      <c r="AC624" s="45"/>
      <c r="AD624" s="45" t="str">
        <f ca="1">IFERROR(__xludf.DUMMYFUNCTION("""COMPUTED_VALUE"""),"OCEAN")</f>
        <v>OCEAN</v>
      </c>
      <c r="AE624" s="45" t="str">
        <f ca="1">IFERROR(__xludf.DUMMYFUNCTION("""COMPUTED_VALUE"""),"N")</f>
        <v>N</v>
      </c>
      <c r="AF624" s="45"/>
      <c r="AG624" s="49" t="str">
        <f ca="1">IFERROR(__xludf.DUMMYFUNCTION("IFNA(vlookup(H624,IMPORTRANGE(""1vUGwO1n0QQGx9kKbO0_M5gmuhXZ6-LaxQxgrmJnzgP0"",""'TP# look up'!A:C""),3,0),"""")"),"")</f>
        <v/>
      </c>
      <c r="AH624" s="49" t="str">
        <f t="shared" ca="1" si="9"/>
        <v>LW</v>
      </c>
    </row>
    <row r="625" spans="1:34" ht="12.75">
      <c r="A625" s="45" t="str">
        <f ca="1">IFERROR(__xludf.DUMMYFUNCTION("""COMPUTED_VALUE"""),"Colombo")</f>
        <v>Colombo</v>
      </c>
      <c r="B625" s="45"/>
      <c r="C625" s="45">
        <f ca="1">IFERROR(__xludf.DUMMYFUNCTION("""COMPUTED_VALUE"""),3259512)</f>
        <v>3259512</v>
      </c>
      <c r="D625" s="45"/>
      <c r="E625" s="45" t="str">
        <f ca="1">IFERROR(__xludf.DUMMYFUNCTION("""COMPUTED_VALUE"""),"CFS")</f>
        <v>CFS</v>
      </c>
      <c r="F625" s="45" t="str">
        <f ca="1">IFERROR(__xludf.DUMMYFUNCTION("""COMPUTED_VALUE"""),"Bodyline Trading (Private) Limited")</f>
        <v>Bodyline Trading (Private) Limited</v>
      </c>
      <c r="G625" s="45" t="str">
        <f ca="1">IFERROR(__xludf.DUMMYFUNCTION("""COMPUTED_VALUE"""),"Bodyline (Private) Limited")</f>
        <v>Bodyline (Private) Limited</v>
      </c>
      <c r="H625" s="43">
        <f ca="1">IFERROR(__xludf.DUMMYFUNCTION("""COMPUTED_VALUE"""),454754894754)</f>
        <v>454754894754</v>
      </c>
      <c r="I625" s="45">
        <f ca="1">IFERROR(__xludf.DUMMYFUNCTION("""COMPUTED_VALUE"""),19877556)</f>
        <v>19877556</v>
      </c>
      <c r="J625" s="45" t="str">
        <f ca="1">IFERROR(__xludf.DUMMYFUNCTION("""COMPUTED_VALUE"""),"LW2EDQS")</f>
        <v>LW2EDQS</v>
      </c>
      <c r="K625" s="45" t="str">
        <f ca="1">IFERROR(__xludf.DUMMYFUNCTION("""COMPUTED_VALUE"""),"LW2EDQS-0001")</f>
        <v>LW2EDQS-0001</v>
      </c>
      <c r="L625" s="45">
        <f ca="1">IFERROR(__xludf.DUMMYFUNCTION("""COMPUTED_VALUE"""),14)</f>
        <v>14</v>
      </c>
      <c r="M625" s="45">
        <f ca="1">IFERROR(__xludf.DUMMYFUNCTION("""COMPUTED_VALUE"""),167)</f>
        <v>167</v>
      </c>
      <c r="N625" s="45">
        <f ca="1">IFERROR(__xludf.DUMMYFUNCTION("""COMPUTED_VALUE"""),33.329)</f>
        <v>33.329000000000001</v>
      </c>
      <c r="O625" s="45">
        <f ca="1">IFERROR(__xludf.DUMMYFUNCTION("""COMPUTED_VALUE"""),0.615)</f>
        <v>0.61499999999999999</v>
      </c>
      <c r="P625" s="45" t="str">
        <f ca="1">IFERROR(__xludf.DUMMYFUNCTION("""COMPUTED_VALUE"""),"Colombo, LK")</f>
        <v>Colombo, LK</v>
      </c>
      <c r="Q625" s="45" t="str">
        <f ca="1">IFERROR(__xludf.DUMMYFUNCTION("""COMPUTED_VALUE"""),"New York, NY, US")</f>
        <v>New York, NY, US</v>
      </c>
      <c r="R625" s="44">
        <f ca="1">IFERROR(__xludf.DUMMYFUNCTION("""COMPUTED_VALUE"""),45831)</f>
        <v>45831</v>
      </c>
      <c r="S625" s="44">
        <f ca="1">IFERROR(__xludf.DUMMYFUNCTION("""COMPUTED_VALUE"""),45890)</f>
        <v>45890</v>
      </c>
      <c r="T625" s="45" t="str">
        <f ca="1">IFERROR(__xludf.DUMMYFUNCTION("""COMPUTED_VALUE"""),"Milton, ON, CA")</f>
        <v>Milton, ON, CA</v>
      </c>
      <c r="U625" s="45"/>
      <c r="V625" s="45"/>
      <c r="W625" s="45"/>
      <c r="X625" s="45"/>
      <c r="Y625" s="46">
        <f ca="1">IFERROR(__xludf.DUMMYFUNCTION("""COMPUTED_VALUE"""),45838)</f>
        <v>45838</v>
      </c>
      <c r="Z625" s="46">
        <f ca="1">IFERROR(__xludf.DUMMYFUNCTION("""COMPUTED_VALUE"""),45859)</f>
        <v>45859</v>
      </c>
      <c r="AA625" s="46">
        <f ca="1">IFERROR(__xludf.DUMMYFUNCTION("""COMPUTED_VALUE"""),45859)</f>
        <v>45859</v>
      </c>
      <c r="AB625" s="45" t="str">
        <f ca="1">IFERROR(__xludf.DUMMYFUNCTION("""COMPUTED_VALUE"""),"7211 Fifth Line")</f>
        <v>7211 Fifth Line</v>
      </c>
      <c r="AC625" s="45"/>
      <c r="AD625" s="45" t="str">
        <f ca="1">IFERROR(__xludf.DUMMYFUNCTION("""COMPUTED_VALUE"""),"OCEAN")</f>
        <v>OCEAN</v>
      </c>
      <c r="AE625" s="45" t="str">
        <f ca="1">IFERROR(__xludf.DUMMYFUNCTION("""COMPUTED_VALUE"""),"N")</f>
        <v>N</v>
      </c>
      <c r="AF625" s="45"/>
      <c r="AG625" s="49" t="str">
        <f ca="1">IFERROR(__xludf.DUMMYFUNCTION("IFNA(vlookup(H625,IMPORTRANGE(""1vUGwO1n0QQGx9kKbO0_M5gmuhXZ6-LaxQxgrmJnzgP0"",""'TP# look up'!A:C""),3,0),"""")"),"")</f>
        <v/>
      </c>
      <c r="AH625" s="49" t="str">
        <f t="shared" ca="1" si="9"/>
        <v>LW</v>
      </c>
    </row>
    <row r="626" spans="1:34" ht="12.75">
      <c r="A626" s="45" t="str">
        <f ca="1">IFERROR(__xludf.DUMMYFUNCTION("""COMPUTED_VALUE"""),"Colombo")</f>
        <v>Colombo</v>
      </c>
      <c r="B626" s="45"/>
      <c r="C626" s="45">
        <f ca="1">IFERROR(__xludf.DUMMYFUNCTION("""COMPUTED_VALUE"""),3259512)</f>
        <v>3259512</v>
      </c>
      <c r="D626" s="45"/>
      <c r="E626" s="45" t="str">
        <f ca="1">IFERROR(__xludf.DUMMYFUNCTION("""COMPUTED_VALUE"""),"CFS")</f>
        <v>CFS</v>
      </c>
      <c r="F626" s="45" t="str">
        <f ca="1">IFERROR(__xludf.DUMMYFUNCTION("""COMPUTED_VALUE"""),"Bodyline Trading (Private) Limited")</f>
        <v>Bodyline Trading (Private) Limited</v>
      </c>
      <c r="G626" s="45" t="str">
        <f ca="1">IFERROR(__xludf.DUMMYFUNCTION("""COMPUTED_VALUE"""),"Bodyline (Private) Limited")</f>
        <v>Bodyline (Private) Limited</v>
      </c>
      <c r="H626" s="43">
        <f ca="1">IFERROR(__xludf.DUMMYFUNCTION("""COMPUTED_VALUE"""),454755036084)</f>
        <v>454755036084</v>
      </c>
      <c r="I626" s="45">
        <f ca="1">IFERROR(__xludf.DUMMYFUNCTION("""COMPUTED_VALUE"""),19878963)</f>
        <v>19878963</v>
      </c>
      <c r="J626" s="45" t="str">
        <f ca="1">IFERROR(__xludf.DUMMYFUNCTION("""COMPUTED_VALUE"""),"LW2ED2S")</f>
        <v>LW2ED2S</v>
      </c>
      <c r="K626" s="45" t="str">
        <f ca="1">IFERROR(__xludf.DUMMYFUNCTION("""COMPUTED_VALUE"""),"LW2ED2S-0002")</f>
        <v>LW2ED2S-0002</v>
      </c>
      <c r="L626" s="45">
        <f ca="1">IFERROR(__xludf.DUMMYFUNCTION("""COMPUTED_VALUE"""),6)</f>
        <v>6</v>
      </c>
      <c r="M626" s="45">
        <f ca="1">IFERROR(__xludf.DUMMYFUNCTION("""COMPUTED_VALUE"""),270)</f>
        <v>270</v>
      </c>
      <c r="N626" s="45">
        <f ca="1">IFERROR(__xludf.DUMMYFUNCTION("""COMPUTED_VALUE"""),49.261)</f>
        <v>49.261000000000003</v>
      </c>
      <c r="O626" s="45">
        <f ca="1">IFERROR(__xludf.DUMMYFUNCTION("""COMPUTED_VALUE"""),0.41)</f>
        <v>0.41</v>
      </c>
      <c r="P626" s="45" t="str">
        <f ca="1">IFERROR(__xludf.DUMMYFUNCTION("""COMPUTED_VALUE"""),"Colombo, LK")</f>
        <v>Colombo, LK</v>
      </c>
      <c r="Q626" s="45" t="str">
        <f ca="1">IFERROR(__xludf.DUMMYFUNCTION("""COMPUTED_VALUE"""),"New York, NY, US")</f>
        <v>New York, NY, US</v>
      </c>
      <c r="R626" s="44">
        <f ca="1">IFERROR(__xludf.DUMMYFUNCTION("""COMPUTED_VALUE"""),45831)</f>
        <v>45831</v>
      </c>
      <c r="S626" s="44">
        <f ca="1">IFERROR(__xludf.DUMMYFUNCTION("""COMPUTED_VALUE"""),45890)</f>
        <v>45890</v>
      </c>
      <c r="T626" s="45" t="str">
        <f ca="1">IFERROR(__xludf.DUMMYFUNCTION("""COMPUTED_VALUE"""),"Mississauga, ON, CA")</f>
        <v>Mississauga, ON, CA</v>
      </c>
      <c r="U626" s="45"/>
      <c r="V626" s="45"/>
      <c r="W626" s="45"/>
      <c r="X626" s="45"/>
      <c r="Y626" s="46">
        <f ca="1">IFERROR(__xludf.DUMMYFUNCTION("""COMPUTED_VALUE"""),45838)</f>
        <v>45838</v>
      </c>
      <c r="Z626" s="46">
        <f ca="1">IFERROR(__xludf.DUMMYFUNCTION("""COMPUTED_VALUE"""),45859)</f>
        <v>45859</v>
      </c>
      <c r="AA626" s="46">
        <f ca="1">IFERROR(__xludf.DUMMYFUNCTION("""COMPUTED_VALUE"""),45859)</f>
        <v>45859</v>
      </c>
      <c r="AB626" s="45" t="str">
        <f ca="1">IFERROR(__xludf.DUMMYFUNCTION("""COMPUTED_VALUE"""),"3500 Argentia Road")</f>
        <v>3500 Argentia Road</v>
      </c>
      <c r="AC626" s="45"/>
      <c r="AD626" s="45" t="str">
        <f ca="1">IFERROR(__xludf.DUMMYFUNCTION("""COMPUTED_VALUE"""),"OCEAN")</f>
        <v>OCEAN</v>
      </c>
      <c r="AE626" s="45" t="str">
        <f ca="1">IFERROR(__xludf.DUMMYFUNCTION("""COMPUTED_VALUE"""),"N")</f>
        <v>N</v>
      </c>
      <c r="AF626" s="45"/>
      <c r="AG626" s="49" t="str">
        <f ca="1">IFERROR(__xludf.DUMMYFUNCTION("IFNA(vlookup(H626,IMPORTRANGE(""1vUGwO1n0QQGx9kKbO0_M5gmuhXZ6-LaxQxgrmJnzgP0"",""'TP# look up'!A:C""),3,0),"""")"),"")</f>
        <v/>
      </c>
      <c r="AH626" s="49" t="str">
        <f t="shared" ca="1" si="9"/>
        <v>LW</v>
      </c>
    </row>
    <row r="627" spans="1:34" ht="12.75">
      <c r="A627" s="45" t="str">
        <f ca="1">IFERROR(__xludf.DUMMYFUNCTION("""COMPUTED_VALUE"""),"Colombo")</f>
        <v>Colombo</v>
      </c>
      <c r="B627" s="45"/>
      <c r="C627" s="45">
        <f ca="1">IFERROR(__xludf.DUMMYFUNCTION("""COMPUTED_VALUE"""),3259512)</f>
        <v>3259512</v>
      </c>
      <c r="D627" s="45"/>
      <c r="E627" s="45" t="str">
        <f ca="1">IFERROR(__xludf.DUMMYFUNCTION("""COMPUTED_VALUE"""),"CFS")</f>
        <v>CFS</v>
      </c>
      <c r="F627" s="45" t="str">
        <f ca="1">IFERROR(__xludf.DUMMYFUNCTION("""COMPUTED_VALUE"""),"Bodyline Trading (Private) Limited")</f>
        <v>Bodyline Trading (Private) Limited</v>
      </c>
      <c r="G627" s="45" t="str">
        <f ca="1">IFERROR(__xludf.DUMMYFUNCTION("""COMPUTED_VALUE"""),"Bodyline (Private) Limited")</f>
        <v>Bodyline (Private) Limited</v>
      </c>
      <c r="H627" s="43">
        <f ca="1">IFERROR(__xludf.DUMMYFUNCTION("""COMPUTED_VALUE"""),454755156798)</f>
        <v>454755156798</v>
      </c>
      <c r="I627" s="45">
        <f ca="1">IFERROR(__xludf.DUMMYFUNCTION("""COMPUTED_VALUE"""),19877572)</f>
        <v>19877572</v>
      </c>
      <c r="J627" s="45" t="str">
        <f ca="1">IFERROR(__xludf.DUMMYFUNCTION("""COMPUTED_VALUE"""),"LW2EDQS")</f>
        <v>LW2EDQS</v>
      </c>
      <c r="K627" s="45" t="str">
        <f ca="1">IFERROR(__xludf.DUMMYFUNCTION("""COMPUTED_VALUE"""),"LW2EDQS-0001")</f>
        <v>LW2EDQS-0001</v>
      </c>
      <c r="L627" s="45">
        <f ca="1">IFERROR(__xludf.DUMMYFUNCTION("""COMPUTED_VALUE"""),9)</f>
        <v>9</v>
      </c>
      <c r="M627" s="45">
        <f ca="1">IFERROR(__xludf.DUMMYFUNCTION("""COMPUTED_VALUE"""),109)</f>
        <v>109</v>
      </c>
      <c r="N627" s="45">
        <f ca="1">IFERROR(__xludf.DUMMYFUNCTION("""COMPUTED_VALUE"""),21.63)</f>
        <v>21.63</v>
      </c>
      <c r="O627" s="45">
        <f ca="1">IFERROR(__xludf.DUMMYFUNCTION("""COMPUTED_VALUE"""),0.395)</f>
        <v>0.39500000000000002</v>
      </c>
      <c r="P627" s="45" t="str">
        <f ca="1">IFERROR(__xludf.DUMMYFUNCTION("""COMPUTED_VALUE"""),"Colombo, LK")</f>
        <v>Colombo, LK</v>
      </c>
      <c r="Q627" s="45" t="str">
        <f ca="1">IFERROR(__xludf.DUMMYFUNCTION("""COMPUTED_VALUE"""),"New York, NY, US")</f>
        <v>New York, NY, US</v>
      </c>
      <c r="R627" s="44">
        <f ca="1">IFERROR(__xludf.DUMMYFUNCTION("""COMPUTED_VALUE"""),45831)</f>
        <v>45831</v>
      </c>
      <c r="S627" s="44">
        <f ca="1">IFERROR(__xludf.DUMMYFUNCTION("""COMPUTED_VALUE"""),45890)</f>
        <v>45890</v>
      </c>
      <c r="T627" s="45" t="str">
        <f ca="1">IFERROR(__xludf.DUMMYFUNCTION("""COMPUTED_VALUE"""),"Mississauga, ON, CA")</f>
        <v>Mississauga, ON, CA</v>
      </c>
      <c r="U627" s="45"/>
      <c r="V627" s="45"/>
      <c r="W627" s="45"/>
      <c r="X627" s="45"/>
      <c r="Y627" s="46">
        <f ca="1">IFERROR(__xludf.DUMMYFUNCTION("""COMPUTED_VALUE"""),45838)</f>
        <v>45838</v>
      </c>
      <c r="Z627" s="46">
        <f ca="1">IFERROR(__xludf.DUMMYFUNCTION("""COMPUTED_VALUE"""),45859)</f>
        <v>45859</v>
      </c>
      <c r="AA627" s="46">
        <f ca="1">IFERROR(__xludf.DUMMYFUNCTION("""COMPUTED_VALUE"""),45859)</f>
        <v>45859</v>
      </c>
      <c r="AB627" s="45" t="str">
        <f ca="1">IFERROR(__xludf.DUMMYFUNCTION("""COMPUTED_VALUE"""),"3500 Argentia Road")</f>
        <v>3500 Argentia Road</v>
      </c>
      <c r="AC627" s="45"/>
      <c r="AD627" s="45" t="str">
        <f ca="1">IFERROR(__xludf.DUMMYFUNCTION("""COMPUTED_VALUE"""),"OCEAN")</f>
        <v>OCEAN</v>
      </c>
      <c r="AE627" s="45" t="str">
        <f ca="1">IFERROR(__xludf.DUMMYFUNCTION("""COMPUTED_VALUE"""),"N")</f>
        <v>N</v>
      </c>
      <c r="AF627" s="45"/>
      <c r="AG627" s="49" t="str">
        <f ca="1">IFERROR(__xludf.DUMMYFUNCTION("IFNA(vlookup(H627,IMPORTRANGE(""1vUGwO1n0QQGx9kKbO0_M5gmuhXZ6-LaxQxgrmJnzgP0"",""'TP# look up'!A:C""),3,0),"""")"),"")</f>
        <v/>
      </c>
      <c r="AH627" s="49" t="str">
        <f t="shared" ca="1" si="9"/>
        <v>LW</v>
      </c>
    </row>
    <row r="628" spans="1:34" ht="12.75">
      <c r="A628" s="45" t="str">
        <f ca="1">IFERROR(__xludf.DUMMYFUNCTION("""COMPUTED_VALUE"""),"Colombo")</f>
        <v>Colombo</v>
      </c>
      <c r="B628" s="45"/>
      <c r="C628" s="45">
        <f ca="1">IFERROR(__xludf.DUMMYFUNCTION("""COMPUTED_VALUE"""),3259512)</f>
        <v>3259512</v>
      </c>
      <c r="D628" s="45"/>
      <c r="E628" s="45" t="str">
        <f ca="1">IFERROR(__xludf.DUMMYFUNCTION("""COMPUTED_VALUE"""),"CFS")</f>
        <v>CFS</v>
      </c>
      <c r="F628" s="45" t="str">
        <f ca="1">IFERROR(__xludf.DUMMYFUNCTION("""COMPUTED_VALUE"""),"Bodyline Trading (Private) Limited")</f>
        <v>Bodyline Trading (Private) Limited</v>
      </c>
      <c r="G628" s="45" t="str">
        <f ca="1">IFERROR(__xludf.DUMMYFUNCTION("""COMPUTED_VALUE"""),"Bodyline (Private) Limited")</f>
        <v>Bodyline (Private) Limited</v>
      </c>
      <c r="H628" s="43">
        <f ca="1">IFERROR(__xludf.DUMMYFUNCTION("""COMPUTED_VALUE"""),454755182576)</f>
        <v>454755182576</v>
      </c>
      <c r="I628" s="45">
        <f ca="1">IFERROR(__xludf.DUMMYFUNCTION("""COMPUTED_VALUE"""),19877409)</f>
        <v>19877409</v>
      </c>
      <c r="J628" s="45" t="str">
        <f ca="1">IFERROR(__xludf.DUMMYFUNCTION("""COMPUTED_VALUE"""),"LW2ED2S")</f>
        <v>LW2ED2S</v>
      </c>
      <c r="K628" s="45" t="str">
        <f ca="1">IFERROR(__xludf.DUMMYFUNCTION("""COMPUTED_VALUE"""),"LW2ED2S-0002")</f>
        <v>LW2ED2S-0002</v>
      </c>
      <c r="L628" s="45">
        <f ca="1">IFERROR(__xludf.DUMMYFUNCTION("""COMPUTED_VALUE"""),2)</f>
        <v>2</v>
      </c>
      <c r="M628" s="45">
        <f ca="1">IFERROR(__xludf.DUMMYFUNCTION("""COMPUTED_VALUE"""),62)</f>
        <v>62</v>
      </c>
      <c r="N628" s="45">
        <f ca="1">IFERROR(__xludf.DUMMYFUNCTION("""COMPUTED_VALUE"""),11.878)</f>
        <v>11.878</v>
      </c>
      <c r="O628" s="45">
        <f ca="1">IFERROR(__xludf.DUMMYFUNCTION("""COMPUTED_VALUE"""),0.124)</f>
        <v>0.124</v>
      </c>
      <c r="P628" s="45" t="str">
        <f ca="1">IFERROR(__xludf.DUMMYFUNCTION("""COMPUTED_VALUE"""),"Colombo, LK")</f>
        <v>Colombo, LK</v>
      </c>
      <c r="Q628" s="45" t="str">
        <f ca="1">IFERROR(__xludf.DUMMYFUNCTION("""COMPUTED_VALUE"""),"New York, NY, US")</f>
        <v>New York, NY, US</v>
      </c>
      <c r="R628" s="44">
        <f ca="1">IFERROR(__xludf.DUMMYFUNCTION("""COMPUTED_VALUE"""),45831)</f>
        <v>45831</v>
      </c>
      <c r="S628" s="44">
        <f ca="1">IFERROR(__xludf.DUMMYFUNCTION("""COMPUTED_VALUE"""),45890)</f>
        <v>45890</v>
      </c>
      <c r="T628" s="45" t="str">
        <f ca="1">IFERROR(__xludf.DUMMYFUNCTION("""COMPUTED_VALUE"""),"Mississauga, ON, CA")</f>
        <v>Mississauga, ON, CA</v>
      </c>
      <c r="U628" s="45"/>
      <c r="V628" s="45"/>
      <c r="W628" s="45"/>
      <c r="X628" s="45"/>
      <c r="Y628" s="46">
        <f ca="1">IFERROR(__xludf.DUMMYFUNCTION("""COMPUTED_VALUE"""),45838)</f>
        <v>45838</v>
      </c>
      <c r="Z628" s="46">
        <f ca="1">IFERROR(__xludf.DUMMYFUNCTION("""COMPUTED_VALUE"""),45859)</f>
        <v>45859</v>
      </c>
      <c r="AA628" s="46">
        <f ca="1">IFERROR(__xludf.DUMMYFUNCTION("""COMPUTED_VALUE"""),45859)</f>
        <v>45859</v>
      </c>
      <c r="AB628" s="45" t="str">
        <f ca="1">IFERROR(__xludf.DUMMYFUNCTION("""COMPUTED_VALUE"""),"3500 Argentia Road")</f>
        <v>3500 Argentia Road</v>
      </c>
      <c r="AC628" s="45"/>
      <c r="AD628" s="45" t="str">
        <f ca="1">IFERROR(__xludf.DUMMYFUNCTION("""COMPUTED_VALUE"""),"OCEAN")</f>
        <v>OCEAN</v>
      </c>
      <c r="AE628" s="45" t="str">
        <f ca="1">IFERROR(__xludf.DUMMYFUNCTION("""COMPUTED_VALUE"""),"N")</f>
        <v>N</v>
      </c>
      <c r="AF628" s="45"/>
      <c r="AG628" s="49" t="str">
        <f ca="1">IFERROR(__xludf.DUMMYFUNCTION("IFNA(vlookup(H628,IMPORTRANGE(""1vUGwO1n0QQGx9kKbO0_M5gmuhXZ6-LaxQxgrmJnzgP0"",""'TP# look up'!A:C""),3,0),"""")"),"")</f>
        <v/>
      </c>
      <c r="AH628" s="49" t="str">
        <f t="shared" ca="1" si="9"/>
        <v>LW</v>
      </c>
    </row>
    <row r="629" spans="1:34" ht="12.75">
      <c r="A629" s="45" t="str">
        <f ca="1">IFERROR(__xludf.DUMMYFUNCTION("""COMPUTED_VALUE"""),"Colombo")</f>
        <v>Colombo</v>
      </c>
      <c r="B629" s="45"/>
      <c r="C629" s="45">
        <f ca="1">IFERROR(__xludf.DUMMYFUNCTION("""COMPUTED_VALUE"""),3259512)</f>
        <v>3259512</v>
      </c>
      <c r="D629" s="45"/>
      <c r="E629" s="45" t="str">
        <f ca="1">IFERROR(__xludf.DUMMYFUNCTION("""COMPUTED_VALUE"""),"CFS")</f>
        <v>CFS</v>
      </c>
      <c r="F629" s="45" t="str">
        <f ca="1">IFERROR(__xludf.DUMMYFUNCTION("""COMPUTED_VALUE"""),"Bodyline Trading (Private) Limited")</f>
        <v>Bodyline Trading (Private) Limited</v>
      </c>
      <c r="G629" s="45" t="str">
        <f ca="1">IFERROR(__xludf.DUMMYFUNCTION("""COMPUTED_VALUE"""),"Bodyline (Private) Limited")</f>
        <v>Bodyline (Private) Limited</v>
      </c>
      <c r="H629" s="43">
        <f ca="1">IFERROR(__xludf.DUMMYFUNCTION("""COMPUTED_VALUE"""),454755661346)</f>
        <v>454755661346</v>
      </c>
      <c r="I629" s="45">
        <f ca="1">IFERROR(__xludf.DUMMYFUNCTION("""COMPUTED_VALUE"""),19877454)</f>
        <v>19877454</v>
      </c>
      <c r="J629" s="45" t="str">
        <f ca="1">IFERROR(__xludf.DUMMYFUNCTION("""COMPUTED_VALUE"""),"LW2EDQS")</f>
        <v>LW2EDQS</v>
      </c>
      <c r="K629" s="45" t="str">
        <f ca="1">IFERROR(__xludf.DUMMYFUNCTION("""COMPUTED_VALUE"""),"LW2EDQS-0001")</f>
        <v>LW2EDQS-0001</v>
      </c>
      <c r="L629" s="45">
        <f ca="1">IFERROR(__xludf.DUMMYFUNCTION("""COMPUTED_VALUE"""),17)</f>
        <v>17</v>
      </c>
      <c r="M629" s="45">
        <f ca="1">IFERROR(__xludf.DUMMYFUNCTION("""COMPUTED_VALUE"""),204)</f>
        <v>204</v>
      </c>
      <c r="N629" s="45">
        <f ca="1">IFERROR(__xludf.DUMMYFUNCTION("""COMPUTED_VALUE"""),40.634)</f>
        <v>40.634</v>
      </c>
      <c r="O629" s="45">
        <f ca="1">IFERROR(__xludf.DUMMYFUNCTION("""COMPUTED_VALUE"""),0.747)</f>
        <v>0.747</v>
      </c>
      <c r="P629" s="45" t="str">
        <f ca="1">IFERROR(__xludf.DUMMYFUNCTION("""COMPUTED_VALUE"""),"Colombo, LK")</f>
        <v>Colombo, LK</v>
      </c>
      <c r="Q629" s="45" t="str">
        <f ca="1">IFERROR(__xludf.DUMMYFUNCTION("""COMPUTED_VALUE"""),"New York, NY, US")</f>
        <v>New York, NY, US</v>
      </c>
      <c r="R629" s="44">
        <f ca="1">IFERROR(__xludf.DUMMYFUNCTION("""COMPUTED_VALUE"""),45831)</f>
        <v>45831</v>
      </c>
      <c r="S629" s="44">
        <f ca="1">IFERROR(__xludf.DUMMYFUNCTION("""COMPUTED_VALUE"""),45890)</f>
        <v>45890</v>
      </c>
      <c r="T629" s="45" t="str">
        <f ca="1">IFERROR(__xludf.DUMMYFUNCTION("""COMPUTED_VALUE"""),"Mississauga, ON, CA")</f>
        <v>Mississauga, ON, CA</v>
      </c>
      <c r="U629" s="45"/>
      <c r="V629" s="45"/>
      <c r="W629" s="45"/>
      <c r="X629" s="45"/>
      <c r="Y629" s="46">
        <f ca="1">IFERROR(__xludf.DUMMYFUNCTION("""COMPUTED_VALUE"""),45838)</f>
        <v>45838</v>
      </c>
      <c r="Z629" s="46">
        <f ca="1">IFERROR(__xludf.DUMMYFUNCTION("""COMPUTED_VALUE"""),45859)</f>
        <v>45859</v>
      </c>
      <c r="AA629" s="46">
        <f ca="1">IFERROR(__xludf.DUMMYFUNCTION("""COMPUTED_VALUE"""),45859)</f>
        <v>45859</v>
      </c>
      <c r="AB629" s="45" t="str">
        <f ca="1">IFERROR(__xludf.DUMMYFUNCTION("""COMPUTED_VALUE"""),"3500 Argentia Road")</f>
        <v>3500 Argentia Road</v>
      </c>
      <c r="AC629" s="45"/>
      <c r="AD629" s="45" t="str">
        <f ca="1">IFERROR(__xludf.DUMMYFUNCTION("""COMPUTED_VALUE"""),"OCEAN")</f>
        <v>OCEAN</v>
      </c>
      <c r="AE629" s="45" t="str">
        <f ca="1">IFERROR(__xludf.DUMMYFUNCTION("""COMPUTED_VALUE"""),"N")</f>
        <v>N</v>
      </c>
      <c r="AF629" s="45"/>
      <c r="AG629" s="49" t="str">
        <f ca="1">IFERROR(__xludf.DUMMYFUNCTION("IFNA(vlookup(H629,IMPORTRANGE(""1vUGwO1n0QQGx9kKbO0_M5gmuhXZ6-LaxQxgrmJnzgP0"",""'TP# look up'!A:C""),3,0),"""")"),"")</f>
        <v/>
      </c>
      <c r="AH629" s="49" t="str">
        <f t="shared" ca="1" si="9"/>
        <v>LW</v>
      </c>
    </row>
    <row r="630" spans="1:34" ht="12.75">
      <c r="A630" s="45" t="str">
        <f ca="1">IFERROR(__xludf.DUMMYFUNCTION("""COMPUTED_VALUE"""),"Colombo")</f>
        <v>Colombo</v>
      </c>
      <c r="B630" s="45"/>
      <c r="C630" s="45">
        <f ca="1">IFERROR(__xludf.DUMMYFUNCTION("""COMPUTED_VALUE"""),3259512)</f>
        <v>3259512</v>
      </c>
      <c r="D630" s="45"/>
      <c r="E630" s="45" t="str">
        <f ca="1">IFERROR(__xludf.DUMMYFUNCTION("""COMPUTED_VALUE"""),"CFS")</f>
        <v>CFS</v>
      </c>
      <c r="F630" s="45" t="str">
        <f ca="1">IFERROR(__xludf.DUMMYFUNCTION("""COMPUTED_VALUE"""),"Bodyline Trading (Private) Limited")</f>
        <v>Bodyline Trading (Private) Limited</v>
      </c>
      <c r="G630" s="45" t="str">
        <f ca="1">IFERROR(__xludf.DUMMYFUNCTION("""COMPUTED_VALUE"""),"Bodyline (Private) Limited")</f>
        <v>Bodyline (Private) Limited</v>
      </c>
      <c r="H630" s="43">
        <f ca="1">IFERROR(__xludf.DUMMYFUNCTION("""COMPUTED_VALUE"""),454755747797)</f>
        <v>454755747797</v>
      </c>
      <c r="I630" s="45">
        <f ca="1">IFERROR(__xludf.DUMMYFUNCTION("""COMPUTED_VALUE"""),19877448)</f>
        <v>19877448</v>
      </c>
      <c r="J630" s="45" t="str">
        <f ca="1">IFERROR(__xludf.DUMMYFUNCTION("""COMPUTED_VALUE"""),"LW2EDPS")</f>
        <v>LW2EDPS</v>
      </c>
      <c r="K630" s="45" t="str">
        <f ca="1">IFERROR(__xludf.DUMMYFUNCTION("""COMPUTED_VALUE"""),"LW2EDPS-0001")</f>
        <v>LW2EDPS-0001</v>
      </c>
      <c r="L630" s="45">
        <f ca="1">IFERROR(__xludf.DUMMYFUNCTION("""COMPUTED_VALUE"""),14)</f>
        <v>14</v>
      </c>
      <c r="M630" s="45">
        <f ca="1">IFERROR(__xludf.DUMMYFUNCTION("""COMPUTED_VALUE"""),166)</f>
        <v>166</v>
      </c>
      <c r="N630" s="45">
        <f ca="1">IFERROR(__xludf.DUMMYFUNCTION("""COMPUTED_VALUE"""),32.791)</f>
        <v>32.790999999999997</v>
      </c>
      <c r="O630" s="45">
        <f ca="1">IFERROR(__xludf.DUMMYFUNCTION("""COMPUTED_VALUE"""),0.615)</f>
        <v>0.61499999999999999</v>
      </c>
      <c r="P630" s="45" t="str">
        <f ca="1">IFERROR(__xludf.DUMMYFUNCTION("""COMPUTED_VALUE"""),"Colombo, LK")</f>
        <v>Colombo, LK</v>
      </c>
      <c r="Q630" s="45" t="str">
        <f ca="1">IFERROR(__xludf.DUMMYFUNCTION("""COMPUTED_VALUE"""),"New York, NY, US")</f>
        <v>New York, NY, US</v>
      </c>
      <c r="R630" s="44">
        <f ca="1">IFERROR(__xludf.DUMMYFUNCTION("""COMPUTED_VALUE"""),45831)</f>
        <v>45831</v>
      </c>
      <c r="S630" s="44">
        <f ca="1">IFERROR(__xludf.DUMMYFUNCTION("""COMPUTED_VALUE"""),45890)</f>
        <v>45890</v>
      </c>
      <c r="T630" s="45" t="str">
        <f ca="1">IFERROR(__xludf.DUMMYFUNCTION("""COMPUTED_VALUE"""),"Milton, ON, CA")</f>
        <v>Milton, ON, CA</v>
      </c>
      <c r="U630" s="45"/>
      <c r="V630" s="45"/>
      <c r="W630" s="45"/>
      <c r="X630" s="45"/>
      <c r="Y630" s="46">
        <f ca="1">IFERROR(__xludf.DUMMYFUNCTION("""COMPUTED_VALUE"""),45838)</f>
        <v>45838</v>
      </c>
      <c r="Z630" s="46">
        <f ca="1">IFERROR(__xludf.DUMMYFUNCTION("""COMPUTED_VALUE"""),45859)</f>
        <v>45859</v>
      </c>
      <c r="AA630" s="46">
        <f ca="1">IFERROR(__xludf.DUMMYFUNCTION("""COMPUTED_VALUE"""),45859)</f>
        <v>45859</v>
      </c>
      <c r="AB630" s="45" t="str">
        <f ca="1">IFERROR(__xludf.DUMMYFUNCTION("""COMPUTED_VALUE"""),"7211 Fifth Line")</f>
        <v>7211 Fifth Line</v>
      </c>
      <c r="AC630" s="45"/>
      <c r="AD630" s="45" t="str">
        <f ca="1">IFERROR(__xludf.DUMMYFUNCTION("""COMPUTED_VALUE"""),"OCEAN")</f>
        <v>OCEAN</v>
      </c>
      <c r="AE630" s="45" t="str">
        <f ca="1">IFERROR(__xludf.DUMMYFUNCTION("""COMPUTED_VALUE"""),"N")</f>
        <v>N</v>
      </c>
      <c r="AF630" s="45"/>
      <c r="AG630" s="49" t="str">
        <f ca="1">IFERROR(__xludf.DUMMYFUNCTION("IFNA(vlookup(H630,IMPORTRANGE(""1vUGwO1n0QQGx9kKbO0_M5gmuhXZ6-LaxQxgrmJnzgP0"",""'TP# look up'!A:C""),3,0),"""")"),"")</f>
        <v/>
      </c>
      <c r="AH630" s="49" t="str">
        <f t="shared" ca="1" si="9"/>
        <v>LW</v>
      </c>
    </row>
    <row r="631" spans="1:34" ht="12.75">
      <c r="A631" s="45" t="str">
        <f ca="1">IFERROR(__xludf.DUMMYFUNCTION("""COMPUTED_VALUE"""),"Colombo")</f>
        <v>Colombo</v>
      </c>
      <c r="B631" s="45"/>
      <c r="C631" s="45">
        <f ca="1">IFERROR(__xludf.DUMMYFUNCTION("""COMPUTED_VALUE"""),3259512)</f>
        <v>3259512</v>
      </c>
      <c r="D631" s="45"/>
      <c r="E631" s="45" t="str">
        <f ca="1">IFERROR(__xludf.DUMMYFUNCTION("""COMPUTED_VALUE"""),"CFS")</f>
        <v>CFS</v>
      </c>
      <c r="F631" s="45" t="str">
        <f ca="1">IFERROR(__xludf.DUMMYFUNCTION("""COMPUTED_VALUE"""),"Bodyline Trading (Private) Limited")</f>
        <v>Bodyline Trading (Private) Limited</v>
      </c>
      <c r="G631" s="45" t="str">
        <f ca="1">IFERROR(__xludf.DUMMYFUNCTION("""COMPUTED_VALUE"""),"Bodyline (Private) Limited")</f>
        <v>Bodyline (Private) Limited</v>
      </c>
      <c r="H631" s="43">
        <f ca="1">IFERROR(__xludf.DUMMYFUNCTION("""COMPUTED_VALUE"""),454755827242)</f>
        <v>454755827242</v>
      </c>
      <c r="I631" s="45">
        <f ca="1">IFERROR(__xludf.DUMMYFUNCTION("""COMPUTED_VALUE"""),19878980)</f>
        <v>19878980</v>
      </c>
      <c r="J631" s="45" t="str">
        <f ca="1">IFERROR(__xludf.DUMMYFUNCTION("""COMPUTED_VALUE"""),"LW2EDPS")</f>
        <v>LW2EDPS</v>
      </c>
      <c r="K631" s="45" t="str">
        <f ca="1">IFERROR(__xludf.DUMMYFUNCTION("""COMPUTED_VALUE"""),"LW2EDPS-0001")</f>
        <v>LW2EDPS-0001</v>
      </c>
      <c r="L631" s="45">
        <f ca="1">IFERROR(__xludf.DUMMYFUNCTION("""COMPUTED_VALUE"""),16)</f>
        <v>16</v>
      </c>
      <c r="M631" s="45">
        <f ca="1">IFERROR(__xludf.DUMMYFUNCTION("""COMPUTED_VALUE"""),204)</f>
        <v>204</v>
      </c>
      <c r="N631" s="45">
        <f ca="1">IFERROR(__xludf.DUMMYFUNCTION("""COMPUTED_VALUE"""),39.209)</f>
        <v>39.209000000000003</v>
      </c>
      <c r="O631" s="45">
        <f ca="1">IFERROR(__xludf.DUMMYFUNCTION("""COMPUTED_VALUE"""),0.703)</f>
        <v>0.70299999999999996</v>
      </c>
      <c r="P631" s="45" t="str">
        <f ca="1">IFERROR(__xludf.DUMMYFUNCTION("""COMPUTED_VALUE"""),"Colombo, LK")</f>
        <v>Colombo, LK</v>
      </c>
      <c r="Q631" s="45" t="str">
        <f ca="1">IFERROR(__xludf.DUMMYFUNCTION("""COMPUTED_VALUE"""),"New York, NY, US")</f>
        <v>New York, NY, US</v>
      </c>
      <c r="R631" s="44">
        <f ca="1">IFERROR(__xludf.DUMMYFUNCTION("""COMPUTED_VALUE"""),45831)</f>
        <v>45831</v>
      </c>
      <c r="S631" s="44">
        <f ca="1">IFERROR(__xludf.DUMMYFUNCTION("""COMPUTED_VALUE"""),45890)</f>
        <v>45890</v>
      </c>
      <c r="T631" s="45" t="str">
        <f ca="1">IFERROR(__xludf.DUMMYFUNCTION("""COMPUTED_VALUE"""),"Mississauga, ON, CA")</f>
        <v>Mississauga, ON, CA</v>
      </c>
      <c r="U631" s="45"/>
      <c r="V631" s="45"/>
      <c r="W631" s="45"/>
      <c r="X631" s="45"/>
      <c r="Y631" s="46">
        <f ca="1">IFERROR(__xludf.DUMMYFUNCTION("""COMPUTED_VALUE"""),45838)</f>
        <v>45838</v>
      </c>
      <c r="Z631" s="46">
        <f ca="1">IFERROR(__xludf.DUMMYFUNCTION("""COMPUTED_VALUE"""),45859)</f>
        <v>45859</v>
      </c>
      <c r="AA631" s="46">
        <f ca="1">IFERROR(__xludf.DUMMYFUNCTION("""COMPUTED_VALUE"""),45859)</f>
        <v>45859</v>
      </c>
      <c r="AB631" s="45" t="str">
        <f ca="1">IFERROR(__xludf.DUMMYFUNCTION("""COMPUTED_VALUE"""),"3500 Argentia Road")</f>
        <v>3500 Argentia Road</v>
      </c>
      <c r="AC631" s="45"/>
      <c r="AD631" s="45" t="str">
        <f ca="1">IFERROR(__xludf.DUMMYFUNCTION("""COMPUTED_VALUE"""),"OCEAN")</f>
        <v>OCEAN</v>
      </c>
      <c r="AE631" s="45" t="str">
        <f ca="1">IFERROR(__xludf.DUMMYFUNCTION("""COMPUTED_VALUE"""),"N")</f>
        <v>N</v>
      </c>
      <c r="AF631" s="45"/>
      <c r="AG631" s="49" t="str">
        <f ca="1">IFERROR(__xludf.DUMMYFUNCTION("IFNA(vlookup(H631,IMPORTRANGE(""1vUGwO1n0QQGx9kKbO0_M5gmuhXZ6-LaxQxgrmJnzgP0"",""'TP# look up'!A:C""),3,0),"""")"),"")</f>
        <v/>
      </c>
      <c r="AH631" s="49" t="str">
        <f t="shared" ca="1" si="9"/>
        <v>LW</v>
      </c>
    </row>
    <row r="632" spans="1:34" ht="12.75">
      <c r="A632" s="45" t="str">
        <f ca="1">IFERROR(__xludf.DUMMYFUNCTION("""COMPUTED_VALUE"""),"Colombo")</f>
        <v>Colombo</v>
      </c>
      <c r="B632" s="45"/>
      <c r="C632" s="45">
        <f ca="1">IFERROR(__xludf.DUMMYFUNCTION("""COMPUTED_VALUE"""),3259512)</f>
        <v>3259512</v>
      </c>
      <c r="D632" s="45"/>
      <c r="E632" s="45" t="str">
        <f ca="1">IFERROR(__xludf.DUMMYFUNCTION("""COMPUTED_VALUE"""),"CFS")</f>
        <v>CFS</v>
      </c>
      <c r="F632" s="45" t="str">
        <f ca="1">IFERROR(__xludf.DUMMYFUNCTION("""COMPUTED_VALUE"""),"Bodyline Trading (Private) Limited")</f>
        <v>Bodyline Trading (Private) Limited</v>
      </c>
      <c r="G632" s="45" t="str">
        <f ca="1">IFERROR(__xludf.DUMMYFUNCTION("""COMPUTED_VALUE"""),"Bodyline (Private) Limited")</f>
        <v>Bodyline (Private) Limited</v>
      </c>
      <c r="H632" s="43">
        <f ca="1">IFERROR(__xludf.DUMMYFUNCTION("""COMPUTED_VALUE"""),454755874391)</f>
        <v>454755874391</v>
      </c>
      <c r="I632" s="45">
        <f ca="1">IFERROR(__xludf.DUMMYFUNCTION("""COMPUTED_VALUE"""),19877468)</f>
        <v>19877468</v>
      </c>
      <c r="J632" s="45" t="str">
        <f ca="1">IFERROR(__xludf.DUMMYFUNCTION("""COMPUTED_VALUE"""),"LW2EDPS")</f>
        <v>LW2EDPS</v>
      </c>
      <c r="K632" s="45" t="str">
        <f ca="1">IFERROR(__xludf.DUMMYFUNCTION("""COMPUTED_VALUE"""),"LW2EDPS-0001")</f>
        <v>LW2EDPS-0001</v>
      </c>
      <c r="L632" s="45">
        <f ca="1">IFERROR(__xludf.DUMMYFUNCTION("""COMPUTED_VALUE"""),9)</f>
        <v>9</v>
      </c>
      <c r="M632" s="45">
        <f ca="1">IFERROR(__xludf.DUMMYFUNCTION("""COMPUTED_VALUE"""),108)</f>
        <v>108</v>
      </c>
      <c r="N632" s="45">
        <f ca="1">IFERROR(__xludf.DUMMYFUNCTION("""COMPUTED_VALUE"""),21.235)</f>
        <v>21.234999999999999</v>
      </c>
      <c r="O632" s="45">
        <f ca="1">IFERROR(__xludf.DUMMYFUNCTION("""COMPUTED_VALUE"""),0.395)</f>
        <v>0.39500000000000002</v>
      </c>
      <c r="P632" s="45" t="str">
        <f ca="1">IFERROR(__xludf.DUMMYFUNCTION("""COMPUTED_VALUE"""),"Colombo, LK")</f>
        <v>Colombo, LK</v>
      </c>
      <c r="Q632" s="45" t="str">
        <f ca="1">IFERROR(__xludf.DUMMYFUNCTION("""COMPUTED_VALUE"""),"New York, NY, US")</f>
        <v>New York, NY, US</v>
      </c>
      <c r="R632" s="44">
        <f ca="1">IFERROR(__xludf.DUMMYFUNCTION("""COMPUTED_VALUE"""),45831)</f>
        <v>45831</v>
      </c>
      <c r="S632" s="44">
        <f ca="1">IFERROR(__xludf.DUMMYFUNCTION("""COMPUTED_VALUE"""),45890)</f>
        <v>45890</v>
      </c>
      <c r="T632" s="45" t="str">
        <f ca="1">IFERROR(__xludf.DUMMYFUNCTION("""COMPUTED_VALUE"""),"Mississauga, ON, CA")</f>
        <v>Mississauga, ON, CA</v>
      </c>
      <c r="U632" s="45"/>
      <c r="V632" s="45"/>
      <c r="W632" s="45"/>
      <c r="X632" s="45"/>
      <c r="Y632" s="46">
        <f ca="1">IFERROR(__xludf.DUMMYFUNCTION("""COMPUTED_VALUE"""),45838)</f>
        <v>45838</v>
      </c>
      <c r="Z632" s="46">
        <f ca="1">IFERROR(__xludf.DUMMYFUNCTION("""COMPUTED_VALUE"""),45859)</f>
        <v>45859</v>
      </c>
      <c r="AA632" s="46">
        <f ca="1">IFERROR(__xludf.DUMMYFUNCTION("""COMPUTED_VALUE"""),45859)</f>
        <v>45859</v>
      </c>
      <c r="AB632" s="45" t="str">
        <f ca="1">IFERROR(__xludf.DUMMYFUNCTION("""COMPUTED_VALUE"""),"3500 Argentia Road")</f>
        <v>3500 Argentia Road</v>
      </c>
      <c r="AC632" s="45"/>
      <c r="AD632" s="45" t="str">
        <f ca="1">IFERROR(__xludf.DUMMYFUNCTION("""COMPUTED_VALUE"""),"OCEAN")</f>
        <v>OCEAN</v>
      </c>
      <c r="AE632" s="45" t="str">
        <f ca="1">IFERROR(__xludf.DUMMYFUNCTION("""COMPUTED_VALUE"""),"N")</f>
        <v>N</v>
      </c>
      <c r="AF632" s="45"/>
      <c r="AG632" s="49" t="str">
        <f ca="1">IFERROR(__xludf.DUMMYFUNCTION("IFNA(vlookup(H632,IMPORTRANGE(""1vUGwO1n0QQGx9kKbO0_M5gmuhXZ6-LaxQxgrmJnzgP0"",""'TP# look up'!A:C""),3,0),"""")"),"")</f>
        <v/>
      </c>
      <c r="AH632" s="49" t="str">
        <f t="shared" ca="1" si="9"/>
        <v>LW</v>
      </c>
    </row>
    <row r="633" spans="1:34" ht="12.75">
      <c r="A633" s="45" t="str">
        <f ca="1">IFERROR(__xludf.DUMMYFUNCTION("""COMPUTED_VALUE"""),"Colombo")</f>
        <v>Colombo</v>
      </c>
      <c r="B633" s="45"/>
      <c r="C633" s="45">
        <f ca="1">IFERROR(__xludf.DUMMYFUNCTION("""COMPUTED_VALUE"""),3259512)</f>
        <v>3259512</v>
      </c>
      <c r="D633" s="45"/>
      <c r="E633" s="45" t="str">
        <f ca="1">IFERROR(__xludf.DUMMYFUNCTION("""COMPUTED_VALUE"""),"CFS")</f>
        <v>CFS</v>
      </c>
      <c r="F633" s="45" t="str">
        <f ca="1">IFERROR(__xludf.DUMMYFUNCTION("""COMPUTED_VALUE"""),"Bodyline Trading (Private) Limited")</f>
        <v>Bodyline Trading (Private) Limited</v>
      </c>
      <c r="G633" s="45" t="str">
        <f ca="1">IFERROR(__xludf.DUMMYFUNCTION("""COMPUTED_VALUE"""),"Bodyline (Private) Limited")</f>
        <v>Bodyline (Private) Limited</v>
      </c>
      <c r="H633" s="43">
        <f ca="1">IFERROR(__xludf.DUMMYFUNCTION("""COMPUTED_VALUE"""),454756629875)</f>
        <v>454756629875</v>
      </c>
      <c r="I633" s="45">
        <f ca="1">IFERROR(__xludf.DUMMYFUNCTION("""COMPUTED_VALUE"""),19877778)</f>
        <v>19877778</v>
      </c>
      <c r="J633" s="45" t="str">
        <f ca="1">IFERROR(__xludf.DUMMYFUNCTION("""COMPUTED_VALUE"""),"LW2EHIS")</f>
        <v>LW2EHIS</v>
      </c>
      <c r="K633" s="45" t="str">
        <f ca="1">IFERROR(__xludf.DUMMYFUNCTION("""COMPUTED_VALUE"""),"LW2EHIS-035486")</f>
        <v>LW2EHIS-035486</v>
      </c>
      <c r="L633" s="45">
        <f ca="1">IFERROR(__xludf.DUMMYFUNCTION("""COMPUTED_VALUE"""),17)</f>
        <v>17</v>
      </c>
      <c r="M633" s="45">
        <f ca="1">IFERROR(__xludf.DUMMYFUNCTION("""COMPUTED_VALUE"""),211)</f>
        <v>211</v>
      </c>
      <c r="N633" s="45">
        <f ca="1">IFERROR(__xludf.DUMMYFUNCTION("""COMPUTED_VALUE"""),42.822)</f>
        <v>42.822000000000003</v>
      </c>
      <c r="O633" s="45">
        <f ca="1">IFERROR(__xludf.DUMMYFUNCTION("""COMPUTED_VALUE"""),0.747)</f>
        <v>0.747</v>
      </c>
      <c r="P633" s="45" t="str">
        <f ca="1">IFERROR(__xludf.DUMMYFUNCTION("""COMPUTED_VALUE"""),"Colombo, LK")</f>
        <v>Colombo, LK</v>
      </c>
      <c r="Q633" s="45" t="str">
        <f ca="1">IFERROR(__xludf.DUMMYFUNCTION("""COMPUTED_VALUE"""),"New York, NY, US")</f>
        <v>New York, NY, US</v>
      </c>
      <c r="R633" s="44">
        <f ca="1">IFERROR(__xludf.DUMMYFUNCTION("""COMPUTED_VALUE"""),45831)</f>
        <v>45831</v>
      </c>
      <c r="S633" s="44">
        <f ca="1">IFERROR(__xludf.DUMMYFUNCTION("""COMPUTED_VALUE"""),45890)</f>
        <v>45890</v>
      </c>
      <c r="T633" s="45" t="str">
        <f ca="1">IFERROR(__xludf.DUMMYFUNCTION("""COMPUTED_VALUE"""),"Milton, ON, CA")</f>
        <v>Milton, ON, CA</v>
      </c>
      <c r="U633" s="45"/>
      <c r="V633" s="45"/>
      <c r="W633" s="45"/>
      <c r="X633" s="45"/>
      <c r="Y633" s="46">
        <f ca="1">IFERROR(__xludf.DUMMYFUNCTION("""COMPUTED_VALUE"""),45838)</f>
        <v>45838</v>
      </c>
      <c r="Z633" s="46">
        <f ca="1">IFERROR(__xludf.DUMMYFUNCTION("""COMPUTED_VALUE"""),45859)</f>
        <v>45859</v>
      </c>
      <c r="AA633" s="46">
        <f ca="1">IFERROR(__xludf.DUMMYFUNCTION("""COMPUTED_VALUE"""),45859)</f>
        <v>45859</v>
      </c>
      <c r="AB633" s="45" t="str">
        <f ca="1">IFERROR(__xludf.DUMMYFUNCTION("""COMPUTED_VALUE"""),"7211 Fifth Line")</f>
        <v>7211 Fifth Line</v>
      </c>
      <c r="AC633" s="45"/>
      <c r="AD633" s="45" t="str">
        <f ca="1">IFERROR(__xludf.DUMMYFUNCTION("""COMPUTED_VALUE"""),"OCEAN")</f>
        <v>OCEAN</v>
      </c>
      <c r="AE633" s="45" t="str">
        <f ca="1">IFERROR(__xludf.DUMMYFUNCTION("""COMPUTED_VALUE"""),"N")</f>
        <v>N</v>
      </c>
      <c r="AF633" s="45"/>
      <c r="AG633" s="49" t="str">
        <f ca="1">IFERROR(__xludf.DUMMYFUNCTION("IFNA(vlookup(H633,IMPORTRANGE(""1vUGwO1n0QQGx9kKbO0_M5gmuhXZ6-LaxQxgrmJnzgP0"",""'TP# look up'!A:C""),3,0),"""")"),"")</f>
        <v/>
      </c>
      <c r="AH633" s="49" t="str">
        <f t="shared" ca="1" si="9"/>
        <v>LW</v>
      </c>
    </row>
    <row r="634" spans="1:34" ht="12.75">
      <c r="A634" s="45" t="str">
        <f ca="1">IFERROR(__xludf.DUMMYFUNCTION("""COMPUTED_VALUE"""),"Colombo")</f>
        <v>Colombo</v>
      </c>
      <c r="B634" s="45"/>
      <c r="C634" s="45">
        <f ca="1">IFERROR(__xludf.DUMMYFUNCTION("""COMPUTED_VALUE"""),3259512)</f>
        <v>3259512</v>
      </c>
      <c r="D634" s="45"/>
      <c r="E634" s="45" t="str">
        <f ca="1">IFERROR(__xludf.DUMMYFUNCTION("""COMPUTED_VALUE"""),"CFS")</f>
        <v>CFS</v>
      </c>
      <c r="F634" s="45" t="str">
        <f ca="1">IFERROR(__xludf.DUMMYFUNCTION("""COMPUTED_VALUE"""),"Bodyline Trading (Private) Limited")</f>
        <v>Bodyline Trading (Private) Limited</v>
      </c>
      <c r="G634" s="45" t="str">
        <f ca="1">IFERROR(__xludf.DUMMYFUNCTION("""COMPUTED_VALUE"""),"Bodyline (Private) Limited")</f>
        <v>Bodyline (Private) Limited</v>
      </c>
      <c r="H634" s="43">
        <f ca="1">IFERROR(__xludf.DUMMYFUNCTION("""COMPUTED_VALUE"""),454757204257)</f>
        <v>454757204257</v>
      </c>
      <c r="I634" s="45">
        <f ca="1">IFERROR(__xludf.DUMMYFUNCTION("""COMPUTED_VALUE"""),19877771)</f>
        <v>19877771</v>
      </c>
      <c r="J634" s="45" t="str">
        <f ca="1">IFERROR(__xludf.DUMMYFUNCTION("""COMPUTED_VALUE"""),"LW2EHJS")</f>
        <v>LW2EHJS</v>
      </c>
      <c r="K634" s="45" t="str">
        <f ca="1">IFERROR(__xludf.DUMMYFUNCTION("""COMPUTED_VALUE"""),"LW2EHJS-0002")</f>
        <v>LW2EHJS-0002</v>
      </c>
      <c r="L634" s="45">
        <f ca="1">IFERROR(__xludf.DUMMYFUNCTION("""COMPUTED_VALUE"""),12)</f>
        <v>12</v>
      </c>
      <c r="M634" s="45">
        <f ca="1">IFERROR(__xludf.DUMMYFUNCTION("""COMPUTED_VALUE"""),145)</f>
        <v>145</v>
      </c>
      <c r="N634" s="45">
        <f ca="1">IFERROR(__xludf.DUMMYFUNCTION("""COMPUTED_VALUE"""),28.029)</f>
        <v>28.029</v>
      </c>
      <c r="O634" s="45">
        <f ca="1">IFERROR(__xludf.DUMMYFUNCTION("""COMPUTED_VALUE"""),0.527)</f>
        <v>0.52700000000000002</v>
      </c>
      <c r="P634" s="45" t="str">
        <f ca="1">IFERROR(__xludf.DUMMYFUNCTION("""COMPUTED_VALUE"""),"Colombo, LK")</f>
        <v>Colombo, LK</v>
      </c>
      <c r="Q634" s="45" t="str">
        <f ca="1">IFERROR(__xludf.DUMMYFUNCTION("""COMPUTED_VALUE"""),"New York, NY, US")</f>
        <v>New York, NY, US</v>
      </c>
      <c r="R634" s="44">
        <f ca="1">IFERROR(__xludf.DUMMYFUNCTION("""COMPUTED_VALUE"""),45831)</f>
        <v>45831</v>
      </c>
      <c r="S634" s="44">
        <f ca="1">IFERROR(__xludf.DUMMYFUNCTION("""COMPUTED_VALUE"""),45890)</f>
        <v>45890</v>
      </c>
      <c r="T634" s="45" t="str">
        <f ca="1">IFERROR(__xludf.DUMMYFUNCTION("""COMPUTED_VALUE"""),"Mississauga, ON, CA")</f>
        <v>Mississauga, ON, CA</v>
      </c>
      <c r="U634" s="45"/>
      <c r="V634" s="45"/>
      <c r="W634" s="45"/>
      <c r="X634" s="45"/>
      <c r="Y634" s="46">
        <f ca="1">IFERROR(__xludf.DUMMYFUNCTION("""COMPUTED_VALUE"""),45838)</f>
        <v>45838</v>
      </c>
      <c r="Z634" s="46">
        <f ca="1">IFERROR(__xludf.DUMMYFUNCTION("""COMPUTED_VALUE"""),45859)</f>
        <v>45859</v>
      </c>
      <c r="AA634" s="46">
        <f ca="1">IFERROR(__xludf.DUMMYFUNCTION("""COMPUTED_VALUE"""),45859)</f>
        <v>45859</v>
      </c>
      <c r="AB634" s="45" t="str">
        <f ca="1">IFERROR(__xludf.DUMMYFUNCTION("""COMPUTED_VALUE"""),"3500 Argentia Road")</f>
        <v>3500 Argentia Road</v>
      </c>
      <c r="AC634" s="45"/>
      <c r="AD634" s="45" t="str">
        <f ca="1">IFERROR(__xludf.DUMMYFUNCTION("""COMPUTED_VALUE"""),"OCEAN")</f>
        <v>OCEAN</v>
      </c>
      <c r="AE634" s="45" t="str">
        <f ca="1">IFERROR(__xludf.DUMMYFUNCTION("""COMPUTED_VALUE"""),"N")</f>
        <v>N</v>
      </c>
      <c r="AF634" s="45"/>
      <c r="AG634" s="49" t="str">
        <f ca="1">IFERROR(__xludf.DUMMYFUNCTION("IFNA(vlookup(H634,IMPORTRANGE(""1vUGwO1n0QQGx9kKbO0_M5gmuhXZ6-LaxQxgrmJnzgP0"",""'TP# look up'!A:C""),3,0),"""")"),"")</f>
        <v/>
      </c>
      <c r="AH634" s="49" t="str">
        <f t="shared" ca="1" si="9"/>
        <v>LW</v>
      </c>
    </row>
    <row r="635" spans="1:34" ht="12.75">
      <c r="A635" s="45" t="str">
        <f ca="1">IFERROR(__xludf.DUMMYFUNCTION("""COMPUTED_VALUE"""),"Colombo")</f>
        <v>Colombo</v>
      </c>
      <c r="B635" s="45"/>
      <c r="C635" s="45">
        <f ca="1">IFERROR(__xludf.DUMMYFUNCTION("""COMPUTED_VALUE"""),3259512)</f>
        <v>3259512</v>
      </c>
      <c r="D635" s="45"/>
      <c r="E635" s="45" t="str">
        <f ca="1">IFERROR(__xludf.DUMMYFUNCTION("""COMPUTED_VALUE"""),"CFS")</f>
        <v>CFS</v>
      </c>
      <c r="F635" s="45" t="str">
        <f ca="1">IFERROR(__xludf.DUMMYFUNCTION("""COMPUTED_VALUE"""),"Bodyline Trading (Private) Limited")</f>
        <v>Bodyline Trading (Private) Limited</v>
      </c>
      <c r="G635" s="45" t="str">
        <f ca="1">IFERROR(__xludf.DUMMYFUNCTION("""COMPUTED_VALUE"""),"Bodyline (Private) Limited")</f>
        <v>Bodyline (Private) Limited</v>
      </c>
      <c r="H635" s="43">
        <f ca="1">IFERROR(__xludf.DUMMYFUNCTION("""COMPUTED_VALUE"""),454757236836)</f>
        <v>454757236836</v>
      </c>
      <c r="I635" s="45">
        <f ca="1">IFERROR(__xludf.DUMMYFUNCTION("""COMPUTED_VALUE"""),19877717)</f>
        <v>19877717</v>
      </c>
      <c r="J635" s="45" t="str">
        <f ca="1">IFERROR(__xludf.DUMMYFUNCTION("""COMPUTED_VALUE"""),"LW2EHIS")</f>
        <v>LW2EHIS</v>
      </c>
      <c r="K635" s="45" t="str">
        <f ca="1">IFERROR(__xludf.DUMMYFUNCTION("""COMPUTED_VALUE"""),"LW2EHIS-0002")</f>
        <v>LW2EHIS-0002</v>
      </c>
      <c r="L635" s="45">
        <f ca="1">IFERROR(__xludf.DUMMYFUNCTION("""COMPUTED_VALUE"""),13)</f>
        <v>13</v>
      </c>
      <c r="M635" s="45">
        <f ca="1">IFERROR(__xludf.DUMMYFUNCTION("""COMPUTED_VALUE"""),145)</f>
        <v>145</v>
      </c>
      <c r="N635" s="45">
        <f ca="1">IFERROR(__xludf.DUMMYFUNCTION("""COMPUTED_VALUE"""),29.844)</f>
        <v>29.844000000000001</v>
      </c>
      <c r="O635" s="45">
        <f ca="1">IFERROR(__xludf.DUMMYFUNCTION("""COMPUTED_VALUE"""),0.571)</f>
        <v>0.57099999999999995</v>
      </c>
      <c r="P635" s="45" t="str">
        <f ca="1">IFERROR(__xludf.DUMMYFUNCTION("""COMPUTED_VALUE"""),"Colombo, LK")</f>
        <v>Colombo, LK</v>
      </c>
      <c r="Q635" s="45" t="str">
        <f ca="1">IFERROR(__xludf.DUMMYFUNCTION("""COMPUTED_VALUE"""),"New York, NY, US")</f>
        <v>New York, NY, US</v>
      </c>
      <c r="R635" s="44">
        <f ca="1">IFERROR(__xludf.DUMMYFUNCTION("""COMPUTED_VALUE"""),45831)</f>
        <v>45831</v>
      </c>
      <c r="S635" s="44">
        <f ca="1">IFERROR(__xludf.DUMMYFUNCTION("""COMPUTED_VALUE"""),45890)</f>
        <v>45890</v>
      </c>
      <c r="T635" s="45" t="str">
        <f ca="1">IFERROR(__xludf.DUMMYFUNCTION("""COMPUTED_VALUE"""),"Mississauga, ON, CA")</f>
        <v>Mississauga, ON, CA</v>
      </c>
      <c r="U635" s="45"/>
      <c r="V635" s="45"/>
      <c r="W635" s="45"/>
      <c r="X635" s="45"/>
      <c r="Y635" s="46">
        <f ca="1">IFERROR(__xludf.DUMMYFUNCTION("""COMPUTED_VALUE"""),45838)</f>
        <v>45838</v>
      </c>
      <c r="Z635" s="46">
        <f ca="1">IFERROR(__xludf.DUMMYFUNCTION("""COMPUTED_VALUE"""),45859)</f>
        <v>45859</v>
      </c>
      <c r="AA635" s="46">
        <f ca="1">IFERROR(__xludf.DUMMYFUNCTION("""COMPUTED_VALUE"""),45859)</f>
        <v>45859</v>
      </c>
      <c r="AB635" s="45" t="str">
        <f ca="1">IFERROR(__xludf.DUMMYFUNCTION("""COMPUTED_VALUE"""),"3500 Argentia Road")</f>
        <v>3500 Argentia Road</v>
      </c>
      <c r="AC635" s="45"/>
      <c r="AD635" s="45" t="str">
        <f ca="1">IFERROR(__xludf.DUMMYFUNCTION("""COMPUTED_VALUE"""),"OCEAN")</f>
        <v>OCEAN</v>
      </c>
      <c r="AE635" s="45" t="str">
        <f ca="1">IFERROR(__xludf.DUMMYFUNCTION("""COMPUTED_VALUE"""),"N")</f>
        <v>N</v>
      </c>
      <c r="AF635" s="45"/>
      <c r="AG635" s="49" t="str">
        <f ca="1">IFERROR(__xludf.DUMMYFUNCTION("IFNA(vlookup(H635,IMPORTRANGE(""1vUGwO1n0QQGx9kKbO0_M5gmuhXZ6-LaxQxgrmJnzgP0"",""'TP# look up'!A:C""),3,0),"""")"),"")</f>
        <v/>
      </c>
      <c r="AH635" s="49" t="str">
        <f t="shared" ca="1" si="9"/>
        <v>LW</v>
      </c>
    </row>
    <row r="636" spans="1:34" ht="12.75">
      <c r="A636" s="45" t="str">
        <f ca="1">IFERROR(__xludf.DUMMYFUNCTION("""COMPUTED_VALUE"""),"Colombo")</f>
        <v>Colombo</v>
      </c>
      <c r="B636" s="45"/>
      <c r="C636" s="45">
        <f ca="1">IFERROR(__xludf.DUMMYFUNCTION("""COMPUTED_VALUE"""),3259512)</f>
        <v>3259512</v>
      </c>
      <c r="D636" s="45"/>
      <c r="E636" s="45" t="str">
        <f ca="1">IFERROR(__xludf.DUMMYFUNCTION("""COMPUTED_VALUE"""),"CFS")</f>
        <v>CFS</v>
      </c>
      <c r="F636" s="45" t="str">
        <f ca="1">IFERROR(__xludf.DUMMYFUNCTION("""COMPUTED_VALUE"""),"Bodyline Trading (Private) Limited")</f>
        <v>Bodyline Trading (Private) Limited</v>
      </c>
      <c r="G636" s="45" t="str">
        <f ca="1">IFERROR(__xludf.DUMMYFUNCTION("""COMPUTED_VALUE"""),"Bodyline (Private) Limited")</f>
        <v>Bodyline (Private) Limited</v>
      </c>
      <c r="H636" s="43">
        <f ca="1">IFERROR(__xludf.DUMMYFUNCTION("""COMPUTED_VALUE"""),454757246405)</f>
        <v>454757246405</v>
      </c>
      <c r="I636" s="45">
        <f ca="1">IFERROR(__xludf.DUMMYFUNCTION("""COMPUTED_VALUE"""),19877795)</f>
        <v>19877795</v>
      </c>
      <c r="J636" s="45" t="str">
        <f ca="1">IFERROR(__xludf.DUMMYFUNCTION("""COMPUTED_VALUE"""),"LW2EHJS")</f>
        <v>LW2EHJS</v>
      </c>
      <c r="K636" s="45" t="str">
        <f ca="1">IFERROR(__xludf.DUMMYFUNCTION("""COMPUTED_VALUE"""),"LW2EHJS-0002")</f>
        <v>LW2EHJS-0002</v>
      </c>
      <c r="L636" s="45">
        <f ca="1">IFERROR(__xludf.DUMMYFUNCTION("""COMPUTED_VALUE"""),7)</f>
        <v>7</v>
      </c>
      <c r="M636" s="45">
        <f ca="1">IFERROR(__xludf.DUMMYFUNCTION("""COMPUTED_VALUE"""),77)</f>
        <v>77</v>
      </c>
      <c r="N636" s="45">
        <f ca="1">IFERROR(__xludf.DUMMYFUNCTION("""COMPUTED_VALUE"""),15.475)</f>
        <v>15.475</v>
      </c>
      <c r="O636" s="45">
        <f ca="1">IFERROR(__xludf.DUMMYFUNCTION("""COMPUTED_VALUE"""),0.307)</f>
        <v>0.307</v>
      </c>
      <c r="P636" s="45" t="str">
        <f ca="1">IFERROR(__xludf.DUMMYFUNCTION("""COMPUTED_VALUE"""),"Colombo, LK")</f>
        <v>Colombo, LK</v>
      </c>
      <c r="Q636" s="45" t="str">
        <f ca="1">IFERROR(__xludf.DUMMYFUNCTION("""COMPUTED_VALUE"""),"New York, NY, US")</f>
        <v>New York, NY, US</v>
      </c>
      <c r="R636" s="44">
        <f ca="1">IFERROR(__xludf.DUMMYFUNCTION("""COMPUTED_VALUE"""),45831)</f>
        <v>45831</v>
      </c>
      <c r="S636" s="44">
        <f ca="1">IFERROR(__xludf.DUMMYFUNCTION("""COMPUTED_VALUE"""),45890)</f>
        <v>45890</v>
      </c>
      <c r="T636" s="45" t="str">
        <f ca="1">IFERROR(__xludf.DUMMYFUNCTION("""COMPUTED_VALUE"""),"Mississauga, ON, CA")</f>
        <v>Mississauga, ON, CA</v>
      </c>
      <c r="U636" s="45"/>
      <c r="V636" s="45"/>
      <c r="W636" s="45"/>
      <c r="X636" s="45"/>
      <c r="Y636" s="46">
        <f ca="1">IFERROR(__xludf.DUMMYFUNCTION("""COMPUTED_VALUE"""),45838)</f>
        <v>45838</v>
      </c>
      <c r="Z636" s="46">
        <f ca="1">IFERROR(__xludf.DUMMYFUNCTION("""COMPUTED_VALUE"""),45859)</f>
        <v>45859</v>
      </c>
      <c r="AA636" s="46">
        <f ca="1">IFERROR(__xludf.DUMMYFUNCTION("""COMPUTED_VALUE"""),45859)</f>
        <v>45859</v>
      </c>
      <c r="AB636" s="45" t="str">
        <f ca="1">IFERROR(__xludf.DUMMYFUNCTION("""COMPUTED_VALUE"""),"3500 Argentia Road")</f>
        <v>3500 Argentia Road</v>
      </c>
      <c r="AC636" s="45"/>
      <c r="AD636" s="45" t="str">
        <f ca="1">IFERROR(__xludf.DUMMYFUNCTION("""COMPUTED_VALUE"""),"OCEAN")</f>
        <v>OCEAN</v>
      </c>
      <c r="AE636" s="45" t="str">
        <f ca="1">IFERROR(__xludf.DUMMYFUNCTION("""COMPUTED_VALUE"""),"N")</f>
        <v>N</v>
      </c>
      <c r="AF636" s="45"/>
      <c r="AG636" s="49" t="str">
        <f ca="1">IFERROR(__xludf.DUMMYFUNCTION("IFNA(vlookup(H636,IMPORTRANGE(""1vUGwO1n0QQGx9kKbO0_M5gmuhXZ6-LaxQxgrmJnzgP0"",""'TP# look up'!A:C""),3,0),"""")"),"")</f>
        <v/>
      </c>
      <c r="AH636" s="49" t="str">
        <f t="shared" ca="1" si="9"/>
        <v>LW</v>
      </c>
    </row>
    <row r="637" spans="1:34" ht="12.75">
      <c r="A637" s="45" t="str">
        <f ca="1">IFERROR(__xludf.DUMMYFUNCTION("""COMPUTED_VALUE"""),"Colombo")</f>
        <v>Colombo</v>
      </c>
      <c r="B637" s="45"/>
      <c r="C637" s="45">
        <f ca="1">IFERROR(__xludf.DUMMYFUNCTION("""COMPUTED_VALUE"""),3259512)</f>
        <v>3259512</v>
      </c>
      <c r="D637" s="45"/>
      <c r="E637" s="45" t="str">
        <f ca="1">IFERROR(__xludf.DUMMYFUNCTION("""COMPUTED_VALUE"""),"CFS")</f>
        <v>CFS</v>
      </c>
      <c r="F637" s="45" t="str">
        <f ca="1">IFERROR(__xludf.DUMMYFUNCTION("""COMPUTED_VALUE"""),"Bodyline Trading (Private) Limited")</f>
        <v>Bodyline Trading (Private) Limited</v>
      </c>
      <c r="G637" s="45" t="str">
        <f ca="1">IFERROR(__xludf.DUMMYFUNCTION("""COMPUTED_VALUE"""),"Bodyline (Private) Limited")</f>
        <v>Bodyline (Private) Limited</v>
      </c>
      <c r="H637" s="43">
        <f ca="1">IFERROR(__xludf.DUMMYFUNCTION("""COMPUTED_VALUE"""),454757248143)</f>
        <v>454757248143</v>
      </c>
      <c r="I637" s="45">
        <f ca="1">IFERROR(__xludf.DUMMYFUNCTION("""COMPUTED_VALUE"""),19877461)</f>
        <v>19877461</v>
      </c>
      <c r="J637" s="45" t="str">
        <f ca="1">IFERROR(__xludf.DUMMYFUNCTION("""COMPUTED_VALUE"""),"LW9DC3S")</f>
        <v>LW9DC3S</v>
      </c>
      <c r="K637" s="45" t="str">
        <f ca="1">IFERROR(__xludf.DUMMYFUNCTION("""COMPUTED_VALUE"""),"LW9DC3S-068971")</f>
        <v>LW9DC3S-068971</v>
      </c>
      <c r="L637" s="45">
        <f ca="1">IFERROR(__xludf.DUMMYFUNCTION("""COMPUTED_VALUE"""),3)</f>
        <v>3</v>
      </c>
      <c r="M637" s="45">
        <f ca="1">IFERROR(__xludf.DUMMYFUNCTION("""COMPUTED_VALUE"""),112)</f>
        <v>112</v>
      </c>
      <c r="N637" s="45">
        <f ca="1">IFERROR(__xludf.DUMMYFUNCTION("""COMPUTED_VALUE"""),9.494)</f>
        <v>9.4939999999999998</v>
      </c>
      <c r="O637" s="45">
        <f ca="1">IFERROR(__xludf.DUMMYFUNCTION("""COMPUTED_VALUE"""),0.132)</f>
        <v>0.13200000000000001</v>
      </c>
      <c r="P637" s="45" t="str">
        <f ca="1">IFERROR(__xludf.DUMMYFUNCTION("""COMPUTED_VALUE"""),"Colombo, LK")</f>
        <v>Colombo, LK</v>
      </c>
      <c r="Q637" s="45" t="str">
        <f ca="1">IFERROR(__xludf.DUMMYFUNCTION("""COMPUTED_VALUE"""),"New York, NY, US")</f>
        <v>New York, NY, US</v>
      </c>
      <c r="R637" s="44">
        <f ca="1">IFERROR(__xludf.DUMMYFUNCTION("""COMPUTED_VALUE"""),45831)</f>
        <v>45831</v>
      </c>
      <c r="S637" s="44">
        <f ca="1">IFERROR(__xludf.DUMMYFUNCTION("""COMPUTED_VALUE"""),45890)</f>
        <v>45890</v>
      </c>
      <c r="T637" s="45" t="str">
        <f ca="1">IFERROR(__xludf.DUMMYFUNCTION("""COMPUTED_VALUE"""),"Mississauga, ON, CA")</f>
        <v>Mississauga, ON, CA</v>
      </c>
      <c r="U637" s="45"/>
      <c r="V637" s="45"/>
      <c r="W637" s="45"/>
      <c r="X637" s="45"/>
      <c r="Y637" s="46">
        <f ca="1">IFERROR(__xludf.DUMMYFUNCTION("""COMPUTED_VALUE"""),45838)</f>
        <v>45838</v>
      </c>
      <c r="Z637" s="46">
        <f ca="1">IFERROR(__xludf.DUMMYFUNCTION("""COMPUTED_VALUE"""),45859)</f>
        <v>45859</v>
      </c>
      <c r="AA637" s="46">
        <f ca="1">IFERROR(__xludf.DUMMYFUNCTION("""COMPUTED_VALUE"""),45859)</f>
        <v>45859</v>
      </c>
      <c r="AB637" s="45" t="str">
        <f ca="1">IFERROR(__xludf.DUMMYFUNCTION("""COMPUTED_VALUE"""),"3500 Argentia Road")</f>
        <v>3500 Argentia Road</v>
      </c>
      <c r="AC637" s="45"/>
      <c r="AD637" s="45" t="str">
        <f ca="1">IFERROR(__xludf.DUMMYFUNCTION("""COMPUTED_VALUE"""),"OCEAN")</f>
        <v>OCEAN</v>
      </c>
      <c r="AE637" s="45" t="str">
        <f ca="1">IFERROR(__xludf.DUMMYFUNCTION("""COMPUTED_VALUE"""),"N")</f>
        <v>N</v>
      </c>
      <c r="AF637" s="45"/>
      <c r="AG637" s="49" t="str">
        <f ca="1">IFERROR(__xludf.DUMMYFUNCTION("IFNA(vlookup(H637,IMPORTRANGE(""1vUGwO1n0QQGx9kKbO0_M5gmuhXZ6-LaxQxgrmJnzgP0"",""'TP# look up'!A:C""),3,0),"""")"),"")</f>
        <v/>
      </c>
      <c r="AH637" s="49" t="str">
        <f t="shared" ca="1" si="9"/>
        <v>LW</v>
      </c>
    </row>
    <row r="638" spans="1:34" ht="12.75">
      <c r="A638" s="45" t="str">
        <f ca="1">IFERROR(__xludf.DUMMYFUNCTION("""COMPUTED_VALUE"""),"Colombo")</f>
        <v>Colombo</v>
      </c>
      <c r="B638" s="45"/>
      <c r="C638" s="45">
        <f ca="1">IFERROR(__xludf.DUMMYFUNCTION("""COMPUTED_VALUE"""),3259512)</f>
        <v>3259512</v>
      </c>
      <c r="D638" s="45"/>
      <c r="E638" s="45" t="str">
        <f ca="1">IFERROR(__xludf.DUMMYFUNCTION("""COMPUTED_VALUE"""),"CFS")</f>
        <v>CFS</v>
      </c>
      <c r="F638" s="45" t="str">
        <f ca="1">IFERROR(__xludf.DUMMYFUNCTION("""COMPUTED_VALUE"""),"Bodyline Trading (Private) Limited")</f>
        <v>Bodyline Trading (Private) Limited</v>
      </c>
      <c r="G638" s="45" t="str">
        <f ca="1">IFERROR(__xludf.DUMMYFUNCTION("""COMPUTED_VALUE"""),"Bodyline (Private) Limited")</f>
        <v>Bodyline (Private) Limited</v>
      </c>
      <c r="H638" s="43">
        <f ca="1">IFERROR(__xludf.DUMMYFUNCTION("""COMPUTED_VALUE"""),454757485442)</f>
        <v>454757485442</v>
      </c>
      <c r="I638" s="45">
        <f ca="1">IFERROR(__xludf.DUMMYFUNCTION("""COMPUTED_VALUE"""),19877751)</f>
        <v>19877751</v>
      </c>
      <c r="J638" s="45" t="str">
        <f ca="1">IFERROR(__xludf.DUMMYFUNCTION("""COMPUTED_VALUE"""),"LW2EHIS")</f>
        <v>LW2EHIS</v>
      </c>
      <c r="K638" s="45" t="str">
        <f ca="1">IFERROR(__xludf.DUMMYFUNCTION("""COMPUTED_VALUE"""),"LW2EHIS-0002")</f>
        <v>LW2EHIS-0002</v>
      </c>
      <c r="L638" s="45">
        <f ca="1">IFERROR(__xludf.DUMMYFUNCTION("""COMPUTED_VALUE"""),9)</f>
        <v>9</v>
      </c>
      <c r="M638" s="45">
        <f ca="1">IFERROR(__xludf.DUMMYFUNCTION("""COMPUTED_VALUE"""),76)</f>
        <v>76</v>
      </c>
      <c r="N638" s="45">
        <f ca="1">IFERROR(__xludf.DUMMYFUNCTION("""COMPUTED_VALUE"""),17.637)</f>
        <v>17.637</v>
      </c>
      <c r="O638" s="45">
        <f ca="1">IFERROR(__xludf.DUMMYFUNCTION("""COMPUTED_VALUE"""),0.395)</f>
        <v>0.39500000000000002</v>
      </c>
      <c r="P638" s="45" t="str">
        <f ca="1">IFERROR(__xludf.DUMMYFUNCTION("""COMPUTED_VALUE"""),"Colombo, LK")</f>
        <v>Colombo, LK</v>
      </c>
      <c r="Q638" s="45" t="str">
        <f ca="1">IFERROR(__xludf.DUMMYFUNCTION("""COMPUTED_VALUE"""),"New York, NY, US")</f>
        <v>New York, NY, US</v>
      </c>
      <c r="R638" s="44">
        <f ca="1">IFERROR(__xludf.DUMMYFUNCTION("""COMPUTED_VALUE"""),45831)</f>
        <v>45831</v>
      </c>
      <c r="S638" s="44">
        <f ca="1">IFERROR(__xludf.DUMMYFUNCTION("""COMPUTED_VALUE"""),45890)</f>
        <v>45890</v>
      </c>
      <c r="T638" s="45" t="str">
        <f ca="1">IFERROR(__xludf.DUMMYFUNCTION("""COMPUTED_VALUE"""),"Mississauga, ON, CA")</f>
        <v>Mississauga, ON, CA</v>
      </c>
      <c r="U638" s="45"/>
      <c r="V638" s="45"/>
      <c r="W638" s="45"/>
      <c r="X638" s="45"/>
      <c r="Y638" s="46">
        <f ca="1">IFERROR(__xludf.DUMMYFUNCTION("""COMPUTED_VALUE"""),45838)</f>
        <v>45838</v>
      </c>
      <c r="Z638" s="46">
        <f ca="1">IFERROR(__xludf.DUMMYFUNCTION("""COMPUTED_VALUE"""),45859)</f>
        <v>45859</v>
      </c>
      <c r="AA638" s="46">
        <f ca="1">IFERROR(__xludf.DUMMYFUNCTION("""COMPUTED_VALUE"""),45859)</f>
        <v>45859</v>
      </c>
      <c r="AB638" s="45" t="str">
        <f ca="1">IFERROR(__xludf.DUMMYFUNCTION("""COMPUTED_VALUE"""),"3500 Argentia Road")</f>
        <v>3500 Argentia Road</v>
      </c>
      <c r="AC638" s="45"/>
      <c r="AD638" s="45" t="str">
        <f ca="1">IFERROR(__xludf.DUMMYFUNCTION("""COMPUTED_VALUE"""),"OCEAN")</f>
        <v>OCEAN</v>
      </c>
      <c r="AE638" s="45" t="str">
        <f ca="1">IFERROR(__xludf.DUMMYFUNCTION("""COMPUTED_VALUE"""),"N")</f>
        <v>N</v>
      </c>
      <c r="AF638" s="45"/>
      <c r="AG638" s="49" t="str">
        <f ca="1">IFERROR(__xludf.DUMMYFUNCTION("IFNA(vlookup(H638,IMPORTRANGE(""1vUGwO1n0QQGx9kKbO0_M5gmuhXZ6-LaxQxgrmJnzgP0"",""'TP# look up'!A:C""),3,0),"""")"),"")</f>
        <v/>
      </c>
      <c r="AH638" s="49" t="str">
        <f t="shared" ca="1" si="9"/>
        <v>LW</v>
      </c>
    </row>
    <row r="639" spans="1:34" ht="12.75">
      <c r="A639" s="45" t="str">
        <f ca="1">IFERROR(__xludf.DUMMYFUNCTION("""COMPUTED_VALUE"""),"Colombo")</f>
        <v>Colombo</v>
      </c>
      <c r="B639" s="45"/>
      <c r="C639" s="45">
        <f ca="1">IFERROR(__xludf.DUMMYFUNCTION("""COMPUTED_VALUE"""),3259512)</f>
        <v>3259512</v>
      </c>
      <c r="D639" s="45"/>
      <c r="E639" s="45" t="str">
        <f ca="1">IFERROR(__xludf.DUMMYFUNCTION("""COMPUTED_VALUE"""),"CFS")</f>
        <v>CFS</v>
      </c>
      <c r="F639" s="45" t="str">
        <f ca="1">IFERROR(__xludf.DUMMYFUNCTION("""COMPUTED_VALUE"""),"Bodyline Trading (Private) Limited")</f>
        <v>Bodyline Trading (Private) Limited</v>
      </c>
      <c r="G639" s="45" t="str">
        <f ca="1">IFERROR(__xludf.DUMMYFUNCTION("""COMPUTED_VALUE"""),"Bodyline (Private) Limited")</f>
        <v>Bodyline (Private) Limited</v>
      </c>
      <c r="H639" s="43">
        <f ca="1">IFERROR(__xludf.DUMMYFUNCTION("""COMPUTED_VALUE"""),454757856820)</f>
        <v>454757856820</v>
      </c>
      <c r="I639" s="45">
        <f ca="1">IFERROR(__xludf.DUMMYFUNCTION("""COMPUTED_VALUE"""),19877787)</f>
        <v>19877787</v>
      </c>
      <c r="J639" s="45" t="str">
        <f ca="1">IFERROR(__xludf.DUMMYFUNCTION("""COMPUTED_VALUE"""),"LW2EHJS")</f>
        <v>LW2EHJS</v>
      </c>
      <c r="K639" s="45" t="str">
        <f ca="1">IFERROR(__xludf.DUMMYFUNCTION("""COMPUTED_VALUE"""),"LW2EHJS-035486")</f>
        <v>LW2EHJS-035486</v>
      </c>
      <c r="L639" s="45">
        <f ca="1">IFERROR(__xludf.DUMMYFUNCTION("""COMPUTED_VALUE"""),16)</f>
        <v>16</v>
      </c>
      <c r="M639" s="45">
        <f ca="1">IFERROR(__xludf.DUMMYFUNCTION("""COMPUTED_VALUE"""),194)</f>
        <v>194</v>
      </c>
      <c r="N639" s="45">
        <f ca="1">IFERROR(__xludf.DUMMYFUNCTION("""COMPUTED_VALUE"""),37.429)</f>
        <v>37.429000000000002</v>
      </c>
      <c r="O639" s="45">
        <f ca="1">IFERROR(__xludf.DUMMYFUNCTION("""COMPUTED_VALUE"""),0.703)</f>
        <v>0.70299999999999996</v>
      </c>
      <c r="P639" s="45" t="str">
        <f ca="1">IFERROR(__xludf.DUMMYFUNCTION("""COMPUTED_VALUE"""),"Colombo, LK")</f>
        <v>Colombo, LK</v>
      </c>
      <c r="Q639" s="45" t="str">
        <f ca="1">IFERROR(__xludf.DUMMYFUNCTION("""COMPUTED_VALUE"""),"New York, NY, US")</f>
        <v>New York, NY, US</v>
      </c>
      <c r="R639" s="44">
        <f ca="1">IFERROR(__xludf.DUMMYFUNCTION("""COMPUTED_VALUE"""),45831)</f>
        <v>45831</v>
      </c>
      <c r="S639" s="44">
        <f ca="1">IFERROR(__xludf.DUMMYFUNCTION("""COMPUTED_VALUE"""),45890)</f>
        <v>45890</v>
      </c>
      <c r="T639" s="45" t="str">
        <f ca="1">IFERROR(__xludf.DUMMYFUNCTION("""COMPUTED_VALUE"""),"Mississauga, ON, CA")</f>
        <v>Mississauga, ON, CA</v>
      </c>
      <c r="U639" s="45"/>
      <c r="V639" s="45"/>
      <c r="W639" s="45"/>
      <c r="X639" s="45"/>
      <c r="Y639" s="46">
        <f ca="1">IFERROR(__xludf.DUMMYFUNCTION("""COMPUTED_VALUE"""),45838)</f>
        <v>45838</v>
      </c>
      <c r="Z639" s="46">
        <f ca="1">IFERROR(__xludf.DUMMYFUNCTION("""COMPUTED_VALUE"""),45859)</f>
        <v>45859</v>
      </c>
      <c r="AA639" s="46">
        <f ca="1">IFERROR(__xludf.DUMMYFUNCTION("""COMPUTED_VALUE"""),45859)</f>
        <v>45859</v>
      </c>
      <c r="AB639" s="45" t="str">
        <f ca="1">IFERROR(__xludf.DUMMYFUNCTION("""COMPUTED_VALUE"""),"3500 Argentia Road")</f>
        <v>3500 Argentia Road</v>
      </c>
      <c r="AC639" s="45"/>
      <c r="AD639" s="45" t="str">
        <f ca="1">IFERROR(__xludf.DUMMYFUNCTION("""COMPUTED_VALUE"""),"OCEAN")</f>
        <v>OCEAN</v>
      </c>
      <c r="AE639" s="45" t="str">
        <f ca="1">IFERROR(__xludf.DUMMYFUNCTION("""COMPUTED_VALUE"""),"N")</f>
        <v>N</v>
      </c>
      <c r="AF639" s="45"/>
      <c r="AG639" s="49" t="str">
        <f ca="1">IFERROR(__xludf.DUMMYFUNCTION("IFNA(vlookup(H639,IMPORTRANGE(""1vUGwO1n0QQGx9kKbO0_M5gmuhXZ6-LaxQxgrmJnzgP0"",""'TP# look up'!A:C""),3,0),"""")"),"")</f>
        <v/>
      </c>
      <c r="AH639" s="49" t="str">
        <f t="shared" ca="1" si="9"/>
        <v>LW</v>
      </c>
    </row>
    <row r="640" spans="1:34" ht="12.75">
      <c r="A640" s="45" t="str">
        <f ca="1">IFERROR(__xludf.DUMMYFUNCTION("""COMPUTED_VALUE"""),"Colombo")</f>
        <v>Colombo</v>
      </c>
      <c r="B640" s="45"/>
      <c r="C640" s="45">
        <f ca="1">IFERROR(__xludf.DUMMYFUNCTION("""COMPUTED_VALUE"""),3259512)</f>
        <v>3259512</v>
      </c>
      <c r="D640" s="45"/>
      <c r="E640" s="45" t="str">
        <f ca="1">IFERROR(__xludf.DUMMYFUNCTION("""COMPUTED_VALUE"""),"CFS")</f>
        <v>CFS</v>
      </c>
      <c r="F640" s="45" t="str">
        <f ca="1">IFERROR(__xludf.DUMMYFUNCTION("""COMPUTED_VALUE"""),"Bodyline Trading (Private) Limited")</f>
        <v>Bodyline Trading (Private) Limited</v>
      </c>
      <c r="G640" s="45" t="str">
        <f ca="1">IFERROR(__xludf.DUMMYFUNCTION("""COMPUTED_VALUE"""),"Bodyline (Private) Limited")</f>
        <v>Bodyline (Private) Limited</v>
      </c>
      <c r="H640" s="43">
        <f ca="1">IFERROR(__xludf.DUMMYFUNCTION("""COMPUTED_VALUE"""),454757991386)</f>
        <v>454757991386</v>
      </c>
      <c r="I640" s="45">
        <f ca="1">IFERROR(__xludf.DUMMYFUNCTION("""COMPUTED_VALUE"""),19843779)</f>
        <v>19843779</v>
      </c>
      <c r="J640" s="45" t="str">
        <f ca="1">IFERROR(__xludf.DUMMYFUNCTION("""COMPUTED_VALUE"""),"LW1FM7S")</f>
        <v>LW1FM7S</v>
      </c>
      <c r="K640" s="45" t="str">
        <f ca="1">IFERROR(__xludf.DUMMYFUNCTION("""COMPUTED_VALUE"""),"LW1FM7S-070108")</f>
        <v>LW1FM7S-070108</v>
      </c>
      <c r="L640" s="45">
        <f ca="1">IFERROR(__xludf.DUMMYFUNCTION("""COMPUTED_VALUE"""),4)</f>
        <v>4</v>
      </c>
      <c r="M640" s="45">
        <f ca="1">IFERROR(__xludf.DUMMYFUNCTION("""COMPUTED_VALUE"""),218)</f>
        <v>218</v>
      </c>
      <c r="N640" s="45">
        <f ca="1">IFERROR(__xludf.DUMMYFUNCTION("""COMPUTED_VALUE"""),21.993)</f>
        <v>21.992999999999999</v>
      </c>
      <c r="O640" s="45">
        <f ca="1">IFERROR(__xludf.DUMMYFUNCTION("""COMPUTED_VALUE"""),0.176)</f>
        <v>0.17599999999999999</v>
      </c>
      <c r="P640" s="45" t="str">
        <f ca="1">IFERROR(__xludf.DUMMYFUNCTION("""COMPUTED_VALUE"""),"Colombo, LK")</f>
        <v>Colombo, LK</v>
      </c>
      <c r="Q640" s="45" t="str">
        <f ca="1">IFERROR(__xludf.DUMMYFUNCTION("""COMPUTED_VALUE"""),"New York, NY, US")</f>
        <v>New York, NY, US</v>
      </c>
      <c r="R640" s="44">
        <f ca="1">IFERROR(__xludf.DUMMYFUNCTION("""COMPUTED_VALUE"""),45831)</f>
        <v>45831</v>
      </c>
      <c r="S640" s="44">
        <f ca="1">IFERROR(__xludf.DUMMYFUNCTION("""COMPUTED_VALUE"""),45890)</f>
        <v>45890</v>
      </c>
      <c r="T640" s="45" t="str">
        <f ca="1">IFERROR(__xludf.DUMMYFUNCTION("""COMPUTED_VALUE"""),"Mississauga, ON, CA")</f>
        <v>Mississauga, ON, CA</v>
      </c>
      <c r="U640" s="45"/>
      <c r="V640" s="45"/>
      <c r="W640" s="45"/>
      <c r="X640" s="45"/>
      <c r="Y640" s="46">
        <f ca="1">IFERROR(__xludf.DUMMYFUNCTION("""COMPUTED_VALUE"""),45838)</f>
        <v>45838</v>
      </c>
      <c r="Z640" s="46">
        <f ca="1">IFERROR(__xludf.DUMMYFUNCTION("""COMPUTED_VALUE"""),45859)</f>
        <v>45859</v>
      </c>
      <c r="AA640" s="46">
        <f ca="1">IFERROR(__xludf.DUMMYFUNCTION("""COMPUTED_VALUE"""),45859)</f>
        <v>45859</v>
      </c>
      <c r="AB640" s="45" t="str">
        <f ca="1">IFERROR(__xludf.DUMMYFUNCTION("""COMPUTED_VALUE"""),"3500 Argentia Road")</f>
        <v>3500 Argentia Road</v>
      </c>
      <c r="AC640" s="45"/>
      <c r="AD640" s="45" t="str">
        <f ca="1">IFERROR(__xludf.DUMMYFUNCTION("""COMPUTED_VALUE"""),"OCEAN")</f>
        <v>OCEAN</v>
      </c>
      <c r="AE640" s="45" t="str">
        <f ca="1">IFERROR(__xludf.DUMMYFUNCTION("""COMPUTED_VALUE"""),"N")</f>
        <v>N</v>
      </c>
      <c r="AF640" s="45"/>
      <c r="AG640" s="49" t="str">
        <f ca="1">IFERROR(__xludf.DUMMYFUNCTION("IFNA(vlookup(H640,IMPORTRANGE(""1vUGwO1n0QQGx9kKbO0_M5gmuhXZ6-LaxQxgrmJnzgP0"",""'TP# look up'!A:C""),3,0),"""")"),"")</f>
        <v/>
      </c>
      <c r="AH640" s="49" t="str">
        <f t="shared" ca="1" si="9"/>
        <v>LW</v>
      </c>
    </row>
    <row r="641" spans="1:34" ht="12.75">
      <c r="A641" s="45" t="str">
        <f ca="1">IFERROR(__xludf.DUMMYFUNCTION("""COMPUTED_VALUE"""),"Colombo")</f>
        <v>Colombo</v>
      </c>
      <c r="B641" s="45"/>
      <c r="C641" s="45">
        <f ca="1">IFERROR(__xludf.DUMMYFUNCTION("""COMPUTED_VALUE"""),3259512)</f>
        <v>3259512</v>
      </c>
      <c r="D641" s="45"/>
      <c r="E641" s="45" t="str">
        <f ca="1">IFERROR(__xludf.DUMMYFUNCTION("""COMPUTED_VALUE"""),"CFS")</f>
        <v>CFS</v>
      </c>
      <c r="F641" s="45" t="str">
        <f ca="1">IFERROR(__xludf.DUMMYFUNCTION("""COMPUTED_VALUE"""),"Bodyline Trading (Private) Limited")</f>
        <v>Bodyline Trading (Private) Limited</v>
      </c>
      <c r="G641" s="45" t="str">
        <f ca="1">IFERROR(__xludf.DUMMYFUNCTION("""COMPUTED_VALUE"""),"Bodyline (Private) Limited")</f>
        <v>Bodyline (Private) Limited</v>
      </c>
      <c r="H641" s="43">
        <f ca="1">IFERROR(__xludf.DUMMYFUNCTION("""COMPUTED_VALUE"""),454758119736)</f>
        <v>454758119736</v>
      </c>
      <c r="I641" s="45">
        <f ca="1">IFERROR(__xludf.DUMMYFUNCTION("""COMPUTED_VALUE"""),19843776)</f>
        <v>19843776</v>
      </c>
      <c r="J641" s="45" t="str">
        <f ca="1">IFERROR(__xludf.DUMMYFUNCTION("""COMPUTED_VALUE"""),"LW1FM7S")</f>
        <v>LW1FM7S</v>
      </c>
      <c r="K641" s="45" t="str">
        <f ca="1">IFERROR(__xludf.DUMMYFUNCTION("""COMPUTED_VALUE"""),"LW1FM7S-070108")</f>
        <v>LW1FM7S-070108</v>
      </c>
      <c r="L641" s="45">
        <f ca="1">IFERROR(__xludf.DUMMYFUNCTION("""COMPUTED_VALUE"""),1)</f>
        <v>1</v>
      </c>
      <c r="M641" s="45">
        <f ca="1">IFERROR(__xludf.DUMMYFUNCTION("""COMPUTED_VALUE"""),15)</f>
        <v>15</v>
      </c>
      <c r="N641" s="45">
        <f ca="1">IFERROR(__xludf.DUMMYFUNCTION("""COMPUTED_VALUE"""),2.209)</f>
        <v>2.2090000000000001</v>
      </c>
      <c r="O641" s="45">
        <f ca="1">IFERROR(__xludf.DUMMYFUNCTION("""COMPUTED_VALUE"""),0.044)</f>
        <v>4.3999999999999997E-2</v>
      </c>
      <c r="P641" s="45" t="str">
        <f ca="1">IFERROR(__xludf.DUMMYFUNCTION("""COMPUTED_VALUE"""),"Colombo, LK")</f>
        <v>Colombo, LK</v>
      </c>
      <c r="Q641" s="45" t="str">
        <f ca="1">IFERROR(__xludf.DUMMYFUNCTION("""COMPUTED_VALUE"""),"New York, NY, US")</f>
        <v>New York, NY, US</v>
      </c>
      <c r="R641" s="44">
        <f ca="1">IFERROR(__xludf.DUMMYFUNCTION("""COMPUTED_VALUE"""),45831)</f>
        <v>45831</v>
      </c>
      <c r="S641" s="44">
        <f ca="1">IFERROR(__xludf.DUMMYFUNCTION("""COMPUTED_VALUE"""),45890)</f>
        <v>45890</v>
      </c>
      <c r="T641" s="45" t="str">
        <f ca="1">IFERROR(__xludf.DUMMYFUNCTION("""COMPUTED_VALUE"""),"Milton, ON, CA")</f>
        <v>Milton, ON, CA</v>
      </c>
      <c r="U641" s="45"/>
      <c r="V641" s="45"/>
      <c r="W641" s="45"/>
      <c r="X641" s="45"/>
      <c r="Y641" s="46">
        <f ca="1">IFERROR(__xludf.DUMMYFUNCTION("""COMPUTED_VALUE"""),45838)</f>
        <v>45838</v>
      </c>
      <c r="Z641" s="46">
        <f ca="1">IFERROR(__xludf.DUMMYFUNCTION("""COMPUTED_VALUE"""),45859)</f>
        <v>45859</v>
      </c>
      <c r="AA641" s="46">
        <f ca="1">IFERROR(__xludf.DUMMYFUNCTION("""COMPUTED_VALUE"""),45859)</f>
        <v>45859</v>
      </c>
      <c r="AB641" s="45" t="str">
        <f ca="1">IFERROR(__xludf.DUMMYFUNCTION("""COMPUTED_VALUE"""),"7211 Fifth Line")</f>
        <v>7211 Fifth Line</v>
      </c>
      <c r="AC641" s="45"/>
      <c r="AD641" s="45" t="str">
        <f ca="1">IFERROR(__xludf.DUMMYFUNCTION("""COMPUTED_VALUE"""),"OCEAN")</f>
        <v>OCEAN</v>
      </c>
      <c r="AE641" s="45" t="str">
        <f ca="1">IFERROR(__xludf.DUMMYFUNCTION("""COMPUTED_VALUE"""),"N")</f>
        <v>N</v>
      </c>
      <c r="AF641" s="45"/>
      <c r="AG641" s="49" t="str">
        <f ca="1">IFERROR(__xludf.DUMMYFUNCTION("IFNA(vlookup(H641,IMPORTRANGE(""1vUGwO1n0QQGx9kKbO0_M5gmuhXZ6-LaxQxgrmJnzgP0"",""'TP# look up'!A:C""),3,0),"""")"),"")</f>
        <v/>
      </c>
      <c r="AH641" s="49" t="str">
        <f t="shared" ca="1" si="9"/>
        <v>LW</v>
      </c>
    </row>
    <row r="642" spans="1:34" ht="12.75">
      <c r="A642" s="45" t="str">
        <f ca="1">IFERROR(__xludf.DUMMYFUNCTION("""COMPUTED_VALUE"""),"Colombo")</f>
        <v>Colombo</v>
      </c>
      <c r="B642" s="45"/>
      <c r="C642" s="45">
        <f ca="1">IFERROR(__xludf.DUMMYFUNCTION("""COMPUTED_VALUE"""),3259512)</f>
        <v>3259512</v>
      </c>
      <c r="D642" s="45"/>
      <c r="E642" s="45" t="str">
        <f ca="1">IFERROR(__xludf.DUMMYFUNCTION("""COMPUTED_VALUE"""),"CFS")</f>
        <v>CFS</v>
      </c>
      <c r="F642" s="45" t="str">
        <f ca="1">IFERROR(__xludf.DUMMYFUNCTION("""COMPUTED_VALUE"""),"Bodyline Trading (Private) Limited")</f>
        <v>Bodyline Trading (Private) Limited</v>
      </c>
      <c r="G642" s="45" t="str">
        <f ca="1">IFERROR(__xludf.DUMMYFUNCTION("""COMPUTED_VALUE"""),"Bodyline (Private) Limited")</f>
        <v>Bodyline (Private) Limited</v>
      </c>
      <c r="H642" s="43">
        <f ca="1">IFERROR(__xludf.DUMMYFUNCTION("""COMPUTED_VALUE"""),454758273743)</f>
        <v>454758273743</v>
      </c>
      <c r="I642" s="45">
        <f ca="1">IFERROR(__xludf.DUMMYFUNCTION("""COMPUTED_VALUE"""),19877395)</f>
        <v>19877395</v>
      </c>
      <c r="J642" s="45" t="str">
        <f ca="1">IFERROR(__xludf.DUMMYFUNCTION("""COMPUTED_VALUE"""),"LW9DC3S")</f>
        <v>LW9DC3S</v>
      </c>
      <c r="K642" s="45" t="str">
        <f ca="1">IFERROR(__xludf.DUMMYFUNCTION("""COMPUTED_VALUE"""),"LW9DC3S-073330")</f>
        <v>LW9DC3S-073330</v>
      </c>
      <c r="L642" s="45">
        <f ca="1">IFERROR(__xludf.DUMMYFUNCTION("""COMPUTED_VALUE"""),7)</f>
        <v>7</v>
      </c>
      <c r="M642" s="45">
        <f ca="1">IFERROR(__xludf.DUMMYFUNCTION("""COMPUTED_VALUE"""),421)</f>
        <v>421</v>
      </c>
      <c r="N642" s="45">
        <f ca="1">IFERROR(__xludf.DUMMYFUNCTION("""COMPUTED_VALUE"""),31.427)</f>
        <v>31.427</v>
      </c>
      <c r="O642" s="45">
        <f ca="1">IFERROR(__xludf.DUMMYFUNCTION("""COMPUTED_VALUE"""),0.307)</f>
        <v>0.307</v>
      </c>
      <c r="P642" s="45" t="str">
        <f ca="1">IFERROR(__xludf.DUMMYFUNCTION("""COMPUTED_VALUE"""),"Colombo, LK")</f>
        <v>Colombo, LK</v>
      </c>
      <c r="Q642" s="45" t="str">
        <f ca="1">IFERROR(__xludf.DUMMYFUNCTION("""COMPUTED_VALUE"""),"New York, NY, US")</f>
        <v>New York, NY, US</v>
      </c>
      <c r="R642" s="44">
        <f ca="1">IFERROR(__xludf.DUMMYFUNCTION("""COMPUTED_VALUE"""),45831)</f>
        <v>45831</v>
      </c>
      <c r="S642" s="44">
        <f ca="1">IFERROR(__xludf.DUMMYFUNCTION("""COMPUTED_VALUE"""),45890)</f>
        <v>45890</v>
      </c>
      <c r="T642" s="45" t="str">
        <f ca="1">IFERROR(__xludf.DUMMYFUNCTION("""COMPUTED_VALUE"""),"Milton, ON, CA")</f>
        <v>Milton, ON, CA</v>
      </c>
      <c r="U642" s="45"/>
      <c r="V642" s="45"/>
      <c r="W642" s="45"/>
      <c r="X642" s="45"/>
      <c r="Y642" s="46">
        <f ca="1">IFERROR(__xludf.DUMMYFUNCTION("""COMPUTED_VALUE"""),45838)</f>
        <v>45838</v>
      </c>
      <c r="Z642" s="46">
        <f ca="1">IFERROR(__xludf.DUMMYFUNCTION("""COMPUTED_VALUE"""),45859)</f>
        <v>45859</v>
      </c>
      <c r="AA642" s="46">
        <f ca="1">IFERROR(__xludf.DUMMYFUNCTION("""COMPUTED_VALUE"""),45859)</f>
        <v>45859</v>
      </c>
      <c r="AB642" s="45" t="str">
        <f ca="1">IFERROR(__xludf.DUMMYFUNCTION("""COMPUTED_VALUE"""),"7211 Fifth Line")</f>
        <v>7211 Fifth Line</v>
      </c>
      <c r="AC642" s="45"/>
      <c r="AD642" s="45" t="str">
        <f ca="1">IFERROR(__xludf.DUMMYFUNCTION("""COMPUTED_VALUE"""),"OCEAN")</f>
        <v>OCEAN</v>
      </c>
      <c r="AE642" s="45" t="str">
        <f ca="1">IFERROR(__xludf.DUMMYFUNCTION("""COMPUTED_VALUE"""),"N")</f>
        <v>N</v>
      </c>
      <c r="AF642" s="45"/>
      <c r="AG642" s="49" t="str">
        <f ca="1">IFERROR(__xludf.DUMMYFUNCTION("IFNA(vlookup(H642,IMPORTRANGE(""1vUGwO1n0QQGx9kKbO0_M5gmuhXZ6-LaxQxgrmJnzgP0"",""'TP# look up'!A:C""),3,0),"""")"),"")</f>
        <v/>
      </c>
      <c r="AH642" s="49" t="str">
        <f t="shared" ref="AH642:AH705" ca="1" si="10">LEFT(J642,2)</f>
        <v>LW</v>
      </c>
    </row>
    <row r="643" spans="1:34" ht="12.75">
      <c r="A643" s="45" t="str">
        <f ca="1">IFERROR(__xludf.DUMMYFUNCTION("""COMPUTED_VALUE"""),"Colombo")</f>
        <v>Colombo</v>
      </c>
      <c r="B643" s="45"/>
      <c r="C643" s="45">
        <f ca="1">IFERROR(__xludf.DUMMYFUNCTION("""COMPUTED_VALUE"""),3259512)</f>
        <v>3259512</v>
      </c>
      <c r="D643" s="45"/>
      <c r="E643" s="45" t="str">
        <f ca="1">IFERROR(__xludf.DUMMYFUNCTION("""COMPUTED_VALUE"""),"CFS")</f>
        <v>CFS</v>
      </c>
      <c r="F643" s="45" t="str">
        <f ca="1">IFERROR(__xludf.DUMMYFUNCTION("""COMPUTED_VALUE"""),"Bodyline Trading (Private) Limited")</f>
        <v>Bodyline Trading (Private) Limited</v>
      </c>
      <c r="G643" s="45" t="str">
        <f ca="1">IFERROR(__xludf.DUMMYFUNCTION("""COMPUTED_VALUE"""),"Bodyline (Private) Limited")</f>
        <v>Bodyline (Private) Limited</v>
      </c>
      <c r="H643" s="43">
        <f ca="1">IFERROR(__xludf.DUMMYFUNCTION("""COMPUTED_VALUE"""),454759049957)</f>
        <v>454759049957</v>
      </c>
      <c r="I643" s="45">
        <f ca="1">IFERROR(__xludf.DUMMYFUNCTION("""COMPUTED_VALUE"""),19877437)</f>
        <v>19877437</v>
      </c>
      <c r="J643" s="45" t="str">
        <f ca="1">IFERROR(__xludf.DUMMYFUNCTION("""COMPUTED_VALUE"""),"LW9DC3S")</f>
        <v>LW9DC3S</v>
      </c>
      <c r="K643" s="45" t="str">
        <f ca="1">IFERROR(__xludf.DUMMYFUNCTION("""COMPUTED_VALUE"""),"LW9DC3S-068971")</f>
        <v>LW9DC3S-068971</v>
      </c>
      <c r="L643" s="45">
        <f ca="1">IFERROR(__xludf.DUMMYFUNCTION("""COMPUTED_VALUE"""),6)</f>
        <v>6</v>
      </c>
      <c r="M643" s="45">
        <f ca="1">IFERROR(__xludf.DUMMYFUNCTION("""COMPUTED_VALUE"""),374)</f>
        <v>374</v>
      </c>
      <c r="N643" s="45">
        <f ca="1">IFERROR(__xludf.DUMMYFUNCTION("""COMPUTED_VALUE"""),27.728)</f>
        <v>27.728000000000002</v>
      </c>
      <c r="O643" s="45">
        <f ca="1">IFERROR(__xludf.DUMMYFUNCTION("""COMPUTED_VALUE"""),0.264)</f>
        <v>0.26400000000000001</v>
      </c>
      <c r="P643" s="45" t="str">
        <f ca="1">IFERROR(__xludf.DUMMYFUNCTION("""COMPUTED_VALUE"""),"Colombo, LK")</f>
        <v>Colombo, LK</v>
      </c>
      <c r="Q643" s="45" t="str">
        <f ca="1">IFERROR(__xludf.DUMMYFUNCTION("""COMPUTED_VALUE"""),"New York, NY, US")</f>
        <v>New York, NY, US</v>
      </c>
      <c r="R643" s="44">
        <f ca="1">IFERROR(__xludf.DUMMYFUNCTION("""COMPUTED_VALUE"""),45831)</f>
        <v>45831</v>
      </c>
      <c r="S643" s="44">
        <f ca="1">IFERROR(__xludf.DUMMYFUNCTION("""COMPUTED_VALUE"""),45890)</f>
        <v>45890</v>
      </c>
      <c r="T643" s="45" t="str">
        <f ca="1">IFERROR(__xludf.DUMMYFUNCTION("""COMPUTED_VALUE"""),"Milton, ON, CA")</f>
        <v>Milton, ON, CA</v>
      </c>
      <c r="U643" s="45"/>
      <c r="V643" s="45"/>
      <c r="W643" s="45"/>
      <c r="X643" s="45"/>
      <c r="Y643" s="46">
        <f ca="1">IFERROR(__xludf.DUMMYFUNCTION("""COMPUTED_VALUE"""),45838)</f>
        <v>45838</v>
      </c>
      <c r="Z643" s="46">
        <f ca="1">IFERROR(__xludf.DUMMYFUNCTION("""COMPUTED_VALUE"""),45859)</f>
        <v>45859</v>
      </c>
      <c r="AA643" s="46">
        <f ca="1">IFERROR(__xludf.DUMMYFUNCTION("""COMPUTED_VALUE"""),45859)</f>
        <v>45859</v>
      </c>
      <c r="AB643" s="45" t="str">
        <f ca="1">IFERROR(__xludf.DUMMYFUNCTION("""COMPUTED_VALUE"""),"7211 Fifth Line")</f>
        <v>7211 Fifth Line</v>
      </c>
      <c r="AC643" s="45"/>
      <c r="AD643" s="45" t="str">
        <f ca="1">IFERROR(__xludf.DUMMYFUNCTION("""COMPUTED_VALUE"""),"OCEAN")</f>
        <v>OCEAN</v>
      </c>
      <c r="AE643" s="45" t="str">
        <f ca="1">IFERROR(__xludf.DUMMYFUNCTION("""COMPUTED_VALUE"""),"N")</f>
        <v>N</v>
      </c>
      <c r="AF643" s="45"/>
      <c r="AG643" s="49" t="str">
        <f ca="1">IFERROR(__xludf.DUMMYFUNCTION("IFNA(vlookup(H643,IMPORTRANGE(""1vUGwO1n0QQGx9kKbO0_M5gmuhXZ6-LaxQxgrmJnzgP0"",""'TP# look up'!A:C""),3,0),"""")"),"")</f>
        <v/>
      </c>
      <c r="AH643" s="49" t="str">
        <f t="shared" ca="1" si="10"/>
        <v>LW</v>
      </c>
    </row>
    <row r="644" spans="1:34" ht="12.75">
      <c r="A644" s="45" t="str">
        <f ca="1">IFERROR(__xludf.DUMMYFUNCTION("""COMPUTED_VALUE"""),"Colombo")</f>
        <v>Colombo</v>
      </c>
      <c r="B644" s="45"/>
      <c r="C644" s="45">
        <f ca="1">IFERROR(__xludf.DUMMYFUNCTION("""COMPUTED_VALUE"""),3259512)</f>
        <v>3259512</v>
      </c>
      <c r="D644" s="45"/>
      <c r="E644" s="45" t="str">
        <f ca="1">IFERROR(__xludf.DUMMYFUNCTION("""COMPUTED_VALUE"""),"CFS")</f>
        <v>CFS</v>
      </c>
      <c r="F644" s="45" t="str">
        <f ca="1">IFERROR(__xludf.DUMMYFUNCTION("""COMPUTED_VALUE"""),"Bodyline Trading (Private) Limited")</f>
        <v>Bodyline Trading (Private) Limited</v>
      </c>
      <c r="G644" s="45" t="str">
        <f ca="1">IFERROR(__xludf.DUMMYFUNCTION("""COMPUTED_VALUE"""),"Bodyline (Private) Limited")</f>
        <v>Bodyline (Private) Limited</v>
      </c>
      <c r="H644" s="43">
        <f ca="1">IFERROR(__xludf.DUMMYFUNCTION("""COMPUTED_VALUE"""),454759050147)</f>
        <v>454759050147</v>
      </c>
      <c r="I644" s="45">
        <f ca="1">IFERROR(__xludf.DUMMYFUNCTION("""COMPUTED_VALUE"""),19877423)</f>
        <v>19877423</v>
      </c>
      <c r="J644" s="45" t="str">
        <f ca="1">IFERROR(__xludf.DUMMYFUNCTION("""COMPUTED_VALUE"""),"LW9DC3S")</f>
        <v>LW9DC3S</v>
      </c>
      <c r="K644" s="45" t="str">
        <f ca="1">IFERROR(__xludf.DUMMYFUNCTION("""COMPUTED_VALUE"""),"LW9DC3S-073330")</f>
        <v>LW9DC3S-073330</v>
      </c>
      <c r="L644" s="45">
        <f ca="1">IFERROR(__xludf.DUMMYFUNCTION("""COMPUTED_VALUE"""),3)</f>
        <v>3</v>
      </c>
      <c r="M644" s="45">
        <f ca="1">IFERROR(__xludf.DUMMYFUNCTION("""COMPUTED_VALUE"""),120)</f>
        <v>120</v>
      </c>
      <c r="N644" s="45">
        <f ca="1">IFERROR(__xludf.DUMMYFUNCTION("""COMPUTED_VALUE"""),9.988)</f>
        <v>9.9879999999999995</v>
      </c>
      <c r="O644" s="45">
        <f ca="1">IFERROR(__xludf.DUMMYFUNCTION("""COMPUTED_VALUE"""),0.132)</f>
        <v>0.13200000000000001</v>
      </c>
      <c r="P644" s="45" t="str">
        <f ca="1">IFERROR(__xludf.DUMMYFUNCTION("""COMPUTED_VALUE"""),"Colombo, LK")</f>
        <v>Colombo, LK</v>
      </c>
      <c r="Q644" s="45" t="str">
        <f ca="1">IFERROR(__xludf.DUMMYFUNCTION("""COMPUTED_VALUE"""),"New York, NY, US")</f>
        <v>New York, NY, US</v>
      </c>
      <c r="R644" s="44">
        <f ca="1">IFERROR(__xludf.DUMMYFUNCTION("""COMPUTED_VALUE"""),45831)</f>
        <v>45831</v>
      </c>
      <c r="S644" s="44">
        <f ca="1">IFERROR(__xludf.DUMMYFUNCTION("""COMPUTED_VALUE"""),45890)</f>
        <v>45890</v>
      </c>
      <c r="T644" s="45" t="str">
        <f ca="1">IFERROR(__xludf.DUMMYFUNCTION("""COMPUTED_VALUE"""),"Mississauga, ON, CA")</f>
        <v>Mississauga, ON, CA</v>
      </c>
      <c r="U644" s="45"/>
      <c r="V644" s="45"/>
      <c r="W644" s="45"/>
      <c r="X644" s="45"/>
      <c r="Y644" s="46">
        <f ca="1">IFERROR(__xludf.DUMMYFUNCTION("""COMPUTED_VALUE"""),45838)</f>
        <v>45838</v>
      </c>
      <c r="Z644" s="46">
        <f ca="1">IFERROR(__xludf.DUMMYFUNCTION("""COMPUTED_VALUE"""),45859)</f>
        <v>45859</v>
      </c>
      <c r="AA644" s="46">
        <f ca="1">IFERROR(__xludf.DUMMYFUNCTION("""COMPUTED_VALUE"""),45859)</f>
        <v>45859</v>
      </c>
      <c r="AB644" s="45" t="str">
        <f ca="1">IFERROR(__xludf.DUMMYFUNCTION("""COMPUTED_VALUE"""),"3500 Argentia Road")</f>
        <v>3500 Argentia Road</v>
      </c>
      <c r="AC644" s="45"/>
      <c r="AD644" s="45" t="str">
        <f ca="1">IFERROR(__xludf.DUMMYFUNCTION("""COMPUTED_VALUE"""),"OCEAN")</f>
        <v>OCEAN</v>
      </c>
      <c r="AE644" s="45" t="str">
        <f ca="1">IFERROR(__xludf.DUMMYFUNCTION("""COMPUTED_VALUE"""),"N")</f>
        <v>N</v>
      </c>
      <c r="AF644" s="45"/>
      <c r="AG644" s="49" t="str">
        <f ca="1">IFERROR(__xludf.DUMMYFUNCTION("IFNA(vlookup(H644,IMPORTRANGE(""1vUGwO1n0QQGx9kKbO0_M5gmuhXZ6-LaxQxgrmJnzgP0"",""'TP# look up'!A:C""),3,0),"""")"),"")</f>
        <v/>
      </c>
      <c r="AH644" s="49" t="str">
        <f t="shared" ca="1" si="10"/>
        <v>LW</v>
      </c>
    </row>
    <row r="645" spans="1:34" ht="12.75">
      <c r="A645" s="45" t="str">
        <f ca="1">IFERROR(__xludf.DUMMYFUNCTION("""COMPUTED_VALUE"""),"Colombo")</f>
        <v>Colombo</v>
      </c>
      <c r="B645" s="45"/>
      <c r="C645" s="45">
        <f ca="1">IFERROR(__xludf.DUMMYFUNCTION("""COMPUTED_VALUE"""),3259512)</f>
        <v>3259512</v>
      </c>
      <c r="D645" s="45"/>
      <c r="E645" s="45" t="str">
        <f ca="1">IFERROR(__xludf.DUMMYFUNCTION("""COMPUTED_VALUE"""),"CFS")</f>
        <v>CFS</v>
      </c>
      <c r="F645" s="45" t="str">
        <f ca="1">IFERROR(__xludf.DUMMYFUNCTION("""COMPUTED_VALUE"""),"Bodyline Trading (Private) Limited")</f>
        <v>Bodyline Trading (Private) Limited</v>
      </c>
      <c r="G645" s="45" t="str">
        <f ca="1">IFERROR(__xludf.DUMMYFUNCTION("""COMPUTED_VALUE"""),"Bodyline (Private) Limited")</f>
        <v>Bodyline (Private) Limited</v>
      </c>
      <c r="H645" s="43">
        <f ca="1">IFERROR(__xludf.DUMMYFUNCTION("""COMPUTED_VALUE"""),454759075036)</f>
        <v>454759075036</v>
      </c>
      <c r="I645" s="45">
        <f ca="1">IFERROR(__xludf.DUMMYFUNCTION("""COMPUTED_VALUE"""),19877726)</f>
        <v>19877726</v>
      </c>
      <c r="J645" s="45" t="str">
        <f ca="1">IFERROR(__xludf.DUMMYFUNCTION("""COMPUTED_VALUE"""),"LW9DC3S")</f>
        <v>LW9DC3S</v>
      </c>
      <c r="K645" s="45" t="str">
        <f ca="1">IFERROR(__xludf.DUMMYFUNCTION("""COMPUTED_VALUE"""),"LW9DC3S-068971")</f>
        <v>LW9DC3S-068971</v>
      </c>
      <c r="L645" s="45">
        <f ca="1">IFERROR(__xludf.DUMMYFUNCTION("""COMPUTED_VALUE"""),6)</f>
        <v>6</v>
      </c>
      <c r="M645" s="45">
        <f ca="1">IFERROR(__xludf.DUMMYFUNCTION("""COMPUTED_VALUE"""),325)</f>
        <v>325</v>
      </c>
      <c r="N645" s="45">
        <f ca="1">IFERROR(__xludf.DUMMYFUNCTION("""COMPUTED_VALUE"""),24.843)</f>
        <v>24.843</v>
      </c>
      <c r="O645" s="45">
        <f ca="1">IFERROR(__xludf.DUMMYFUNCTION("""COMPUTED_VALUE"""),0.264)</f>
        <v>0.26400000000000001</v>
      </c>
      <c r="P645" s="45" t="str">
        <f ca="1">IFERROR(__xludf.DUMMYFUNCTION("""COMPUTED_VALUE"""),"Colombo, LK")</f>
        <v>Colombo, LK</v>
      </c>
      <c r="Q645" s="45" t="str">
        <f ca="1">IFERROR(__xludf.DUMMYFUNCTION("""COMPUTED_VALUE"""),"New York, NY, US")</f>
        <v>New York, NY, US</v>
      </c>
      <c r="R645" s="44">
        <f ca="1">IFERROR(__xludf.DUMMYFUNCTION("""COMPUTED_VALUE"""),45831)</f>
        <v>45831</v>
      </c>
      <c r="S645" s="44">
        <f ca="1">IFERROR(__xludf.DUMMYFUNCTION("""COMPUTED_VALUE"""),45890)</f>
        <v>45890</v>
      </c>
      <c r="T645" s="45" t="str">
        <f ca="1">IFERROR(__xludf.DUMMYFUNCTION("""COMPUTED_VALUE"""),"Mississauga, ON, CA")</f>
        <v>Mississauga, ON, CA</v>
      </c>
      <c r="U645" s="45"/>
      <c r="V645" s="45"/>
      <c r="W645" s="45"/>
      <c r="X645" s="45"/>
      <c r="Y645" s="46">
        <f ca="1">IFERROR(__xludf.DUMMYFUNCTION("""COMPUTED_VALUE"""),45838)</f>
        <v>45838</v>
      </c>
      <c r="Z645" s="46">
        <f ca="1">IFERROR(__xludf.DUMMYFUNCTION("""COMPUTED_VALUE"""),45859)</f>
        <v>45859</v>
      </c>
      <c r="AA645" s="46">
        <f ca="1">IFERROR(__xludf.DUMMYFUNCTION("""COMPUTED_VALUE"""),45859)</f>
        <v>45859</v>
      </c>
      <c r="AB645" s="45" t="str">
        <f ca="1">IFERROR(__xludf.DUMMYFUNCTION("""COMPUTED_VALUE"""),"3500 Argentia Road")</f>
        <v>3500 Argentia Road</v>
      </c>
      <c r="AC645" s="45"/>
      <c r="AD645" s="45" t="str">
        <f ca="1">IFERROR(__xludf.DUMMYFUNCTION("""COMPUTED_VALUE"""),"OCEAN")</f>
        <v>OCEAN</v>
      </c>
      <c r="AE645" s="45" t="str">
        <f ca="1">IFERROR(__xludf.DUMMYFUNCTION("""COMPUTED_VALUE"""),"N")</f>
        <v>N</v>
      </c>
      <c r="AF645" s="45"/>
      <c r="AG645" s="49" t="str">
        <f ca="1">IFERROR(__xludf.DUMMYFUNCTION("IFNA(vlookup(H645,IMPORTRANGE(""1vUGwO1n0QQGx9kKbO0_M5gmuhXZ6-LaxQxgrmJnzgP0"",""'TP# look up'!A:C""),3,0),"""")"),"")</f>
        <v/>
      </c>
      <c r="AH645" s="49" t="str">
        <f t="shared" ca="1" si="10"/>
        <v>LW</v>
      </c>
    </row>
    <row r="646" spans="1:34" ht="12.75">
      <c r="A646" s="45" t="str">
        <f ca="1">IFERROR(__xludf.DUMMYFUNCTION("""COMPUTED_VALUE"""),"Colombo")</f>
        <v>Colombo</v>
      </c>
      <c r="B646" s="45"/>
      <c r="C646" s="45">
        <f ca="1">IFERROR(__xludf.DUMMYFUNCTION("""COMPUTED_VALUE"""),3259512)</f>
        <v>3259512</v>
      </c>
      <c r="D646" s="45"/>
      <c r="E646" s="45" t="str">
        <f ca="1">IFERROR(__xludf.DUMMYFUNCTION("""COMPUTED_VALUE"""),"CFS")</f>
        <v>CFS</v>
      </c>
      <c r="F646" s="45" t="str">
        <f ca="1">IFERROR(__xludf.DUMMYFUNCTION("""COMPUTED_VALUE"""),"Bodyline Trading (Private) Limited")</f>
        <v>Bodyline Trading (Private) Limited</v>
      </c>
      <c r="G646" s="45" t="str">
        <f ca="1">IFERROR(__xludf.DUMMYFUNCTION("""COMPUTED_VALUE"""),"Bodyline (Private) Limited")</f>
        <v>Bodyline (Private) Limited</v>
      </c>
      <c r="H646" s="43">
        <f ca="1">IFERROR(__xludf.DUMMYFUNCTION("""COMPUTED_VALUE"""),454759594454)</f>
        <v>454759594454</v>
      </c>
      <c r="I646" s="45">
        <f ca="1">IFERROR(__xludf.DUMMYFUNCTION("""COMPUTED_VALUE"""),19877495)</f>
        <v>19877495</v>
      </c>
      <c r="J646" s="45" t="str">
        <f ca="1">IFERROR(__xludf.DUMMYFUNCTION("""COMPUTED_VALUE"""),"LW9DC4S")</f>
        <v>LW9DC4S</v>
      </c>
      <c r="K646" s="45" t="str">
        <f ca="1">IFERROR(__xludf.DUMMYFUNCTION("""COMPUTED_VALUE"""),"LW9DC4S-068971")</f>
        <v>LW9DC4S-068971</v>
      </c>
      <c r="L646" s="45">
        <f ca="1">IFERROR(__xludf.DUMMYFUNCTION("""COMPUTED_VALUE"""),3)</f>
        <v>3</v>
      </c>
      <c r="M646" s="45">
        <f ca="1">IFERROR(__xludf.DUMMYFUNCTION("""COMPUTED_VALUE"""),125)</f>
        <v>125</v>
      </c>
      <c r="N646" s="45">
        <f ca="1">IFERROR(__xludf.DUMMYFUNCTION("""COMPUTED_VALUE"""),12.625)</f>
        <v>12.625</v>
      </c>
      <c r="O646" s="45">
        <f ca="1">IFERROR(__xludf.DUMMYFUNCTION("""COMPUTED_VALUE"""),0.132)</f>
        <v>0.13200000000000001</v>
      </c>
      <c r="P646" s="45" t="str">
        <f ca="1">IFERROR(__xludf.DUMMYFUNCTION("""COMPUTED_VALUE"""),"Colombo, LK")</f>
        <v>Colombo, LK</v>
      </c>
      <c r="Q646" s="45" t="str">
        <f ca="1">IFERROR(__xludf.DUMMYFUNCTION("""COMPUTED_VALUE"""),"New York, NY, US")</f>
        <v>New York, NY, US</v>
      </c>
      <c r="R646" s="44">
        <f ca="1">IFERROR(__xludf.DUMMYFUNCTION("""COMPUTED_VALUE"""),45831)</f>
        <v>45831</v>
      </c>
      <c r="S646" s="44">
        <f ca="1">IFERROR(__xludf.DUMMYFUNCTION("""COMPUTED_VALUE"""),45890)</f>
        <v>45890</v>
      </c>
      <c r="T646" s="45" t="str">
        <f ca="1">IFERROR(__xludf.DUMMYFUNCTION("""COMPUTED_VALUE"""),"Mississauga, ON, CA")</f>
        <v>Mississauga, ON, CA</v>
      </c>
      <c r="U646" s="45"/>
      <c r="V646" s="45"/>
      <c r="W646" s="45"/>
      <c r="X646" s="45"/>
      <c r="Y646" s="46">
        <f ca="1">IFERROR(__xludf.DUMMYFUNCTION("""COMPUTED_VALUE"""),45838)</f>
        <v>45838</v>
      </c>
      <c r="Z646" s="46">
        <f ca="1">IFERROR(__xludf.DUMMYFUNCTION("""COMPUTED_VALUE"""),45859)</f>
        <v>45859</v>
      </c>
      <c r="AA646" s="46">
        <f ca="1">IFERROR(__xludf.DUMMYFUNCTION("""COMPUTED_VALUE"""),45859)</f>
        <v>45859</v>
      </c>
      <c r="AB646" s="45" t="str">
        <f ca="1">IFERROR(__xludf.DUMMYFUNCTION("""COMPUTED_VALUE"""),"3500 Argentia Road")</f>
        <v>3500 Argentia Road</v>
      </c>
      <c r="AC646" s="45"/>
      <c r="AD646" s="45" t="str">
        <f ca="1">IFERROR(__xludf.DUMMYFUNCTION("""COMPUTED_VALUE"""),"OCEAN")</f>
        <v>OCEAN</v>
      </c>
      <c r="AE646" s="45" t="str">
        <f ca="1">IFERROR(__xludf.DUMMYFUNCTION("""COMPUTED_VALUE"""),"N")</f>
        <v>N</v>
      </c>
      <c r="AF646" s="45"/>
      <c r="AG646" s="49" t="str">
        <f ca="1">IFERROR(__xludf.DUMMYFUNCTION("IFNA(vlookup(H646,IMPORTRANGE(""1vUGwO1n0QQGx9kKbO0_M5gmuhXZ6-LaxQxgrmJnzgP0"",""'TP# look up'!A:C""),3,0),"""")"),"")</f>
        <v/>
      </c>
      <c r="AH646" s="49" t="str">
        <f t="shared" ca="1" si="10"/>
        <v>LW</v>
      </c>
    </row>
    <row r="647" spans="1:34" ht="12.75">
      <c r="A647" s="45" t="str">
        <f ca="1">IFERROR(__xludf.DUMMYFUNCTION("""COMPUTED_VALUE"""),"Colombo")</f>
        <v>Colombo</v>
      </c>
      <c r="B647" s="45"/>
      <c r="C647" s="45">
        <f ca="1">IFERROR(__xludf.DUMMYFUNCTION("""COMPUTED_VALUE"""),3259512)</f>
        <v>3259512</v>
      </c>
      <c r="D647" s="45"/>
      <c r="E647" s="45" t="str">
        <f ca="1">IFERROR(__xludf.DUMMYFUNCTION("""COMPUTED_VALUE"""),"CFS")</f>
        <v>CFS</v>
      </c>
      <c r="F647" s="45" t="str">
        <f ca="1">IFERROR(__xludf.DUMMYFUNCTION("""COMPUTED_VALUE"""),"Bodyline Trading (Private) Limited")</f>
        <v>Bodyline Trading (Private) Limited</v>
      </c>
      <c r="G647" s="45" t="str">
        <f ca="1">IFERROR(__xludf.DUMMYFUNCTION("""COMPUTED_VALUE"""),"Bodyline (Private) Limited")</f>
        <v>Bodyline (Private) Limited</v>
      </c>
      <c r="H647" s="43">
        <f ca="1">IFERROR(__xludf.DUMMYFUNCTION("""COMPUTED_VALUE"""),454759638136)</f>
        <v>454759638136</v>
      </c>
      <c r="I647" s="45">
        <f ca="1">IFERROR(__xludf.DUMMYFUNCTION("""COMPUTED_VALUE"""),19877485)</f>
        <v>19877485</v>
      </c>
      <c r="J647" s="45" t="str">
        <f ca="1">IFERROR(__xludf.DUMMYFUNCTION("""COMPUTED_VALUE"""),"LW9DC4S")</f>
        <v>LW9DC4S</v>
      </c>
      <c r="K647" s="45" t="str">
        <f ca="1">IFERROR(__xludf.DUMMYFUNCTION("""COMPUTED_VALUE"""),"LW9DC4S-068971")</f>
        <v>LW9DC4S-068971</v>
      </c>
      <c r="L647" s="45">
        <f ca="1">IFERROR(__xludf.DUMMYFUNCTION("""COMPUTED_VALUE"""),7)</f>
        <v>7</v>
      </c>
      <c r="M647" s="45">
        <f ca="1">IFERROR(__xludf.DUMMYFUNCTION("""COMPUTED_VALUE"""),371)</f>
        <v>371</v>
      </c>
      <c r="N647" s="45">
        <f ca="1">IFERROR(__xludf.DUMMYFUNCTION("""COMPUTED_VALUE"""),35.62)</f>
        <v>35.619999999999997</v>
      </c>
      <c r="O647" s="45">
        <f ca="1">IFERROR(__xludf.DUMMYFUNCTION("""COMPUTED_VALUE"""),0.307)</f>
        <v>0.307</v>
      </c>
      <c r="P647" s="45" t="str">
        <f ca="1">IFERROR(__xludf.DUMMYFUNCTION("""COMPUTED_VALUE"""),"Colombo, LK")</f>
        <v>Colombo, LK</v>
      </c>
      <c r="Q647" s="45" t="str">
        <f ca="1">IFERROR(__xludf.DUMMYFUNCTION("""COMPUTED_VALUE"""),"New York, NY, US")</f>
        <v>New York, NY, US</v>
      </c>
      <c r="R647" s="44">
        <f ca="1">IFERROR(__xludf.DUMMYFUNCTION("""COMPUTED_VALUE"""),45831)</f>
        <v>45831</v>
      </c>
      <c r="S647" s="44">
        <f ca="1">IFERROR(__xludf.DUMMYFUNCTION("""COMPUTED_VALUE"""),45890)</f>
        <v>45890</v>
      </c>
      <c r="T647" s="45" t="str">
        <f ca="1">IFERROR(__xludf.DUMMYFUNCTION("""COMPUTED_VALUE"""),"Milton, ON, CA")</f>
        <v>Milton, ON, CA</v>
      </c>
      <c r="U647" s="45"/>
      <c r="V647" s="45"/>
      <c r="W647" s="45"/>
      <c r="X647" s="45"/>
      <c r="Y647" s="46">
        <f ca="1">IFERROR(__xludf.DUMMYFUNCTION("""COMPUTED_VALUE"""),45838)</f>
        <v>45838</v>
      </c>
      <c r="Z647" s="46">
        <f ca="1">IFERROR(__xludf.DUMMYFUNCTION("""COMPUTED_VALUE"""),45859)</f>
        <v>45859</v>
      </c>
      <c r="AA647" s="46">
        <f ca="1">IFERROR(__xludf.DUMMYFUNCTION("""COMPUTED_VALUE"""),45859)</f>
        <v>45859</v>
      </c>
      <c r="AB647" s="45" t="str">
        <f ca="1">IFERROR(__xludf.DUMMYFUNCTION("""COMPUTED_VALUE"""),"7211 Fifth Line")</f>
        <v>7211 Fifth Line</v>
      </c>
      <c r="AC647" s="45"/>
      <c r="AD647" s="45" t="str">
        <f ca="1">IFERROR(__xludf.DUMMYFUNCTION("""COMPUTED_VALUE"""),"OCEAN")</f>
        <v>OCEAN</v>
      </c>
      <c r="AE647" s="45" t="str">
        <f ca="1">IFERROR(__xludf.DUMMYFUNCTION("""COMPUTED_VALUE"""),"N")</f>
        <v>N</v>
      </c>
      <c r="AF647" s="45"/>
      <c r="AG647" s="49" t="str">
        <f ca="1">IFERROR(__xludf.DUMMYFUNCTION("IFNA(vlookup(H647,IMPORTRANGE(""1vUGwO1n0QQGx9kKbO0_M5gmuhXZ6-LaxQxgrmJnzgP0"",""'TP# look up'!A:C""),3,0),"""")"),"")</f>
        <v/>
      </c>
      <c r="AH647" s="49" t="str">
        <f t="shared" ca="1" si="10"/>
        <v>LW</v>
      </c>
    </row>
    <row r="648" spans="1:34" ht="12.75">
      <c r="A648" s="45" t="str">
        <f ca="1">IFERROR(__xludf.DUMMYFUNCTION("""COMPUTED_VALUE"""),"Colombo")</f>
        <v>Colombo</v>
      </c>
      <c r="B648" s="45"/>
      <c r="C648" s="45">
        <f ca="1">IFERROR(__xludf.DUMMYFUNCTION("""COMPUTED_VALUE"""),3259512)</f>
        <v>3259512</v>
      </c>
      <c r="D648" s="45"/>
      <c r="E648" s="45" t="str">
        <f ca="1">IFERROR(__xludf.DUMMYFUNCTION("""COMPUTED_VALUE"""),"CFS")</f>
        <v>CFS</v>
      </c>
      <c r="F648" s="45" t="str">
        <f ca="1">IFERROR(__xludf.DUMMYFUNCTION("""COMPUTED_VALUE"""),"Bodyline Trading (Private) Limited")</f>
        <v>Bodyline Trading (Private) Limited</v>
      </c>
      <c r="G648" s="45" t="str">
        <f ca="1">IFERROR(__xludf.DUMMYFUNCTION("""COMPUTED_VALUE"""),"Bodyline (Private) Limited")</f>
        <v>Bodyline (Private) Limited</v>
      </c>
      <c r="H648" s="43">
        <f ca="1">IFERROR(__xludf.DUMMYFUNCTION("""COMPUTED_VALUE"""),454759638257)</f>
        <v>454759638257</v>
      </c>
      <c r="I648" s="45">
        <f ca="1">IFERROR(__xludf.DUMMYFUNCTION("""COMPUTED_VALUE"""),19877754)</f>
        <v>19877754</v>
      </c>
      <c r="J648" s="45" t="str">
        <f ca="1">IFERROR(__xludf.DUMMYFUNCTION("""COMPUTED_VALUE"""),"LW9DC4S")</f>
        <v>LW9DC4S</v>
      </c>
      <c r="K648" s="45" t="str">
        <f ca="1">IFERROR(__xludf.DUMMYFUNCTION("""COMPUTED_VALUE"""),"LW9DC4S-068971")</f>
        <v>LW9DC4S-068971</v>
      </c>
      <c r="L648" s="45">
        <f ca="1">IFERROR(__xludf.DUMMYFUNCTION("""COMPUTED_VALUE"""),7)</f>
        <v>7</v>
      </c>
      <c r="M648" s="45">
        <f ca="1">IFERROR(__xludf.DUMMYFUNCTION("""COMPUTED_VALUE"""),364)</f>
        <v>364</v>
      </c>
      <c r="N648" s="45">
        <f ca="1">IFERROR(__xludf.DUMMYFUNCTION("""COMPUTED_VALUE"""),34.746)</f>
        <v>34.746000000000002</v>
      </c>
      <c r="O648" s="45">
        <f ca="1">IFERROR(__xludf.DUMMYFUNCTION("""COMPUTED_VALUE"""),0.307)</f>
        <v>0.307</v>
      </c>
      <c r="P648" s="45" t="str">
        <f ca="1">IFERROR(__xludf.DUMMYFUNCTION("""COMPUTED_VALUE"""),"Colombo, LK")</f>
        <v>Colombo, LK</v>
      </c>
      <c r="Q648" s="45" t="str">
        <f ca="1">IFERROR(__xludf.DUMMYFUNCTION("""COMPUTED_VALUE"""),"New York, NY, US")</f>
        <v>New York, NY, US</v>
      </c>
      <c r="R648" s="44">
        <f ca="1">IFERROR(__xludf.DUMMYFUNCTION("""COMPUTED_VALUE"""),45831)</f>
        <v>45831</v>
      </c>
      <c r="S648" s="44">
        <f ca="1">IFERROR(__xludf.DUMMYFUNCTION("""COMPUTED_VALUE"""),45890)</f>
        <v>45890</v>
      </c>
      <c r="T648" s="45" t="str">
        <f ca="1">IFERROR(__xludf.DUMMYFUNCTION("""COMPUTED_VALUE"""),"Mississauga, ON, CA")</f>
        <v>Mississauga, ON, CA</v>
      </c>
      <c r="U648" s="45"/>
      <c r="V648" s="45"/>
      <c r="W648" s="45"/>
      <c r="X648" s="45"/>
      <c r="Y648" s="46">
        <f ca="1">IFERROR(__xludf.DUMMYFUNCTION("""COMPUTED_VALUE"""),45838)</f>
        <v>45838</v>
      </c>
      <c r="Z648" s="46">
        <f ca="1">IFERROR(__xludf.DUMMYFUNCTION("""COMPUTED_VALUE"""),45859)</f>
        <v>45859</v>
      </c>
      <c r="AA648" s="46">
        <f ca="1">IFERROR(__xludf.DUMMYFUNCTION("""COMPUTED_VALUE"""),45859)</f>
        <v>45859</v>
      </c>
      <c r="AB648" s="45" t="str">
        <f ca="1">IFERROR(__xludf.DUMMYFUNCTION("""COMPUTED_VALUE"""),"3500 Argentia Road")</f>
        <v>3500 Argentia Road</v>
      </c>
      <c r="AC648" s="45"/>
      <c r="AD648" s="45" t="str">
        <f ca="1">IFERROR(__xludf.DUMMYFUNCTION("""COMPUTED_VALUE"""),"OCEAN")</f>
        <v>OCEAN</v>
      </c>
      <c r="AE648" s="45" t="str">
        <f ca="1">IFERROR(__xludf.DUMMYFUNCTION("""COMPUTED_VALUE"""),"N")</f>
        <v>N</v>
      </c>
      <c r="AF648" s="45"/>
      <c r="AG648" s="49" t="str">
        <f ca="1">IFERROR(__xludf.DUMMYFUNCTION("IFNA(vlookup(H648,IMPORTRANGE(""1vUGwO1n0QQGx9kKbO0_M5gmuhXZ6-LaxQxgrmJnzgP0"",""'TP# look up'!A:C""),3,0),"""")"),"")</f>
        <v/>
      </c>
      <c r="AH648" s="49" t="str">
        <f t="shared" ca="1" si="10"/>
        <v>LW</v>
      </c>
    </row>
    <row r="649" spans="1:34" ht="12.75">
      <c r="A649" s="45" t="str">
        <f ca="1">IFERROR(__xludf.DUMMYFUNCTION("""COMPUTED_VALUE"""),"Colombo")</f>
        <v>Colombo</v>
      </c>
      <c r="B649" s="45"/>
      <c r="C649" s="45">
        <f ca="1">IFERROR(__xludf.DUMMYFUNCTION("""COMPUTED_VALUE"""),3259512)</f>
        <v>3259512</v>
      </c>
      <c r="D649" s="45"/>
      <c r="E649" s="45" t="str">
        <f ca="1">IFERROR(__xludf.DUMMYFUNCTION("""COMPUTED_VALUE"""),"CFS")</f>
        <v>CFS</v>
      </c>
      <c r="F649" s="45" t="str">
        <f ca="1">IFERROR(__xludf.DUMMYFUNCTION("""COMPUTED_VALUE"""),"Bodyline Trading (Private) Limited")</f>
        <v>Bodyline Trading (Private) Limited</v>
      </c>
      <c r="G649" s="45" t="str">
        <f ca="1">IFERROR(__xludf.DUMMYFUNCTION("""COMPUTED_VALUE"""),"Bodyline (Private) Limited")</f>
        <v>Bodyline (Private) Limited</v>
      </c>
      <c r="H649" s="43">
        <f ca="1">IFERROR(__xludf.DUMMYFUNCTION("""COMPUTED_VALUE"""),454759638353)</f>
        <v>454759638353</v>
      </c>
      <c r="I649" s="45">
        <f ca="1">IFERROR(__xludf.DUMMYFUNCTION("""COMPUTED_VALUE"""),19877670)</f>
        <v>19877670</v>
      </c>
      <c r="J649" s="45" t="str">
        <f ca="1">IFERROR(__xludf.DUMMYFUNCTION("""COMPUTED_VALUE"""),"LW9DEAS")</f>
        <v>LW9DEAS</v>
      </c>
      <c r="K649" s="45" t="str">
        <f ca="1">IFERROR(__xludf.DUMMYFUNCTION("""COMPUTED_VALUE"""),"LW9DEAS-070623")</f>
        <v>LW9DEAS-070623</v>
      </c>
      <c r="L649" s="45">
        <f ca="1">IFERROR(__xludf.DUMMYFUNCTION("""COMPUTED_VALUE"""),5)</f>
        <v>5</v>
      </c>
      <c r="M649" s="45">
        <f ca="1">IFERROR(__xludf.DUMMYFUNCTION("""COMPUTED_VALUE"""),136)</f>
        <v>136</v>
      </c>
      <c r="N649" s="45">
        <f ca="1">IFERROR(__xludf.DUMMYFUNCTION("""COMPUTED_VALUE"""),17.276)</f>
        <v>17.276</v>
      </c>
      <c r="O649" s="45">
        <f ca="1">IFERROR(__xludf.DUMMYFUNCTION("""COMPUTED_VALUE"""),0.22)</f>
        <v>0.22</v>
      </c>
      <c r="P649" s="45" t="str">
        <f ca="1">IFERROR(__xludf.DUMMYFUNCTION("""COMPUTED_VALUE"""),"Colombo, LK")</f>
        <v>Colombo, LK</v>
      </c>
      <c r="Q649" s="45" t="str">
        <f ca="1">IFERROR(__xludf.DUMMYFUNCTION("""COMPUTED_VALUE"""),"New York, NY, US")</f>
        <v>New York, NY, US</v>
      </c>
      <c r="R649" s="44">
        <f ca="1">IFERROR(__xludf.DUMMYFUNCTION("""COMPUTED_VALUE"""),45831)</f>
        <v>45831</v>
      </c>
      <c r="S649" s="44">
        <f ca="1">IFERROR(__xludf.DUMMYFUNCTION("""COMPUTED_VALUE"""),45890)</f>
        <v>45890</v>
      </c>
      <c r="T649" s="45" t="str">
        <f ca="1">IFERROR(__xludf.DUMMYFUNCTION("""COMPUTED_VALUE"""),"Mississauga, ON, CA")</f>
        <v>Mississauga, ON, CA</v>
      </c>
      <c r="U649" s="45"/>
      <c r="V649" s="45"/>
      <c r="W649" s="45"/>
      <c r="X649" s="45"/>
      <c r="Y649" s="46">
        <f ca="1">IFERROR(__xludf.DUMMYFUNCTION("""COMPUTED_VALUE"""),45838)</f>
        <v>45838</v>
      </c>
      <c r="Z649" s="46">
        <f ca="1">IFERROR(__xludf.DUMMYFUNCTION("""COMPUTED_VALUE"""),45859)</f>
        <v>45859</v>
      </c>
      <c r="AA649" s="46">
        <f ca="1">IFERROR(__xludf.DUMMYFUNCTION("""COMPUTED_VALUE"""),45859)</f>
        <v>45859</v>
      </c>
      <c r="AB649" s="45" t="str">
        <f ca="1">IFERROR(__xludf.DUMMYFUNCTION("""COMPUTED_VALUE"""),"3500 Argentia Road")</f>
        <v>3500 Argentia Road</v>
      </c>
      <c r="AC649" s="45"/>
      <c r="AD649" s="45" t="str">
        <f ca="1">IFERROR(__xludf.DUMMYFUNCTION("""COMPUTED_VALUE"""),"OCEAN")</f>
        <v>OCEAN</v>
      </c>
      <c r="AE649" s="45" t="str">
        <f ca="1">IFERROR(__xludf.DUMMYFUNCTION("""COMPUTED_VALUE"""),"N")</f>
        <v>N</v>
      </c>
      <c r="AF649" s="45"/>
      <c r="AG649" s="49" t="str">
        <f ca="1">IFERROR(__xludf.DUMMYFUNCTION("IFNA(vlookup(H649,IMPORTRANGE(""1vUGwO1n0QQGx9kKbO0_M5gmuhXZ6-LaxQxgrmJnzgP0"",""'TP# look up'!A:C""),3,0),"""")"),"")</f>
        <v/>
      </c>
      <c r="AH649" s="49" t="str">
        <f t="shared" ca="1" si="10"/>
        <v>LW</v>
      </c>
    </row>
    <row r="650" spans="1:34" ht="12.75">
      <c r="A650" s="45" t="str">
        <f ca="1">IFERROR(__xludf.DUMMYFUNCTION("""COMPUTED_VALUE"""),"Colombo")</f>
        <v>Colombo</v>
      </c>
      <c r="B650" s="45"/>
      <c r="C650" s="45">
        <f ca="1">IFERROR(__xludf.DUMMYFUNCTION("""COMPUTED_VALUE"""),3259512)</f>
        <v>3259512</v>
      </c>
      <c r="D650" s="45"/>
      <c r="E650" s="45" t="str">
        <f ca="1">IFERROR(__xludf.DUMMYFUNCTION("""COMPUTED_VALUE"""),"CFS")</f>
        <v>CFS</v>
      </c>
      <c r="F650" s="45" t="str">
        <f ca="1">IFERROR(__xludf.DUMMYFUNCTION("""COMPUTED_VALUE"""),"Bodyline Trading (Private) Limited")</f>
        <v>Bodyline Trading (Private) Limited</v>
      </c>
      <c r="G650" s="45" t="str">
        <f ca="1">IFERROR(__xludf.DUMMYFUNCTION("""COMPUTED_VALUE"""),"Bodyline (Private) Limited")</f>
        <v>Bodyline (Private) Limited</v>
      </c>
      <c r="H650" s="43">
        <f ca="1">IFERROR(__xludf.DUMMYFUNCTION("""COMPUTED_VALUE"""),454759694315)</f>
        <v>454759694315</v>
      </c>
      <c r="I650" s="45">
        <f ca="1">IFERROR(__xludf.DUMMYFUNCTION("""COMPUTED_VALUE"""),19877696)</f>
        <v>19877696</v>
      </c>
      <c r="J650" s="45" t="str">
        <f ca="1">IFERROR(__xludf.DUMMYFUNCTION("""COMPUTED_VALUE"""),"LW9DC3S")</f>
        <v>LW9DC3S</v>
      </c>
      <c r="K650" s="45" t="str">
        <f ca="1">IFERROR(__xludf.DUMMYFUNCTION("""COMPUTED_VALUE"""),"LW9DC3S-073330")</f>
        <v>LW9DC3S-073330</v>
      </c>
      <c r="L650" s="45">
        <f ca="1">IFERROR(__xludf.DUMMYFUNCTION("""COMPUTED_VALUE"""),4)</f>
        <v>4</v>
      </c>
      <c r="M650" s="45">
        <f ca="1">IFERROR(__xludf.DUMMYFUNCTION("""COMPUTED_VALUE"""),234)</f>
        <v>234</v>
      </c>
      <c r="N650" s="45">
        <f ca="1">IFERROR(__xludf.DUMMYFUNCTION("""COMPUTED_VALUE"""),17.622)</f>
        <v>17.622</v>
      </c>
      <c r="O650" s="45">
        <f ca="1">IFERROR(__xludf.DUMMYFUNCTION("""COMPUTED_VALUE"""),0.176)</f>
        <v>0.17599999999999999</v>
      </c>
      <c r="P650" s="45" t="str">
        <f ca="1">IFERROR(__xludf.DUMMYFUNCTION("""COMPUTED_VALUE"""),"Colombo, LK")</f>
        <v>Colombo, LK</v>
      </c>
      <c r="Q650" s="45" t="str">
        <f ca="1">IFERROR(__xludf.DUMMYFUNCTION("""COMPUTED_VALUE"""),"New York, NY, US")</f>
        <v>New York, NY, US</v>
      </c>
      <c r="R650" s="44">
        <f ca="1">IFERROR(__xludf.DUMMYFUNCTION("""COMPUTED_VALUE"""),45831)</f>
        <v>45831</v>
      </c>
      <c r="S650" s="44">
        <f ca="1">IFERROR(__xludf.DUMMYFUNCTION("""COMPUTED_VALUE"""),45890)</f>
        <v>45890</v>
      </c>
      <c r="T650" s="45" t="str">
        <f ca="1">IFERROR(__xludf.DUMMYFUNCTION("""COMPUTED_VALUE"""),"Mississauga, ON, CA")</f>
        <v>Mississauga, ON, CA</v>
      </c>
      <c r="U650" s="45"/>
      <c r="V650" s="45"/>
      <c r="W650" s="45"/>
      <c r="X650" s="45"/>
      <c r="Y650" s="46">
        <f ca="1">IFERROR(__xludf.DUMMYFUNCTION("""COMPUTED_VALUE"""),45838)</f>
        <v>45838</v>
      </c>
      <c r="Z650" s="46">
        <f ca="1">IFERROR(__xludf.DUMMYFUNCTION("""COMPUTED_VALUE"""),45859)</f>
        <v>45859</v>
      </c>
      <c r="AA650" s="46">
        <f ca="1">IFERROR(__xludf.DUMMYFUNCTION("""COMPUTED_VALUE"""),45859)</f>
        <v>45859</v>
      </c>
      <c r="AB650" s="45" t="str">
        <f ca="1">IFERROR(__xludf.DUMMYFUNCTION("""COMPUTED_VALUE"""),"3500 Argentia Road")</f>
        <v>3500 Argentia Road</v>
      </c>
      <c r="AC650" s="45"/>
      <c r="AD650" s="45" t="str">
        <f ca="1">IFERROR(__xludf.DUMMYFUNCTION("""COMPUTED_VALUE"""),"OCEAN")</f>
        <v>OCEAN</v>
      </c>
      <c r="AE650" s="45" t="str">
        <f ca="1">IFERROR(__xludf.DUMMYFUNCTION("""COMPUTED_VALUE"""),"N")</f>
        <v>N</v>
      </c>
      <c r="AF650" s="45"/>
      <c r="AG650" s="49" t="str">
        <f ca="1">IFERROR(__xludf.DUMMYFUNCTION("IFNA(vlookup(H650,IMPORTRANGE(""1vUGwO1n0QQGx9kKbO0_M5gmuhXZ6-LaxQxgrmJnzgP0"",""'TP# look up'!A:C""),3,0),"""")"),"")</f>
        <v/>
      </c>
      <c r="AH650" s="49" t="str">
        <f t="shared" ca="1" si="10"/>
        <v>LW</v>
      </c>
    </row>
    <row r="651" spans="1:34" ht="12.75">
      <c r="A651" s="45" t="str">
        <f ca="1">IFERROR(__xludf.DUMMYFUNCTION("""COMPUTED_VALUE"""),"Colombo")</f>
        <v>Colombo</v>
      </c>
      <c r="B651" s="45"/>
      <c r="C651" s="45">
        <f ca="1">IFERROR(__xludf.DUMMYFUNCTION("""COMPUTED_VALUE"""),3259512)</f>
        <v>3259512</v>
      </c>
      <c r="D651" s="45"/>
      <c r="E651" s="45" t="str">
        <f ca="1">IFERROR(__xludf.DUMMYFUNCTION("""COMPUTED_VALUE"""),"CFS")</f>
        <v>CFS</v>
      </c>
      <c r="F651" s="45" t="str">
        <f ca="1">IFERROR(__xludf.DUMMYFUNCTION("""COMPUTED_VALUE"""),"Bodyline Trading (Private) Limited")</f>
        <v>Bodyline Trading (Private) Limited</v>
      </c>
      <c r="G651" s="45" t="str">
        <f ca="1">IFERROR(__xludf.DUMMYFUNCTION("""COMPUTED_VALUE"""),"Bodyline (Private) Limited")</f>
        <v>Bodyline (Private) Limited</v>
      </c>
      <c r="H651" s="43">
        <f ca="1">IFERROR(__xludf.DUMMYFUNCTION("""COMPUTED_VALUE"""),454760341500)</f>
        <v>454760341500</v>
      </c>
      <c r="I651" s="45">
        <f ca="1">IFERROR(__xludf.DUMMYFUNCTION("""COMPUTED_VALUE"""),19878417)</f>
        <v>19878417</v>
      </c>
      <c r="J651" s="45" t="str">
        <f ca="1">IFERROR(__xludf.DUMMYFUNCTION("""COMPUTED_VALUE"""),"LW9DEOS")</f>
        <v>LW9DEOS</v>
      </c>
      <c r="K651" s="45" t="str">
        <f ca="1">IFERROR(__xludf.DUMMYFUNCTION("""COMPUTED_VALUE"""),"LW9DEOS-070623")</f>
        <v>LW9DEOS-070623</v>
      </c>
      <c r="L651" s="45">
        <f ca="1">IFERROR(__xludf.DUMMYFUNCTION("""COMPUTED_VALUE"""),14)</f>
        <v>14</v>
      </c>
      <c r="M651" s="45">
        <f ca="1">IFERROR(__xludf.DUMMYFUNCTION("""COMPUTED_VALUE"""),437)</f>
        <v>437</v>
      </c>
      <c r="N651" s="45">
        <f ca="1">IFERROR(__xludf.DUMMYFUNCTION("""COMPUTED_VALUE"""),69.913)</f>
        <v>69.912999999999997</v>
      </c>
      <c r="O651" s="45">
        <f ca="1">IFERROR(__xludf.DUMMYFUNCTION("""COMPUTED_VALUE"""),0.615)</f>
        <v>0.61499999999999999</v>
      </c>
      <c r="P651" s="45" t="str">
        <f ca="1">IFERROR(__xludf.DUMMYFUNCTION("""COMPUTED_VALUE"""),"Colombo, LK")</f>
        <v>Colombo, LK</v>
      </c>
      <c r="Q651" s="45" t="str">
        <f ca="1">IFERROR(__xludf.DUMMYFUNCTION("""COMPUTED_VALUE"""),"New York, NY, US")</f>
        <v>New York, NY, US</v>
      </c>
      <c r="R651" s="44">
        <f ca="1">IFERROR(__xludf.DUMMYFUNCTION("""COMPUTED_VALUE"""),45831)</f>
        <v>45831</v>
      </c>
      <c r="S651" s="44">
        <f ca="1">IFERROR(__xludf.DUMMYFUNCTION("""COMPUTED_VALUE"""),45890)</f>
        <v>45890</v>
      </c>
      <c r="T651" s="45" t="str">
        <f ca="1">IFERROR(__xludf.DUMMYFUNCTION("""COMPUTED_VALUE"""),"Mississauga, ON, CA")</f>
        <v>Mississauga, ON, CA</v>
      </c>
      <c r="U651" s="45"/>
      <c r="V651" s="45"/>
      <c r="W651" s="45"/>
      <c r="X651" s="45"/>
      <c r="Y651" s="46">
        <f ca="1">IFERROR(__xludf.DUMMYFUNCTION("""COMPUTED_VALUE"""),45838)</f>
        <v>45838</v>
      </c>
      <c r="Z651" s="46">
        <f ca="1">IFERROR(__xludf.DUMMYFUNCTION("""COMPUTED_VALUE"""),45859)</f>
        <v>45859</v>
      </c>
      <c r="AA651" s="46">
        <f ca="1">IFERROR(__xludf.DUMMYFUNCTION("""COMPUTED_VALUE"""),45859)</f>
        <v>45859</v>
      </c>
      <c r="AB651" s="45" t="str">
        <f ca="1">IFERROR(__xludf.DUMMYFUNCTION("""COMPUTED_VALUE"""),"3500 Argentia Road")</f>
        <v>3500 Argentia Road</v>
      </c>
      <c r="AC651" s="45"/>
      <c r="AD651" s="45" t="str">
        <f ca="1">IFERROR(__xludf.DUMMYFUNCTION("""COMPUTED_VALUE"""),"OCEAN")</f>
        <v>OCEAN</v>
      </c>
      <c r="AE651" s="45" t="str">
        <f ca="1">IFERROR(__xludf.DUMMYFUNCTION("""COMPUTED_VALUE"""),"N")</f>
        <v>N</v>
      </c>
      <c r="AF651" s="45"/>
      <c r="AG651" s="49" t="str">
        <f ca="1">IFERROR(__xludf.DUMMYFUNCTION("IFNA(vlookup(H651,IMPORTRANGE(""1vUGwO1n0QQGx9kKbO0_M5gmuhXZ6-LaxQxgrmJnzgP0"",""'TP# look up'!A:C""),3,0),"""")"),"")</f>
        <v/>
      </c>
      <c r="AH651" s="49" t="str">
        <f t="shared" ca="1" si="10"/>
        <v>LW</v>
      </c>
    </row>
    <row r="652" spans="1:34" ht="12.75">
      <c r="A652" s="45" t="str">
        <f ca="1">IFERROR(__xludf.DUMMYFUNCTION("""COMPUTED_VALUE"""),"Colombo")</f>
        <v>Colombo</v>
      </c>
      <c r="B652" s="45"/>
      <c r="C652" s="45">
        <f ca="1">IFERROR(__xludf.DUMMYFUNCTION("""COMPUTED_VALUE"""),3259512)</f>
        <v>3259512</v>
      </c>
      <c r="D652" s="45"/>
      <c r="E652" s="45" t="str">
        <f ca="1">IFERROR(__xludf.DUMMYFUNCTION("""COMPUTED_VALUE"""),"CFS")</f>
        <v>CFS</v>
      </c>
      <c r="F652" s="45" t="str">
        <f ca="1">IFERROR(__xludf.DUMMYFUNCTION("""COMPUTED_VALUE"""),"Bodyline Trading (Private) Limited")</f>
        <v>Bodyline Trading (Private) Limited</v>
      </c>
      <c r="G652" s="45" t="str">
        <f ca="1">IFERROR(__xludf.DUMMYFUNCTION("""COMPUTED_VALUE"""),"Bodyline (Private) Limited")</f>
        <v>Bodyline (Private) Limited</v>
      </c>
      <c r="H652" s="43">
        <f ca="1">IFERROR(__xludf.DUMMYFUNCTION("""COMPUTED_VALUE"""),454760371830)</f>
        <v>454760371830</v>
      </c>
      <c r="I652" s="45">
        <f ca="1">IFERROR(__xludf.DUMMYFUNCTION("""COMPUTED_VALUE"""),19878377)</f>
        <v>19878377</v>
      </c>
      <c r="J652" s="45" t="str">
        <f ca="1">IFERROR(__xludf.DUMMYFUNCTION("""COMPUTED_VALUE"""),"LW9DEAS")</f>
        <v>LW9DEAS</v>
      </c>
      <c r="K652" s="45" t="str">
        <f ca="1">IFERROR(__xludf.DUMMYFUNCTION("""COMPUTED_VALUE"""),"LW9DEAS-070623")</f>
        <v>LW9DEAS-070623</v>
      </c>
      <c r="L652" s="45">
        <f ca="1">IFERROR(__xludf.DUMMYFUNCTION("""COMPUTED_VALUE"""),9)</f>
        <v>9</v>
      </c>
      <c r="M652" s="45">
        <f ca="1">IFERROR(__xludf.DUMMYFUNCTION("""COMPUTED_VALUE"""),296)</f>
        <v>296</v>
      </c>
      <c r="N652" s="45">
        <f ca="1">IFERROR(__xludf.DUMMYFUNCTION("""COMPUTED_VALUE"""),35.48)</f>
        <v>35.479999999999997</v>
      </c>
      <c r="O652" s="45">
        <f ca="1">IFERROR(__xludf.DUMMYFUNCTION("""COMPUTED_VALUE"""),0.395)</f>
        <v>0.39500000000000002</v>
      </c>
      <c r="P652" s="45" t="str">
        <f ca="1">IFERROR(__xludf.DUMMYFUNCTION("""COMPUTED_VALUE"""),"Colombo, LK")</f>
        <v>Colombo, LK</v>
      </c>
      <c r="Q652" s="45" t="str">
        <f ca="1">IFERROR(__xludf.DUMMYFUNCTION("""COMPUTED_VALUE"""),"New York, NY, US")</f>
        <v>New York, NY, US</v>
      </c>
      <c r="R652" s="44">
        <f ca="1">IFERROR(__xludf.DUMMYFUNCTION("""COMPUTED_VALUE"""),45831)</f>
        <v>45831</v>
      </c>
      <c r="S652" s="44">
        <f ca="1">IFERROR(__xludf.DUMMYFUNCTION("""COMPUTED_VALUE"""),45890)</f>
        <v>45890</v>
      </c>
      <c r="T652" s="45" t="str">
        <f ca="1">IFERROR(__xludf.DUMMYFUNCTION("""COMPUTED_VALUE"""),"Mississauga, ON, CA")</f>
        <v>Mississauga, ON, CA</v>
      </c>
      <c r="U652" s="45"/>
      <c r="V652" s="45"/>
      <c r="W652" s="45"/>
      <c r="X652" s="45"/>
      <c r="Y652" s="46">
        <f ca="1">IFERROR(__xludf.DUMMYFUNCTION("""COMPUTED_VALUE"""),45838)</f>
        <v>45838</v>
      </c>
      <c r="Z652" s="46">
        <f ca="1">IFERROR(__xludf.DUMMYFUNCTION("""COMPUTED_VALUE"""),45859)</f>
        <v>45859</v>
      </c>
      <c r="AA652" s="46">
        <f ca="1">IFERROR(__xludf.DUMMYFUNCTION("""COMPUTED_VALUE"""),45859)</f>
        <v>45859</v>
      </c>
      <c r="AB652" s="45" t="str">
        <f ca="1">IFERROR(__xludf.DUMMYFUNCTION("""COMPUTED_VALUE"""),"3500 Argentia Road")</f>
        <v>3500 Argentia Road</v>
      </c>
      <c r="AC652" s="45"/>
      <c r="AD652" s="45" t="str">
        <f ca="1">IFERROR(__xludf.DUMMYFUNCTION("""COMPUTED_VALUE"""),"OCEAN")</f>
        <v>OCEAN</v>
      </c>
      <c r="AE652" s="45" t="str">
        <f ca="1">IFERROR(__xludf.DUMMYFUNCTION("""COMPUTED_VALUE"""),"N")</f>
        <v>N</v>
      </c>
      <c r="AF652" s="45"/>
      <c r="AG652" s="49" t="str">
        <f ca="1">IFERROR(__xludf.DUMMYFUNCTION("IFNA(vlookup(H652,IMPORTRANGE(""1vUGwO1n0QQGx9kKbO0_M5gmuhXZ6-LaxQxgrmJnzgP0"",""'TP# look up'!A:C""),3,0),"""")"),"")</f>
        <v/>
      </c>
      <c r="AH652" s="49" t="str">
        <f t="shared" ca="1" si="10"/>
        <v>LW</v>
      </c>
    </row>
    <row r="653" spans="1:34" ht="12.75">
      <c r="A653" s="45" t="str">
        <f ca="1">IFERROR(__xludf.DUMMYFUNCTION("""COMPUTED_VALUE"""),"Colombo")</f>
        <v>Colombo</v>
      </c>
      <c r="B653" s="45"/>
      <c r="C653" s="45">
        <f ca="1">IFERROR(__xludf.DUMMYFUNCTION("""COMPUTED_VALUE"""),3259512)</f>
        <v>3259512</v>
      </c>
      <c r="D653" s="45"/>
      <c r="E653" s="45" t="str">
        <f ca="1">IFERROR(__xludf.DUMMYFUNCTION("""COMPUTED_VALUE"""),"CFS")</f>
        <v>CFS</v>
      </c>
      <c r="F653" s="45" t="str">
        <f ca="1">IFERROR(__xludf.DUMMYFUNCTION("""COMPUTED_VALUE"""),"Bodyline Trading (Private) Limited")</f>
        <v>Bodyline Trading (Private) Limited</v>
      </c>
      <c r="G653" s="45" t="str">
        <f ca="1">IFERROR(__xludf.DUMMYFUNCTION("""COMPUTED_VALUE"""),"Bodyline (Private) Limited")</f>
        <v>Bodyline (Private) Limited</v>
      </c>
      <c r="H653" s="43">
        <f ca="1">IFERROR(__xludf.DUMMYFUNCTION("""COMPUTED_VALUE"""),454760463847)</f>
        <v>454760463847</v>
      </c>
      <c r="I653" s="45">
        <f ca="1">IFERROR(__xludf.DUMMYFUNCTION("""COMPUTED_VALUE"""),19877708)</f>
        <v>19877708</v>
      </c>
      <c r="J653" s="45" t="str">
        <f ca="1">IFERROR(__xludf.DUMMYFUNCTION("""COMPUTED_VALUE"""),"LW9DEOS")</f>
        <v>LW9DEOS</v>
      </c>
      <c r="K653" s="45" t="str">
        <f ca="1">IFERROR(__xludf.DUMMYFUNCTION("""COMPUTED_VALUE"""),"LW9DEOS-070623")</f>
        <v>LW9DEOS-070623</v>
      </c>
      <c r="L653" s="45">
        <f ca="1">IFERROR(__xludf.DUMMYFUNCTION("""COMPUTED_VALUE"""),7)</f>
        <v>7</v>
      </c>
      <c r="M653" s="45">
        <f ca="1">IFERROR(__xludf.DUMMYFUNCTION("""COMPUTED_VALUE"""),205)</f>
        <v>205</v>
      </c>
      <c r="N653" s="45">
        <f ca="1">IFERROR(__xludf.DUMMYFUNCTION("""COMPUTED_VALUE"""),33.645)</f>
        <v>33.645000000000003</v>
      </c>
      <c r="O653" s="45">
        <f ca="1">IFERROR(__xludf.DUMMYFUNCTION("""COMPUTED_VALUE"""),0.307)</f>
        <v>0.307</v>
      </c>
      <c r="P653" s="45" t="str">
        <f ca="1">IFERROR(__xludf.DUMMYFUNCTION("""COMPUTED_VALUE"""),"Colombo, LK")</f>
        <v>Colombo, LK</v>
      </c>
      <c r="Q653" s="45" t="str">
        <f ca="1">IFERROR(__xludf.DUMMYFUNCTION("""COMPUTED_VALUE"""),"New York, NY, US")</f>
        <v>New York, NY, US</v>
      </c>
      <c r="R653" s="44">
        <f ca="1">IFERROR(__xludf.DUMMYFUNCTION("""COMPUTED_VALUE"""),45831)</f>
        <v>45831</v>
      </c>
      <c r="S653" s="44">
        <f ca="1">IFERROR(__xludf.DUMMYFUNCTION("""COMPUTED_VALUE"""),45890)</f>
        <v>45890</v>
      </c>
      <c r="T653" s="45" t="str">
        <f ca="1">IFERROR(__xludf.DUMMYFUNCTION("""COMPUTED_VALUE"""),"Mississauga, ON, CA")</f>
        <v>Mississauga, ON, CA</v>
      </c>
      <c r="U653" s="45"/>
      <c r="V653" s="45"/>
      <c r="W653" s="45"/>
      <c r="X653" s="45"/>
      <c r="Y653" s="46">
        <f ca="1">IFERROR(__xludf.DUMMYFUNCTION("""COMPUTED_VALUE"""),45838)</f>
        <v>45838</v>
      </c>
      <c r="Z653" s="46">
        <f ca="1">IFERROR(__xludf.DUMMYFUNCTION("""COMPUTED_VALUE"""),45859)</f>
        <v>45859</v>
      </c>
      <c r="AA653" s="46">
        <f ca="1">IFERROR(__xludf.DUMMYFUNCTION("""COMPUTED_VALUE"""),45859)</f>
        <v>45859</v>
      </c>
      <c r="AB653" s="45" t="str">
        <f ca="1">IFERROR(__xludf.DUMMYFUNCTION("""COMPUTED_VALUE"""),"3500 Argentia Road")</f>
        <v>3500 Argentia Road</v>
      </c>
      <c r="AC653" s="45"/>
      <c r="AD653" s="45" t="str">
        <f ca="1">IFERROR(__xludf.DUMMYFUNCTION("""COMPUTED_VALUE"""),"OCEAN")</f>
        <v>OCEAN</v>
      </c>
      <c r="AE653" s="45" t="str">
        <f ca="1">IFERROR(__xludf.DUMMYFUNCTION("""COMPUTED_VALUE"""),"N")</f>
        <v>N</v>
      </c>
      <c r="AF653" s="45"/>
      <c r="AG653" s="49" t="str">
        <f ca="1">IFERROR(__xludf.DUMMYFUNCTION("IFNA(vlookup(H653,IMPORTRANGE(""1vUGwO1n0QQGx9kKbO0_M5gmuhXZ6-LaxQxgrmJnzgP0"",""'TP# look up'!A:C""),3,0),"""")"),"")</f>
        <v/>
      </c>
      <c r="AH653" s="49" t="str">
        <f t="shared" ca="1" si="10"/>
        <v>LW</v>
      </c>
    </row>
    <row r="654" spans="1:34" ht="12.75">
      <c r="A654" s="45" t="str">
        <f ca="1">IFERROR(__xludf.DUMMYFUNCTION("""COMPUTED_VALUE"""),"Colombo")</f>
        <v>Colombo</v>
      </c>
      <c r="B654" s="45"/>
      <c r="C654" s="45">
        <f ca="1">IFERROR(__xludf.DUMMYFUNCTION("""COMPUTED_VALUE"""),3259512)</f>
        <v>3259512</v>
      </c>
      <c r="D654" s="45"/>
      <c r="E654" s="45" t="str">
        <f ca="1">IFERROR(__xludf.DUMMYFUNCTION("""COMPUTED_VALUE"""),"CFS")</f>
        <v>CFS</v>
      </c>
      <c r="F654" s="45" t="str">
        <f ca="1">IFERROR(__xludf.DUMMYFUNCTION("""COMPUTED_VALUE"""),"Bodyline Trading (Private) Limited")</f>
        <v>Bodyline Trading (Private) Limited</v>
      </c>
      <c r="G654" s="45" t="str">
        <f ca="1">IFERROR(__xludf.DUMMYFUNCTION("""COMPUTED_VALUE"""),"Bodyline (Private) Limited")</f>
        <v>Bodyline (Private) Limited</v>
      </c>
      <c r="H654" s="43">
        <f ca="1">IFERROR(__xludf.DUMMYFUNCTION("""COMPUTED_VALUE"""),454775081439)</f>
        <v>454775081439</v>
      </c>
      <c r="I654" s="45">
        <f ca="1">IFERROR(__xludf.DUMMYFUNCTION("""COMPUTED_VALUE"""),19497747)</f>
        <v>19497747</v>
      </c>
      <c r="J654" s="45" t="str">
        <f ca="1">IFERROR(__xludf.DUMMYFUNCTION("""COMPUTED_VALUE"""),"LW2EB8S")</f>
        <v>LW2EB8S</v>
      </c>
      <c r="K654" s="45" t="str">
        <f ca="1">IFERROR(__xludf.DUMMYFUNCTION("""COMPUTED_VALUE"""),"LW2EB8S-031382")</f>
        <v>LW2EB8S-031382</v>
      </c>
      <c r="L654" s="45">
        <f ca="1">IFERROR(__xludf.DUMMYFUNCTION("""COMPUTED_VALUE"""),31)</f>
        <v>31</v>
      </c>
      <c r="M654" s="45">
        <f ca="1">IFERROR(__xludf.DUMMYFUNCTION("""COMPUTED_VALUE"""),1810)</f>
        <v>1810</v>
      </c>
      <c r="N654" s="45">
        <f ca="1">IFERROR(__xludf.DUMMYFUNCTION("""COMPUTED_VALUE"""),272.358)</f>
        <v>272.358</v>
      </c>
      <c r="O654" s="45">
        <f ca="1">IFERROR(__xludf.DUMMYFUNCTION("""COMPUTED_VALUE"""),2.386)</f>
        <v>2.3860000000000001</v>
      </c>
      <c r="P654" s="45" t="str">
        <f ca="1">IFERROR(__xludf.DUMMYFUNCTION("""COMPUTED_VALUE"""),"Colombo, LK")</f>
        <v>Colombo, LK</v>
      </c>
      <c r="Q654" s="45" t="str">
        <f ca="1">IFERROR(__xludf.DUMMYFUNCTION("""COMPUTED_VALUE"""),"New York, NY, US")</f>
        <v>New York, NY, US</v>
      </c>
      <c r="R654" s="44">
        <f ca="1">IFERROR(__xludf.DUMMYFUNCTION("""COMPUTED_VALUE"""),45831)</f>
        <v>45831</v>
      </c>
      <c r="S654" s="44">
        <f ca="1">IFERROR(__xludf.DUMMYFUNCTION("""COMPUTED_VALUE"""),45890)</f>
        <v>45890</v>
      </c>
      <c r="T654" s="45" t="str">
        <f ca="1">IFERROR(__xludf.DUMMYFUNCTION("""COMPUTED_VALUE"""),"Mississauga, ON, CA")</f>
        <v>Mississauga, ON, CA</v>
      </c>
      <c r="U654" s="45"/>
      <c r="V654" s="45"/>
      <c r="W654" s="45"/>
      <c r="X654" s="45"/>
      <c r="Y654" s="46">
        <f ca="1">IFERROR(__xludf.DUMMYFUNCTION("""COMPUTED_VALUE"""),45838)</f>
        <v>45838</v>
      </c>
      <c r="Z654" s="46">
        <f ca="1">IFERROR(__xludf.DUMMYFUNCTION("""COMPUTED_VALUE"""),45859)</f>
        <v>45859</v>
      </c>
      <c r="AA654" s="46">
        <f ca="1">IFERROR(__xludf.DUMMYFUNCTION("""COMPUTED_VALUE"""),45859)</f>
        <v>45859</v>
      </c>
      <c r="AB654" s="45" t="str">
        <f ca="1">IFERROR(__xludf.DUMMYFUNCTION("""COMPUTED_VALUE"""),"3500 Argentia Road")</f>
        <v>3500 Argentia Road</v>
      </c>
      <c r="AC654" s="45"/>
      <c r="AD654" s="45" t="str">
        <f ca="1">IFERROR(__xludf.DUMMYFUNCTION("""COMPUTED_VALUE"""),"OCEAN")</f>
        <v>OCEAN</v>
      </c>
      <c r="AE654" s="45" t="str">
        <f ca="1">IFERROR(__xludf.DUMMYFUNCTION("""COMPUTED_VALUE"""),"N")</f>
        <v>N</v>
      </c>
      <c r="AF654" s="45"/>
      <c r="AG654" s="49" t="str">
        <f ca="1">IFERROR(__xludf.DUMMYFUNCTION("IFNA(vlookup(H654,IMPORTRANGE(""1vUGwO1n0QQGx9kKbO0_M5gmuhXZ6-LaxQxgrmJnzgP0"",""'TP# look up'!A:C""),3,0),"""")"),"")</f>
        <v/>
      </c>
      <c r="AH654" s="49" t="str">
        <f t="shared" ca="1" si="10"/>
        <v>LW</v>
      </c>
    </row>
    <row r="655" spans="1:34" ht="12.75">
      <c r="A655" s="45" t="str">
        <f ca="1">IFERROR(__xludf.DUMMYFUNCTION("""COMPUTED_VALUE"""),"Colombo")</f>
        <v>Colombo</v>
      </c>
      <c r="B655" s="45"/>
      <c r="C655" s="45">
        <f ca="1">IFERROR(__xludf.DUMMYFUNCTION("""COMPUTED_VALUE"""),3259512)</f>
        <v>3259512</v>
      </c>
      <c r="D655" s="45"/>
      <c r="E655" s="45" t="str">
        <f ca="1">IFERROR(__xludf.DUMMYFUNCTION("""COMPUTED_VALUE"""),"CFS")</f>
        <v>CFS</v>
      </c>
      <c r="F655" s="45" t="str">
        <f ca="1">IFERROR(__xludf.DUMMYFUNCTION("""COMPUTED_VALUE"""),"Inqube Global (PVT) Ltd")</f>
        <v>Inqube Global (PVT) Ltd</v>
      </c>
      <c r="G655" s="45" t="str">
        <f ca="1">IFERROR(__xludf.DUMMYFUNCTION("""COMPUTED_VALUE"""),"BRANDIX APPAREL SOLUTION LTD - GIRITALE")</f>
        <v>BRANDIX APPAREL SOLUTION LTD - GIRITALE</v>
      </c>
      <c r="H655" s="43">
        <f ca="1">IFERROR(__xludf.DUMMYFUNCTION("""COMPUTED_VALUE"""),454302243726)</f>
        <v>454302243726</v>
      </c>
      <c r="I655" s="45">
        <f ca="1">IFERROR(__xludf.DUMMYFUNCTION("""COMPUTED_VALUE"""),19855604)</f>
        <v>19855604</v>
      </c>
      <c r="J655" s="45" t="str">
        <f ca="1">IFERROR(__xludf.DUMMYFUNCTION("""COMPUTED_VALUE"""),"LM5AO1S")</f>
        <v>LM5AO1S</v>
      </c>
      <c r="K655" s="45" t="str">
        <f ca="1">IFERROR(__xludf.DUMMYFUNCTION("""COMPUTED_VALUE"""),"LM5AO1S-038426")</f>
        <v>LM5AO1S-038426</v>
      </c>
      <c r="L655" s="45">
        <f ca="1">IFERROR(__xludf.DUMMYFUNCTION("""COMPUTED_VALUE"""),4)</f>
        <v>4</v>
      </c>
      <c r="M655" s="45">
        <f ca="1">IFERROR(__xludf.DUMMYFUNCTION("""COMPUTED_VALUE"""),74)</f>
        <v>74</v>
      </c>
      <c r="N655" s="45">
        <f ca="1">IFERROR(__xludf.DUMMYFUNCTION("""COMPUTED_VALUE"""),35.71)</f>
        <v>35.71</v>
      </c>
      <c r="O655" s="45">
        <f ca="1">IFERROR(__xludf.DUMMYFUNCTION("""COMPUTED_VALUE"""),0.21)</f>
        <v>0.21</v>
      </c>
      <c r="P655" s="45" t="str">
        <f ca="1">IFERROR(__xludf.DUMMYFUNCTION("""COMPUTED_VALUE"""),"Colombo, LK")</f>
        <v>Colombo, LK</v>
      </c>
      <c r="Q655" s="45" t="str">
        <f ca="1">IFERROR(__xludf.DUMMYFUNCTION("""COMPUTED_VALUE"""),"New York, NY, US")</f>
        <v>New York, NY, US</v>
      </c>
      <c r="R655" s="44">
        <f ca="1">IFERROR(__xludf.DUMMYFUNCTION("""COMPUTED_VALUE"""),45831)</f>
        <v>45831</v>
      </c>
      <c r="S655" s="44">
        <f ca="1">IFERROR(__xludf.DUMMYFUNCTION("""COMPUTED_VALUE"""),45890)</f>
        <v>45890</v>
      </c>
      <c r="T655" s="45" t="str">
        <f ca="1">IFERROR(__xludf.DUMMYFUNCTION("""COMPUTED_VALUE"""),"Mississauga, ON, CA")</f>
        <v>Mississauga, ON, CA</v>
      </c>
      <c r="U655" s="45"/>
      <c r="V655" s="45"/>
      <c r="W655" s="45"/>
      <c r="X655" s="45"/>
      <c r="Y655" s="46">
        <f ca="1">IFERROR(__xludf.DUMMYFUNCTION("""COMPUTED_VALUE"""),45838)</f>
        <v>45838</v>
      </c>
      <c r="Z655" s="46">
        <f ca="1">IFERROR(__xludf.DUMMYFUNCTION("""COMPUTED_VALUE"""),45859)</f>
        <v>45859</v>
      </c>
      <c r="AA655" s="46">
        <f ca="1">IFERROR(__xludf.DUMMYFUNCTION("""COMPUTED_VALUE"""),45859)</f>
        <v>45859</v>
      </c>
      <c r="AB655" s="45" t="str">
        <f ca="1">IFERROR(__xludf.DUMMYFUNCTION("""COMPUTED_VALUE"""),"3500 Argentia Road")</f>
        <v>3500 Argentia Road</v>
      </c>
      <c r="AC655" s="45"/>
      <c r="AD655" s="45" t="str">
        <f ca="1">IFERROR(__xludf.DUMMYFUNCTION("""COMPUTED_VALUE"""),"OCEAN")</f>
        <v>OCEAN</v>
      </c>
      <c r="AE655" s="45" t="str">
        <f ca="1">IFERROR(__xludf.DUMMYFUNCTION("""COMPUTED_VALUE"""),"N")</f>
        <v>N</v>
      </c>
      <c r="AF655" s="45"/>
      <c r="AG655" s="49" t="str">
        <f ca="1">IFERROR(__xludf.DUMMYFUNCTION("IFNA(vlookup(H655,IMPORTRANGE(""1vUGwO1n0QQGx9kKbO0_M5gmuhXZ6-LaxQxgrmJnzgP0"",""'TP# look up'!A:C""),3,0),"""")"),"")</f>
        <v/>
      </c>
      <c r="AH655" s="49" t="str">
        <f t="shared" ca="1" si="10"/>
        <v>LM</v>
      </c>
    </row>
    <row r="656" spans="1:34" ht="12.75">
      <c r="A656" s="45" t="str">
        <f ca="1">IFERROR(__xludf.DUMMYFUNCTION("""COMPUTED_VALUE"""),"Colombo")</f>
        <v>Colombo</v>
      </c>
      <c r="B656" s="45"/>
      <c r="C656" s="45">
        <f ca="1">IFERROR(__xludf.DUMMYFUNCTION("""COMPUTED_VALUE"""),3259512)</f>
        <v>3259512</v>
      </c>
      <c r="D656" s="45"/>
      <c r="E656" s="45" t="str">
        <f ca="1">IFERROR(__xludf.DUMMYFUNCTION("""COMPUTED_VALUE"""),"CFS")</f>
        <v>CFS</v>
      </c>
      <c r="F656" s="45" t="str">
        <f ca="1">IFERROR(__xludf.DUMMYFUNCTION("""COMPUTED_VALUE"""),"Inqube Global (PVT) Ltd")</f>
        <v>Inqube Global (PVT) Ltd</v>
      </c>
      <c r="G656" s="45" t="str">
        <f ca="1">IFERROR(__xludf.DUMMYFUNCTION("""COMPUTED_VALUE"""),"BRANDIX APPAREL SOLUTION LTD - GIRITALE")</f>
        <v>BRANDIX APPAREL SOLUTION LTD - GIRITALE</v>
      </c>
      <c r="H656" s="43">
        <f ca="1">IFERROR(__xludf.DUMMYFUNCTION("""COMPUTED_VALUE"""),454302478843)</f>
        <v>454302478843</v>
      </c>
      <c r="I656" s="45">
        <f ca="1">IFERROR(__xludf.DUMMYFUNCTION("""COMPUTED_VALUE"""),19855674)</f>
        <v>19855674</v>
      </c>
      <c r="J656" s="45" t="str">
        <f ca="1">IFERROR(__xludf.DUMMYFUNCTION("""COMPUTED_VALUE"""),"LM5AQXS")</f>
        <v>LM5AQXS</v>
      </c>
      <c r="K656" s="45" t="str">
        <f ca="1">IFERROR(__xludf.DUMMYFUNCTION("""COMPUTED_VALUE"""),"LM5AQXS-031382")</f>
        <v>LM5AQXS-031382</v>
      </c>
      <c r="L656" s="45">
        <f ca="1">IFERROR(__xludf.DUMMYFUNCTION("""COMPUTED_VALUE"""),1)</f>
        <v>1</v>
      </c>
      <c r="M656" s="45">
        <f ca="1">IFERROR(__xludf.DUMMYFUNCTION("""COMPUTED_VALUE"""),25)</f>
        <v>25</v>
      </c>
      <c r="N656" s="45">
        <f ca="1">IFERROR(__xludf.DUMMYFUNCTION("""COMPUTED_VALUE"""),9.65)</f>
        <v>9.65</v>
      </c>
      <c r="O656" s="45">
        <f ca="1">IFERROR(__xludf.DUMMYFUNCTION("""COMPUTED_VALUE"""),0.083)</f>
        <v>8.3000000000000004E-2</v>
      </c>
      <c r="P656" s="45" t="str">
        <f ca="1">IFERROR(__xludf.DUMMYFUNCTION("""COMPUTED_VALUE"""),"Colombo, LK")</f>
        <v>Colombo, LK</v>
      </c>
      <c r="Q656" s="45" t="str">
        <f ca="1">IFERROR(__xludf.DUMMYFUNCTION("""COMPUTED_VALUE"""),"New York, NY, US")</f>
        <v>New York, NY, US</v>
      </c>
      <c r="R656" s="44">
        <f ca="1">IFERROR(__xludf.DUMMYFUNCTION("""COMPUTED_VALUE"""),45831)</f>
        <v>45831</v>
      </c>
      <c r="S656" s="44">
        <f ca="1">IFERROR(__xludf.DUMMYFUNCTION("""COMPUTED_VALUE"""),45890)</f>
        <v>45890</v>
      </c>
      <c r="T656" s="45" t="str">
        <f ca="1">IFERROR(__xludf.DUMMYFUNCTION("""COMPUTED_VALUE"""),"Mississauga, ON, CA")</f>
        <v>Mississauga, ON, CA</v>
      </c>
      <c r="U656" s="45"/>
      <c r="V656" s="45"/>
      <c r="W656" s="45"/>
      <c r="X656" s="45"/>
      <c r="Y656" s="46">
        <f ca="1">IFERROR(__xludf.DUMMYFUNCTION("""COMPUTED_VALUE"""),45838)</f>
        <v>45838</v>
      </c>
      <c r="Z656" s="46">
        <f ca="1">IFERROR(__xludf.DUMMYFUNCTION("""COMPUTED_VALUE"""),45859)</f>
        <v>45859</v>
      </c>
      <c r="AA656" s="46">
        <f ca="1">IFERROR(__xludf.DUMMYFUNCTION("""COMPUTED_VALUE"""),45859)</f>
        <v>45859</v>
      </c>
      <c r="AB656" s="45" t="str">
        <f ca="1">IFERROR(__xludf.DUMMYFUNCTION("""COMPUTED_VALUE"""),"3500 Argentia Road")</f>
        <v>3500 Argentia Road</v>
      </c>
      <c r="AC656" s="45"/>
      <c r="AD656" s="45" t="str">
        <f ca="1">IFERROR(__xludf.DUMMYFUNCTION("""COMPUTED_VALUE"""),"OCEAN")</f>
        <v>OCEAN</v>
      </c>
      <c r="AE656" s="45" t="str">
        <f ca="1">IFERROR(__xludf.DUMMYFUNCTION("""COMPUTED_VALUE"""),"N")</f>
        <v>N</v>
      </c>
      <c r="AF656" s="45"/>
      <c r="AG656" s="49" t="str">
        <f ca="1">IFERROR(__xludf.DUMMYFUNCTION("IFNA(vlookup(H656,IMPORTRANGE(""1vUGwO1n0QQGx9kKbO0_M5gmuhXZ6-LaxQxgrmJnzgP0"",""'TP# look up'!A:C""),3,0),"""")"),"")</f>
        <v/>
      </c>
      <c r="AH656" s="49" t="str">
        <f t="shared" ca="1" si="10"/>
        <v>LM</v>
      </c>
    </row>
    <row r="657" spans="1:34" ht="12.75">
      <c r="A657" s="45" t="str">
        <f ca="1">IFERROR(__xludf.DUMMYFUNCTION("""COMPUTED_VALUE"""),"Colombo")</f>
        <v>Colombo</v>
      </c>
      <c r="B657" s="45"/>
      <c r="C657" s="45">
        <f ca="1">IFERROR(__xludf.DUMMYFUNCTION("""COMPUTED_VALUE"""),3259512)</f>
        <v>3259512</v>
      </c>
      <c r="D657" s="45"/>
      <c r="E657" s="45" t="str">
        <f ca="1">IFERROR(__xludf.DUMMYFUNCTION("""COMPUTED_VALUE"""),"CFS")</f>
        <v>CFS</v>
      </c>
      <c r="F657" s="45" t="str">
        <f ca="1">IFERROR(__xludf.DUMMYFUNCTION("""COMPUTED_VALUE"""),"Inqube Global (PVT) Ltd")</f>
        <v>Inqube Global (PVT) Ltd</v>
      </c>
      <c r="G657" s="45" t="str">
        <f ca="1">IFERROR(__xludf.DUMMYFUNCTION("""COMPUTED_VALUE"""),"BRANDIX APPAREL SOLUTION LTD - GIRITALE")</f>
        <v>BRANDIX APPAREL SOLUTION LTD - GIRITALE</v>
      </c>
      <c r="H657" s="43">
        <f ca="1">IFERROR(__xludf.DUMMYFUNCTION("""COMPUTED_VALUE"""),454302513370)</f>
        <v>454302513370</v>
      </c>
      <c r="I657" s="45">
        <f ca="1">IFERROR(__xludf.DUMMYFUNCTION("""COMPUTED_VALUE"""),19855664)</f>
        <v>19855664</v>
      </c>
      <c r="J657" s="45" t="str">
        <f ca="1">IFERROR(__xludf.DUMMYFUNCTION("""COMPUTED_VALUE"""),"LM5AQXS")</f>
        <v>LM5AQXS</v>
      </c>
      <c r="K657" s="45" t="str">
        <f ca="1">IFERROR(__xludf.DUMMYFUNCTION("""COMPUTED_VALUE"""),"LM5AQXS-0001")</f>
        <v>LM5AQXS-0001</v>
      </c>
      <c r="L657" s="45">
        <f ca="1">IFERROR(__xludf.DUMMYFUNCTION("""COMPUTED_VALUE"""),3)</f>
        <v>3</v>
      </c>
      <c r="M657" s="45">
        <f ca="1">IFERROR(__xludf.DUMMYFUNCTION("""COMPUTED_VALUE"""),86)</f>
        <v>86</v>
      </c>
      <c r="N657" s="45">
        <f ca="1">IFERROR(__xludf.DUMMYFUNCTION("""COMPUTED_VALUE"""),32.93)</f>
        <v>32.93</v>
      </c>
      <c r="O657" s="45">
        <f ca="1">IFERROR(__xludf.DUMMYFUNCTION("""COMPUTED_VALUE"""),0.208)</f>
        <v>0.20799999999999999</v>
      </c>
      <c r="P657" s="45" t="str">
        <f ca="1">IFERROR(__xludf.DUMMYFUNCTION("""COMPUTED_VALUE"""),"Colombo, LK")</f>
        <v>Colombo, LK</v>
      </c>
      <c r="Q657" s="45" t="str">
        <f ca="1">IFERROR(__xludf.DUMMYFUNCTION("""COMPUTED_VALUE"""),"New York, NY, US")</f>
        <v>New York, NY, US</v>
      </c>
      <c r="R657" s="44">
        <f ca="1">IFERROR(__xludf.DUMMYFUNCTION("""COMPUTED_VALUE"""),45831)</f>
        <v>45831</v>
      </c>
      <c r="S657" s="44">
        <f ca="1">IFERROR(__xludf.DUMMYFUNCTION("""COMPUTED_VALUE"""),45890)</f>
        <v>45890</v>
      </c>
      <c r="T657" s="45" t="str">
        <f ca="1">IFERROR(__xludf.DUMMYFUNCTION("""COMPUTED_VALUE"""),"Mississauga, ON, CA")</f>
        <v>Mississauga, ON, CA</v>
      </c>
      <c r="U657" s="45"/>
      <c r="V657" s="45"/>
      <c r="W657" s="45"/>
      <c r="X657" s="45"/>
      <c r="Y657" s="46">
        <f ca="1">IFERROR(__xludf.DUMMYFUNCTION("""COMPUTED_VALUE"""),45838)</f>
        <v>45838</v>
      </c>
      <c r="Z657" s="46">
        <f ca="1">IFERROR(__xludf.DUMMYFUNCTION("""COMPUTED_VALUE"""),45859)</f>
        <v>45859</v>
      </c>
      <c r="AA657" s="46">
        <f ca="1">IFERROR(__xludf.DUMMYFUNCTION("""COMPUTED_VALUE"""),45859)</f>
        <v>45859</v>
      </c>
      <c r="AB657" s="45" t="str">
        <f ca="1">IFERROR(__xludf.DUMMYFUNCTION("""COMPUTED_VALUE"""),"3500 Argentia Road")</f>
        <v>3500 Argentia Road</v>
      </c>
      <c r="AC657" s="45"/>
      <c r="AD657" s="45" t="str">
        <f ca="1">IFERROR(__xludf.DUMMYFUNCTION("""COMPUTED_VALUE"""),"OCEAN")</f>
        <v>OCEAN</v>
      </c>
      <c r="AE657" s="45" t="str">
        <f ca="1">IFERROR(__xludf.DUMMYFUNCTION("""COMPUTED_VALUE"""),"N")</f>
        <v>N</v>
      </c>
      <c r="AF657" s="45"/>
      <c r="AG657" s="49" t="str">
        <f ca="1">IFERROR(__xludf.DUMMYFUNCTION("IFNA(vlookup(H657,IMPORTRANGE(""1vUGwO1n0QQGx9kKbO0_M5gmuhXZ6-LaxQxgrmJnzgP0"",""'TP# look up'!A:C""),3,0),"""")"),"")</f>
        <v/>
      </c>
      <c r="AH657" s="49" t="str">
        <f t="shared" ca="1" si="10"/>
        <v>LM</v>
      </c>
    </row>
    <row r="658" spans="1:34" ht="12.75">
      <c r="A658" s="45" t="str">
        <f ca="1">IFERROR(__xludf.DUMMYFUNCTION("""COMPUTED_VALUE"""),"Colombo")</f>
        <v>Colombo</v>
      </c>
      <c r="B658" s="45"/>
      <c r="C658" s="45">
        <f ca="1">IFERROR(__xludf.DUMMYFUNCTION("""COMPUTED_VALUE"""),3259512)</f>
        <v>3259512</v>
      </c>
      <c r="D658" s="45"/>
      <c r="E658" s="45" t="str">
        <f ca="1">IFERROR(__xludf.DUMMYFUNCTION("""COMPUTED_VALUE"""),"CFS")</f>
        <v>CFS</v>
      </c>
      <c r="F658" s="45" t="str">
        <f ca="1">IFERROR(__xludf.DUMMYFUNCTION("""COMPUTED_VALUE"""),"Inqube Global (PVT) Ltd")</f>
        <v>Inqube Global (PVT) Ltd</v>
      </c>
      <c r="G658" s="45" t="str">
        <f ca="1">IFERROR(__xludf.DUMMYFUNCTION("""COMPUTED_VALUE"""),"BRANDIX APPAREL SOLUTION LTD - GIRITALE")</f>
        <v>BRANDIX APPAREL SOLUTION LTD - GIRITALE</v>
      </c>
      <c r="H658" s="43">
        <f ca="1">IFERROR(__xludf.DUMMYFUNCTION("""COMPUTED_VALUE"""),454302515583)</f>
        <v>454302515583</v>
      </c>
      <c r="I658" s="45">
        <f ca="1">IFERROR(__xludf.DUMMYFUNCTION("""COMPUTED_VALUE"""),19855728)</f>
        <v>19855728</v>
      </c>
      <c r="J658" s="45" t="str">
        <f ca="1">IFERROR(__xludf.DUMMYFUNCTION("""COMPUTED_VALUE"""),"LM5AR0T")</f>
        <v>LM5AR0T</v>
      </c>
      <c r="K658" s="45" t="str">
        <f ca="1">IFERROR(__xludf.DUMMYFUNCTION("""COMPUTED_VALUE"""),"LM5AR0T-031382")</f>
        <v>LM5AR0T-031382</v>
      </c>
      <c r="L658" s="45">
        <f ca="1">IFERROR(__xludf.DUMMYFUNCTION("""COMPUTED_VALUE"""),4)</f>
        <v>4</v>
      </c>
      <c r="M658" s="45">
        <f ca="1">IFERROR(__xludf.DUMMYFUNCTION("""COMPUTED_VALUE"""),68)</f>
        <v>68</v>
      </c>
      <c r="N658" s="45">
        <f ca="1">IFERROR(__xludf.DUMMYFUNCTION("""COMPUTED_VALUE"""),34.81)</f>
        <v>34.81</v>
      </c>
      <c r="O658" s="45">
        <f ca="1">IFERROR(__xludf.DUMMYFUNCTION("""COMPUTED_VALUE"""),0.21)</f>
        <v>0.21</v>
      </c>
      <c r="P658" s="45" t="str">
        <f ca="1">IFERROR(__xludf.DUMMYFUNCTION("""COMPUTED_VALUE"""),"Colombo, LK")</f>
        <v>Colombo, LK</v>
      </c>
      <c r="Q658" s="45" t="str">
        <f ca="1">IFERROR(__xludf.DUMMYFUNCTION("""COMPUTED_VALUE"""),"New York, NY, US")</f>
        <v>New York, NY, US</v>
      </c>
      <c r="R658" s="44">
        <f ca="1">IFERROR(__xludf.DUMMYFUNCTION("""COMPUTED_VALUE"""),45831)</f>
        <v>45831</v>
      </c>
      <c r="S658" s="44">
        <f ca="1">IFERROR(__xludf.DUMMYFUNCTION("""COMPUTED_VALUE"""),45890)</f>
        <v>45890</v>
      </c>
      <c r="T658" s="45" t="str">
        <f ca="1">IFERROR(__xludf.DUMMYFUNCTION("""COMPUTED_VALUE"""),"Mississauga, ON, CA")</f>
        <v>Mississauga, ON, CA</v>
      </c>
      <c r="U658" s="45"/>
      <c r="V658" s="45"/>
      <c r="W658" s="45"/>
      <c r="X658" s="45"/>
      <c r="Y658" s="46">
        <f ca="1">IFERROR(__xludf.DUMMYFUNCTION("""COMPUTED_VALUE"""),45838)</f>
        <v>45838</v>
      </c>
      <c r="Z658" s="46">
        <f ca="1">IFERROR(__xludf.DUMMYFUNCTION("""COMPUTED_VALUE"""),45859)</f>
        <v>45859</v>
      </c>
      <c r="AA658" s="46">
        <f ca="1">IFERROR(__xludf.DUMMYFUNCTION("""COMPUTED_VALUE"""),45859)</f>
        <v>45859</v>
      </c>
      <c r="AB658" s="45" t="str">
        <f ca="1">IFERROR(__xludf.DUMMYFUNCTION("""COMPUTED_VALUE"""),"3500 Argentia Road")</f>
        <v>3500 Argentia Road</v>
      </c>
      <c r="AC658" s="45"/>
      <c r="AD658" s="45" t="str">
        <f ca="1">IFERROR(__xludf.DUMMYFUNCTION("""COMPUTED_VALUE"""),"OCEAN")</f>
        <v>OCEAN</v>
      </c>
      <c r="AE658" s="45" t="str">
        <f ca="1">IFERROR(__xludf.DUMMYFUNCTION("""COMPUTED_VALUE"""),"N")</f>
        <v>N</v>
      </c>
      <c r="AF658" s="45"/>
      <c r="AG658" s="49" t="str">
        <f ca="1">IFERROR(__xludf.DUMMYFUNCTION("IFNA(vlookup(H658,IMPORTRANGE(""1vUGwO1n0QQGx9kKbO0_M5gmuhXZ6-LaxQxgrmJnzgP0"",""'TP# look up'!A:C""),3,0),"""")"),"")</f>
        <v/>
      </c>
      <c r="AH658" s="49" t="str">
        <f t="shared" ca="1" si="10"/>
        <v>LM</v>
      </c>
    </row>
    <row r="659" spans="1:34" ht="12.75">
      <c r="A659" s="45" t="str">
        <f ca="1">IFERROR(__xludf.DUMMYFUNCTION("""COMPUTED_VALUE"""),"Colombo")</f>
        <v>Colombo</v>
      </c>
      <c r="B659" s="45"/>
      <c r="C659" s="45">
        <f ca="1">IFERROR(__xludf.DUMMYFUNCTION("""COMPUTED_VALUE"""),3259512)</f>
        <v>3259512</v>
      </c>
      <c r="D659" s="45"/>
      <c r="E659" s="45" t="str">
        <f ca="1">IFERROR(__xludf.DUMMYFUNCTION("""COMPUTED_VALUE"""),"CFS")</f>
        <v>CFS</v>
      </c>
      <c r="F659" s="45" t="str">
        <f ca="1">IFERROR(__xludf.DUMMYFUNCTION("""COMPUTED_VALUE"""),"Inqube Global (PVT) Ltd")</f>
        <v>Inqube Global (PVT) Ltd</v>
      </c>
      <c r="G659" s="45" t="str">
        <f ca="1">IFERROR(__xludf.DUMMYFUNCTION("""COMPUTED_VALUE"""),"BRANDIX APPAREL SOLUTION LTD - GIRITALE")</f>
        <v>BRANDIX APPAREL SOLUTION LTD - GIRITALE</v>
      </c>
      <c r="H659" s="43">
        <f ca="1">IFERROR(__xludf.DUMMYFUNCTION("""COMPUTED_VALUE"""),454302613681)</f>
        <v>454302613681</v>
      </c>
      <c r="I659" s="45">
        <f ca="1">IFERROR(__xludf.DUMMYFUNCTION("""COMPUTED_VALUE"""),19855720)</f>
        <v>19855720</v>
      </c>
      <c r="J659" s="45" t="str">
        <f ca="1">IFERROR(__xludf.DUMMYFUNCTION("""COMPUTED_VALUE"""),"LM5AR0T")</f>
        <v>LM5AR0T</v>
      </c>
      <c r="K659" s="45" t="str">
        <f ca="1">IFERROR(__xludf.DUMMYFUNCTION("""COMPUTED_VALUE"""),"LM5AR0T-0001")</f>
        <v>LM5AR0T-0001</v>
      </c>
      <c r="L659" s="45">
        <f ca="1">IFERROR(__xludf.DUMMYFUNCTION("""COMPUTED_VALUE"""),4)</f>
        <v>4</v>
      </c>
      <c r="M659" s="45">
        <f ca="1">IFERROR(__xludf.DUMMYFUNCTION("""COMPUTED_VALUE"""),74)</f>
        <v>74</v>
      </c>
      <c r="N659" s="45">
        <f ca="1">IFERROR(__xludf.DUMMYFUNCTION("""COMPUTED_VALUE"""),37.96)</f>
        <v>37.96</v>
      </c>
      <c r="O659" s="45">
        <f ca="1">IFERROR(__xludf.DUMMYFUNCTION("""COMPUTED_VALUE"""),0.21)</f>
        <v>0.21</v>
      </c>
      <c r="P659" s="45" t="str">
        <f ca="1">IFERROR(__xludf.DUMMYFUNCTION("""COMPUTED_VALUE"""),"Colombo, LK")</f>
        <v>Colombo, LK</v>
      </c>
      <c r="Q659" s="45" t="str">
        <f ca="1">IFERROR(__xludf.DUMMYFUNCTION("""COMPUTED_VALUE"""),"New York, NY, US")</f>
        <v>New York, NY, US</v>
      </c>
      <c r="R659" s="44">
        <f ca="1">IFERROR(__xludf.DUMMYFUNCTION("""COMPUTED_VALUE"""),45831)</f>
        <v>45831</v>
      </c>
      <c r="S659" s="44">
        <f ca="1">IFERROR(__xludf.DUMMYFUNCTION("""COMPUTED_VALUE"""),45890)</f>
        <v>45890</v>
      </c>
      <c r="T659" s="45" t="str">
        <f ca="1">IFERROR(__xludf.DUMMYFUNCTION("""COMPUTED_VALUE"""),"Mississauga, ON, CA")</f>
        <v>Mississauga, ON, CA</v>
      </c>
      <c r="U659" s="45"/>
      <c r="V659" s="45"/>
      <c r="W659" s="45"/>
      <c r="X659" s="45"/>
      <c r="Y659" s="46">
        <f ca="1">IFERROR(__xludf.DUMMYFUNCTION("""COMPUTED_VALUE"""),45838)</f>
        <v>45838</v>
      </c>
      <c r="Z659" s="46">
        <f ca="1">IFERROR(__xludf.DUMMYFUNCTION("""COMPUTED_VALUE"""),45859)</f>
        <v>45859</v>
      </c>
      <c r="AA659" s="46">
        <f ca="1">IFERROR(__xludf.DUMMYFUNCTION("""COMPUTED_VALUE"""),45859)</f>
        <v>45859</v>
      </c>
      <c r="AB659" s="45" t="str">
        <f ca="1">IFERROR(__xludf.DUMMYFUNCTION("""COMPUTED_VALUE"""),"3500 Argentia Road")</f>
        <v>3500 Argentia Road</v>
      </c>
      <c r="AC659" s="45"/>
      <c r="AD659" s="45" t="str">
        <f ca="1">IFERROR(__xludf.DUMMYFUNCTION("""COMPUTED_VALUE"""),"OCEAN")</f>
        <v>OCEAN</v>
      </c>
      <c r="AE659" s="45" t="str">
        <f ca="1">IFERROR(__xludf.DUMMYFUNCTION("""COMPUTED_VALUE"""),"N")</f>
        <v>N</v>
      </c>
      <c r="AF659" s="45"/>
      <c r="AG659" s="49" t="str">
        <f ca="1">IFERROR(__xludf.DUMMYFUNCTION("IFNA(vlookup(H659,IMPORTRANGE(""1vUGwO1n0QQGx9kKbO0_M5gmuhXZ6-LaxQxgrmJnzgP0"",""'TP# look up'!A:C""),3,0),"""")"),"")</f>
        <v/>
      </c>
      <c r="AH659" s="49" t="str">
        <f t="shared" ca="1" si="10"/>
        <v>LM</v>
      </c>
    </row>
    <row r="660" spans="1:34" ht="12.75">
      <c r="A660" s="45" t="str">
        <f ca="1">IFERROR(__xludf.DUMMYFUNCTION("""COMPUTED_VALUE"""),"Colombo")</f>
        <v>Colombo</v>
      </c>
      <c r="B660" s="45"/>
      <c r="C660" s="45">
        <f ca="1">IFERROR(__xludf.DUMMYFUNCTION("""COMPUTED_VALUE"""),3259512)</f>
        <v>3259512</v>
      </c>
      <c r="D660" s="45"/>
      <c r="E660" s="45" t="str">
        <f ca="1">IFERROR(__xludf.DUMMYFUNCTION("""COMPUTED_VALUE"""),"CFS")</f>
        <v>CFS</v>
      </c>
      <c r="F660" s="45" t="str">
        <f ca="1">IFERROR(__xludf.DUMMYFUNCTION("""COMPUTED_VALUE"""),"Inqube Global (PVT) Ltd")</f>
        <v>Inqube Global (PVT) Ltd</v>
      </c>
      <c r="G660" s="45" t="str">
        <f ca="1">IFERROR(__xludf.DUMMYFUNCTION("""COMPUTED_VALUE"""),"BRANDIX APPAREL SOLUTION LTD - GIRITALE")</f>
        <v>BRANDIX APPAREL SOLUTION LTD - GIRITALE</v>
      </c>
      <c r="H660" s="43">
        <f ca="1">IFERROR(__xludf.DUMMYFUNCTION("""COMPUTED_VALUE"""),454302988741)</f>
        <v>454302988741</v>
      </c>
      <c r="I660" s="45">
        <f ca="1">IFERROR(__xludf.DUMMYFUNCTION("""COMPUTED_VALUE"""),19856075)</f>
        <v>19856075</v>
      </c>
      <c r="J660" s="45" t="str">
        <f ca="1">IFERROR(__xludf.DUMMYFUNCTION("""COMPUTED_VALUE"""),"LM5AQXS")</f>
        <v>LM5AQXS</v>
      </c>
      <c r="K660" s="45" t="str">
        <f ca="1">IFERROR(__xludf.DUMMYFUNCTION("""COMPUTED_VALUE"""),"LM5AQXS-0001")</f>
        <v>LM5AQXS-0001</v>
      </c>
      <c r="L660" s="45">
        <f ca="1">IFERROR(__xludf.DUMMYFUNCTION("""COMPUTED_VALUE"""),11)</f>
        <v>11</v>
      </c>
      <c r="M660" s="45">
        <f ca="1">IFERROR(__xludf.DUMMYFUNCTION("""COMPUTED_VALUE"""),400)</f>
        <v>400</v>
      </c>
      <c r="N660" s="45">
        <f ca="1">IFERROR(__xludf.DUMMYFUNCTION("""COMPUTED_VALUE"""),155.14)</f>
        <v>155.13999999999999</v>
      </c>
      <c r="O660" s="45">
        <f ca="1">IFERROR(__xludf.DUMMYFUNCTION("""COMPUTED_VALUE"""),0.868)</f>
        <v>0.86799999999999999</v>
      </c>
      <c r="P660" s="45" t="str">
        <f ca="1">IFERROR(__xludf.DUMMYFUNCTION("""COMPUTED_VALUE"""),"Colombo, LK")</f>
        <v>Colombo, LK</v>
      </c>
      <c r="Q660" s="45" t="str">
        <f ca="1">IFERROR(__xludf.DUMMYFUNCTION("""COMPUTED_VALUE"""),"New York, NY, US")</f>
        <v>New York, NY, US</v>
      </c>
      <c r="R660" s="44">
        <f ca="1">IFERROR(__xludf.DUMMYFUNCTION("""COMPUTED_VALUE"""),45831)</f>
        <v>45831</v>
      </c>
      <c r="S660" s="44">
        <f ca="1">IFERROR(__xludf.DUMMYFUNCTION("""COMPUTED_VALUE"""),45890)</f>
        <v>45890</v>
      </c>
      <c r="T660" s="45" t="str">
        <f ca="1">IFERROR(__xludf.DUMMYFUNCTION("""COMPUTED_VALUE"""),"Mississauga, ON, CA")</f>
        <v>Mississauga, ON, CA</v>
      </c>
      <c r="U660" s="45"/>
      <c r="V660" s="45"/>
      <c r="W660" s="45"/>
      <c r="X660" s="45"/>
      <c r="Y660" s="46">
        <f ca="1">IFERROR(__xludf.DUMMYFUNCTION("""COMPUTED_VALUE"""),45838)</f>
        <v>45838</v>
      </c>
      <c r="Z660" s="46">
        <f ca="1">IFERROR(__xludf.DUMMYFUNCTION("""COMPUTED_VALUE"""),45859)</f>
        <v>45859</v>
      </c>
      <c r="AA660" s="46">
        <f ca="1">IFERROR(__xludf.DUMMYFUNCTION("""COMPUTED_VALUE"""),45859)</f>
        <v>45859</v>
      </c>
      <c r="AB660" s="45" t="str">
        <f ca="1">IFERROR(__xludf.DUMMYFUNCTION("""COMPUTED_VALUE"""),"3500 Argentia Road")</f>
        <v>3500 Argentia Road</v>
      </c>
      <c r="AC660" s="45"/>
      <c r="AD660" s="45" t="str">
        <f ca="1">IFERROR(__xludf.DUMMYFUNCTION("""COMPUTED_VALUE"""),"OCEAN")</f>
        <v>OCEAN</v>
      </c>
      <c r="AE660" s="45" t="str">
        <f ca="1">IFERROR(__xludf.DUMMYFUNCTION("""COMPUTED_VALUE"""),"N")</f>
        <v>N</v>
      </c>
      <c r="AF660" s="45"/>
      <c r="AG660" s="49" t="str">
        <f ca="1">IFERROR(__xludf.DUMMYFUNCTION("IFNA(vlookup(H660,IMPORTRANGE(""1vUGwO1n0QQGx9kKbO0_M5gmuhXZ6-LaxQxgrmJnzgP0"",""'TP# look up'!A:C""),3,0),"""")"),"")</f>
        <v/>
      </c>
      <c r="AH660" s="49" t="str">
        <f t="shared" ca="1" si="10"/>
        <v>LM</v>
      </c>
    </row>
    <row r="661" spans="1:34" ht="12.75">
      <c r="A661" s="45" t="str">
        <f ca="1">IFERROR(__xludf.DUMMYFUNCTION("""COMPUTED_VALUE"""),"Colombo")</f>
        <v>Colombo</v>
      </c>
      <c r="B661" s="45"/>
      <c r="C661" s="45">
        <f ca="1">IFERROR(__xludf.DUMMYFUNCTION("""COMPUTED_VALUE"""),3259512)</f>
        <v>3259512</v>
      </c>
      <c r="D661" s="45"/>
      <c r="E661" s="45" t="str">
        <f ca="1">IFERROR(__xludf.DUMMYFUNCTION("""COMPUTED_VALUE"""),"CFS")</f>
        <v>CFS</v>
      </c>
      <c r="F661" s="45" t="str">
        <f ca="1">IFERROR(__xludf.DUMMYFUNCTION("""COMPUTED_VALUE"""),"Inqube Global (PVT) Ltd")</f>
        <v>Inqube Global (PVT) Ltd</v>
      </c>
      <c r="G661" s="45" t="str">
        <f ca="1">IFERROR(__xludf.DUMMYFUNCTION("""COMPUTED_VALUE"""),"BRANDIX APPAREL SOLUTION LTD - GIRITALE")</f>
        <v>BRANDIX APPAREL SOLUTION LTD - GIRITALE</v>
      </c>
      <c r="H661" s="43">
        <f ca="1">IFERROR(__xludf.DUMMYFUNCTION("""COMPUTED_VALUE"""),454303062530)</f>
        <v>454303062530</v>
      </c>
      <c r="I661" s="45">
        <f ca="1">IFERROR(__xludf.DUMMYFUNCTION("""COMPUTED_VALUE"""),19856031)</f>
        <v>19856031</v>
      </c>
      <c r="J661" s="45" t="str">
        <f ca="1">IFERROR(__xludf.DUMMYFUNCTION("""COMPUTED_VALUE"""),"LM5AQHS")</f>
        <v>LM5AQHS</v>
      </c>
      <c r="K661" s="45" t="str">
        <f ca="1">IFERROR(__xludf.DUMMYFUNCTION("""COMPUTED_VALUE"""),"LM5AQHS-038426")</f>
        <v>LM5AQHS-038426</v>
      </c>
      <c r="L661" s="45">
        <f ca="1">IFERROR(__xludf.DUMMYFUNCTION("""COMPUTED_VALUE"""),9)</f>
        <v>9</v>
      </c>
      <c r="M661" s="45">
        <f ca="1">IFERROR(__xludf.DUMMYFUNCTION("""COMPUTED_VALUE"""),252)</f>
        <v>252</v>
      </c>
      <c r="N661" s="45">
        <f ca="1">IFERROR(__xludf.DUMMYFUNCTION("""COMPUTED_VALUE"""),114.09)</f>
        <v>114.09</v>
      </c>
      <c r="O661" s="45">
        <f ca="1">IFERROR(__xludf.DUMMYFUNCTION("""COMPUTED_VALUE"""),0.663)</f>
        <v>0.66300000000000003</v>
      </c>
      <c r="P661" s="45" t="str">
        <f ca="1">IFERROR(__xludf.DUMMYFUNCTION("""COMPUTED_VALUE"""),"Colombo, LK")</f>
        <v>Colombo, LK</v>
      </c>
      <c r="Q661" s="45" t="str">
        <f ca="1">IFERROR(__xludf.DUMMYFUNCTION("""COMPUTED_VALUE"""),"New York, NY, US")</f>
        <v>New York, NY, US</v>
      </c>
      <c r="R661" s="44">
        <f ca="1">IFERROR(__xludf.DUMMYFUNCTION("""COMPUTED_VALUE"""),45831)</f>
        <v>45831</v>
      </c>
      <c r="S661" s="44">
        <f ca="1">IFERROR(__xludf.DUMMYFUNCTION("""COMPUTED_VALUE"""),45890)</f>
        <v>45890</v>
      </c>
      <c r="T661" s="45" t="str">
        <f ca="1">IFERROR(__xludf.DUMMYFUNCTION("""COMPUTED_VALUE"""),"Mississauga, ON, CA")</f>
        <v>Mississauga, ON, CA</v>
      </c>
      <c r="U661" s="45"/>
      <c r="V661" s="45"/>
      <c r="W661" s="45"/>
      <c r="X661" s="45"/>
      <c r="Y661" s="46">
        <f ca="1">IFERROR(__xludf.DUMMYFUNCTION("""COMPUTED_VALUE"""),45838)</f>
        <v>45838</v>
      </c>
      <c r="Z661" s="46">
        <f ca="1">IFERROR(__xludf.DUMMYFUNCTION("""COMPUTED_VALUE"""),45859)</f>
        <v>45859</v>
      </c>
      <c r="AA661" s="46">
        <f ca="1">IFERROR(__xludf.DUMMYFUNCTION("""COMPUTED_VALUE"""),45859)</f>
        <v>45859</v>
      </c>
      <c r="AB661" s="45" t="str">
        <f ca="1">IFERROR(__xludf.DUMMYFUNCTION("""COMPUTED_VALUE"""),"3500 Argentia Road")</f>
        <v>3500 Argentia Road</v>
      </c>
      <c r="AC661" s="45"/>
      <c r="AD661" s="45" t="str">
        <f ca="1">IFERROR(__xludf.DUMMYFUNCTION("""COMPUTED_VALUE"""),"OCEAN")</f>
        <v>OCEAN</v>
      </c>
      <c r="AE661" s="45" t="str">
        <f ca="1">IFERROR(__xludf.DUMMYFUNCTION("""COMPUTED_VALUE"""),"N")</f>
        <v>N</v>
      </c>
      <c r="AF661" s="45"/>
      <c r="AG661" s="49" t="str">
        <f ca="1">IFERROR(__xludf.DUMMYFUNCTION("IFNA(vlookup(H661,IMPORTRANGE(""1vUGwO1n0QQGx9kKbO0_M5gmuhXZ6-LaxQxgrmJnzgP0"",""'TP# look up'!A:C""),3,0),"""")"),"")</f>
        <v/>
      </c>
      <c r="AH661" s="49" t="str">
        <f t="shared" ca="1" si="10"/>
        <v>LM</v>
      </c>
    </row>
    <row r="662" spans="1:34" ht="12.75">
      <c r="A662" s="45" t="str">
        <f ca="1">IFERROR(__xludf.DUMMYFUNCTION("""COMPUTED_VALUE"""),"Colombo")</f>
        <v>Colombo</v>
      </c>
      <c r="B662" s="45"/>
      <c r="C662" s="45">
        <f ca="1">IFERROR(__xludf.DUMMYFUNCTION("""COMPUTED_VALUE"""),3259512)</f>
        <v>3259512</v>
      </c>
      <c r="D662" s="45"/>
      <c r="E662" s="45" t="str">
        <f ca="1">IFERROR(__xludf.DUMMYFUNCTION("""COMPUTED_VALUE"""),"CFS")</f>
        <v>CFS</v>
      </c>
      <c r="F662" s="45" t="str">
        <f ca="1">IFERROR(__xludf.DUMMYFUNCTION("""COMPUTED_VALUE"""),"Inqube Global (PVT) Ltd")</f>
        <v>Inqube Global (PVT) Ltd</v>
      </c>
      <c r="G662" s="45" t="str">
        <f ca="1">IFERROR(__xludf.DUMMYFUNCTION("""COMPUTED_VALUE"""),"BRANDIX APPAREL SOLUTION LTD - GIRITALE")</f>
        <v>BRANDIX APPAREL SOLUTION LTD - GIRITALE</v>
      </c>
      <c r="H662" s="43">
        <f ca="1">IFERROR(__xludf.DUMMYFUNCTION("""COMPUTED_VALUE"""),454304138146)</f>
        <v>454304138146</v>
      </c>
      <c r="I662" s="45">
        <f ca="1">IFERROR(__xludf.DUMMYFUNCTION("""COMPUTED_VALUE"""),19856227)</f>
        <v>19856227</v>
      </c>
      <c r="J662" s="45" t="str">
        <f ca="1">IFERROR(__xludf.DUMMYFUNCTION("""COMPUTED_VALUE"""),"LM5AR0T")</f>
        <v>LM5AR0T</v>
      </c>
      <c r="K662" s="45" t="str">
        <f ca="1">IFERROR(__xludf.DUMMYFUNCTION("""COMPUTED_VALUE"""),"LM5AR0T-0001")</f>
        <v>LM5AR0T-0001</v>
      </c>
      <c r="L662" s="45">
        <f ca="1">IFERROR(__xludf.DUMMYFUNCTION("""COMPUTED_VALUE"""),6)</f>
        <v>6</v>
      </c>
      <c r="M662" s="45">
        <f ca="1">IFERROR(__xludf.DUMMYFUNCTION("""COMPUTED_VALUE"""),140)</f>
        <v>140</v>
      </c>
      <c r="N662" s="45">
        <f ca="1">IFERROR(__xludf.DUMMYFUNCTION("""COMPUTED_VALUE"""),70.71)</f>
        <v>70.709999999999994</v>
      </c>
      <c r="O662" s="45">
        <f ca="1">IFERROR(__xludf.DUMMYFUNCTION("""COMPUTED_VALUE"""),0.375)</f>
        <v>0.375</v>
      </c>
      <c r="P662" s="45" t="str">
        <f ca="1">IFERROR(__xludf.DUMMYFUNCTION("""COMPUTED_VALUE"""),"Colombo, LK")</f>
        <v>Colombo, LK</v>
      </c>
      <c r="Q662" s="45" t="str">
        <f ca="1">IFERROR(__xludf.DUMMYFUNCTION("""COMPUTED_VALUE"""),"New York, NY, US")</f>
        <v>New York, NY, US</v>
      </c>
      <c r="R662" s="44">
        <f ca="1">IFERROR(__xludf.DUMMYFUNCTION("""COMPUTED_VALUE"""),45831)</f>
        <v>45831</v>
      </c>
      <c r="S662" s="44">
        <f ca="1">IFERROR(__xludf.DUMMYFUNCTION("""COMPUTED_VALUE"""),45890)</f>
        <v>45890</v>
      </c>
      <c r="T662" s="45" t="str">
        <f ca="1">IFERROR(__xludf.DUMMYFUNCTION("""COMPUTED_VALUE"""),"Mississauga, ON, CA")</f>
        <v>Mississauga, ON, CA</v>
      </c>
      <c r="U662" s="45"/>
      <c r="V662" s="45"/>
      <c r="W662" s="45"/>
      <c r="X662" s="45"/>
      <c r="Y662" s="46">
        <f ca="1">IFERROR(__xludf.DUMMYFUNCTION("""COMPUTED_VALUE"""),45838)</f>
        <v>45838</v>
      </c>
      <c r="Z662" s="46">
        <f ca="1">IFERROR(__xludf.DUMMYFUNCTION("""COMPUTED_VALUE"""),45859)</f>
        <v>45859</v>
      </c>
      <c r="AA662" s="46">
        <f ca="1">IFERROR(__xludf.DUMMYFUNCTION("""COMPUTED_VALUE"""),45859)</f>
        <v>45859</v>
      </c>
      <c r="AB662" s="45" t="str">
        <f ca="1">IFERROR(__xludf.DUMMYFUNCTION("""COMPUTED_VALUE"""),"3500 Argentia Road")</f>
        <v>3500 Argentia Road</v>
      </c>
      <c r="AC662" s="45"/>
      <c r="AD662" s="45" t="str">
        <f ca="1">IFERROR(__xludf.DUMMYFUNCTION("""COMPUTED_VALUE"""),"OCEAN")</f>
        <v>OCEAN</v>
      </c>
      <c r="AE662" s="45" t="str">
        <f ca="1">IFERROR(__xludf.DUMMYFUNCTION("""COMPUTED_VALUE"""),"N")</f>
        <v>N</v>
      </c>
      <c r="AF662" s="45"/>
      <c r="AG662" s="49" t="str">
        <f ca="1">IFERROR(__xludf.DUMMYFUNCTION("IFNA(vlookup(H662,IMPORTRANGE(""1vUGwO1n0QQGx9kKbO0_M5gmuhXZ6-LaxQxgrmJnzgP0"",""'TP# look up'!A:C""),3,0),"""")"),"")</f>
        <v/>
      </c>
      <c r="AH662" s="49" t="str">
        <f t="shared" ca="1" si="10"/>
        <v>LM</v>
      </c>
    </row>
    <row r="663" spans="1:34" ht="12.75">
      <c r="A663" s="45" t="str">
        <f ca="1">IFERROR(__xludf.DUMMYFUNCTION("""COMPUTED_VALUE"""),"Colombo")</f>
        <v>Colombo</v>
      </c>
      <c r="B663" s="45"/>
      <c r="C663" s="45">
        <f ca="1">IFERROR(__xludf.DUMMYFUNCTION("""COMPUTED_VALUE"""),3259512)</f>
        <v>3259512</v>
      </c>
      <c r="D663" s="45"/>
      <c r="E663" s="45" t="str">
        <f ca="1">IFERROR(__xludf.DUMMYFUNCTION("""COMPUTED_VALUE"""),"CFS")</f>
        <v>CFS</v>
      </c>
      <c r="F663" s="45" t="str">
        <f ca="1">IFERROR(__xludf.DUMMYFUNCTION("""COMPUTED_VALUE"""),"Inqube Global (PVT) Ltd")</f>
        <v>Inqube Global (PVT) Ltd</v>
      </c>
      <c r="G663" s="45" t="str">
        <f ca="1">IFERROR(__xludf.DUMMYFUNCTION("""COMPUTED_VALUE"""),"BRANDIX APPAREL SOLUTION LTD - GIRITALE")</f>
        <v>BRANDIX APPAREL SOLUTION LTD - GIRITALE</v>
      </c>
      <c r="H663" s="43">
        <f ca="1">IFERROR(__xludf.DUMMYFUNCTION("""COMPUTED_VALUE"""),454304185325)</f>
        <v>454304185325</v>
      </c>
      <c r="I663" s="45">
        <f ca="1">IFERROR(__xludf.DUMMYFUNCTION("""COMPUTED_VALUE"""),19856271)</f>
        <v>19856271</v>
      </c>
      <c r="J663" s="45" t="str">
        <f ca="1">IFERROR(__xludf.DUMMYFUNCTION("""COMPUTED_VALUE"""),"LM5AR0T")</f>
        <v>LM5AR0T</v>
      </c>
      <c r="K663" s="45" t="str">
        <f ca="1">IFERROR(__xludf.DUMMYFUNCTION("""COMPUTED_VALUE"""),"LM5AR0T-031382")</f>
        <v>LM5AR0T-031382</v>
      </c>
      <c r="L663" s="45">
        <f ca="1">IFERROR(__xludf.DUMMYFUNCTION("""COMPUTED_VALUE"""),5)</f>
        <v>5</v>
      </c>
      <c r="M663" s="45">
        <f ca="1">IFERROR(__xludf.DUMMYFUNCTION("""COMPUTED_VALUE"""),106)</f>
        <v>106</v>
      </c>
      <c r="N663" s="45">
        <f ca="1">IFERROR(__xludf.DUMMYFUNCTION("""COMPUTED_VALUE"""),53.41)</f>
        <v>53.41</v>
      </c>
      <c r="O663" s="45">
        <f ca="1">IFERROR(__xludf.DUMMYFUNCTION("""COMPUTED_VALUE"""),0.253)</f>
        <v>0.253</v>
      </c>
      <c r="P663" s="45" t="str">
        <f ca="1">IFERROR(__xludf.DUMMYFUNCTION("""COMPUTED_VALUE"""),"Colombo, LK")</f>
        <v>Colombo, LK</v>
      </c>
      <c r="Q663" s="45" t="str">
        <f ca="1">IFERROR(__xludf.DUMMYFUNCTION("""COMPUTED_VALUE"""),"New York, NY, US")</f>
        <v>New York, NY, US</v>
      </c>
      <c r="R663" s="44">
        <f ca="1">IFERROR(__xludf.DUMMYFUNCTION("""COMPUTED_VALUE"""),45831)</f>
        <v>45831</v>
      </c>
      <c r="S663" s="44">
        <f ca="1">IFERROR(__xludf.DUMMYFUNCTION("""COMPUTED_VALUE"""),45890)</f>
        <v>45890</v>
      </c>
      <c r="T663" s="45" t="str">
        <f ca="1">IFERROR(__xludf.DUMMYFUNCTION("""COMPUTED_VALUE"""),"Mississauga, ON, CA")</f>
        <v>Mississauga, ON, CA</v>
      </c>
      <c r="U663" s="45"/>
      <c r="V663" s="45"/>
      <c r="W663" s="45"/>
      <c r="X663" s="45"/>
      <c r="Y663" s="46">
        <f ca="1">IFERROR(__xludf.DUMMYFUNCTION("""COMPUTED_VALUE"""),45838)</f>
        <v>45838</v>
      </c>
      <c r="Z663" s="46">
        <f ca="1">IFERROR(__xludf.DUMMYFUNCTION("""COMPUTED_VALUE"""),45859)</f>
        <v>45859</v>
      </c>
      <c r="AA663" s="46">
        <f ca="1">IFERROR(__xludf.DUMMYFUNCTION("""COMPUTED_VALUE"""),45859)</f>
        <v>45859</v>
      </c>
      <c r="AB663" s="45" t="str">
        <f ca="1">IFERROR(__xludf.DUMMYFUNCTION("""COMPUTED_VALUE"""),"3500 Argentia Road")</f>
        <v>3500 Argentia Road</v>
      </c>
      <c r="AC663" s="45"/>
      <c r="AD663" s="45" t="str">
        <f ca="1">IFERROR(__xludf.DUMMYFUNCTION("""COMPUTED_VALUE"""),"OCEAN")</f>
        <v>OCEAN</v>
      </c>
      <c r="AE663" s="45" t="str">
        <f ca="1">IFERROR(__xludf.DUMMYFUNCTION("""COMPUTED_VALUE"""),"N")</f>
        <v>N</v>
      </c>
      <c r="AF663" s="45"/>
      <c r="AG663" s="49" t="str">
        <f ca="1">IFERROR(__xludf.DUMMYFUNCTION("IFNA(vlookup(H663,IMPORTRANGE(""1vUGwO1n0QQGx9kKbO0_M5gmuhXZ6-LaxQxgrmJnzgP0"",""'TP# look up'!A:C""),3,0),"""")"),"")</f>
        <v/>
      </c>
      <c r="AH663" s="49" t="str">
        <f t="shared" ca="1" si="10"/>
        <v>LM</v>
      </c>
    </row>
    <row r="664" spans="1:34" ht="12.75">
      <c r="A664" s="45" t="str">
        <f ca="1">IFERROR(__xludf.DUMMYFUNCTION("""COMPUTED_VALUE"""),"Colombo")</f>
        <v>Colombo</v>
      </c>
      <c r="B664" s="45"/>
      <c r="C664" s="45">
        <f ca="1">IFERROR(__xludf.DUMMYFUNCTION("""COMPUTED_VALUE"""),3259512)</f>
        <v>3259512</v>
      </c>
      <c r="D664" s="45"/>
      <c r="E664" s="45" t="str">
        <f ca="1">IFERROR(__xludf.DUMMYFUNCTION("""COMPUTED_VALUE"""),"CFS")</f>
        <v>CFS</v>
      </c>
      <c r="F664" s="45" t="str">
        <f ca="1">IFERROR(__xludf.DUMMYFUNCTION("""COMPUTED_VALUE"""),"Inqube Global (PVT) Ltd")</f>
        <v>Inqube Global (PVT) Ltd</v>
      </c>
      <c r="G664" s="45" t="str">
        <f ca="1">IFERROR(__xludf.DUMMYFUNCTION("""COMPUTED_VALUE"""),"BRANDIX APPAREL SOLUTION LTD - GIRITALE")</f>
        <v>BRANDIX APPAREL SOLUTION LTD - GIRITALE</v>
      </c>
      <c r="H664" s="43">
        <f ca="1">IFERROR(__xludf.DUMMYFUNCTION("""COMPUTED_VALUE"""),454712198384)</f>
        <v>454712198384</v>
      </c>
      <c r="I664" s="45">
        <f ca="1">IFERROR(__xludf.DUMMYFUNCTION("""COMPUTED_VALUE"""),19855709)</f>
        <v>19855709</v>
      </c>
      <c r="J664" s="45" t="str">
        <f ca="1">IFERROR(__xludf.DUMMYFUNCTION("""COMPUTED_VALUE"""),"LM5AQZS")</f>
        <v>LM5AQZS</v>
      </c>
      <c r="K664" s="45" t="str">
        <f ca="1">IFERROR(__xludf.DUMMYFUNCTION("""COMPUTED_VALUE"""),"LM5AQZS-019222")</f>
        <v>LM5AQZS-019222</v>
      </c>
      <c r="L664" s="45">
        <f ca="1">IFERROR(__xludf.DUMMYFUNCTION("""COMPUTED_VALUE"""),2)</f>
        <v>2</v>
      </c>
      <c r="M664" s="45">
        <f ca="1">IFERROR(__xludf.DUMMYFUNCTION("""COMPUTED_VALUE"""),48)</f>
        <v>48</v>
      </c>
      <c r="N664" s="45">
        <f ca="1">IFERROR(__xludf.DUMMYFUNCTION("""COMPUTED_VALUE"""),22.67)</f>
        <v>22.67</v>
      </c>
      <c r="O664" s="45">
        <f ca="1">IFERROR(__xludf.DUMMYFUNCTION("""COMPUTED_VALUE"""),0.125)</f>
        <v>0.125</v>
      </c>
      <c r="P664" s="45" t="str">
        <f ca="1">IFERROR(__xludf.DUMMYFUNCTION("""COMPUTED_VALUE"""),"Colombo, LK")</f>
        <v>Colombo, LK</v>
      </c>
      <c r="Q664" s="45" t="str">
        <f ca="1">IFERROR(__xludf.DUMMYFUNCTION("""COMPUTED_VALUE"""),"New York, NY, US")</f>
        <v>New York, NY, US</v>
      </c>
      <c r="R664" s="44">
        <f ca="1">IFERROR(__xludf.DUMMYFUNCTION("""COMPUTED_VALUE"""),45831)</f>
        <v>45831</v>
      </c>
      <c r="S664" s="44">
        <f ca="1">IFERROR(__xludf.DUMMYFUNCTION("""COMPUTED_VALUE"""),45890)</f>
        <v>45890</v>
      </c>
      <c r="T664" s="45" t="str">
        <f ca="1">IFERROR(__xludf.DUMMYFUNCTION("""COMPUTED_VALUE"""),"Milton, ON, CA")</f>
        <v>Milton, ON, CA</v>
      </c>
      <c r="U664" s="45"/>
      <c r="V664" s="45"/>
      <c r="W664" s="45"/>
      <c r="X664" s="45"/>
      <c r="Y664" s="46">
        <f ca="1">IFERROR(__xludf.DUMMYFUNCTION("""COMPUTED_VALUE"""),45838)</f>
        <v>45838</v>
      </c>
      <c r="Z664" s="46">
        <f ca="1">IFERROR(__xludf.DUMMYFUNCTION("""COMPUTED_VALUE"""),45859)</f>
        <v>45859</v>
      </c>
      <c r="AA664" s="46">
        <f ca="1">IFERROR(__xludf.DUMMYFUNCTION("""COMPUTED_VALUE"""),45859)</f>
        <v>45859</v>
      </c>
      <c r="AB664" s="45" t="str">
        <f ca="1">IFERROR(__xludf.DUMMYFUNCTION("""COMPUTED_VALUE"""),"7211 Fifth Line")</f>
        <v>7211 Fifth Line</v>
      </c>
      <c r="AC664" s="45"/>
      <c r="AD664" s="45" t="str">
        <f ca="1">IFERROR(__xludf.DUMMYFUNCTION("""COMPUTED_VALUE"""),"OCEAN")</f>
        <v>OCEAN</v>
      </c>
      <c r="AE664" s="45" t="str">
        <f ca="1">IFERROR(__xludf.DUMMYFUNCTION("""COMPUTED_VALUE"""),"N")</f>
        <v>N</v>
      </c>
      <c r="AF664" s="45"/>
      <c r="AG664" s="49" t="str">
        <f ca="1">IFERROR(__xludf.DUMMYFUNCTION("IFNA(vlookup(H664,IMPORTRANGE(""1vUGwO1n0QQGx9kKbO0_M5gmuhXZ6-LaxQxgrmJnzgP0"",""'TP# look up'!A:C""),3,0),"""")"),"")</f>
        <v/>
      </c>
      <c r="AH664" s="49" t="str">
        <f t="shared" ca="1" si="10"/>
        <v>LM</v>
      </c>
    </row>
    <row r="665" spans="1:34" ht="12.75">
      <c r="A665" s="45" t="str">
        <f ca="1">IFERROR(__xludf.DUMMYFUNCTION("""COMPUTED_VALUE"""),"Colombo")</f>
        <v>Colombo</v>
      </c>
      <c r="B665" s="45"/>
      <c r="C665" s="45">
        <f ca="1">IFERROR(__xludf.DUMMYFUNCTION("""COMPUTED_VALUE"""),3259512)</f>
        <v>3259512</v>
      </c>
      <c r="D665" s="45"/>
      <c r="E665" s="45" t="str">
        <f ca="1">IFERROR(__xludf.DUMMYFUNCTION("""COMPUTED_VALUE"""),"CFS")</f>
        <v>CFS</v>
      </c>
      <c r="F665" s="45" t="str">
        <f ca="1">IFERROR(__xludf.DUMMYFUNCTION("""COMPUTED_VALUE"""),"Inqube Global (PVT) Ltd")</f>
        <v>Inqube Global (PVT) Ltd</v>
      </c>
      <c r="G665" s="45" t="str">
        <f ca="1">IFERROR(__xludf.DUMMYFUNCTION("""COMPUTED_VALUE"""),"BRANDIX APPAREL SOLUTION LTD - GIRITALE")</f>
        <v>BRANDIX APPAREL SOLUTION LTD - GIRITALE</v>
      </c>
      <c r="H665" s="43">
        <f ca="1">IFERROR(__xludf.DUMMYFUNCTION("""COMPUTED_VALUE"""),454712670681)</f>
        <v>454712670681</v>
      </c>
      <c r="I665" s="45">
        <f ca="1">IFERROR(__xludf.DUMMYFUNCTION("""COMPUTED_VALUE"""),19855826)</f>
        <v>19855826</v>
      </c>
      <c r="J665" s="45" t="str">
        <f ca="1">IFERROR(__xludf.DUMMYFUNCTION("""COMPUTED_VALUE"""),"LM5BL3S")</f>
        <v>LM5BL3S</v>
      </c>
      <c r="K665" s="45" t="str">
        <f ca="1">IFERROR(__xludf.DUMMYFUNCTION("""COMPUTED_VALUE"""),"LM5BL3S-0001")</f>
        <v>LM5BL3S-0001</v>
      </c>
      <c r="L665" s="45">
        <f ca="1">IFERROR(__xludf.DUMMYFUNCTION("""COMPUTED_VALUE"""),11)</f>
        <v>11</v>
      </c>
      <c r="M665" s="45">
        <f ca="1">IFERROR(__xludf.DUMMYFUNCTION("""COMPUTED_VALUE"""),337)</f>
        <v>337</v>
      </c>
      <c r="N665" s="45">
        <f ca="1">IFERROR(__xludf.DUMMYFUNCTION("""COMPUTED_VALUE"""),136.35)</f>
        <v>136.35</v>
      </c>
      <c r="O665" s="45">
        <f ca="1">IFERROR(__xludf.DUMMYFUNCTION("""COMPUTED_VALUE"""),0.908)</f>
        <v>0.90800000000000003</v>
      </c>
      <c r="P665" s="45" t="str">
        <f ca="1">IFERROR(__xludf.DUMMYFUNCTION("""COMPUTED_VALUE"""),"Colombo, LK")</f>
        <v>Colombo, LK</v>
      </c>
      <c r="Q665" s="45" t="str">
        <f ca="1">IFERROR(__xludf.DUMMYFUNCTION("""COMPUTED_VALUE"""),"New York, NY, US")</f>
        <v>New York, NY, US</v>
      </c>
      <c r="R665" s="44">
        <f ca="1">IFERROR(__xludf.DUMMYFUNCTION("""COMPUTED_VALUE"""),45831)</f>
        <v>45831</v>
      </c>
      <c r="S665" s="44">
        <f ca="1">IFERROR(__xludf.DUMMYFUNCTION("""COMPUTED_VALUE"""),45890)</f>
        <v>45890</v>
      </c>
      <c r="T665" s="45" t="str">
        <f ca="1">IFERROR(__xludf.DUMMYFUNCTION("""COMPUTED_VALUE"""),"Milton, ON, CA")</f>
        <v>Milton, ON, CA</v>
      </c>
      <c r="U665" s="45"/>
      <c r="V665" s="45"/>
      <c r="W665" s="45"/>
      <c r="X665" s="45"/>
      <c r="Y665" s="46">
        <f ca="1">IFERROR(__xludf.DUMMYFUNCTION("""COMPUTED_VALUE"""),45831)</f>
        <v>45831</v>
      </c>
      <c r="Z665" s="46">
        <f ca="1">IFERROR(__xludf.DUMMYFUNCTION("""COMPUTED_VALUE"""),45859)</f>
        <v>45859</v>
      </c>
      <c r="AA665" s="46">
        <f ca="1">IFERROR(__xludf.DUMMYFUNCTION("""COMPUTED_VALUE"""),45859)</f>
        <v>45859</v>
      </c>
      <c r="AB665" s="45" t="str">
        <f ca="1">IFERROR(__xludf.DUMMYFUNCTION("""COMPUTED_VALUE"""),"7211 Fifth Line")</f>
        <v>7211 Fifth Line</v>
      </c>
      <c r="AC665" s="45"/>
      <c r="AD665" s="45" t="str">
        <f ca="1">IFERROR(__xludf.DUMMYFUNCTION("""COMPUTED_VALUE"""),"OCEAN")</f>
        <v>OCEAN</v>
      </c>
      <c r="AE665" s="45" t="str">
        <f ca="1">IFERROR(__xludf.DUMMYFUNCTION("""COMPUTED_VALUE"""),"N")</f>
        <v>N</v>
      </c>
      <c r="AF665" s="45"/>
      <c r="AG665" s="49" t="str">
        <f ca="1">IFERROR(__xludf.DUMMYFUNCTION("IFNA(vlookup(H665,IMPORTRANGE(""1vUGwO1n0QQGx9kKbO0_M5gmuhXZ6-LaxQxgrmJnzgP0"",""'TP# look up'!A:C""),3,0),"""")"),"")</f>
        <v/>
      </c>
      <c r="AH665" s="49" t="str">
        <f t="shared" ca="1" si="10"/>
        <v>LM</v>
      </c>
    </row>
    <row r="666" spans="1:34" ht="12.75">
      <c r="A666" s="45" t="str">
        <f ca="1">IFERROR(__xludf.DUMMYFUNCTION("""COMPUTED_VALUE"""),"Colombo")</f>
        <v>Colombo</v>
      </c>
      <c r="B666" s="45"/>
      <c r="C666" s="45">
        <f ca="1">IFERROR(__xludf.DUMMYFUNCTION("""COMPUTED_VALUE"""),3259512)</f>
        <v>3259512</v>
      </c>
      <c r="D666" s="45"/>
      <c r="E666" s="45" t="str">
        <f ca="1">IFERROR(__xludf.DUMMYFUNCTION("""COMPUTED_VALUE"""),"CFS")</f>
        <v>CFS</v>
      </c>
      <c r="F666" s="45" t="str">
        <f ca="1">IFERROR(__xludf.DUMMYFUNCTION("""COMPUTED_VALUE"""),"Inqube Global (PVT) Ltd")</f>
        <v>Inqube Global (PVT) Ltd</v>
      </c>
      <c r="G666" s="45" t="str">
        <f ca="1">IFERROR(__xludf.DUMMYFUNCTION("""COMPUTED_VALUE"""),"BRANDIX APPAREL SOLUTION LTD - GIRITALE")</f>
        <v>BRANDIX APPAREL SOLUTION LTD - GIRITALE</v>
      </c>
      <c r="H666" s="43">
        <f ca="1">IFERROR(__xludf.DUMMYFUNCTION("""COMPUTED_VALUE"""),454712697738)</f>
        <v>454712697738</v>
      </c>
      <c r="I666" s="45">
        <f ca="1">IFERROR(__xludf.DUMMYFUNCTION("""COMPUTED_VALUE"""),19855824)</f>
        <v>19855824</v>
      </c>
      <c r="J666" s="45" t="str">
        <f ca="1">IFERROR(__xludf.DUMMYFUNCTION("""COMPUTED_VALUE"""),"LM5BKOS")</f>
        <v>LM5BKOS</v>
      </c>
      <c r="K666" s="45" t="str">
        <f ca="1">IFERROR(__xludf.DUMMYFUNCTION("""COMPUTED_VALUE"""),"LM5BKOS-032476")</f>
        <v>LM5BKOS-032476</v>
      </c>
      <c r="L666" s="45">
        <f ca="1">IFERROR(__xludf.DUMMYFUNCTION("""COMPUTED_VALUE"""),10)</f>
        <v>10</v>
      </c>
      <c r="M666" s="45">
        <f ca="1">IFERROR(__xludf.DUMMYFUNCTION("""COMPUTED_VALUE"""),361)</f>
        <v>361</v>
      </c>
      <c r="N666" s="45">
        <f ca="1">IFERROR(__xludf.DUMMYFUNCTION("""COMPUTED_VALUE"""),146.87)</f>
        <v>146.87</v>
      </c>
      <c r="O666" s="45">
        <f ca="1">IFERROR(__xludf.DUMMYFUNCTION("""COMPUTED_VALUE"""),0.785)</f>
        <v>0.78500000000000003</v>
      </c>
      <c r="P666" s="45" t="str">
        <f ca="1">IFERROR(__xludf.DUMMYFUNCTION("""COMPUTED_VALUE"""),"Colombo, LK")</f>
        <v>Colombo, LK</v>
      </c>
      <c r="Q666" s="45" t="str">
        <f ca="1">IFERROR(__xludf.DUMMYFUNCTION("""COMPUTED_VALUE"""),"New York, NY, US")</f>
        <v>New York, NY, US</v>
      </c>
      <c r="R666" s="44">
        <f ca="1">IFERROR(__xludf.DUMMYFUNCTION("""COMPUTED_VALUE"""),45831)</f>
        <v>45831</v>
      </c>
      <c r="S666" s="44">
        <f ca="1">IFERROR(__xludf.DUMMYFUNCTION("""COMPUTED_VALUE"""),45890)</f>
        <v>45890</v>
      </c>
      <c r="T666" s="45" t="str">
        <f ca="1">IFERROR(__xludf.DUMMYFUNCTION("""COMPUTED_VALUE"""),"Milton, ON, CA")</f>
        <v>Milton, ON, CA</v>
      </c>
      <c r="U666" s="45"/>
      <c r="V666" s="45"/>
      <c r="W666" s="45"/>
      <c r="X666" s="45"/>
      <c r="Y666" s="46">
        <f ca="1">IFERROR(__xludf.DUMMYFUNCTION("""COMPUTED_VALUE"""),45838)</f>
        <v>45838</v>
      </c>
      <c r="Z666" s="46">
        <f ca="1">IFERROR(__xludf.DUMMYFUNCTION("""COMPUTED_VALUE"""),45859)</f>
        <v>45859</v>
      </c>
      <c r="AA666" s="46">
        <f ca="1">IFERROR(__xludf.DUMMYFUNCTION("""COMPUTED_VALUE"""),45859)</f>
        <v>45859</v>
      </c>
      <c r="AB666" s="45" t="str">
        <f ca="1">IFERROR(__xludf.DUMMYFUNCTION("""COMPUTED_VALUE"""),"7211 Fifth Line")</f>
        <v>7211 Fifth Line</v>
      </c>
      <c r="AC666" s="45"/>
      <c r="AD666" s="45" t="str">
        <f ca="1">IFERROR(__xludf.DUMMYFUNCTION("""COMPUTED_VALUE"""),"OCEAN")</f>
        <v>OCEAN</v>
      </c>
      <c r="AE666" s="45" t="str">
        <f ca="1">IFERROR(__xludf.DUMMYFUNCTION("""COMPUTED_VALUE"""),"N")</f>
        <v>N</v>
      </c>
      <c r="AF666" s="45"/>
      <c r="AG666" s="49" t="str">
        <f ca="1">IFERROR(__xludf.DUMMYFUNCTION("IFNA(vlookup(H666,IMPORTRANGE(""1vUGwO1n0QQGx9kKbO0_M5gmuhXZ6-LaxQxgrmJnzgP0"",""'TP# look up'!A:C""),3,0),"""")"),"")</f>
        <v/>
      </c>
      <c r="AH666" s="49" t="str">
        <f t="shared" ca="1" si="10"/>
        <v>LM</v>
      </c>
    </row>
    <row r="667" spans="1:34" ht="12.75">
      <c r="A667" s="45" t="str">
        <f ca="1">IFERROR(__xludf.DUMMYFUNCTION("""COMPUTED_VALUE"""),"Colombo")</f>
        <v>Colombo</v>
      </c>
      <c r="B667" s="45"/>
      <c r="C667" s="45">
        <f ca="1">IFERROR(__xludf.DUMMYFUNCTION("""COMPUTED_VALUE"""),3259512)</f>
        <v>3259512</v>
      </c>
      <c r="D667" s="45"/>
      <c r="E667" s="45" t="str">
        <f ca="1">IFERROR(__xludf.DUMMYFUNCTION("""COMPUTED_VALUE"""),"CFS")</f>
        <v>CFS</v>
      </c>
      <c r="F667" s="45" t="str">
        <f ca="1">IFERROR(__xludf.DUMMYFUNCTION("""COMPUTED_VALUE"""),"Inqube Global (PVT) Ltd")</f>
        <v>Inqube Global (PVT) Ltd</v>
      </c>
      <c r="G667" s="45" t="str">
        <f ca="1">IFERROR(__xludf.DUMMYFUNCTION("""COMPUTED_VALUE"""),"BRANDIX APPAREL SOLUTION LTD - GIRITALE")</f>
        <v>BRANDIX APPAREL SOLUTION LTD - GIRITALE</v>
      </c>
      <c r="H667" s="43">
        <f ca="1">IFERROR(__xludf.DUMMYFUNCTION("""COMPUTED_VALUE"""),454712742478)</f>
        <v>454712742478</v>
      </c>
      <c r="I667" s="45">
        <f ca="1">IFERROR(__xludf.DUMMYFUNCTION("""COMPUTED_VALUE"""),19855827)</f>
        <v>19855827</v>
      </c>
      <c r="J667" s="45" t="str">
        <f ca="1">IFERROR(__xludf.DUMMYFUNCTION("""COMPUTED_VALUE"""),"LM5BL3S")</f>
        <v>LM5BL3S</v>
      </c>
      <c r="K667" s="45" t="str">
        <f ca="1">IFERROR(__xludf.DUMMYFUNCTION("""COMPUTED_VALUE"""),"LM5BL3S-0001")</f>
        <v>LM5BL3S-0001</v>
      </c>
      <c r="L667" s="45">
        <f ca="1">IFERROR(__xludf.DUMMYFUNCTION("""COMPUTED_VALUE"""),7)</f>
        <v>7</v>
      </c>
      <c r="M667" s="45">
        <f ca="1">IFERROR(__xludf.DUMMYFUNCTION("""COMPUTED_VALUE"""),208)</f>
        <v>208</v>
      </c>
      <c r="N667" s="45">
        <f ca="1">IFERROR(__xludf.DUMMYFUNCTION("""COMPUTED_VALUE"""),83.95)</f>
        <v>83.95</v>
      </c>
      <c r="O667" s="45">
        <f ca="1">IFERROR(__xludf.DUMMYFUNCTION("""COMPUTED_VALUE"""),0.578)</f>
        <v>0.57799999999999996</v>
      </c>
      <c r="P667" s="45" t="str">
        <f ca="1">IFERROR(__xludf.DUMMYFUNCTION("""COMPUTED_VALUE"""),"Colombo, LK")</f>
        <v>Colombo, LK</v>
      </c>
      <c r="Q667" s="45" t="str">
        <f ca="1">IFERROR(__xludf.DUMMYFUNCTION("""COMPUTED_VALUE"""),"New York, NY, US")</f>
        <v>New York, NY, US</v>
      </c>
      <c r="R667" s="44">
        <f ca="1">IFERROR(__xludf.DUMMYFUNCTION("""COMPUTED_VALUE"""),45831)</f>
        <v>45831</v>
      </c>
      <c r="S667" s="44">
        <f ca="1">IFERROR(__xludf.DUMMYFUNCTION("""COMPUTED_VALUE"""),45890)</f>
        <v>45890</v>
      </c>
      <c r="T667" s="45" t="str">
        <f ca="1">IFERROR(__xludf.DUMMYFUNCTION("""COMPUTED_VALUE"""),"Milton, ON, CA")</f>
        <v>Milton, ON, CA</v>
      </c>
      <c r="U667" s="45"/>
      <c r="V667" s="45"/>
      <c r="W667" s="45"/>
      <c r="X667" s="45"/>
      <c r="Y667" s="46">
        <f ca="1">IFERROR(__xludf.DUMMYFUNCTION("""COMPUTED_VALUE"""),45831)</f>
        <v>45831</v>
      </c>
      <c r="Z667" s="46">
        <f ca="1">IFERROR(__xludf.DUMMYFUNCTION("""COMPUTED_VALUE"""),45859)</f>
        <v>45859</v>
      </c>
      <c r="AA667" s="46">
        <f ca="1">IFERROR(__xludf.DUMMYFUNCTION("""COMPUTED_VALUE"""),45859)</f>
        <v>45859</v>
      </c>
      <c r="AB667" s="45" t="str">
        <f ca="1">IFERROR(__xludf.DUMMYFUNCTION("""COMPUTED_VALUE"""),"7211 Fifth Line")</f>
        <v>7211 Fifth Line</v>
      </c>
      <c r="AC667" s="45"/>
      <c r="AD667" s="45" t="str">
        <f ca="1">IFERROR(__xludf.DUMMYFUNCTION("""COMPUTED_VALUE"""),"OCEAN")</f>
        <v>OCEAN</v>
      </c>
      <c r="AE667" s="45" t="str">
        <f ca="1">IFERROR(__xludf.DUMMYFUNCTION("""COMPUTED_VALUE"""),"N")</f>
        <v>N</v>
      </c>
      <c r="AF667" s="45"/>
      <c r="AG667" s="49" t="str">
        <f ca="1">IFERROR(__xludf.DUMMYFUNCTION("IFNA(vlookup(H667,IMPORTRANGE(""1vUGwO1n0QQGx9kKbO0_M5gmuhXZ6-LaxQxgrmJnzgP0"",""'TP# look up'!A:C""),3,0),"""")"),"")</f>
        <v/>
      </c>
      <c r="AH667" s="49" t="str">
        <f t="shared" ca="1" si="10"/>
        <v>LM</v>
      </c>
    </row>
    <row r="668" spans="1:34" ht="12.75">
      <c r="A668" s="45" t="str">
        <f ca="1">IFERROR(__xludf.DUMMYFUNCTION("""COMPUTED_VALUE"""),"Colombo")</f>
        <v>Colombo</v>
      </c>
      <c r="B668" s="45"/>
      <c r="C668" s="45">
        <f ca="1">IFERROR(__xludf.DUMMYFUNCTION("""COMPUTED_VALUE"""),3259512)</f>
        <v>3259512</v>
      </c>
      <c r="D668" s="45"/>
      <c r="E668" s="45" t="str">
        <f ca="1">IFERROR(__xludf.DUMMYFUNCTION("""COMPUTED_VALUE"""),"CFS")</f>
        <v>CFS</v>
      </c>
      <c r="F668" s="45" t="str">
        <f ca="1">IFERROR(__xludf.DUMMYFUNCTION("""COMPUTED_VALUE"""),"Inqube Global (PVT) Ltd")</f>
        <v>Inqube Global (PVT) Ltd</v>
      </c>
      <c r="G668" s="45" t="str">
        <f ca="1">IFERROR(__xludf.DUMMYFUNCTION("""COMPUTED_VALUE"""),"BRANDIX APPAREL SOLUTION LTD - GIRITALE")</f>
        <v>BRANDIX APPAREL SOLUTION LTD - GIRITALE</v>
      </c>
      <c r="H668" s="43">
        <f ca="1">IFERROR(__xludf.DUMMYFUNCTION("""COMPUTED_VALUE"""),454712999187)</f>
        <v>454712999187</v>
      </c>
      <c r="I668" s="45">
        <f ca="1">IFERROR(__xludf.DUMMYFUNCTION("""COMPUTED_VALUE"""),19855850)</f>
        <v>19855850</v>
      </c>
      <c r="J668" s="45" t="str">
        <f ca="1">IFERROR(__xludf.DUMMYFUNCTION("""COMPUTED_VALUE"""),"LM5BL3S")</f>
        <v>LM5BL3S</v>
      </c>
      <c r="K668" s="45" t="str">
        <f ca="1">IFERROR(__xludf.DUMMYFUNCTION("""COMPUTED_VALUE"""),"LM5BL3S-070108")</f>
        <v>LM5BL3S-070108</v>
      </c>
      <c r="L668" s="45">
        <f ca="1">IFERROR(__xludf.DUMMYFUNCTION("""COMPUTED_VALUE"""),11)</f>
        <v>11</v>
      </c>
      <c r="M668" s="45">
        <f ca="1">IFERROR(__xludf.DUMMYFUNCTION("""COMPUTED_VALUE"""),338)</f>
        <v>338</v>
      </c>
      <c r="N668" s="45">
        <f ca="1">IFERROR(__xludf.DUMMYFUNCTION("""COMPUTED_VALUE"""),135.92)</f>
        <v>135.91999999999999</v>
      </c>
      <c r="O668" s="45">
        <f ca="1">IFERROR(__xludf.DUMMYFUNCTION("""COMPUTED_VALUE"""),0.788)</f>
        <v>0.78800000000000003</v>
      </c>
      <c r="P668" s="45" t="str">
        <f ca="1">IFERROR(__xludf.DUMMYFUNCTION("""COMPUTED_VALUE"""),"Colombo, LK")</f>
        <v>Colombo, LK</v>
      </c>
      <c r="Q668" s="45" t="str">
        <f ca="1">IFERROR(__xludf.DUMMYFUNCTION("""COMPUTED_VALUE"""),"New York, NY, US")</f>
        <v>New York, NY, US</v>
      </c>
      <c r="R668" s="44">
        <f ca="1">IFERROR(__xludf.DUMMYFUNCTION("""COMPUTED_VALUE"""),45831)</f>
        <v>45831</v>
      </c>
      <c r="S668" s="44">
        <f ca="1">IFERROR(__xludf.DUMMYFUNCTION("""COMPUTED_VALUE"""),45890)</f>
        <v>45890</v>
      </c>
      <c r="T668" s="45" t="str">
        <f ca="1">IFERROR(__xludf.DUMMYFUNCTION("""COMPUTED_VALUE"""),"Milton, ON, CA")</f>
        <v>Milton, ON, CA</v>
      </c>
      <c r="U668" s="45"/>
      <c r="V668" s="45"/>
      <c r="W668" s="45"/>
      <c r="X668" s="45"/>
      <c r="Y668" s="46">
        <f ca="1">IFERROR(__xludf.DUMMYFUNCTION("""COMPUTED_VALUE"""),45838)</f>
        <v>45838</v>
      </c>
      <c r="Z668" s="46">
        <f ca="1">IFERROR(__xludf.DUMMYFUNCTION("""COMPUTED_VALUE"""),45859)</f>
        <v>45859</v>
      </c>
      <c r="AA668" s="46">
        <f ca="1">IFERROR(__xludf.DUMMYFUNCTION("""COMPUTED_VALUE"""),45859)</f>
        <v>45859</v>
      </c>
      <c r="AB668" s="45" t="str">
        <f ca="1">IFERROR(__xludf.DUMMYFUNCTION("""COMPUTED_VALUE"""),"7211 Fifth Line")</f>
        <v>7211 Fifth Line</v>
      </c>
      <c r="AC668" s="45"/>
      <c r="AD668" s="45" t="str">
        <f ca="1">IFERROR(__xludf.DUMMYFUNCTION("""COMPUTED_VALUE"""),"OCEAN")</f>
        <v>OCEAN</v>
      </c>
      <c r="AE668" s="45" t="str">
        <f ca="1">IFERROR(__xludf.DUMMYFUNCTION("""COMPUTED_VALUE"""),"N")</f>
        <v>N</v>
      </c>
      <c r="AF668" s="45"/>
      <c r="AG668" s="49" t="str">
        <f ca="1">IFERROR(__xludf.DUMMYFUNCTION("IFNA(vlookup(H668,IMPORTRANGE(""1vUGwO1n0QQGx9kKbO0_M5gmuhXZ6-LaxQxgrmJnzgP0"",""'TP# look up'!A:C""),3,0),"""")"),"")</f>
        <v/>
      </c>
      <c r="AH668" s="49" t="str">
        <f t="shared" ca="1" si="10"/>
        <v>LM</v>
      </c>
    </row>
    <row r="669" spans="1:34" ht="12.75">
      <c r="A669" s="45" t="str">
        <f ca="1">IFERROR(__xludf.DUMMYFUNCTION("""COMPUTED_VALUE"""),"Colombo")</f>
        <v>Colombo</v>
      </c>
      <c r="B669" s="45"/>
      <c r="C669" s="45">
        <f ca="1">IFERROR(__xludf.DUMMYFUNCTION("""COMPUTED_VALUE"""),3259512)</f>
        <v>3259512</v>
      </c>
      <c r="D669" s="45"/>
      <c r="E669" s="45" t="str">
        <f ca="1">IFERROR(__xludf.DUMMYFUNCTION("""COMPUTED_VALUE"""),"CFS")</f>
        <v>CFS</v>
      </c>
      <c r="F669" s="45" t="str">
        <f ca="1">IFERROR(__xludf.DUMMYFUNCTION("""COMPUTED_VALUE"""),"Inqube Global (PVT) Ltd")</f>
        <v>Inqube Global (PVT) Ltd</v>
      </c>
      <c r="G669" s="45" t="str">
        <f ca="1">IFERROR(__xludf.DUMMYFUNCTION("""COMPUTED_VALUE"""),"BRANDIX APPAREL SOLUTION LTD - GIRITALE")</f>
        <v>BRANDIX APPAREL SOLUTION LTD - GIRITALE</v>
      </c>
      <c r="H669" s="43">
        <f ca="1">IFERROR(__xludf.DUMMYFUNCTION("""COMPUTED_VALUE"""),454713965865)</f>
        <v>454713965865</v>
      </c>
      <c r="I669" s="45">
        <f ca="1">IFERROR(__xludf.DUMMYFUNCTION("""COMPUTED_VALUE"""),19855596)</f>
        <v>19855596</v>
      </c>
      <c r="J669" s="45" t="str">
        <f ca="1">IFERROR(__xludf.DUMMYFUNCTION("""COMPUTED_VALUE"""),"LW4CGVS")</f>
        <v>LW4CGVS</v>
      </c>
      <c r="K669" s="45" t="str">
        <f ca="1">IFERROR(__xludf.DUMMYFUNCTION("""COMPUTED_VALUE"""),"LW4CGVS-067412")</f>
        <v>LW4CGVS-067412</v>
      </c>
      <c r="L669" s="45">
        <f ca="1">IFERROR(__xludf.DUMMYFUNCTION("""COMPUTED_VALUE"""),8)</f>
        <v>8</v>
      </c>
      <c r="M669" s="45">
        <f ca="1">IFERROR(__xludf.DUMMYFUNCTION("""COMPUTED_VALUE"""),106)</f>
        <v>106</v>
      </c>
      <c r="N669" s="45">
        <f ca="1">IFERROR(__xludf.DUMMYFUNCTION("""COMPUTED_VALUE"""),73.8)</f>
        <v>73.8</v>
      </c>
      <c r="O669" s="45">
        <f ca="1">IFERROR(__xludf.DUMMYFUNCTION("""COMPUTED_VALUE"""),0.66)</f>
        <v>0.66</v>
      </c>
      <c r="P669" s="45" t="str">
        <f ca="1">IFERROR(__xludf.DUMMYFUNCTION("""COMPUTED_VALUE"""),"Colombo, LK")</f>
        <v>Colombo, LK</v>
      </c>
      <c r="Q669" s="45" t="str">
        <f ca="1">IFERROR(__xludf.DUMMYFUNCTION("""COMPUTED_VALUE"""),"New York, NY, US")</f>
        <v>New York, NY, US</v>
      </c>
      <c r="R669" s="44">
        <f ca="1">IFERROR(__xludf.DUMMYFUNCTION("""COMPUTED_VALUE"""),45831)</f>
        <v>45831</v>
      </c>
      <c r="S669" s="44">
        <f ca="1">IFERROR(__xludf.DUMMYFUNCTION("""COMPUTED_VALUE"""),45890)</f>
        <v>45890</v>
      </c>
      <c r="T669" s="45" t="str">
        <f ca="1">IFERROR(__xludf.DUMMYFUNCTION("""COMPUTED_VALUE"""),"Milton, ON, CA")</f>
        <v>Milton, ON, CA</v>
      </c>
      <c r="U669" s="45"/>
      <c r="V669" s="45"/>
      <c r="W669" s="45"/>
      <c r="X669" s="45"/>
      <c r="Y669" s="46">
        <f ca="1">IFERROR(__xludf.DUMMYFUNCTION("""COMPUTED_VALUE"""),45838)</f>
        <v>45838</v>
      </c>
      <c r="Z669" s="46">
        <f ca="1">IFERROR(__xludf.DUMMYFUNCTION("""COMPUTED_VALUE"""),45859)</f>
        <v>45859</v>
      </c>
      <c r="AA669" s="46">
        <f ca="1">IFERROR(__xludf.DUMMYFUNCTION("""COMPUTED_VALUE"""),45859)</f>
        <v>45859</v>
      </c>
      <c r="AB669" s="45" t="str">
        <f ca="1">IFERROR(__xludf.DUMMYFUNCTION("""COMPUTED_VALUE"""),"7211 Fifth Line")</f>
        <v>7211 Fifth Line</v>
      </c>
      <c r="AC669" s="45"/>
      <c r="AD669" s="45" t="str">
        <f ca="1">IFERROR(__xludf.DUMMYFUNCTION("""COMPUTED_VALUE"""),"OCEAN")</f>
        <v>OCEAN</v>
      </c>
      <c r="AE669" s="45" t="str">
        <f ca="1">IFERROR(__xludf.DUMMYFUNCTION("""COMPUTED_VALUE"""),"N")</f>
        <v>N</v>
      </c>
      <c r="AF669" s="45"/>
      <c r="AG669" s="49" t="str">
        <f ca="1">IFERROR(__xludf.DUMMYFUNCTION("IFNA(vlookup(H669,IMPORTRANGE(""1vUGwO1n0QQGx9kKbO0_M5gmuhXZ6-LaxQxgrmJnzgP0"",""'TP# look up'!A:C""),3,0),"""")"),"")</f>
        <v/>
      </c>
      <c r="AH669" s="49" t="str">
        <f t="shared" ca="1" si="10"/>
        <v>LW</v>
      </c>
    </row>
    <row r="670" spans="1:34" ht="12.75">
      <c r="A670" s="45" t="str">
        <f ca="1">IFERROR(__xludf.DUMMYFUNCTION("""COMPUTED_VALUE"""),"Colombo")</f>
        <v>Colombo</v>
      </c>
      <c r="B670" s="45"/>
      <c r="C670" s="45">
        <f ca="1">IFERROR(__xludf.DUMMYFUNCTION("""COMPUTED_VALUE"""),3259512)</f>
        <v>3259512</v>
      </c>
      <c r="D670" s="45"/>
      <c r="E670" s="45" t="str">
        <f ca="1">IFERROR(__xludf.DUMMYFUNCTION("""COMPUTED_VALUE"""),"CFS")</f>
        <v>CFS</v>
      </c>
      <c r="F670" s="45" t="str">
        <f ca="1">IFERROR(__xludf.DUMMYFUNCTION("""COMPUTED_VALUE"""),"Inqube Global (PVT) Ltd")</f>
        <v>Inqube Global (PVT) Ltd</v>
      </c>
      <c r="G670" s="45" t="str">
        <f ca="1">IFERROR(__xludf.DUMMYFUNCTION("""COMPUTED_VALUE"""),"BRANDIX APPAREL SOLUTION LTD - GIRITALE")</f>
        <v>BRANDIX APPAREL SOLUTION LTD - GIRITALE</v>
      </c>
      <c r="H670" s="43">
        <f ca="1">IFERROR(__xludf.DUMMYFUNCTION("""COMPUTED_VALUE"""),454713966879)</f>
        <v>454713966879</v>
      </c>
      <c r="I670" s="45">
        <f ca="1">IFERROR(__xludf.DUMMYFUNCTION("""COMPUTED_VALUE"""),19855971)</f>
        <v>19855971</v>
      </c>
      <c r="J670" s="45" t="str">
        <f ca="1">IFERROR(__xludf.DUMMYFUNCTION("""COMPUTED_VALUE"""),"LM5AQ9S")</f>
        <v>LM5AQ9S</v>
      </c>
      <c r="K670" s="45" t="str">
        <f ca="1">IFERROR(__xludf.DUMMYFUNCTION("""COMPUTED_VALUE"""),"LM5AQ9S-038426")</f>
        <v>LM5AQ9S-038426</v>
      </c>
      <c r="L670" s="45">
        <f ca="1">IFERROR(__xludf.DUMMYFUNCTION("""COMPUTED_VALUE"""),9)</f>
        <v>9</v>
      </c>
      <c r="M670" s="45">
        <f ca="1">IFERROR(__xludf.DUMMYFUNCTION("""COMPUTED_VALUE"""),238)</f>
        <v>238</v>
      </c>
      <c r="N670" s="45">
        <f ca="1">IFERROR(__xludf.DUMMYFUNCTION("""COMPUTED_VALUE"""),120.92)</f>
        <v>120.92</v>
      </c>
      <c r="O670" s="45">
        <f ca="1">IFERROR(__xludf.DUMMYFUNCTION("""COMPUTED_VALUE"""),0.623)</f>
        <v>0.623</v>
      </c>
      <c r="P670" s="45" t="str">
        <f ca="1">IFERROR(__xludf.DUMMYFUNCTION("""COMPUTED_VALUE"""),"Colombo, LK")</f>
        <v>Colombo, LK</v>
      </c>
      <c r="Q670" s="45" t="str">
        <f ca="1">IFERROR(__xludf.DUMMYFUNCTION("""COMPUTED_VALUE"""),"New York, NY, US")</f>
        <v>New York, NY, US</v>
      </c>
      <c r="R670" s="44">
        <f ca="1">IFERROR(__xludf.DUMMYFUNCTION("""COMPUTED_VALUE"""),45831)</f>
        <v>45831</v>
      </c>
      <c r="S670" s="44">
        <f ca="1">IFERROR(__xludf.DUMMYFUNCTION("""COMPUTED_VALUE"""),45890)</f>
        <v>45890</v>
      </c>
      <c r="T670" s="45" t="str">
        <f ca="1">IFERROR(__xludf.DUMMYFUNCTION("""COMPUTED_VALUE"""),"Mississauga, ON, CA")</f>
        <v>Mississauga, ON, CA</v>
      </c>
      <c r="U670" s="45"/>
      <c r="V670" s="45"/>
      <c r="W670" s="45"/>
      <c r="X670" s="45"/>
      <c r="Y670" s="46">
        <f ca="1">IFERROR(__xludf.DUMMYFUNCTION("""COMPUTED_VALUE"""),45838)</f>
        <v>45838</v>
      </c>
      <c r="Z670" s="46">
        <f ca="1">IFERROR(__xludf.DUMMYFUNCTION("""COMPUTED_VALUE"""),45859)</f>
        <v>45859</v>
      </c>
      <c r="AA670" s="46">
        <f ca="1">IFERROR(__xludf.DUMMYFUNCTION("""COMPUTED_VALUE"""),45859)</f>
        <v>45859</v>
      </c>
      <c r="AB670" s="45" t="str">
        <f ca="1">IFERROR(__xludf.DUMMYFUNCTION("""COMPUTED_VALUE"""),"3500 Argentia Road")</f>
        <v>3500 Argentia Road</v>
      </c>
      <c r="AC670" s="45"/>
      <c r="AD670" s="45" t="str">
        <f ca="1">IFERROR(__xludf.DUMMYFUNCTION("""COMPUTED_VALUE"""),"OCEAN")</f>
        <v>OCEAN</v>
      </c>
      <c r="AE670" s="45" t="str">
        <f ca="1">IFERROR(__xludf.DUMMYFUNCTION("""COMPUTED_VALUE"""),"N")</f>
        <v>N</v>
      </c>
      <c r="AF670" s="45"/>
      <c r="AG670" s="49" t="str">
        <f ca="1">IFERROR(__xludf.DUMMYFUNCTION("IFNA(vlookup(H670,IMPORTRANGE(""1vUGwO1n0QQGx9kKbO0_M5gmuhXZ6-LaxQxgrmJnzgP0"",""'TP# look up'!A:C""),3,0),"""")"),"")</f>
        <v/>
      </c>
      <c r="AH670" s="49" t="str">
        <f t="shared" ca="1" si="10"/>
        <v>LM</v>
      </c>
    </row>
    <row r="671" spans="1:34" ht="12.75">
      <c r="A671" s="45" t="str">
        <f ca="1">IFERROR(__xludf.DUMMYFUNCTION("""COMPUTED_VALUE"""),"Colombo")</f>
        <v>Colombo</v>
      </c>
      <c r="B671" s="45"/>
      <c r="C671" s="45">
        <f ca="1">IFERROR(__xludf.DUMMYFUNCTION("""COMPUTED_VALUE"""),3259512)</f>
        <v>3259512</v>
      </c>
      <c r="D671" s="45"/>
      <c r="E671" s="45" t="str">
        <f ca="1">IFERROR(__xludf.DUMMYFUNCTION("""COMPUTED_VALUE"""),"CFS")</f>
        <v>CFS</v>
      </c>
      <c r="F671" s="45" t="str">
        <f ca="1">IFERROR(__xludf.DUMMYFUNCTION("""COMPUTED_VALUE"""),"Inqube Global (PVT) Ltd")</f>
        <v>Inqube Global (PVT) Ltd</v>
      </c>
      <c r="G671" s="45" t="str">
        <f ca="1">IFERROR(__xludf.DUMMYFUNCTION("""COMPUTED_VALUE"""),"BRANDIX APPAREL SOLUTION LTD - GIRITALE")</f>
        <v>BRANDIX APPAREL SOLUTION LTD - GIRITALE</v>
      </c>
      <c r="H671" s="43">
        <f ca="1">IFERROR(__xludf.DUMMYFUNCTION("""COMPUTED_VALUE"""),454714620760)</f>
        <v>454714620760</v>
      </c>
      <c r="I671" s="45">
        <f ca="1">IFERROR(__xludf.DUMMYFUNCTION("""COMPUTED_VALUE"""),19855832)</f>
        <v>19855832</v>
      </c>
      <c r="J671" s="45" t="str">
        <f ca="1">IFERROR(__xludf.DUMMYFUNCTION("""COMPUTED_VALUE"""),"LM5BL3S")</f>
        <v>LM5BL3S</v>
      </c>
      <c r="K671" s="45" t="str">
        <f ca="1">IFERROR(__xludf.DUMMYFUNCTION("""COMPUTED_VALUE"""),"LM5BL3S-0001")</f>
        <v>LM5BL3S-0001</v>
      </c>
      <c r="L671" s="45">
        <f ca="1">IFERROR(__xludf.DUMMYFUNCTION("""COMPUTED_VALUE"""),4)</f>
        <v>4</v>
      </c>
      <c r="M671" s="45">
        <f ca="1">IFERROR(__xludf.DUMMYFUNCTION("""COMPUTED_VALUE"""),66)</f>
        <v>66</v>
      </c>
      <c r="N671" s="45">
        <f ca="1">IFERROR(__xludf.DUMMYFUNCTION("""COMPUTED_VALUE"""),27.51)</f>
        <v>27.51</v>
      </c>
      <c r="O671" s="45">
        <f ca="1">IFERROR(__xludf.DUMMYFUNCTION("""COMPUTED_VALUE"""),0.21)</f>
        <v>0.21</v>
      </c>
      <c r="P671" s="45" t="str">
        <f ca="1">IFERROR(__xludf.DUMMYFUNCTION("""COMPUTED_VALUE"""),"Colombo, LK")</f>
        <v>Colombo, LK</v>
      </c>
      <c r="Q671" s="45" t="str">
        <f ca="1">IFERROR(__xludf.DUMMYFUNCTION("""COMPUTED_VALUE"""),"New York, NY, US")</f>
        <v>New York, NY, US</v>
      </c>
      <c r="R671" s="44">
        <f ca="1">IFERROR(__xludf.DUMMYFUNCTION("""COMPUTED_VALUE"""),45831)</f>
        <v>45831</v>
      </c>
      <c r="S671" s="44">
        <f ca="1">IFERROR(__xludf.DUMMYFUNCTION("""COMPUTED_VALUE"""),45890)</f>
        <v>45890</v>
      </c>
      <c r="T671" s="45" t="str">
        <f ca="1">IFERROR(__xludf.DUMMYFUNCTION("""COMPUTED_VALUE"""),"Mississauga, ON, CA")</f>
        <v>Mississauga, ON, CA</v>
      </c>
      <c r="U671" s="45"/>
      <c r="V671" s="45"/>
      <c r="W671" s="45"/>
      <c r="X671" s="45"/>
      <c r="Y671" s="46">
        <f ca="1">IFERROR(__xludf.DUMMYFUNCTION("""COMPUTED_VALUE"""),45838)</f>
        <v>45838</v>
      </c>
      <c r="Z671" s="46">
        <f ca="1">IFERROR(__xludf.DUMMYFUNCTION("""COMPUTED_VALUE"""),45859)</f>
        <v>45859</v>
      </c>
      <c r="AA671" s="46">
        <f ca="1">IFERROR(__xludf.DUMMYFUNCTION("""COMPUTED_VALUE"""),45859)</f>
        <v>45859</v>
      </c>
      <c r="AB671" s="45" t="str">
        <f ca="1">IFERROR(__xludf.DUMMYFUNCTION("""COMPUTED_VALUE"""),"3500 Argentia Road")</f>
        <v>3500 Argentia Road</v>
      </c>
      <c r="AC671" s="45"/>
      <c r="AD671" s="45" t="str">
        <f ca="1">IFERROR(__xludf.DUMMYFUNCTION("""COMPUTED_VALUE"""),"OCEAN")</f>
        <v>OCEAN</v>
      </c>
      <c r="AE671" s="45" t="str">
        <f ca="1">IFERROR(__xludf.DUMMYFUNCTION("""COMPUTED_VALUE"""),"N")</f>
        <v>N</v>
      </c>
      <c r="AF671" s="45"/>
      <c r="AG671" s="49" t="str">
        <f ca="1">IFERROR(__xludf.DUMMYFUNCTION("IFNA(vlookup(H671,IMPORTRANGE(""1vUGwO1n0QQGx9kKbO0_M5gmuhXZ6-LaxQxgrmJnzgP0"",""'TP# look up'!A:C""),3,0),"""")"),"")</f>
        <v/>
      </c>
      <c r="AH671" s="49" t="str">
        <f t="shared" ca="1" si="10"/>
        <v>LM</v>
      </c>
    </row>
    <row r="672" spans="1:34" ht="12.75">
      <c r="A672" s="45" t="str">
        <f ca="1">IFERROR(__xludf.DUMMYFUNCTION("""COMPUTED_VALUE"""),"Colombo")</f>
        <v>Colombo</v>
      </c>
      <c r="B672" s="45"/>
      <c r="C672" s="45">
        <f ca="1">IFERROR(__xludf.DUMMYFUNCTION("""COMPUTED_VALUE"""),3259512)</f>
        <v>3259512</v>
      </c>
      <c r="D672" s="45"/>
      <c r="E672" s="45" t="str">
        <f ca="1">IFERROR(__xludf.DUMMYFUNCTION("""COMPUTED_VALUE"""),"CFS")</f>
        <v>CFS</v>
      </c>
      <c r="F672" s="45" t="str">
        <f ca="1">IFERROR(__xludf.DUMMYFUNCTION("""COMPUTED_VALUE"""),"Inqube Global (PVT) Ltd")</f>
        <v>Inqube Global (PVT) Ltd</v>
      </c>
      <c r="G672" s="45" t="str">
        <f ca="1">IFERROR(__xludf.DUMMYFUNCTION("""COMPUTED_VALUE"""),"BRANDIX APPAREL SOLUTION LTD - GIRITALE")</f>
        <v>BRANDIX APPAREL SOLUTION LTD - GIRITALE</v>
      </c>
      <c r="H672" s="43">
        <f ca="1">IFERROR(__xludf.DUMMYFUNCTION("""COMPUTED_VALUE"""),454714621098)</f>
        <v>454714621098</v>
      </c>
      <c r="I672" s="45">
        <f ca="1">IFERROR(__xludf.DUMMYFUNCTION("""COMPUTED_VALUE"""),19855847)</f>
        <v>19855847</v>
      </c>
      <c r="J672" s="45" t="str">
        <f ca="1">IFERROR(__xludf.DUMMYFUNCTION("""COMPUTED_VALUE"""),"LM5BL3S")</f>
        <v>LM5BL3S</v>
      </c>
      <c r="K672" s="45" t="str">
        <f ca="1">IFERROR(__xludf.DUMMYFUNCTION("""COMPUTED_VALUE"""),"LM5BL3S-070108")</f>
        <v>LM5BL3S-070108</v>
      </c>
      <c r="L672" s="45">
        <f ca="1">IFERROR(__xludf.DUMMYFUNCTION("""COMPUTED_VALUE"""),4)</f>
        <v>4</v>
      </c>
      <c r="M672" s="45">
        <f ca="1">IFERROR(__xludf.DUMMYFUNCTION("""COMPUTED_VALUE"""),71)</f>
        <v>71</v>
      </c>
      <c r="N672" s="45">
        <f ca="1">IFERROR(__xludf.DUMMYFUNCTION("""COMPUTED_VALUE"""),29.98)</f>
        <v>29.98</v>
      </c>
      <c r="O672" s="45">
        <f ca="1">IFERROR(__xludf.DUMMYFUNCTION("""COMPUTED_VALUE"""),0.33)</f>
        <v>0.33</v>
      </c>
      <c r="P672" s="45" t="str">
        <f ca="1">IFERROR(__xludf.DUMMYFUNCTION("""COMPUTED_VALUE"""),"Colombo, LK")</f>
        <v>Colombo, LK</v>
      </c>
      <c r="Q672" s="45" t="str">
        <f ca="1">IFERROR(__xludf.DUMMYFUNCTION("""COMPUTED_VALUE"""),"New York, NY, US")</f>
        <v>New York, NY, US</v>
      </c>
      <c r="R672" s="44">
        <f ca="1">IFERROR(__xludf.DUMMYFUNCTION("""COMPUTED_VALUE"""),45831)</f>
        <v>45831</v>
      </c>
      <c r="S672" s="44">
        <f ca="1">IFERROR(__xludf.DUMMYFUNCTION("""COMPUTED_VALUE"""),45890)</f>
        <v>45890</v>
      </c>
      <c r="T672" s="45" t="str">
        <f ca="1">IFERROR(__xludf.DUMMYFUNCTION("""COMPUTED_VALUE"""),"Mississauga, ON, CA")</f>
        <v>Mississauga, ON, CA</v>
      </c>
      <c r="U672" s="45"/>
      <c r="V672" s="45"/>
      <c r="W672" s="45"/>
      <c r="X672" s="45"/>
      <c r="Y672" s="46">
        <f ca="1">IFERROR(__xludf.DUMMYFUNCTION("""COMPUTED_VALUE"""),45838)</f>
        <v>45838</v>
      </c>
      <c r="Z672" s="46">
        <f ca="1">IFERROR(__xludf.DUMMYFUNCTION("""COMPUTED_VALUE"""),45859)</f>
        <v>45859</v>
      </c>
      <c r="AA672" s="46">
        <f ca="1">IFERROR(__xludf.DUMMYFUNCTION("""COMPUTED_VALUE"""),45859)</f>
        <v>45859</v>
      </c>
      <c r="AB672" s="45" t="str">
        <f ca="1">IFERROR(__xludf.DUMMYFUNCTION("""COMPUTED_VALUE"""),"3500 Argentia Road")</f>
        <v>3500 Argentia Road</v>
      </c>
      <c r="AC672" s="45"/>
      <c r="AD672" s="45" t="str">
        <f ca="1">IFERROR(__xludf.DUMMYFUNCTION("""COMPUTED_VALUE"""),"OCEAN")</f>
        <v>OCEAN</v>
      </c>
      <c r="AE672" s="45" t="str">
        <f ca="1">IFERROR(__xludf.DUMMYFUNCTION("""COMPUTED_VALUE"""),"N")</f>
        <v>N</v>
      </c>
      <c r="AF672" s="45"/>
      <c r="AG672" s="49" t="str">
        <f ca="1">IFERROR(__xludf.DUMMYFUNCTION("IFNA(vlookup(H672,IMPORTRANGE(""1vUGwO1n0QQGx9kKbO0_M5gmuhXZ6-LaxQxgrmJnzgP0"",""'TP# look up'!A:C""),3,0),"""")"),"")</f>
        <v/>
      </c>
      <c r="AH672" s="49" t="str">
        <f t="shared" ca="1" si="10"/>
        <v>LM</v>
      </c>
    </row>
    <row r="673" spans="1:34" ht="12.75">
      <c r="A673" s="45" t="str">
        <f ca="1">IFERROR(__xludf.DUMMYFUNCTION("""COMPUTED_VALUE"""),"Colombo")</f>
        <v>Colombo</v>
      </c>
      <c r="B673" s="45"/>
      <c r="C673" s="45">
        <f ca="1">IFERROR(__xludf.DUMMYFUNCTION("""COMPUTED_VALUE"""),3259512)</f>
        <v>3259512</v>
      </c>
      <c r="D673" s="45"/>
      <c r="E673" s="45" t="str">
        <f ca="1">IFERROR(__xludf.DUMMYFUNCTION("""COMPUTED_VALUE"""),"CFS")</f>
        <v>CFS</v>
      </c>
      <c r="F673" s="45" t="str">
        <f ca="1">IFERROR(__xludf.DUMMYFUNCTION("""COMPUTED_VALUE"""),"Inqube Global (PVT) Ltd")</f>
        <v>Inqube Global (PVT) Ltd</v>
      </c>
      <c r="G673" s="45" t="str">
        <f ca="1">IFERROR(__xludf.DUMMYFUNCTION("""COMPUTED_VALUE"""),"BRANDIX APPAREL SOLUTION LTD - GIRITALE")</f>
        <v>BRANDIX APPAREL SOLUTION LTD - GIRITALE</v>
      </c>
      <c r="H673" s="43">
        <f ca="1">IFERROR(__xludf.DUMMYFUNCTION("""COMPUTED_VALUE"""),454714621212)</f>
        <v>454714621212</v>
      </c>
      <c r="I673" s="45">
        <f ca="1">IFERROR(__xludf.DUMMYFUNCTION("""COMPUTED_VALUE"""),19855879)</f>
        <v>19855879</v>
      </c>
      <c r="J673" s="45" t="str">
        <f ca="1">IFERROR(__xludf.DUMMYFUNCTION("""COMPUTED_VALUE"""),"LM5AO1S")</f>
        <v>LM5AO1S</v>
      </c>
      <c r="K673" s="45" t="str">
        <f ca="1">IFERROR(__xludf.DUMMYFUNCTION("""COMPUTED_VALUE"""),"LM5AO1S-038426")</f>
        <v>LM5AO1S-038426</v>
      </c>
      <c r="L673" s="45">
        <f ca="1">IFERROR(__xludf.DUMMYFUNCTION("""COMPUTED_VALUE"""),11)</f>
        <v>11</v>
      </c>
      <c r="M673" s="45">
        <f ca="1">IFERROR(__xludf.DUMMYFUNCTION("""COMPUTED_VALUE"""),328)</f>
        <v>328</v>
      </c>
      <c r="N673" s="45">
        <f ca="1">IFERROR(__xludf.DUMMYFUNCTION("""COMPUTED_VALUE"""),154.08)</f>
        <v>154.08000000000001</v>
      </c>
      <c r="O673" s="45">
        <f ca="1">IFERROR(__xludf.DUMMYFUNCTION("""COMPUTED_VALUE"""),0.788)</f>
        <v>0.78800000000000003</v>
      </c>
      <c r="P673" s="45" t="str">
        <f ca="1">IFERROR(__xludf.DUMMYFUNCTION("""COMPUTED_VALUE"""),"Colombo, LK")</f>
        <v>Colombo, LK</v>
      </c>
      <c r="Q673" s="45" t="str">
        <f ca="1">IFERROR(__xludf.DUMMYFUNCTION("""COMPUTED_VALUE"""),"New York, NY, US")</f>
        <v>New York, NY, US</v>
      </c>
      <c r="R673" s="44">
        <f ca="1">IFERROR(__xludf.DUMMYFUNCTION("""COMPUTED_VALUE"""),45831)</f>
        <v>45831</v>
      </c>
      <c r="S673" s="44">
        <f ca="1">IFERROR(__xludf.DUMMYFUNCTION("""COMPUTED_VALUE"""),45890)</f>
        <v>45890</v>
      </c>
      <c r="T673" s="45" t="str">
        <f ca="1">IFERROR(__xludf.DUMMYFUNCTION("""COMPUTED_VALUE"""),"Mississauga, ON, CA")</f>
        <v>Mississauga, ON, CA</v>
      </c>
      <c r="U673" s="45"/>
      <c r="V673" s="45"/>
      <c r="W673" s="45"/>
      <c r="X673" s="45"/>
      <c r="Y673" s="46">
        <f ca="1">IFERROR(__xludf.DUMMYFUNCTION("""COMPUTED_VALUE"""),45838)</f>
        <v>45838</v>
      </c>
      <c r="Z673" s="46">
        <f ca="1">IFERROR(__xludf.DUMMYFUNCTION("""COMPUTED_VALUE"""),45859)</f>
        <v>45859</v>
      </c>
      <c r="AA673" s="46">
        <f ca="1">IFERROR(__xludf.DUMMYFUNCTION("""COMPUTED_VALUE"""),45859)</f>
        <v>45859</v>
      </c>
      <c r="AB673" s="45" t="str">
        <f ca="1">IFERROR(__xludf.DUMMYFUNCTION("""COMPUTED_VALUE"""),"3500 Argentia Road")</f>
        <v>3500 Argentia Road</v>
      </c>
      <c r="AC673" s="45"/>
      <c r="AD673" s="45" t="str">
        <f ca="1">IFERROR(__xludf.DUMMYFUNCTION("""COMPUTED_VALUE"""),"OCEAN")</f>
        <v>OCEAN</v>
      </c>
      <c r="AE673" s="45" t="str">
        <f ca="1">IFERROR(__xludf.DUMMYFUNCTION("""COMPUTED_VALUE"""),"N")</f>
        <v>N</v>
      </c>
      <c r="AF673" s="45"/>
      <c r="AG673" s="49" t="str">
        <f ca="1">IFERROR(__xludf.DUMMYFUNCTION("IFNA(vlookup(H673,IMPORTRANGE(""1vUGwO1n0QQGx9kKbO0_M5gmuhXZ6-LaxQxgrmJnzgP0"",""'TP# look up'!A:C""),3,0),"""")"),"")</f>
        <v/>
      </c>
      <c r="AH673" s="49" t="str">
        <f t="shared" ca="1" si="10"/>
        <v>LM</v>
      </c>
    </row>
    <row r="674" spans="1:34" ht="12.75">
      <c r="A674" s="45" t="str">
        <f ca="1">IFERROR(__xludf.DUMMYFUNCTION("""COMPUTED_VALUE"""),"Colombo")</f>
        <v>Colombo</v>
      </c>
      <c r="B674" s="45"/>
      <c r="C674" s="45">
        <f ca="1">IFERROR(__xludf.DUMMYFUNCTION("""COMPUTED_VALUE"""),3259512)</f>
        <v>3259512</v>
      </c>
      <c r="D674" s="45"/>
      <c r="E674" s="45" t="str">
        <f ca="1">IFERROR(__xludf.DUMMYFUNCTION("""COMPUTED_VALUE"""),"CFS")</f>
        <v>CFS</v>
      </c>
      <c r="F674" s="45" t="str">
        <f ca="1">IFERROR(__xludf.DUMMYFUNCTION("""COMPUTED_VALUE"""),"Inqube Global (PVT) Ltd")</f>
        <v>Inqube Global (PVT) Ltd</v>
      </c>
      <c r="G674" s="45" t="str">
        <f ca="1">IFERROR(__xludf.DUMMYFUNCTION("""COMPUTED_VALUE"""),"BRANDIX APPAREL SOLUTION LTD - GIRITALE")</f>
        <v>BRANDIX APPAREL SOLUTION LTD - GIRITALE</v>
      </c>
      <c r="H674" s="43">
        <f ca="1">IFERROR(__xludf.DUMMYFUNCTION("""COMPUTED_VALUE"""),454714652569)</f>
        <v>454714652569</v>
      </c>
      <c r="I674" s="45">
        <f ca="1">IFERROR(__xludf.DUMMYFUNCTION("""COMPUTED_VALUE"""),19855833)</f>
        <v>19855833</v>
      </c>
      <c r="J674" s="45" t="str">
        <f ca="1">IFERROR(__xludf.DUMMYFUNCTION("""COMPUTED_VALUE"""),"LM5BL3S")</f>
        <v>LM5BL3S</v>
      </c>
      <c r="K674" s="45" t="str">
        <f ca="1">IFERROR(__xludf.DUMMYFUNCTION("""COMPUTED_VALUE"""),"LM5BL3S-0001")</f>
        <v>LM5BL3S-0001</v>
      </c>
      <c r="L674" s="45">
        <f ca="1">IFERROR(__xludf.DUMMYFUNCTION("""COMPUTED_VALUE"""),5)</f>
        <v>5</v>
      </c>
      <c r="M674" s="45">
        <f ca="1">IFERROR(__xludf.DUMMYFUNCTION("""COMPUTED_VALUE"""),103)</f>
        <v>103</v>
      </c>
      <c r="N674" s="45">
        <f ca="1">IFERROR(__xludf.DUMMYFUNCTION("""COMPUTED_VALUE"""),42.02)</f>
        <v>42.02</v>
      </c>
      <c r="O674" s="45">
        <f ca="1">IFERROR(__xludf.DUMMYFUNCTION("""COMPUTED_VALUE"""),0.293)</f>
        <v>0.29299999999999998</v>
      </c>
      <c r="P674" s="45" t="str">
        <f ca="1">IFERROR(__xludf.DUMMYFUNCTION("""COMPUTED_VALUE"""),"Colombo, LK")</f>
        <v>Colombo, LK</v>
      </c>
      <c r="Q674" s="45" t="str">
        <f ca="1">IFERROR(__xludf.DUMMYFUNCTION("""COMPUTED_VALUE"""),"New York, NY, US")</f>
        <v>New York, NY, US</v>
      </c>
      <c r="R674" s="44">
        <f ca="1">IFERROR(__xludf.DUMMYFUNCTION("""COMPUTED_VALUE"""),45831)</f>
        <v>45831</v>
      </c>
      <c r="S674" s="44">
        <f ca="1">IFERROR(__xludf.DUMMYFUNCTION("""COMPUTED_VALUE"""),45890)</f>
        <v>45890</v>
      </c>
      <c r="T674" s="45" t="str">
        <f ca="1">IFERROR(__xludf.DUMMYFUNCTION("""COMPUTED_VALUE"""),"Mississauga, ON, CA")</f>
        <v>Mississauga, ON, CA</v>
      </c>
      <c r="U674" s="45"/>
      <c r="V674" s="45"/>
      <c r="W674" s="45"/>
      <c r="X674" s="45"/>
      <c r="Y674" s="46">
        <f ca="1">IFERROR(__xludf.DUMMYFUNCTION("""COMPUTED_VALUE"""),45838)</f>
        <v>45838</v>
      </c>
      <c r="Z674" s="46">
        <f ca="1">IFERROR(__xludf.DUMMYFUNCTION("""COMPUTED_VALUE"""),45859)</f>
        <v>45859</v>
      </c>
      <c r="AA674" s="46">
        <f ca="1">IFERROR(__xludf.DUMMYFUNCTION("""COMPUTED_VALUE"""),45859)</f>
        <v>45859</v>
      </c>
      <c r="AB674" s="45" t="str">
        <f ca="1">IFERROR(__xludf.DUMMYFUNCTION("""COMPUTED_VALUE"""),"3500 Argentia Road")</f>
        <v>3500 Argentia Road</v>
      </c>
      <c r="AC674" s="45"/>
      <c r="AD674" s="45" t="str">
        <f ca="1">IFERROR(__xludf.DUMMYFUNCTION("""COMPUTED_VALUE"""),"OCEAN")</f>
        <v>OCEAN</v>
      </c>
      <c r="AE674" s="45" t="str">
        <f ca="1">IFERROR(__xludf.DUMMYFUNCTION("""COMPUTED_VALUE"""),"N")</f>
        <v>N</v>
      </c>
      <c r="AF674" s="45"/>
      <c r="AG674" s="49" t="str">
        <f ca="1">IFERROR(__xludf.DUMMYFUNCTION("IFNA(vlookup(H674,IMPORTRANGE(""1vUGwO1n0QQGx9kKbO0_M5gmuhXZ6-LaxQxgrmJnzgP0"",""'TP# look up'!A:C""),3,0),"""")"),"")</f>
        <v/>
      </c>
      <c r="AH674" s="49" t="str">
        <f t="shared" ca="1" si="10"/>
        <v>LM</v>
      </c>
    </row>
    <row r="675" spans="1:34" ht="12.75">
      <c r="A675" s="45" t="str">
        <f ca="1">IFERROR(__xludf.DUMMYFUNCTION("""COMPUTED_VALUE"""),"Colombo")</f>
        <v>Colombo</v>
      </c>
      <c r="B675" s="45"/>
      <c r="C675" s="45">
        <f ca="1">IFERROR(__xludf.DUMMYFUNCTION("""COMPUTED_VALUE"""),3259512)</f>
        <v>3259512</v>
      </c>
      <c r="D675" s="45"/>
      <c r="E675" s="45" t="str">
        <f ca="1">IFERROR(__xludf.DUMMYFUNCTION("""COMPUTED_VALUE"""),"CFS")</f>
        <v>CFS</v>
      </c>
      <c r="F675" s="45" t="str">
        <f ca="1">IFERROR(__xludf.DUMMYFUNCTION("""COMPUTED_VALUE"""),"Inqube Global (PVT) Ltd")</f>
        <v>Inqube Global (PVT) Ltd</v>
      </c>
      <c r="G675" s="45" t="str">
        <f ca="1">IFERROR(__xludf.DUMMYFUNCTION("""COMPUTED_VALUE"""),"BRANDIX APPAREL SOLUTION LTD - GIRITALE")</f>
        <v>BRANDIX APPAREL SOLUTION LTD - GIRITALE</v>
      </c>
      <c r="H675" s="43">
        <f ca="1">IFERROR(__xludf.DUMMYFUNCTION("""COMPUTED_VALUE"""),454714966550)</f>
        <v>454714966550</v>
      </c>
      <c r="I675" s="45">
        <f ca="1">IFERROR(__xludf.DUMMYFUNCTION("""COMPUTED_VALUE"""),19856111)</f>
        <v>19856111</v>
      </c>
      <c r="J675" s="45" t="str">
        <f ca="1">IFERROR(__xludf.DUMMYFUNCTION("""COMPUTED_VALUE"""),"LM5AQXS")</f>
        <v>LM5AQXS</v>
      </c>
      <c r="K675" s="45" t="str">
        <f ca="1">IFERROR(__xludf.DUMMYFUNCTION("""COMPUTED_VALUE"""),"LM5AQXS-031382")</f>
        <v>LM5AQXS-031382</v>
      </c>
      <c r="L675" s="45">
        <f ca="1">IFERROR(__xludf.DUMMYFUNCTION("""COMPUTED_VALUE"""),9)</f>
        <v>9</v>
      </c>
      <c r="M675" s="45">
        <f ca="1">IFERROR(__xludf.DUMMYFUNCTION("""COMPUTED_VALUE"""),354)</f>
        <v>354</v>
      </c>
      <c r="N675" s="45">
        <f ca="1">IFERROR(__xludf.DUMMYFUNCTION("""COMPUTED_VALUE"""),132.71)</f>
        <v>132.71</v>
      </c>
      <c r="O675" s="45">
        <f ca="1">IFERROR(__xludf.DUMMYFUNCTION("""COMPUTED_VALUE"""),0.743)</f>
        <v>0.74299999999999999</v>
      </c>
      <c r="P675" s="45" t="str">
        <f ca="1">IFERROR(__xludf.DUMMYFUNCTION("""COMPUTED_VALUE"""),"Colombo, LK")</f>
        <v>Colombo, LK</v>
      </c>
      <c r="Q675" s="45" t="str">
        <f ca="1">IFERROR(__xludf.DUMMYFUNCTION("""COMPUTED_VALUE"""),"New York, NY, US")</f>
        <v>New York, NY, US</v>
      </c>
      <c r="R675" s="44">
        <f ca="1">IFERROR(__xludf.DUMMYFUNCTION("""COMPUTED_VALUE"""),45831)</f>
        <v>45831</v>
      </c>
      <c r="S675" s="44">
        <f ca="1">IFERROR(__xludf.DUMMYFUNCTION("""COMPUTED_VALUE"""),45890)</f>
        <v>45890</v>
      </c>
      <c r="T675" s="45" t="str">
        <f ca="1">IFERROR(__xludf.DUMMYFUNCTION("""COMPUTED_VALUE"""),"Mississauga, ON, CA")</f>
        <v>Mississauga, ON, CA</v>
      </c>
      <c r="U675" s="45"/>
      <c r="V675" s="45"/>
      <c r="W675" s="45"/>
      <c r="X675" s="45"/>
      <c r="Y675" s="46">
        <f ca="1">IFERROR(__xludf.DUMMYFUNCTION("""COMPUTED_VALUE"""),45838)</f>
        <v>45838</v>
      </c>
      <c r="Z675" s="46">
        <f ca="1">IFERROR(__xludf.DUMMYFUNCTION("""COMPUTED_VALUE"""),45859)</f>
        <v>45859</v>
      </c>
      <c r="AA675" s="46">
        <f ca="1">IFERROR(__xludf.DUMMYFUNCTION("""COMPUTED_VALUE"""),45859)</f>
        <v>45859</v>
      </c>
      <c r="AB675" s="45" t="str">
        <f ca="1">IFERROR(__xludf.DUMMYFUNCTION("""COMPUTED_VALUE"""),"3500 Argentia Road")</f>
        <v>3500 Argentia Road</v>
      </c>
      <c r="AC675" s="45"/>
      <c r="AD675" s="45" t="str">
        <f ca="1">IFERROR(__xludf.DUMMYFUNCTION("""COMPUTED_VALUE"""),"OCEAN")</f>
        <v>OCEAN</v>
      </c>
      <c r="AE675" s="45" t="str">
        <f ca="1">IFERROR(__xludf.DUMMYFUNCTION("""COMPUTED_VALUE"""),"N")</f>
        <v>N</v>
      </c>
      <c r="AF675" s="45"/>
      <c r="AG675" s="49" t="str">
        <f ca="1">IFERROR(__xludf.DUMMYFUNCTION("IFNA(vlookup(H675,IMPORTRANGE(""1vUGwO1n0QQGx9kKbO0_M5gmuhXZ6-LaxQxgrmJnzgP0"",""'TP# look up'!A:C""),3,0),"""")"),"")</f>
        <v/>
      </c>
      <c r="AH675" s="49" t="str">
        <f t="shared" ca="1" si="10"/>
        <v>LM</v>
      </c>
    </row>
    <row r="676" spans="1:34" ht="12.75">
      <c r="A676" s="45" t="str">
        <f ca="1">IFERROR(__xludf.DUMMYFUNCTION("""COMPUTED_VALUE"""),"Colombo")</f>
        <v>Colombo</v>
      </c>
      <c r="B676" s="45"/>
      <c r="C676" s="45">
        <f ca="1">IFERROR(__xludf.DUMMYFUNCTION("""COMPUTED_VALUE"""),3259512)</f>
        <v>3259512</v>
      </c>
      <c r="D676" s="45"/>
      <c r="E676" s="45" t="str">
        <f ca="1">IFERROR(__xludf.DUMMYFUNCTION("""COMPUTED_VALUE"""),"CFS")</f>
        <v>CFS</v>
      </c>
      <c r="F676" s="45" t="str">
        <f ca="1">IFERROR(__xludf.DUMMYFUNCTION("""COMPUTED_VALUE"""),"Inqube Global (PVT) Ltd")</f>
        <v>Inqube Global (PVT) Ltd</v>
      </c>
      <c r="G676" s="45" t="str">
        <f ca="1">IFERROR(__xludf.DUMMYFUNCTION("""COMPUTED_VALUE"""),"BRANDIX APPAREL SOLUTION LTD - GIRITALE")</f>
        <v>BRANDIX APPAREL SOLUTION LTD - GIRITALE</v>
      </c>
      <c r="H676" s="43">
        <f ca="1">IFERROR(__xludf.DUMMYFUNCTION("""COMPUTED_VALUE"""),454714967216)</f>
        <v>454714967216</v>
      </c>
      <c r="I676" s="45">
        <f ca="1">IFERROR(__xludf.DUMMYFUNCTION("""COMPUTED_VALUE"""),19856215)</f>
        <v>19856215</v>
      </c>
      <c r="J676" s="45" t="str">
        <f ca="1">IFERROR(__xludf.DUMMYFUNCTION("""COMPUTED_VALUE"""),"LM5AQZS")</f>
        <v>LM5AQZS</v>
      </c>
      <c r="K676" s="45" t="str">
        <f ca="1">IFERROR(__xludf.DUMMYFUNCTION("""COMPUTED_VALUE"""),"LM5AQZS-019222")</f>
        <v>LM5AQZS-019222</v>
      </c>
      <c r="L676" s="45">
        <f ca="1">IFERROR(__xludf.DUMMYFUNCTION("""COMPUTED_VALUE"""),22)</f>
        <v>22</v>
      </c>
      <c r="M676" s="45">
        <f ca="1">IFERROR(__xludf.DUMMYFUNCTION("""COMPUTED_VALUE"""),758)</f>
        <v>758</v>
      </c>
      <c r="N676" s="45">
        <f ca="1">IFERROR(__xludf.DUMMYFUNCTION("""COMPUTED_VALUE"""),351.75)</f>
        <v>351.75</v>
      </c>
      <c r="O676" s="45">
        <f ca="1">IFERROR(__xludf.DUMMYFUNCTION("""COMPUTED_VALUE"""),1.616)</f>
        <v>1.6160000000000001</v>
      </c>
      <c r="P676" s="45" t="str">
        <f ca="1">IFERROR(__xludf.DUMMYFUNCTION("""COMPUTED_VALUE"""),"Colombo, LK")</f>
        <v>Colombo, LK</v>
      </c>
      <c r="Q676" s="45" t="str">
        <f ca="1">IFERROR(__xludf.DUMMYFUNCTION("""COMPUTED_VALUE"""),"New York, NY, US")</f>
        <v>New York, NY, US</v>
      </c>
      <c r="R676" s="44">
        <f ca="1">IFERROR(__xludf.DUMMYFUNCTION("""COMPUTED_VALUE"""),45831)</f>
        <v>45831</v>
      </c>
      <c r="S676" s="44">
        <f ca="1">IFERROR(__xludf.DUMMYFUNCTION("""COMPUTED_VALUE"""),45890)</f>
        <v>45890</v>
      </c>
      <c r="T676" s="45" t="str">
        <f ca="1">IFERROR(__xludf.DUMMYFUNCTION("""COMPUTED_VALUE"""),"Mississauga, ON, CA")</f>
        <v>Mississauga, ON, CA</v>
      </c>
      <c r="U676" s="45"/>
      <c r="V676" s="45"/>
      <c r="W676" s="45"/>
      <c r="X676" s="45"/>
      <c r="Y676" s="46">
        <f ca="1">IFERROR(__xludf.DUMMYFUNCTION("""COMPUTED_VALUE"""),45838)</f>
        <v>45838</v>
      </c>
      <c r="Z676" s="46">
        <f ca="1">IFERROR(__xludf.DUMMYFUNCTION("""COMPUTED_VALUE"""),45859)</f>
        <v>45859</v>
      </c>
      <c r="AA676" s="46">
        <f ca="1">IFERROR(__xludf.DUMMYFUNCTION("""COMPUTED_VALUE"""),45859)</f>
        <v>45859</v>
      </c>
      <c r="AB676" s="45" t="str">
        <f ca="1">IFERROR(__xludf.DUMMYFUNCTION("""COMPUTED_VALUE"""),"3500 Argentia Road")</f>
        <v>3500 Argentia Road</v>
      </c>
      <c r="AC676" s="45"/>
      <c r="AD676" s="45" t="str">
        <f ca="1">IFERROR(__xludf.DUMMYFUNCTION("""COMPUTED_VALUE"""),"OCEAN")</f>
        <v>OCEAN</v>
      </c>
      <c r="AE676" s="45" t="str">
        <f ca="1">IFERROR(__xludf.DUMMYFUNCTION("""COMPUTED_VALUE"""),"N")</f>
        <v>N</v>
      </c>
      <c r="AF676" s="45"/>
      <c r="AG676" s="49" t="str">
        <f ca="1">IFERROR(__xludf.DUMMYFUNCTION("IFNA(vlookup(H676,IMPORTRANGE(""1vUGwO1n0QQGx9kKbO0_M5gmuhXZ6-LaxQxgrmJnzgP0"",""'TP# look up'!A:C""),3,0),"""")"),"")</f>
        <v/>
      </c>
      <c r="AH676" s="49" t="str">
        <f t="shared" ca="1" si="10"/>
        <v>LM</v>
      </c>
    </row>
    <row r="677" spans="1:34" ht="12.75">
      <c r="A677" s="45" t="str">
        <f ca="1">IFERROR(__xludf.DUMMYFUNCTION("""COMPUTED_VALUE"""),"Colombo")</f>
        <v>Colombo</v>
      </c>
      <c r="B677" s="45"/>
      <c r="C677" s="45">
        <f ca="1">IFERROR(__xludf.DUMMYFUNCTION("""COMPUTED_VALUE"""),3259512)</f>
        <v>3259512</v>
      </c>
      <c r="D677" s="45"/>
      <c r="E677" s="45" t="str">
        <f ca="1">IFERROR(__xludf.DUMMYFUNCTION("""COMPUTED_VALUE"""),"CFS")</f>
        <v>CFS</v>
      </c>
      <c r="F677" s="45" t="str">
        <f ca="1">IFERROR(__xludf.DUMMYFUNCTION("""COMPUTED_VALUE"""),"Inqube Global (PVT) Ltd")</f>
        <v>Inqube Global (PVT) Ltd</v>
      </c>
      <c r="G677" s="45" t="str">
        <f ca="1">IFERROR(__xludf.DUMMYFUNCTION("""COMPUTED_VALUE"""),"BRANDIX APPAREL SOLUTION LTD - GIRITALE")</f>
        <v>BRANDIX APPAREL SOLUTION LTD - GIRITALE</v>
      </c>
      <c r="H677" s="43">
        <f ca="1">IFERROR(__xludf.DUMMYFUNCTION("""COMPUTED_VALUE"""),454715577915)</f>
        <v>454715577915</v>
      </c>
      <c r="I677" s="45">
        <f ca="1">IFERROR(__xludf.DUMMYFUNCTION("""COMPUTED_VALUE"""),19856561)</f>
        <v>19856561</v>
      </c>
      <c r="J677" s="45" t="str">
        <f ca="1">IFERROR(__xludf.DUMMYFUNCTION("""COMPUTED_VALUE"""),"LM5BL3S")</f>
        <v>LM5BL3S</v>
      </c>
      <c r="K677" s="45" t="str">
        <f ca="1">IFERROR(__xludf.DUMMYFUNCTION("""COMPUTED_VALUE"""),"LM5BL3S-0001")</f>
        <v>LM5BL3S-0001</v>
      </c>
      <c r="L677" s="45">
        <f ca="1">IFERROR(__xludf.DUMMYFUNCTION("""COMPUTED_VALUE"""),10)</f>
        <v>10</v>
      </c>
      <c r="M677" s="45">
        <f ca="1">IFERROR(__xludf.DUMMYFUNCTION("""COMPUTED_VALUE"""),295)</f>
        <v>295</v>
      </c>
      <c r="N677" s="45">
        <f ca="1">IFERROR(__xludf.DUMMYFUNCTION("""COMPUTED_VALUE"""),117.04)</f>
        <v>117.04</v>
      </c>
      <c r="O677" s="45">
        <f ca="1">IFERROR(__xludf.DUMMYFUNCTION("""COMPUTED_VALUE"""),0.745)</f>
        <v>0.745</v>
      </c>
      <c r="P677" s="45" t="str">
        <f ca="1">IFERROR(__xludf.DUMMYFUNCTION("""COMPUTED_VALUE"""),"Colombo, LK")</f>
        <v>Colombo, LK</v>
      </c>
      <c r="Q677" s="45" t="str">
        <f ca="1">IFERROR(__xludf.DUMMYFUNCTION("""COMPUTED_VALUE"""),"New York, NY, US")</f>
        <v>New York, NY, US</v>
      </c>
      <c r="R677" s="44">
        <f ca="1">IFERROR(__xludf.DUMMYFUNCTION("""COMPUTED_VALUE"""),45831)</f>
        <v>45831</v>
      </c>
      <c r="S677" s="44">
        <f ca="1">IFERROR(__xludf.DUMMYFUNCTION("""COMPUTED_VALUE"""),45890)</f>
        <v>45890</v>
      </c>
      <c r="T677" s="45" t="str">
        <f ca="1">IFERROR(__xludf.DUMMYFUNCTION("""COMPUTED_VALUE"""),"Mississauga, ON, CA")</f>
        <v>Mississauga, ON, CA</v>
      </c>
      <c r="U677" s="45"/>
      <c r="V677" s="45"/>
      <c r="W677" s="45"/>
      <c r="X677" s="45"/>
      <c r="Y677" s="46">
        <f ca="1">IFERROR(__xludf.DUMMYFUNCTION("""COMPUTED_VALUE"""),45838)</f>
        <v>45838</v>
      </c>
      <c r="Z677" s="46">
        <f ca="1">IFERROR(__xludf.DUMMYFUNCTION("""COMPUTED_VALUE"""),45859)</f>
        <v>45859</v>
      </c>
      <c r="AA677" s="46">
        <f ca="1">IFERROR(__xludf.DUMMYFUNCTION("""COMPUTED_VALUE"""),45859)</f>
        <v>45859</v>
      </c>
      <c r="AB677" s="45" t="str">
        <f ca="1">IFERROR(__xludf.DUMMYFUNCTION("""COMPUTED_VALUE"""),"3500 Argentia Road")</f>
        <v>3500 Argentia Road</v>
      </c>
      <c r="AC677" s="45"/>
      <c r="AD677" s="45" t="str">
        <f ca="1">IFERROR(__xludf.DUMMYFUNCTION("""COMPUTED_VALUE"""),"OCEAN")</f>
        <v>OCEAN</v>
      </c>
      <c r="AE677" s="45" t="str">
        <f ca="1">IFERROR(__xludf.DUMMYFUNCTION("""COMPUTED_VALUE"""),"N")</f>
        <v>N</v>
      </c>
      <c r="AF677" s="45"/>
      <c r="AG677" s="49" t="str">
        <f ca="1">IFERROR(__xludf.DUMMYFUNCTION("IFNA(vlookup(H677,IMPORTRANGE(""1vUGwO1n0QQGx9kKbO0_M5gmuhXZ6-LaxQxgrmJnzgP0"",""'TP# look up'!A:C""),3,0),"""")"),"")</f>
        <v/>
      </c>
      <c r="AH677" s="49" t="str">
        <f t="shared" ca="1" si="10"/>
        <v>LM</v>
      </c>
    </row>
    <row r="678" spans="1:34" ht="12.75">
      <c r="A678" s="45" t="str">
        <f ca="1">IFERROR(__xludf.DUMMYFUNCTION("""COMPUTED_VALUE"""),"Colombo")</f>
        <v>Colombo</v>
      </c>
      <c r="B678" s="45"/>
      <c r="C678" s="45">
        <f ca="1">IFERROR(__xludf.DUMMYFUNCTION("""COMPUTED_VALUE"""),3259512)</f>
        <v>3259512</v>
      </c>
      <c r="D678" s="45"/>
      <c r="E678" s="45" t="str">
        <f ca="1">IFERROR(__xludf.DUMMYFUNCTION("""COMPUTED_VALUE"""),"CFS")</f>
        <v>CFS</v>
      </c>
      <c r="F678" s="45" t="str">
        <f ca="1">IFERROR(__xludf.DUMMYFUNCTION("""COMPUTED_VALUE"""),"Inqube Global (PVT) Ltd")</f>
        <v>Inqube Global (PVT) Ltd</v>
      </c>
      <c r="G678" s="45" t="str">
        <f ca="1">IFERROR(__xludf.DUMMYFUNCTION("""COMPUTED_VALUE"""),"BRANDIX APPAREL SOLUTION LTD - GIRITALE")</f>
        <v>BRANDIX APPAREL SOLUTION LTD - GIRITALE</v>
      </c>
      <c r="H678" s="43">
        <f ca="1">IFERROR(__xludf.DUMMYFUNCTION("""COMPUTED_VALUE"""),454715578092)</f>
        <v>454715578092</v>
      </c>
      <c r="I678" s="45">
        <f ca="1">IFERROR(__xludf.DUMMYFUNCTION("""COMPUTED_VALUE"""),19856565)</f>
        <v>19856565</v>
      </c>
      <c r="J678" s="45" t="str">
        <f ca="1">IFERROR(__xludf.DUMMYFUNCTION("""COMPUTED_VALUE"""),"LM5BL3S")</f>
        <v>LM5BL3S</v>
      </c>
      <c r="K678" s="45" t="str">
        <f ca="1">IFERROR(__xludf.DUMMYFUNCTION("""COMPUTED_VALUE"""),"LM5BL3S-0001")</f>
        <v>LM5BL3S-0001</v>
      </c>
      <c r="L678" s="45">
        <f ca="1">IFERROR(__xludf.DUMMYFUNCTION("""COMPUTED_VALUE"""),10)</f>
        <v>10</v>
      </c>
      <c r="M678" s="45">
        <f ca="1">IFERROR(__xludf.DUMMYFUNCTION("""COMPUTED_VALUE"""),286)</f>
        <v>286</v>
      </c>
      <c r="N678" s="45">
        <f ca="1">IFERROR(__xludf.DUMMYFUNCTION("""COMPUTED_VALUE"""),113.92)</f>
        <v>113.92</v>
      </c>
      <c r="O678" s="45">
        <f ca="1">IFERROR(__xludf.DUMMYFUNCTION("""COMPUTED_VALUE"""),0.745)</f>
        <v>0.745</v>
      </c>
      <c r="P678" s="45" t="str">
        <f ca="1">IFERROR(__xludf.DUMMYFUNCTION("""COMPUTED_VALUE"""),"Colombo, LK")</f>
        <v>Colombo, LK</v>
      </c>
      <c r="Q678" s="45" t="str">
        <f ca="1">IFERROR(__xludf.DUMMYFUNCTION("""COMPUTED_VALUE"""),"New York, NY, US")</f>
        <v>New York, NY, US</v>
      </c>
      <c r="R678" s="44">
        <f ca="1">IFERROR(__xludf.DUMMYFUNCTION("""COMPUTED_VALUE"""),45831)</f>
        <v>45831</v>
      </c>
      <c r="S678" s="44">
        <f ca="1">IFERROR(__xludf.DUMMYFUNCTION("""COMPUTED_VALUE"""),45890)</f>
        <v>45890</v>
      </c>
      <c r="T678" s="45" t="str">
        <f ca="1">IFERROR(__xludf.DUMMYFUNCTION("""COMPUTED_VALUE"""),"Mississauga, ON, CA")</f>
        <v>Mississauga, ON, CA</v>
      </c>
      <c r="U678" s="45"/>
      <c r="V678" s="45"/>
      <c r="W678" s="45"/>
      <c r="X678" s="45"/>
      <c r="Y678" s="46">
        <f ca="1">IFERROR(__xludf.DUMMYFUNCTION("""COMPUTED_VALUE"""),45838)</f>
        <v>45838</v>
      </c>
      <c r="Z678" s="46">
        <f ca="1">IFERROR(__xludf.DUMMYFUNCTION("""COMPUTED_VALUE"""),45859)</f>
        <v>45859</v>
      </c>
      <c r="AA678" s="46">
        <f ca="1">IFERROR(__xludf.DUMMYFUNCTION("""COMPUTED_VALUE"""),45859)</f>
        <v>45859</v>
      </c>
      <c r="AB678" s="45" t="str">
        <f ca="1">IFERROR(__xludf.DUMMYFUNCTION("""COMPUTED_VALUE"""),"3500 Argentia Road")</f>
        <v>3500 Argentia Road</v>
      </c>
      <c r="AC678" s="45"/>
      <c r="AD678" s="45" t="str">
        <f ca="1">IFERROR(__xludf.DUMMYFUNCTION("""COMPUTED_VALUE"""),"OCEAN")</f>
        <v>OCEAN</v>
      </c>
      <c r="AE678" s="45" t="str">
        <f ca="1">IFERROR(__xludf.DUMMYFUNCTION("""COMPUTED_VALUE"""),"N")</f>
        <v>N</v>
      </c>
      <c r="AF678" s="45"/>
      <c r="AG678" s="49" t="str">
        <f ca="1">IFERROR(__xludf.DUMMYFUNCTION("IFNA(vlookup(H678,IMPORTRANGE(""1vUGwO1n0QQGx9kKbO0_M5gmuhXZ6-LaxQxgrmJnzgP0"",""'TP# look up'!A:C""),3,0),"""")"),"")</f>
        <v/>
      </c>
      <c r="AH678" s="49" t="str">
        <f t="shared" ca="1" si="10"/>
        <v>LM</v>
      </c>
    </row>
    <row r="679" spans="1:34" ht="12.75">
      <c r="A679" s="45" t="str">
        <f ca="1">IFERROR(__xludf.DUMMYFUNCTION("""COMPUTED_VALUE"""),"Colombo")</f>
        <v>Colombo</v>
      </c>
      <c r="B679" s="45"/>
      <c r="C679" s="45">
        <f ca="1">IFERROR(__xludf.DUMMYFUNCTION("""COMPUTED_VALUE"""),3259512)</f>
        <v>3259512</v>
      </c>
      <c r="D679" s="45"/>
      <c r="E679" s="45" t="str">
        <f ca="1">IFERROR(__xludf.DUMMYFUNCTION("""COMPUTED_VALUE"""),"CFS")</f>
        <v>CFS</v>
      </c>
      <c r="F679" s="45" t="str">
        <f ca="1">IFERROR(__xludf.DUMMYFUNCTION("""COMPUTED_VALUE"""),"Inqube Global (PVT) Ltd")</f>
        <v>Inqube Global (PVT) Ltd</v>
      </c>
      <c r="G679" s="45" t="str">
        <f ca="1">IFERROR(__xludf.DUMMYFUNCTION("""COMPUTED_VALUE"""),"BRANDIX APPAREL SOLUTION LTD - GIRITALE")</f>
        <v>BRANDIX APPAREL SOLUTION LTD - GIRITALE</v>
      </c>
      <c r="H679" s="43">
        <f ca="1">IFERROR(__xludf.DUMMYFUNCTION("""COMPUTED_VALUE"""),454715945310)</f>
        <v>454715945310</v>
      </c>
      <c r="I679" s="45">
        <f ca="1">IFERROR(__xludf.DUMMYFUNCTION("""COMPUTED_VALUE"""),19856228)</f>
        <v>19856228</v>
      </c>
      <c r="J679" s="45" t="str">
        <f ca="1">IFERROR(__xludf.DUMMYFUNCTION("""COMPUTED_VALUE"""),"LM5AR0T")</f>
        <v>LM5AR0T</v>
      </c>
      <c r="K679" s="45" t="str">
        <f ca="1">IFERROR(__xludf.DUMMYFUNCTION("""COMPUTED_VALUE"""),"LM5AR0T-0001")</f>
        <v>LM5AR0T-0001</v>
      </c>
      <c r="L679" s="45">
        <f ca="1">IFERROR(__xludf.DUMMYFUNCTION("""COMPUTED_VALUE"""),6)</f>
        <v>6</v>
      </c>
      <c r="M679" s="45">
        <f ca="1">IFERROR(__xludf.DUMMYFUNCTION("""COMPUTED_VALUE"""),149)</f>
        <v>149</v>
      </c>
      <c r="N679" s="45">
        <f ca="1">IFERROR(__xludf.DUMMYFUNCTION("""COMPUTED_VALUE"""),74.99)</f>
        <v>74.989999999999995</v>
      </c>
      <c r="O679" s="45">
        <f ca="1">IFERROR(__xludf.DUMMYFUNCTION("""COMPUTED_VALUE"""),0.375)</f>
        <v>0.375</v>
      </c>
      <c r="P679" s="45" t="str">
        <f ca="1">IFERROR(__xludf.DUMMYFUNCTION("""COMPUTED_VALUE"""),"Colombo, LK")</f>
        <v>Colombo, LK</v>
      </c>
      <c r="Q679" s="45" t="str">
        <f ca="1">IFERROR(__xludf.DUMMYFUNCTION("""COMPUTED_VALUE"""),"New York, NY, US")</f>
        <v>New York, NY, US</v>
      </c>
      <c r="R679" s="44">
        <f ca="1">IFERROR(__xludf.DUMMYFUNCTION("""COMPUTED_VALUE"""),45831)</f>
        <v>45831</v>
      </c>
      <c r="S679" s="44">
        <f ca="1">IFERROR(__xludf.DUMMYFUNCTION("""COMPUTED_VALUE"""),45890)</f>
        <v>45890</v>
      </c>
      <c r="T679" s="45" t="str">
        <f ca="1">IFERROR(__xludf.DUMMYFUNCTION("""COMPUTED_VALUE"""),"Mississauga, ON, CA")</f>
        <v>Mississauga, ON, CA</v>
      </c>
      <c r="U679" s="45"/>
      <c r="V679" s="45"/>
      <c r="W679" s="45"/>
      <c r="X679" s="45"/>
      <c r="Y679" s="46">
        <f ca="1">IFERROR(__xludf.DUMMYFUNCTION("""COMPUTED_VALUE"""),45838)</f>
        <v>45838</v>
      </c>
      <c r="Z679" s="46">
        <f ca="1">IFERROR(__xludf.DUMMYFUNCTION("""COMPUTED_VALUE"""),45859)</f>
        <v>45859</v>
      </c>
      <c r="AA679" s="46">
        <f ca="1">IFERROR(__xludf.DUMMYFUNCTION("""COMPUTED_VALUE"""),45859)</f>
        <v>45859</v>
      </c>
      <c r="AB679" s="45" t="str">
        <f ca="1">IFERROR(__xludf.DUMMYFUNCTION("""COMPUTED_VALUE"""),"3500 Argentia Road")</f>
        <v>3500 Argentia Road</v>
      </c>
      <c r="AC679" s="45"/>
      <c r="AD679" s="45" t="str">
        <f ca="1">IFERROR(__xludf.DUMMYFUNCTION("""COMPUTED_VALUE"""),"OCEAN")</f>
        <v>OCEAN</v>
      </c>
      <c r="AE679" s="45" t="str">
        <f ca="1">IFERROR(__xludf.DUMMYFUNCTION("""COMPUTED_VALUE"""),"N")</f>
        <v>N</v>
      </c>
      <c r="AF679" s="45"/>
      <c r="AG679" s="49" t="str">
        <f ca="1">IFERROR(__xludf.DUMMYFUNCTION("IFNA(vlookup(H679,IMPORTRANGE(""1vUGwO1n0QQGx9kKbO0_M5gmuhXZ6-LaxQxgrmJnzgP0"",""'TP# look up'!A:C""),3,0),"""")"),"")</f>
        <v/>
      </c>
      <c r="AH679" s="49" t="str">
        <f t="shared" ca="1" si="10"/>
        <v>LM</v>
      </c>
    </row>
    <row r="680" spans="1:34" ht="12.75">
      <c r="A680" s="45" t="str">
        <f ca="1">IFERROR(__xludf.DUMMYFUNCTION("""COMPUTED_VALUE"""),"Colombo")</f>
        <v>Colombo</v>
      </c>
      <c r="B680" s="45"/>
      <c r="C680" s="45">
        <f ca="1">IFERROR(__xludf.DUMMYFUNCTION("""COMPUTED_VALUE"""),3259512)</f>
        <v>3259512</v>
      </c>
      <c r="D680" s="45"/>
      <c r="E680" s="45" t="str">
        <f ca="1">IFERROR(__xludf.DUMMYFUNCTION("""COMPUTED_VALUE"""),"CFS")</f>
        <v>CFS</v>
      </c>
      <c r="F680" s="45" t="str">
        <f ca="1">IFERROR(__xludf.DUMMYFUNCTION("""COMPUTED_VALUE"""),"Inqube Global (PVT) Ltd")</f>
        <v>Inqube Global (PVT) Ltd</v>
      </c>
      <c r="G680" s="45" t="str">
        <f ca="1">IFERROR(__xludf.DUMMYFUNCTION("""COMPUTED_VALUE"""),"BRANDIX APPAREL SOLUTION LTD - GIRITALE")</f>
        <v>BRANDIX APPAREL SOLUTION LTD - GIRITALE</v>
      </c>
      <c r="H680" s="43">
        <f ca="1">IFERROR(__xludf.DUMMYFUNCTION("""COMPUTED_VALUE"""),454716220724)</f>
        <v>454716220724</v>
      </c>
      <c r="I680" s="45">
        <f ca="1">IFERROR(__xludf.DUMMYFUNCTION("""COMPUTED_VALUE"""),19856283)</f>
        <v>19856283</v>
      </c>
      <c r="J680" s="45" t="str">
        <f ca="1">IFERROR(__xludf.DUMMYFUNCTION("""COMPUTED_VALUE"""),"LM5AR0T")</f>
        <v>LM5AR0T</v>
      </c>
      <c r="K680" s="45" t="str">
        <f ca="1">IFERROR(__xludf.DUMMYFUNCTION("""COMPUTED_VALUE"""),"LM5AR0T-019222")</f>
        <v>LM5AR0T-019222</v>
      </c>
      <c r="L680" s="45">
        <f ca="1">IFERROR(__xludf.DUMMYFUNCTION("""COMPUTED_VALUE"""),5)</f>
        <v>5</v>
      </c>
      <c r="M680" s="45">
        <f ca="1">IFERROR(__xludf.DUMMYFUNCTION("""COMPUTED_VALUE"""),96)</f>
        <v>96</v>
      </c>
      <c r="N680" s="45">
        <f ca="1">IFERROR(__xludf.DUMMYFUNCTION("""COMPUTED_VALUE"""),48.57)</f>
        <v>48.57</v>
      </c>
      <c r="O680" s="45">
        <f ca="1">IFERROR(__xludf.DUMMYFUNCTION("""COMPUTED_VALUE"""),0.253)</f>
        <v>0.253</v>
      </c>
      <c r="P680" s="45" t="str">
        <f ca="1">IFERROR(__xludf.DUMMYFUNCTION("""COMPUTED_VALUE"""),"Colombo, LK")</f>
        <v>Colombo, LK</v>
      </c>
      <c r="Q680" s="45" t="str">
        <f ca="1">IFERROR(__xludf.DUMMYFUNCTION("""COMPUTED_VALUE"""),"New York, NY, US")</f>
        <v>New York, NY, US</v>
      </c>
      <c r="R680" s="44">
        <f ca="1">IFERROR(__xludf.DUMMYFUNCTION("""COMPUTED_VALUE"""),45831)</f>
        <v>45831</v>
      </c>
      <c r="S680" s="44">
        <f ca="1">IFERROR(__xludf.DUMMYFUNCTION("""COMPUTED_VALUE"""),45890)</f>
        <v>45890</v>
      </c>
      <c r="T680" s="45" t="str">
        <f ca="1">IFERROR(__xludf.DUMMYFUNCTION("""COMPUTED_VALUE"""),"Mississauga, ON, CA")</f>
        <v>Mississauga, ON, CA</v>
      </c>
      <c r="U680" s="45"/>
      <c r="V680" s="45"/>
      <c r="W680" s="45"/>
      <c r="X680" s="45"/>
      <c r="Y680" s="46">
        <f ca="1">IFERROR(__xludf.DUMMYFUNCTION("""COMPUTED_VALUE"""),45838)</f>
        <v>45838</v>
      </c>
      <c r="Z680" s="46">
        <f ca="1">IFERROR(__xludf.DUMMYFUNCTION("""COMPUTED_VALUE"""),45859)</f>
        <v>45859</v>
      </c>
      <c r="AA680" s="46">
        <f ca="1">IFERROR(__xludf.DUMMYFUNCTION("""COMPUTED_VALUE"""),45859)</f>
        <v>45859</v>
      </c>
      <c r="AB680" s="45" t="str">
        <f ca="1">IFERROR(__xludf.DUMMYFUNCTION("""COMPUTED_VALUE"""),"3500 Argentia Road")</f>
        <v>3500 Argentia Road</v>
      </c>
      <c r="AC680" s="45"/>
      <c r="AD680" s="45" t="str">
        <f ca="1">IFERROR(__xludf.DUMMYFUNCTION("""COMPUTED_VALUE"""),"OCEAN")</f>
        <v>OCEAN</v>
      </c>
      <c r="AE680" s="45" t="str">
        <f ca="1">IFERROR(__xludf.DUMMYFUNCTION("""COMPUTED_VALUE"""),"N")</f>
        <v>N</v>
      </c>
      <c r="AF680" s="45"/>
      <c r="AG680" s="49" t="str">
        <f ca="1">IFERROR(__xludf.DUMMYFUNCTION("IFNA(vlookup(H680,IMPORTRANGE(""1vUGwO1n0QQGx9kKbO0_M5gmuhXZ6-LaxQxgrmJnzgP0"",""'TP# look up'!A:C""),3,0),"""")"),"")</f>
        <v/>
      </c>
      <c r="AH680" s="49" t="str">
        <f t="shared" ca="1" si="10"/>
        <v>LM</v>
      </c>
    </row>
    <row r="681" spans="1:34" ht="12.75">
      <c r="A681" s="45" t="str">
        <f ca="1">IFERROR(__xludf.DUMMYFUNCTION("""COMPUTED_VALUE"""),"Colombo")</f>
        <v>Colombo</v>
      </c>
      <c r="B681" s="45"/>
      <c r="C681" s="45">
        <f ca="1">IFERROR(__xludf.DUMMYFUNCTION("""COMPUTED_VALUE"""),3259512)</f>
        <v>3259512</v>
      </c>
      <c r="D681" s="45"/>
      <c r="E681" s="45" t="str">
        <f ca="1">IFERROR(__xludf.DUMMYFUNCTION("""COMPUTED_VALUE"""),"CFS")</f>
        <v>CFS</v>
      </c>
      <c r="F681" s="45" t="str">
        <f ca="1">IFERROR(__xludf.DUMMYFUNCTION("""COMPUTED_VALUE"""),"Inqube Global (PVT) Ltd")</f>
        <v>Inqube Global (PVT) Ltd</v>
      </c>
      <c r="G681" s="45" t="str">
        <f ca="1">IFERROR(__xludf.DUMMYFUNCTION("""COMPUTED_VALUE"""),"BRANDIX APPAREL SOLUTION LTD - GIRITALE")</f>
        <v>BRANDIX APPAREL SOLUTION LTD - GIRITALE</v>
      </c>
      <c r="H681" s="43">
        <f ca="1">IFERROR(__xludf.DUMMYFUNCTION("""COMPUTED_VALUE"""),454716245259)</f>
        <v>454716245259</v>
      </c>
      <c r="I681" s="45">
        <f ca="1">IFERROR(__xludf.DUMMYFUNCTION("""COMPUTED_VALUE"""),19856279)</f>
        <v>19856279</v>
      </c>
      <c r="J681" s="45" t="str">
        <f ca="1">IFERROR(__xludf.DUMMYFUNCTION("""COMPUTED_VALUE"""),"LM5AR0T")</f>
        <v>LM5AR0T</v>
      </c>
      <c r="K681" s="45" t="str">
        <f ca="1">IFERROR(__xludf.DUMMYFUNCTION("""COMPUTED_VALUE"""),"LM5AR0T-019222")</f>
        <v>LM5AR0T-019222</v>
      </c>
      <c r="L681" s="45">
        <f ca="1">IFERROR(__xludf.DUMMYFUNCTION("""COMPUTED_VALUE"""),10)</f>
        <v>10</v>
      </c>
      <c r="M681" s="45">
        <f ca="1">IFERROR(__xludf.DUMMYFUNCTION("""COMPUTED_VALUE"""),315)</f>
        <v>315</v>
      </c>
      <c r="N681" s="45">
        <f ca="1">IFERROR(__xludf.DUMMYFUNCTION("""COMPUTED_VALUE"""),155.21)</f>
        <v>155.21</v>
      </c>
      <c r="O681" s="45">
        <f ca="1">IFERROR(__xludf.DUMMYFUNCTION("""COMPUTED_VALUE"""),0.705)</f>
        <v>0.70499999999999996</v>
      </c>
      <c r="P681" s="45" t="str">
        <f ca="1">IFERROR(__xludf.DUMMYFUNCTION("""COMPUTED_VALUE"""),"Colombo, LK")</f>
        <v>Colombo, LK</v>
      </c>
      <c r="Q681" s="45" t="str">
        <f ca="1">IFERROR(__xludf.DUMMYFUNCTION("""COMPUTED_VALUE"""),"New York, NY, US")</f>
        <v>New York, NY, US</v>
      </c>
      <c r="R681" s="44">
        <f ca="1">IFERROR(__xludf.DUMMYFUNCTION("""COMPUTED_VALUE"""),45831)</f>
        <v>45831</v>
      </c>
      <c r="S681" s="44">
        <f ca="1">IFERROR(__xludf.DUMMYFUNCTION("""COMPUTED_VALUE"""),45890)</f>
        <v>45890</v>
      </c>
      <c r="T681" s="45" t="str">
        <f ca="1">IFERROR(__xludf.DUMMYFUNCTION("""COMPUTED_VALUE"""),"Mississauga, ON, CA")</f>
        <v>Mississauga, ON, CA</v>
      </c>
      <c r="U681" s="45"/>
      <c r="V681" s="45"/>
      <c r="W681" s="45"/>
      <c r="X681" s="45"/>
      <c r="Y681" s="46">
        <f ca="1">IFERROR(__xludf.DUMMYFUNCTION("""COMPUTED_VALUE"""),45831)</f>
        <v>45831</v>
      </c>
      <c r="Z681" s="46">
        <f ca="1">IFERROR(__xludf.DUMMYFUNCTION("""COMPUTED_VALUE"""),45859)</f>
        <v>45859</v>
      </c>
      <c r="AA681" s="46">
        <f ca="1">IFERROR(__xludf.DUMMYFUNCTION("""COMPUTED_VALUE"""),45859)</f>
        <v>45859</v>
      </c>
      <c r="AB681" s="45" t="str">
        <f ca="1">IFERROR(__xludf.DUMMYFUNCTION("""COMPUTED_VALUE"""),"3500 Argentia Road")</f>
        <v>3500 Argentia Road</v>
      </c>
      <c r="AC681" s="45"/>
      <c r="AD681" s="45" t="str">
        <f ca="1">IFERROR(__xludf.DUMMYFUNCTION("""COMPUTED_VALUE"""),"OCEAN")</f>
        <v>OCEAN</v>
      </c>
      <c r="AE681" s="45" t="str">
        <f ca="1">IFERROR(__xludf.DUMMYFUNCTION("""COMPUTED_VALUE"""),"N")</f>
        <v>N</v>
      </c>
      <c r="AF681" s="45"/>
      <c r="AG681" s="49" t="str">
        <f ca="1">IFERROR(__xludf.DUMMYFUNCTION("IFNA(vlookup(H681,IMPORTRANGE(""1vUGwO1n0QQGx9kKbO0_M5gmuhXZ6-LaxQxgrmJnzgP0"",""'TP# look up'!A:C""),3,0),"""")"),"")</f>
        <v/>
      </c>
      <c r="AH681" s="49" t="str">
        <f t="shared" ca="1" si="10"/>
        <v>LM</v>
      </c>
    </row>
    <row r="682" spans="1:34" ht="12.75">
      <c r="A682" s="45" t="str">
        <f ca="1">IFERROR(__xludf.DUMMYFUNCTION("""COMPUTED_VALUE"""),"Colombo")</f>
        <v>Colombo</v>
      </c>
      <c r="B682" s="45"/>
      <c r="C682" s="45">
        <f ca="1">IFERROR(__xludf.DUMMYFUNCTION("""COMPUTED_VALUE"""),3259512)</f>
        <v>3259512</v>
      </c>
      <c r="D682" s="45"/>
      <c r="E682" s="45" t="str">
        <f ca="1">IFERROR(__xludf.DUMMYFUNCTION("""COMPUTED_VALUE"""),"CFS")</f>
        <v>CFS</v>
      </c>
      <c r="F682" s="45" t="str">
        <f ca="1">IFERROR(__xludf.DUMMYFUNCTION("""COMPUTED_VALUE"""),"Inqube Global (PVT) Ltd")</f>
        <v>Inqube Global (PVT) Ltd</v>
      </c>
      <c r="G682" s="45" t="str">
        <f ca="1">IFERROR(__xludf.DUMMYFUNCTION("""COMPUTED_VALUE"""),"BRANDIX APPAREL SOLUTION LTD - GIRITALE")</f>
        <v>BRANDIX APPAREL SOLUTION LTD - GIRITALE</v>
      </c>
      <c r="H682" s="43">
        <f ca="1">IFERROR(__xludf.DUMMYFUNCTION("""COMPUTED_VALUE"""),454716473391)</f>
        <v>454716473391</v>
      </c>
      <c r="I682" s="45">
        <f ca="1">IFERROR(__xludf.DUMMYFUNCTION("""COMPUTED_VALUE"""),19856267)</f>
        <v>19856267</v>
      </c>
      <c r="J682" s="45" t="str">
        <f ca="1">IFERROR(__xludf.DUMMYFUNCTION("""COMPUTED_VALUE"""),"LM5AR0T")</f>
        <v>LM5AR0T</v>
      </c>
      <c r="K682" s="45" t="str">
        <f ca="1">IFERROR(__xludf.DUMMYFUNCTION("""COMPUTED_VALUE"""),"LM5AR0T-031382")</f>
        <v>LM5AR0T-031382</v>
      </c>
      <c r="L682" s="45">
        <f ca="1">IFERROR(__xludf.DUMMYFUNCTION("""COMPUTED_VALUE"""),6)</f>
        <v>6</v>
      </c>
      <c r="M682" s="45">
        <f ca="1">IFERROR(__xludf.DUMMYFUNCTION("""COMPUTED_VALUE"""),122)</f>
        <v>122</v>
      </c>
      <c r="N682" s="45">
        <f ca="1">IFERROR(__xludf.DUMMYFUNCTION("""COMPUTED_VALUE"""),61.05)</f>
        <v>61.05</v>
      </c>
      <c r="O682" s="45">
        <f ca="1">IFERROR(__xludf.DUMMYFUNCTION("""COMPUTED_VALUE"""),0.295)</f>
        <v>0.29499999999999998</v>
      </c>
      <c r="P682" s="45" t="str">
        <f ca="1">IFERROR(__xludf.DUMMYFUNCTION("""COMPUTED_VALUE"""),"Colombo, LK")</f>
        <v>Colombo, LK</v>
      </c>
      <c r="Q682" s="45" t="str">
        <f ca="1">IFERROR(__xludf.DUMMYFUNCTION("""COMPUTED_VALUE"""),"New York, NY, US")</f>
        <v>New York, NY, US</v>
      </c>
      <c r="R682" s="44">
        <f ca="1">IFERROR(__xludf.DUMMYFUNCTION("""COMPUTED_VALUE"""),45831)</f>
        <v>45831</v>
      </c>
      <c r="S682" s="44">
        <f ca="1">IFERROR(__xludf.DUMMYFUNCTION("""COMPUTED_VALUE"""),45890)</f>
        <v>45890</v>
      </c>
      <c r="T682" s="45" t="str">
        <f ca="1">IFERROR(__xludf.DUMMYFUNCTION("""COMPUTED_VALUE"""),"Mississauga, ON, CA")</f>
        <v>Mississauga, ON, CA</v>
      </c>
      <c r="U682" s="45"/>
      <c r="V682" s="45"/>
      <c r="W682" s="45"/>
      <c r="X682" s="45"/>
      <c r="Y682" s="46">
        <f ca="1">IFERROR(__xludf.DUMMYFUNCTION("""COMPUTED_VALUE"""),45838)</f>
        <v>45838</v>
      </c>
      <c r="Z682" s="46">
        <f ca="1">IFERROR(__xludf.DUMMYFUNCTION("""COMPUTED_VALUE"""),45859)</f>
        <v>45859</v>
      </c>
      <c r="AA682" s="46">
        <f ca="1">IFERROR(__xludf.DUMMYFUNCTION("""COMPUTED_VALUE"""),45859)</f>
        <v>45859</v>
      </c>
      <c r="AB682" s="45" t="str">
        <f ca="1">IFERROR(__xludf.DUMMYFUNCTION("""COMPUTED_VALUE"""),"3500 Argentia Road")</f>
        <v>3500 Argentia Road</v>
      </c>
      <c r="AC682" s="45"/>
      <c r="AD682" s="45" t="str">
        <f ca="1">IFERROR(__xludf.DUMMYFUNCTION("""COMPUTED_VALUE"""),"OCEAN")</f>
        <v>OCEAN</v>
      </c>
      <c r="AE682" s="45" t="str">
        <f ca="1">IFERROR(__xludf.DUMMYFUNCTION("""COMPUTED_VALUE"""),"N")</f>
        <v>N</v>
      </c>
      <c r="AF682" s="45"/>
      <c r="AG682" s="49" t="str">
        <f ca="1">IFERROR(__xludf.DUMMYFUNCTION("IFNA(vlookup(H682,IMPORTRANGE(""1vUGwO1n0QQGx9kKbO0_M5gmuhXZ6-LaxQxgrmJnzgP0"",""'TP# look up'!A:C""),3,0),"""")"),"")</f>
        <v/>
      </c>
      <c r="AH682" s="49" t="str">
        <f t="shared" ca="1" si="10"/>
        <v>LM</v>
      </c>
    </row>
    <row r="683" spans="1:34" ht="12.75">
      <c r="A683" s="45" t="str">
        <f ca="1">IFERROR(__xludf.DUMMYFUNCTION("""COMPUTED_VALUE"""),"Colombo")</f>
        <v>Colombo</v>
      </c>
      <c r="B683" s="45"/>
      <c r="C683" s="45">
        <f ca="1">IFERROR(__xludf.DUMMYFUNCTION("""COMPUTED_VALUE"""),3259512)</f>
        <v>3259512</v>
      </c>
      <c r="D683" s="45"/>
      <c r="E683" s="45" t="str">
        <f ca="1">IFERROR(__xludf.DUMMYFUNCTION("""COMPUTED_VALUE"""),"CFS")</f>
        <v>CFS</v>
      </c>
      <c r="F683" s="45" t="str">
        <f ca="1">IFERROR(__xludf.DUMMYFUNCTION("""COMPUTED_VALUE"""),"Inqube Global (PVT) Ltd")</f>
        <v>Inqube Global (PVT) Ltd</v>
      </c>
      <c r="G683" s="45" t="str">
        <f ca="1">IFERROR(__xludf.DUMMYFUNCTION("""COMPUTED_VALUE"""),"BRANDIX APPAREL SOLUTION LTD - GIRITALE")</f>
        <v>BRANDIX APPAREL SOLUTION LTD - GIRITALE</v>
      </c>
      <c r="H683" s="43">
        <f ca="1">IFERROR(__xludf.DUMMYFUNCTION("""COMPUTED_VALUE"""),454716613580)</f>
        <v>454716613580</v>
      </c>
      <c r="I683" s="45">
        <f ca="1">IFERROR(__xludf.DUMMYFUNCTION("""COMPUTED_VALUE"""),19856595)</f>
        <v>19856595</v>
      </c>
      <c r="J683" s="45" t="str">
        <f ca="1">IFERROR(__xludf.DUMMYFUNCTION("""COMPUTED_VALUE"""),"LM5BL3S")</f>
        <v>LM5BL3S</v>
      </c>
      <c r="K683" s="45" t="str">
        <f ca="1">IFERROR(__xludf.DUMMYFUNCTION("""COMPUTED_VALUE"""),"LM5BL3S-070108")</f>
        <v>LM5BL3S-070108</v>
      </c>
      <c r="L683" s="45">
        <f ca="1">IFERROR(__xludf.DUMMYFUNCTION("""COMPUTED_VALUE"""),8)</f>
        <v>8</v>
      </c>
      <c r="M683" s="45">
        <f ca="1">IFERROR(__xludf.DUMMYFUNCTION("""COMPUTED_VALUE"""),200)</f>
        <v>200</v>
      </c>
      <c r="N683" s="45">
        <f ca="1">IFERROR(__xludf.DUMMYFUNCTION("""COMPUTED_VALUE"""),81.2)</f>
        <v>81.2</v>
      </c>
      <c r="O683" s="45">
        <f ca="1">IFERROR(__xludf.DUMMYFUNCTION("""COMPUTED_VALUE"""),0.66)</f>
        <v>0.66</v>
      </c>
      <c r="P683" s="45" t="str">
        <f ca="1">IFERROR(__xludf.DUMMYFUNCTION("""COMPUTED_VALUE"""),"Colombo, LK")</f>
        <v>Colombo, LK</v>
      </c>
      <c r="Q683" s="45" t="str">
        <f ca="1">IFERROR(__xludf.DUMMYFUNCTION("""COMPUTED_VALUE"""),"New York, NY, US")</f>
        <v>New York, NY, US</v>
      </c>
      <c r="R683" s="44">
        <f ca="1">IFERROR(__xludf.DUMMYFUNCTION("""COMPUTED_VALUE"""),45831)</f>
        <v>45831</v>
      </c>
      <c r="S683" s="44">
        <f ca="1">IFERROR(__xludf.DUMMYFUNCTION("""COMPUTED_VALUE"""),45890)</f>
        <v>45890</v>
      </c>
      <c r="T683" s="45" t="str">
        <f ca="1">IFERROR(__xludf.DUMMYFUNCTION("""COMPUTED_VALUE"""),"Mississauga, ON, CA")</f>
        <v>Mississauga, ON, CA</v>
      </c>
      <c r="U683" s="45"/>
      <c r="V683" s="45"/>
      <c r="W683" s="45"/>
      <c r="X683" s="45"/>
      <c r="Y683" s="46">
        <f ca="1">IFERROR(__xludf.DUMMYFUNCTION("""COMPUTED_VALUE"""),45831)</f>
        <v>45831</v>
      </c>
      <c r="Z683" s="46">
        <f ca="1">IFERROR(__xludf.DUMMYFUNCTION("""COMPUTED_VALUE"""),45859)</f>
        <v>45859</v>
      </c>
      <c r="AA683" s="46">
        <f ca="1">IFERROR(__xludf.DUMMYFUNCTION("""COMPUTED_VALUE"""),45859)</f>
        <v>45859</v>
      </c>
      <c r="AB683" s="45" t="str">
        <f ca="1">IFERROR(__xludf.DUMMYFUNCTION("""COMPUTED_VALUE"""),"3500 Argentia Road")</f>
        <v>3500 Argentia Road</v>
      </c>
      <c r="AC683" s="45"/>
      <c r="AD683" s="45" t="str">
        <f ca="1">IFERROR(__xludf.DUMMYFUNCTION("""COMPUTED_VALUE"""),"OCEAN")</f>
        <v>OCEAN</v>
      </c>
      <c r="AE683" s="45" t="str">
        <f ca="1">IFERROR(__xludf.DUMMYFUNCTION("""COMPUTED_VALUE"""),"N")</f>
        <v>N</v>
      </c>
      <c r="AF683" s="45"/>
      <c r="AG683" s="49" t="str">
        <f ca="1">IFERROR(__xludf.DUMMYFUNCTION("IFNA(vlookup(H683,IMPORTRANGE(""1vUGwO1n0QQGx9kKbO0_M5gmuhXZ6-LaxQxgrmJnzgP0"",""'TP# look up'!A:C""),3,0),"""")"),"")</f>
        <v/>
      </c>
      <c r="AH683" s="49" t="str">
        <f t="shared" ca="1" si="10"/>
        <v>LM</v>
      </c>
    </row>
    <row r="684" spans="1:34" ht="12.75">
      <c r="A684" s="45" t="str">
        <f ca="1">IFERROR(__xludf.DUMMYFUNCTION("""COMPUTED_VALUE"""),"Colombo")</f>
        <v>Colombo</v>
      </c>
      <c r="B684" s="45"/>
      <c r="C684" s="45">
        <f ca="1">IFERROR(__xludf.DUMMYFUNCTION("""COMPUTED_VALUE"""),3259512)</f>
        <v>3259512</v>
      </c>
      <c r="D684" s="45"/>
      <c r="E684" s="45" t="str">
        <f ca="1">IFERROR(__xludf.DUMMYFUNCTION("""COMPUTED_VALUE"""),"CFS")</f>
        <v>CFS</v>
      </c>
      <c r="F684" s="45" t="str">
        <f ca="1">IFERROR(__xludf.DUMMYFUNCTION("""COMPUTED_VALUE"""),"Inqube Global (PVT) Ltd")</f>
        <v>Inqube Global (PVT) Ltd</v>
      </c>
      <c r="G684" s="45" t="str">
        <f ca="1">IFERROR(__xludf.DUMMYFUNCTION("""COMPUTED_VALUE"""),"BRANDIX APPAREL SOLUTION LTD - GIRITALE")</f>
        <v>BRANDIX APPAREL SOLUTION LTD - GIRITALE</v>
      </c>
      <c r="H684" s="43">
        <f ca="1">IFERROR(__xludf.DUMMYFUNCTION("""COMPUTED_VALUE"""),454716613733)</f>
        <v>454716613733</v>
      </c>
      <c r="I684" s="45">
        <f ca="1">IFERROR(__xludf.DUMMYFUNCTION("""COMPUTED_VALUE"""),19856620)</f>
        <v>19856620</v>
      </c>
      <c r="J684" s="45" t="str">
        <f ca="1">IFERROR(__xludf.DUMMYFUNCTION("""COMPUTED_VALUE"""),"LM7BSOS")</f>
        <v>LM7BSOS</v>
      </c>
      <c r="K684" s="45" t="str">
        <f ca="1">IFERROR(__xludf.DUMMYFUNCTION("""COMPUTED_VALUE"""),"LM7BSOS-0001")</f>
        <v>LM7BSOS-0001</v>
      </c>
      <c r="L684" s="45">
        <f ca="1">IFERROR(__xludf.DUMMYFUNCTION("""COMPUTED_VALUE"""),4)</f>
        <v>4</v>
      </c>
      <c r="M684" s="45">
        <f ca="1">IFERROR(__xludf.DUMMYFUNCTION("""COMPUTED_VALUE"""),94)</f>
        <v>94</v>
      </c>
      <c r="N684" s="45">
        <f ca="1">IFERROR(__xludf.DUMMYFUNCTION("""COMPUTED_VALUE"""),36.4)</f>
        <v>36.4</v>
      </c>
      <c r="O684" s="45">
        <f ca="1">IFERROR(__xludf.DUMMYFUNCTION("""COMPUTED_VALUE"""),0.25)</f>
        <v>0.25</v>
      </c>
      <c r="P684" s="45" t="str">
        <f ca="1">IFERROR(__xludf.DUMMYFUNCTION("""COMPUTED_VALUE"""),"Colombo, LK")</f>
        <v>Colombo, LK</v>
      </c>
      <c r="Q684" s="45" t="str">
        <f ca="1">IFERROR(__xludf.DUMMYFUNCTION("""COMPUTED_VALUE"""),"New York, NY, US")</f>
        <v>New York, NY, US</v>
      </c>
      <c r="R684" s="44">
        <f ca="1">IFERROR(__xludf.DUMMYFUNCTION("""COMPUTED_VALUE"""),45831)</f>
        <v>45831</v>
      </c>
      <c r="S684" s="44">
        <f ca="1">IFERROR(__xludf.DUMMYFUNCTION("""COMPUTED_VALUE"""),45890)</f>
        <v>45890</v>
      </c>
      <c r="T684" s="45" t="str">
        <f ca="1">IFERROR(__xludf.DUMMYFUNCTION("""COMPUTED_VALUE"""),"Mississauga, ON, CA")</f>
        <v>Mississauga, ON, CA</v>
      </c>
      <c r="U684" s="45"/>
      <c r="V684" s="45"/>
      <c r="W684" s="45"/>
      <c r="X684" s="45"/>
      <c r="Y684" s="46">
        <f ca="1">IFERROR(__xludf.DUMMYFUNCTION("""COMPUTED_VALUE"""),45838)</f>
        <v>45838</v>
      </c>
      <c r="Z684" s="46">
        <f ca="1">IFERROR(__xludf.DUMMYFUNCTION("""COMPUTED_VALUE"""),45859)</f>
        <v>45859</v>
      </c>
      <c r="AA684" s="46">
        <f ca="1">IFERROR(__xludf.DUMMYFUNCTION("""COMPUTED_VALUE"""),45859)</f>
        <v>45859</v>
      </c>
      <c r="AB684" s="45" t="str">
        <f ca="1">IFERROR(__xludf.DUMMYFUNCTION("""COMPUTED_VALUE"""),"3500 Argentia Road")</f>
        <v>3500 Argentia Road</v>
      </c>
      <c r="AC684" s="45"/>
      <c r="AD684" s="45" t="str">
        <f ca="1">IFERROR(__xludf.DUMMYFUNCTION("""COMPUTED_VALUE"""),"OCEAN")</f>
        <v>OCEAN</v>
      </c>
      <c r="AE684" s="45" t="str">
        <f ca="1">IFERROR(__xludf.DUMMYFUNCTION("""COMPUTED_VALUE"""),"N")</f>
        <v>N</v>
      </c>
      <c r="AF684" s="45"/>
      <c r="AG684" s="49" t="str">
        <f ca="1">IFERROR(__xludf.DUMMYFUNCTION("IFNA(vlookup(H684,IMPORTRANGE(""1vUGwO1n0QQGx9kKbO0_M5gmuhXZ6-LaxQxgrmJnzgP0"",""'TP# look up'!A:C""),3,0),"""")"),"")</f>
        <v/>
      </c>
      <c r="AH684" s="49" t="str">
        <f t="shared" ca="1" si="10"/>
        <v>LM</v>
      </c>
    </row>
    <row r="685" spans="1:34" ht="12.75">
      <c r="A685" s="45" t="str">
        <f ca="1">IFERROR(__xludf.DUMMYFUNCTION("""COMPUTED_VALUE"""),"Colombo")</f>
        <v>Colombo</v>
      </c>
      <c r="B685" s="45"/>
      <c r="C685" s="45">
        <f ca="1">IFERROR(__xludf.DUMMYFUNCTION("""COMPUTED_VALUE"""),3259512)</f>
        <v>3259512</v>
      </c>
      <c r="D685" s="45"/>
      <c r="E685" s="45" t="str">
        <f ca="1">IFERROR(__xludf.DUMMYFUNCTION("""COMPUTED_VALUE"""),"CFS")</f>
        <v>CFS</v>
      </c>
      <c r="F685" s="45" t="str">
        <f ca="1">IFERROR(__xludf.DUMMYFUNCTION("""COMPUTED_VALUE"""),"Inqube Global (PVT) Ltd")</f>
        <v>Inqube Global (PVT) Ltd</v>
      </c>
      <c r="G685" s="45" t="str">
        <f ca="1">IFERROR(__xludf.DUMMYFUNCTION("""COMPUTED_VALUE"""),"BRANDIX APPAREL SOLUTION LTD - GIRITALE")</f>
        <v>BRANDIX APPAREL SOLUTION LTD - GIRITALE</v>
      </c>
      <c r="H685" s="43">
        <f ca="1">IFERROR(__xludf.DUMMYFUNCTION("""COMPUTED_VALUE"""),454716846167)</f>
        <v>454716846167</v>
      </c>
      <c r="I685" s="45">
        <f ca="1">IFERROR(__xludf.DUMMYFUNCTION("""COMPUTED_VALUE"""),19856628)</f>
        <v>19856628</v>
      </c>
      <c r="J685" s="45" t="str">
        <f ca="1">IFERROR(__xludf.DUMMYFUNCTION("""COMPUTED_VALUE"""),"LM7BSOS")</f>
        <v>LM7BSOS</v>
      </c>
      <c r="K685" s="45" t="str">
        <f ca="1">IFERROR(__xludf.DUMMYFUNCTION("""COMPUTED_VALUE"""),"LM7BSOS-070108")</f>
        <v>LM7BSOS-070108</v>
      </c>
      <c r="L685" s="45">
        <f ca="1">IFERROR(__xludf.DUMMYFUNCTION("""COMPUTED_VALUE"""),5)</f>
        <v>5</v>
      </c>
      <c r="M685" s="45">
        <f ca="1">IFERROR(__xludf.DUMMYFUNCTION("""COMPUTED_VALUE"""),81)</f>
        <v>81</v>
      </c>
      <c r="N685" s="45">
        <f ca="1">IFERROR(__xludf.DUMMYFUNCTION("""COMPUTED_VALUE"""),32.16)</f>
        <v>32.159999999999997</v>
      </c>
      <c r="O685" s="45">
        <f ca="1">IFERROR(__xludf.DUMMYFUNCTION("""COMPUTED_VALUE"""),0.213)</f>
        <v>0.21299999999999999</v>
      </c>
      <c r="P685" s="45" t="str">
        <f ca="1">IFERROR(__xludf.DUMMYFUNCTION("""COMPUTED_VALUE"""),"Colombo, LK")</f>
        <v>Colombo, LK</v>
      </c>
      <c r="Q685" s="45" t="str">
        <f ca="1">IFERROR(__xludf.DUMMYFUNCTION("""COMPUTED_VALUE"""),"New York, NY, US")</f>
        <v>New York, NY, US</v>
      </c>
      <c r="R685" s="44">
        <f ca="1">IFERROR(__xludf.DUMMYFUNCTION("""COMPUTED_VALUE"""),45831)</f>
        <v>45831</v>
      </c>
      <c r="S685" s="44">
        <f ca="1">IFERROR(__xludf.DUMMYFUNCTION("""COMPUTED_VALUE"""),45890)</f>
        <v>45890</v>
      </c>
      <c r="T685" s="45" t="str">
        <f ca="1">IFERROR(__xludf.DUMMYFUNCTION("""COMPUTED_VALUE"""),"Mississauga, ON, CA")</f>
        <v>Mississauga, ON, CA</v>
      </c>
      <c r="U685" s="45"/>
      <c r="V685" s="45"/>
      <c r="W685" s="45"/>
      <c r="X685" s="45"/>
      <c r="Y685" s="46">
        <f ca="1">IFERROR(__xludf.DUMMYFUNCTION("""COMPUTED_VALUE"""),45838)</f>
        <v>45838</v>
      </c>
      <c r="Z685" s="46">
        <f ca="1">IFERROR(__xludf.DUMMYFUNCTION("""COMPUTED_VALUE"""),45859)</f>
        <v>45859</v>
      </c>
      <c r="AA685" s="46">
        <f ca="1">IFERROR(__xludf.DUMMYFUNCTION("""COMPUTED_VALUE"""),45859)</f>
        <v>45859</v>
      </c>
      <c r="AB685" s="45" t="str">
        <f ca="1">IFERROR(__xludf.DUMMYFUNCTION("""COMPUTED_VALUE"""),"3500 Argentia Road")</f>
        <v>3500 Argentia Road</v>
      </c>
      <c r="AC685" s="45"/>
      <c r="AD685" s="45" t="str">
        <f ca="1">IFERROR(__xludf.DUMMYFUNCTION("""COMPUTED_VALUE"""),"OCEAN")</f>
        <v>OCEAN</v>
      </c>
      <c r="AE685" s="45" t="str">
        <f ca="1">IFERROR(__xludf.DUMMYFUNCTION("""COMPUTED_VALUE"""),"N")</f>
        <v>N</v>
      </c>
      <c r="AF685" s="45"/>
      <c r="AG685" s="49" t="str">
        <f ca="1">IFERROR(__xludf.DUMMYFUNCTION("IFNA(vlookup(H685,IMPORTRANGE(""1vUGwO1n0QQGx9kKbO0_M5gmuhXZ6-LaxQxgrmJnzgP0"",""'TP# look up'!A:C""),3,0),"""")"),"")</f>
        <v/>
      </c>
      <c r="AH685" s="49" t="str">
        <f t="shared" ca="1" si="10"/>
        <v>LM</v>
      </c>
    </row>
    <row r="686" spans="1:34" ht="12.75">
      <c r="A686" s="45" t="str">
        <f ca="1">IFERROR(__xludf.DUMMYFUNCTION("""COMPUTED_VALUE"""),"Colombo")</f>
        <v>Colombo</v>
      </c>
      <c r="B686" s="45"/>
      <c r="C686" s="45">
        <f ca="1">IFERROR(__xludf.DUMMYFUNCTION("""COMPUTED_VALUE"""),3259512)</f>
        <v>3259512</v>
      </c>
      <c r="D686" s="45"/>
      <c r="E686" s="45" t="str">
        <f ca="1">IFERROR(__xludf.DUMMYFUNCTION("""COMPUTED_VALUE"""),"CFS")</f>
        <v>CFS</v>
      </c>
      <c r="F686" s="45" t="str">
        <f ca="1">IFERROR(__xludf.DUMMYFUNCTION("""COMPUTED_VALUE"""),"Inqube Global (PVT) Ltd")</f>
        <v>Inqube Global (PVT) Ltd</v>
      </c>
      <c r="G686" s="45" t="str">
        <f ca="1">IFERROR(__xludf.DUMMYFUNCTION("""COMPUTED_VALUE"""),"Brandix Apparel Solutions Limited - Minuwangoda")</f>
        <v>Brandix Apparel Solutions Limited - Minuwangoda</v>
      </c>
      <c r="H686" s="43">
        <f ca="1">IFERROR(__xludf.DUMMYFUNCTION("""COMPUTED_VALUE"""),454521338803)</f>
        <v>454521338803</v>
      </c>
      <c r="I686" s="45">
        <f ca="1">IFERROR(__xludf.DUMMYFUNCTION("""COMPUTED_VALUE"""),19855048)</f>
        <v>19855048</v>
      </c>
      <c r="J686" s="45" t="str">
        <f ca="1">IFERROR(__xludf.DUMMYFUNCTION("""COMPUTED_VALUE"""),"LW3ISOS")</f>
        <v>LW3ISOS</v>
      </c>
      <c r="K686" s="45" t="str">
        <f ca="1">IFERROR(__xludf.DUMMYFUNCTION("""COMPUTED_VALUE"""),"LW3ISOS-0001")</f>
        <v>LW3ISOS-0001</v>
      </c>
      <c r="L686" s="45">
        <f ca="1">IFERROR(__xludf.DUMMYFUNCTION("""COMPUTED_VALUE"""),5)</f>
        <v>5</v>
      </c>
      <c r="M686" s="45">
        <f ca="1">IFERROR(__xludf.DUMMYFUNCTION("""COMPUTED_VALUE"""),453)</f>
        <v>453</v>
      </c>
      <c r="N686" s="45">
        <f ca="1">IFERROR(__xludf.DUMMYFUNCTION("""COMPUTED_VALUE"""),78.68)</f>
        <v>78.680000000000007</v>
      </c>
      <c r="O686" s="45">
        <f ca="1">IFERROR(__xludf.DUMMYFUNCTION("""COMPUTED_VALUE"""),0.393)</f>
        <v>0.39300000000000002</v>
      </c>
      <c r="P686" s="45" t="str">
        <f ca="1">IFERROR(__xludf.DUMMYFUNCTION("""COMPUTED_VALUE"""),"Colombo, LK")</f>
        <v>Colombo, LK</v>
      </c>
      <c r="Q686" s="45" t="str">
        <f ca="1">IFERROR(__xludf.DUMMYFUNCTION("""COMPUTED_VALUE"""),"New York, NY, US")</f>
        <v>New York, NY, US</v>
      </c>
      <c r="R686" s="44">
        <f ca="1">IFERROR(__xludf.DUMMYFUNCTION("""COMPUTED_VALUE"""),45831)</f>
        <v>45831</v>
      </c>
      <c r="S686" s="44">
        <f ca="1">IFERROR(__xludf.DUMMYFUNCTION("""COMPUTED_VALUE"""),45890)</f>
        <v>45890</v>
      </c>
      <c r="T686" s="45" t="str">
        <f ca="1">IFERROR(__xludf.DUMMYFUNCTION("""COMPUTED_VALUE"""),"Milton, ON, CA")</f>
        <v>Milton, ON, CA</v>
      </c>
      <c r="U686" s="45"/>
      <c r="V686" s="45"/>
      <c r="W686" s="45"/>
      <c r="X686" s="45"/>
      <c r="Y686" s="46">
        <f ca="1">IFERROR(__xludf.DUMMYFUNCTION("""COMPUTED_VALUE"""),45838)</f>
        <v>45838</v>
      </c>
      <c r="Z686" s="46">
        <f ca="1">IFERROR(__xludf.DUMMYFUNCTION("""COMPUTED_VALUE"""),45859)</f>
        <v>45859</v>
      </c>
      <c r="AA686" s="46">
        <f ca="1">IFERROR(__xludf.DUMMYFUNCTION("""COMPUTED_VALUE"""),45859)</f>
        <v>45859</v>
      </c>
      <c r="AB686" s="45" t="str">
        <f ca="1">IFERROR(__xludf.DUMMYFUNCTION("""COMPUTED_VALUE"""),"7211 Fifth Line")</f>
        <v>7211 Fifth Line</v>
      </c>
      <c r="AC686" s="45"/>
      <c r="AD686" s="45" t="str">
        <f ca="1">IFERROR(__xludf.DUMMYFUNCTION("""COMPUTED_VALUE"""),"OCEAN")</f>
        <v>OCEAN</v>
      </c>
      <c r="AE686" s="45" t="str">
        <f ca="1">IFERROR(__xludf.DUMMYFUNCTION("""COMPUTED_VALUE"""),"N")</f>
        <v>N</v>
      </c>
      <c r="AF686" s="45"/>
      <c r="AG686" s="49" t="str">
        <f ca="1">IFERROR(__xludf.DUMMYFUNCTION("IFNA(vlookup(H686,IMPORTRANGE(""1vUGwO1n0QQGx9kKbO0_M5gmuhXZ6-LaxQxgrmJnzgP0"",""'TP# look up'!A:C""),3,0),"""")"),"")</f>
        <v/>
      </c>
      <c r="AH686" s="49" t="str">
        <f t="shared" ca="1" si="10"/>
        <v>LW</v>
      </c>
    </row>
    <row r="687" spans="1:34" ht="12.75">
      <c r="A687" s="45" t="str">
        <f ca="1">IFERROR(__xludf.DUMMYFUNCTION("""COMPUTED_VALUE"""),"Colombo")</f>
        <v>Colombo</v>
      </c>
      <c r="B687" s="45"/>
      <c r="C687" s="45">
        <f ca="1">IFERROR(__xludf.DUMMYFUNCTION("""COMPUTED_VALUE"""),3259512)</f>
        <v>3259512</v>
      </c>
      <c r="D687" s="45"/>
      <c r="E687" s="45" t="str">
        <f ca="1">IFERROR(__xludf.DUMMYFUNCTION("""COMPUTED_VALUE"""),"CFS")</f>
        <v>CFS</v>
      </c>
      <c r="F687" s="45" t="str">
        <f ca="1">IFERROR(__xludf.DUMMYFUNCTION("""COMPUTED_VALUE"""),"Inqube Global (PVT) Ltd")</f>
        <v>Inqube Global (PVT) Ltd</v>
      </c>
      <c r="G687" s="45" t="str">
        <f ca="1">IFERROR(__xludf.DUMMYFUNCTION("""COMPUTED_VALUE"""),"Brandix Apparel Solutions Limited - Minuwangoda")</f>
        <v>Brandix Apparel Solutions Limited - Minuwangoda</v>
      </c>
      <c r="H687" s="43">
        <f ca="1">IFERROR(__xludf.DUMMYFUNCTION("""COMPUTED_VALUE"""),454521680869)</f>
        <v>454521680869</v>
      </c>
      <c r="I687" s="45">
        <f ca="1">IFERROR(__xludf.DUMMYFUNCTION("""COMPUTED_VALUE"""),19897692)</f>
        <v>19897692</v>
      </c>
      <c r="J687" s="45" t="str">
        <f ca="1">IFERROR(__xludf.DUMMYFUNCTION("""COMPUTED_VALUE"""),"LW5GLNS")</f>
        <v>LW5GLNS</v>
      </c>
      <c r="K687" s="45" t="str">
        <f ca="1">IFERROR(__xludf.DUMMYFUNCTION("""COMPUTED_VALUE"""),"LW5GLNS-035486")</f>
        <v>LW5GLNS-035486</v>
      </c>
      <c r="L687" s="45">
        <f ca="1">IFERROR(__xludf.DUMMYFUNCTION("""COMPUTED_VALUE"""),39)</f>
        <v>39</v>
      </c>
      <c r="M687" s="45">
        <f ca="1">IFERROR(__xludf.DUMMYFUNCTION("""COMPUTED_VALUE"""),849)</f>
        <v>849</v>
      </c>
      <c r="N687" s="45">
        <f ca="1">IFERROR(__xludf.DUMMYFUNCTION("""COMPUTED_VALUE"""),429.66)</f>
        <v>429.66</v>
      </c>
      <c r="O687" s="45">
        <f ca="1">IFERROR(__xludf.DUMMYFUNCTION("""COMPUTED_VALUE"""),3.062)</f>
        <v>3.0619999999999998</v>
      </c>
      <c r="P687" s="45" t="str">
        <f ca="1">IFERROR(__xludf.DUMMYFUNCTION("""COMPUTED_VALUE"""),"Colombo, LK")</f>
        <v>Colombo, LK</v>
      </c>
      <c r="Q687" s="45" t="str">
        <f ca="1">IFERROR(__xludf.DUMMYFUNCTION("""COMPUTED_VALUE"""),"New York, NY, US")</f>
        <v>New York, NY, US</v>
      </c>
      <c r="R687" s="44">
        <f ca="1">IFERROR(__xludf.DUMMYFUNCTION("""COMPUTED_VALUE"""),45831)</f>
        <v>45831</v>
      </c>
      <c r="S687" s="44">
        <f ca="1">IFERROR(__xludf.DUMMYFUNCTION("""COMPUTED_VALUE"""),45890)</f>
        <v>45890</v>
      </c>
      <c r="T687" s="45" t="str">
        <f ca="1">IFERROR(__xludf.DUMMYFUNCTION("""COMPUTED_VALUE"""),"Milton, ON, CA")</f>
        <v>Milton, ON, CA</v>
      </c>
      <c r="U687" s="45"/>
      <c r="V687" s="45"/>
      <c r="W687" s="45"/>
      <c r="X687" s="45"/>
      <c r="Y687" s="46">
        <f ca="1">IFERROR(__xludf.DUMMYFUNCTION("""COMPUTED_VALUE"""),45838)</f>
        <v>45838</v>
      </c>
      <c r="Z687" s="46">
        <f ca="1">IFERROR(__xludf.DUMMYFUNCTION("""COMPUTED_VALUE"""),45859)</f>
        <v>45859</v>
      </c>
      <c r="AA687" s="46">
        <f ca="1">IFERROR(__xludf.DUMMYFUNCTION("""COMPUTED_VALUE"""),45859)</f>
        <v>45859</v>
      </c>
      <c r="AB687" s="45" t="str">
        <f ca="1">IFERROR(__xludf.DUMMYFUNCTION("""COMPUTED_VALUE"""),"7211 Fifth Line")</f>
        <v>7211 Fifth Line</v>
      </c>
      <c r="AC687" s="45"/>
      <c r="AD687" s="45" t="str">
        <f ca="1">IFERROR(__xludf.DUMMYFUNCTION("""COMPUTED_VALUE"""),"OCEAN")</f>
        <v>OCEAN</v>
      </c>
      <c r="AE687" s="45" t="str">
        <f ca="1">IFERROR(__xludf.DUMMYFUNCTION("""COMPUTED_VALUE"""),"N")</f>
        <v>N</v>
      </c>
      <c r="AF687" s="45"/>
      <c r="AG687" s="49" t="str">
        <f ca="1">IFERROR(__xludf.DUMMYFUNCTION("IFNA(vlookup(H687,IMPORTRANGE(""1vUGwO1n0QQGx9kKbO0_M5gmuhXZ6-LaxQxgrmJnzgP0"",""'TP# look up'!A:C""),3,0),"""")"),"")</f>
        <v/>
      </c>
      <c r="AH687" s="49" t="str">
        <f t="shared" ca="1" si="10"/>
        <v>LW</v>
      </c>
    </row>
    <row r="688" spans="1:34" ht="12.75">
      <c r="A688" s="45" t="str">
        <f ca="1">IFERROR(__xludf.DUMMYFUNCTION("""COMPUTED_VALUE"""),"Colombo")</f>
        <v>Colombo</v>
      </c>
      <c r="B688" s="45"/>
      <c r="C688" s="45">
        <f ca="1">IFERROR(__xludf.DUMMYFUNCTION("""COMPUTED_VALUE"""),3259512)</f>
        <v>3259512</v>
      </c>
      <c r="D688" s="45"/>
      <c r="E688" s="45" t="str">
        <f ca="1">IFERROR(__xludf.DUMMYFUNCTION("""COMPUTED_VALUE"""),"CFS")</f>
        <v>CFS</v>
      </c>
      <c r="F688" s="45" t="str">
        <f ca="1">IFERROR(__xludf.DUMMYFUNCTION("""COMPUTED_VALUE"""),"Inqube Global (PVT) Ltd")</f>
        <v>Inqube Global (PVT) Ltd</v>
      </c>
      <c r="G688" s="45" t="str">
        <f ca="1">IFERROR(__xludf.DUMMYFUNCTION("""COMPUTED_VALUE"""),"Brandix Apparel Solutions Limited - Minuwangoda")</f>
        <v>Brandix Apparel Solutions Limited - Minuwangoda</v>
      </c>
      <c r="H688" s="43">
        <f ca="1">IFERROR(__xludf.DUMMYFUNCTION("""COMPUTED_VALUE"""),454521681760)</f>
        <v>454521681760</v>
      </c>
      <c r="I688" s="45">
        <f ca="1">IFERROR(__xludf.DUMMYFUNCTION("""COMPUTED_VALUE"""),19855050)</f>
        <v>19855050</v>
      </c>
      <c r="J688" s="45" t="str">
        <f ca="1">IFERROR(__xludf.DUMMYFUNCTION("""COMPUTED_VALUE"""),"LW3ISOS")</f>
        <v>LW3ISOS</v>
      </c>
      <c r="K688" s="45" t="str">
        <f ca="1">IFERROR(__xludf.DUMMYFUNCTION("""COMPUTED_VALUE"""),"LW3ISOS-0001")</f>
        <v>LW3ISOS-0001</v>
      </c>
      <c r="L688" s="45">
        <f ca="1">IFERROR(__xludf.DUMMYFUNCTION("""COMPUTED_VALUE"""),3)</f>
        <v>3</v>
      </c>
      <c r="M688" s="45">
        <f ca="1">IFERROR(__xludf.DUMMYFUNCTION("""COMPUTED_VALUE"""),217)</f>
        <v>217</v>
      </c>
      <c r="N688" s="45">
        <f ca="1">IFERROR(__xludf.DUMMYFUNCTION("""COMPUTED_VALUE"""),38.09)</f>
        <v>38.090000000000003</v>
      </c>
      <c r="O688" s="45">
        <f ca="1">IFERROR(__xludf.DUMMYFUNCTION("""COMPUTED_VALUE"""),0.236)</f>
        <v>0.23599999999999999</v>
      </c>
      <c r="P688" s="45" t="str">
        <f ca="1">IFERROR(__xludf.DUMMYFUNCTION("""COMPUTED_VALUE"""),"Colombo, LK")</f>
        <v>Colombo, LK</v>
      </c>
      <c r="Q688" s="45" t="str">
        <f ca="1">IFERROR(__xludf.DUMMYFUNCTION("""COMPUTED_VALUE"""),"New York, NY, US")</f>
        <v>New York, NY, US</v>
      </c>
      <c r="R688" s="44">
        <f ca="1">IFERROR(__xludf.DUMMYFUNCTION("""COMPUTED_VALUE"""),45831)</f>
        <v>45831</v>
      </c>
      <c r="S688" s="44">
        <f ca="1">IFERROR(__xludf.DUMMYFUNCTION("""COMPUTED_VALUE"""),45890)</f>
        <v>45890</v>
      </c>
      <c r="T688" s="45" t="str">
        <f ca="1">IFERROR(__xludf.DUMMYFUNCTION("""COMPUTED_VALUE"""),"Mississauga, ON, CA")</f>
        <v>Mississauga, ON, CA</v>
      </c>
      <c r="U688" s="45"/>
      <c r="V688" s="45"/>
      <c r="W688" s="45"/>
      <c r="X688" s="45"/>
      <c r="Y688" s="46">
        <f ca="1">IFERROR(__xludf.DUMMYFUNCTION("""COMPUTED_VALUE"""),45838)</f>
        <v>45838</v>
      </c>
      <c r="Z688" s="46">
        <f ca="1">IFERROR(__xludf.DUMMYFUNCTION("""COMPUTED_VALUE"""),45859)</f>
        <v>45859</v>
      </c>
      <c r="AA688" s="46">
        <f ca="1">IFERROR(__xludf.DUMMYFUNCTION("""COMPUTED_VALUE"""),45859)</f>
        <v>45859</v>
      </c>
      <c r="AB688" s="45" t="str">
        <f ca="1">IFERROR(__xludf.DUMMYFUNCTION("""COMPUTED_VALUE"""),"3500 Argentia Road")</f>
        <v>3500 Argentia Road</v>
      </c>
      <c r="AC688" s="45"/>
      <c r="AD688" s="45" t="str">
        <f ca="1">IFERROR(__xludf.DUMMYFUNCTION("""COMPUTED_VALUE"""),"OCEAN")</f>
        <v>OCEAN</v>
      </c>
      <c r="AE688" s="45" t="str">
        <f ca="1">IFERROR(__xludf.DUMMYFUNCTION("""COMPUTED_VALUE"""),"N")</f>
        <v>N</v>
      </c>
      <c r="AF688" s="45"/>
      <c r="AG688" s="49" t="str">
        <f ca="1">IFERROR(__xludf.DUMMYFUNCTION("IFNA(vlookup(H688,IMPORTRANGE(""1vUGwO1n0QQGx9kKbO0_M5gmuhXZ6-LaxQxgrmJnzgP0"",""'TP# look up'!A:C""),3,0),"""")"),"")</f>
        <v/>
      </c>
      <c r="AH688" s="49" t="str">
        <f t="shared" ca="1" si="10"/>
        <v>LW</v>
      </c>
    </row>
    <row r="689" spans="1:34" ht="12.75">
      <c r="A689" s="45" t="str">
        <f ca="1">IFERROR(__xludf.DUMMYFUNCTION("""COMPUTED_VALUE"""),"Colombo")</f>
        <v>Colombo</v>
      </c>
      <c r="B689" s="45"/>
      <c r="C689" s="45">
        <f ca="1">IFERROR(__xludf.DUMMYFUNCTION("""COMPUTED_VALUE"""),3259512)</f>
        <v>3259512</v>
      </c>
      <c r="D689" s="45"/>
      <c r="E689" s="45" t="str">
        <f ca="1">IFERROR(__xludf.DUMMYFUNCTION("""COMPUTED_VALUE"""),"CFS")</f>
        <v>CFS</v>
      </c>
      <c r="F689" s="45" t="str">
        <f ca="1">IFERROR(__xludf.DUMMYFUNCTION("""COMPUTED_VALUE"""),"Inqube Global (PVT) Ltd")</f>
        <v>Inqube Global (PVT) Ltd</v>
      </c>
      <c r="G689" s="45" t="str">
        <f ca="1">IFERROR(__xludf.DUMMYFUNCTION("""COMPUTED_VALUE"""),"Brandix Apparel Solutions Limited - Minuwangoda")</f>
        <v>Brandix Apparel Solutions Limited - Minuwangoda</v>
      </c>
      <c r="H689" s="43">
        <f ca="1">IFERROR(__xludf.DUMMYFUNCTION("""COMPUTED_VALUE"""),454521796521)</f>
        <v>454521796521</v>
      </c>
      <c r="I689" s="45">
        <f ca="1">IFERROR(__xludf.DUMMYFUNCTION("""COMPUTED_VALUE"""),19925111)</f>
        <v>19925111</v>
      </c>
      <c r="J689" s="45" t="str">
        <f ca="1">IFERROR(__xludf.DUMMYFUNCTION("""COMPUTED_VALUE"""),"LW5GLNS")</f>
        <v>LW5GLNS</v>
      </c>
      <c r="K689" s="45" t="str">
        <f ca="1">IFERROR(__xludf.DUMMYFUNCTION("""COMPUTED_VALUE"""),"LW5GLNS-035486")</f>
        <v>LW5GLNS-035486</v>
      </c>
      <c r="L689" s="45">
        <f ca="1">IFERROR(__xludf.DUMMYFUNCTION("""COMPUTED_VALUE"""),13)</f>
        <v>13</v>
      </c>
      <c r="M689" s="45">
        <f ca="1">IFERROR(__xludf.DUMMYFUNCTION("""COMPUTED_VALUE"""),264)</f>
        <v>264</v>
      </c>
      <c r="N689" s="45">
        <f ca="1">IFERROR(__xludf.DUMMYFUNCTION("""COMPUTED_VALUE"""),133.91)</f>
        <v>133.91</v>
      </c>
      <c r="O689" s="45">
        <f ca="1">IFERROR(__xludf.DUMMYFUNCTION("""COMPUTED_VALUE"""),1.021)</f>
        <v>1.0209999999999999</v>
      </c>
      <c r="P689" s="45" t="str">
        <f ca="1">IFERROR(__xludf.DUMMYFUNCTION("""COMPUTED_VALUE"""),"Colombo, LK")</f>
        <v>Colombo, LK</v>
      </c>
      <c r="Q689" s="45" t="str">
        <f ca="1">IFERROR(__xludf.DUMMYFUNCTION("""COMPUTED_VALUE"""),"New York, NY, US")</f>
        <v>New York, NY, US</v>
      </c>
      <c r="R689" s="44">
        <f ca="1">IFERROR(__xludf.DUMMYFUNCTION("""COMPUTED_VALUE"""),45831)</f>
        <v>45831</v>
      </c>
      <c r="S689" s="44">
        <f ca="1">IFERROR(__xludf.DUMMYFUNCTION("""COMPUTED_VALUE"""),45890)</f>
        <v>45890</v>
      </c>
      <c r="T689" s="45" t="str">
        <f ca="1">IFERROR(__xludf.DUMMYFUNCTION("""COMPUTED_VALUE"""),"Mississauga, ON, CA")</f>
        <v>Mississauga, ON, CA</v>
      </c>
      <c r="U689" s="45"/>
      <c r="V689" s="45"/>
      <c r="W689" s="45"/>
      <c r="X689" s="45"/>
      <c r="Y689" s="46">
        <f ca="1">IFERROR(__xludf.DUMMYFUNCTION("""COMPUTED_VALUE"""),45838)</f>
        <v>45838</v>
      </c>
      <c r="Z689" s="46">
        <f ca="1">IFERROR(__xludf.DUMMYFUNCTION("""COMPUTED_VALUE"""),45859)</f>
        <v>45859</v>
      </c>
      <c r="AA689" s="46">
        <f ca="1">IFERROR(__xludf.DUMMYFUNCTION("""COMPUTED_VALUE"""),45859)</f>
        <v>45859</v>
      </c>
      <c r="AB689" s="45" t="str">
        <f ca="1">IFERROR(__xludf.DUMMYFUNCTION("""COMPUTED_VALUE"""),"3500 Argentia Road")</f>
        <v>3500 Argentia Road</v>
      </c>
      <c r="AC689" s="45"/>
      <c r="AD689" s="45" t="str">
        <f ca="1">IFERROR(__xludf.DUMMYFUNCTION("""COMPUTED_VALUE"""),"OCEAN")</f>
        <v>OCEAN</v>
      </c>
      <c r="AE689" s="45" t="str">
        <f ca="1">IFERROR(__xludf.DUMMYFUNCTION("""COMPUTED_VALUE"""),"N")</f>
        <v>N</v>
      </c>
      <c r="AF689" s="45"/>
      <c r="AG689" s="49" t="str">
        <f ca="1">IFERROR(__xludf.DUMMYFUNCTION("IFNA(vlookup(H689,IMPORTRANGE(""1vUGwO1n0QQGx9kKbO0_M5gmuhXZ6-LaxQxgrmJnzgP0"",""'TP# look up'!A:C""),3,0),"""")"),"")</f>
        <v/>
      </c>
      <c r="AH689" s="49" t="str">
        <f t="shared" ca="1" si="10"/>
        <v>LW</v>
      </c>
    </row>
    <row r="690" spans="1:34" ht="12.75">
      <c r="A690" s="45" t="str">
        <f ca="1">IFERROR(__xludf.DUMMYFUNCTION("""COMPUTED_VALUE"""),"Colombo")</f>
        <v>Colombo</v>
      </c>
      <c r="B690" s="45"/>
      <c r="C690" s="45">
        <f ca="1">IFERROR(__xludf.DUMMYFUNCTION("""COMPUTED_VALUE"""),3259512)</f>
        <v>3259512</v>
      </c>
      <c r="D690" s="45"/>
      <c r="E690" s="45" t="str">
        <f ca="1">IFERROR(__xludf.DUMMYFUNCTION("""COMPUTED_VALUE"""),"CFS")</f>
        <v>CFS</v>
      </c>
      <c r="F690" s="45" t="str">
        <f ca="1">IFERROR(__xludf.DUMMYFUNCTION("""COMPUTED_VALUE"""),"Inqube Global (PVT) Ltd")</f>
        <v>Inqube Global (PVT) Ltd</v>
      </c>
      <c r="G690" s="45" t="str">
        <f ca="1">IFERROR(__xludf.DUMMYFUNCTION("""COMPUTED_VALUE"""),"Brandix Apparel Solutions Limited - Minuwangoda")</f>
        <v>Brandix Apparel Solutions Limited - Minuwangoda</v>
      </c>
      <c r="H690" s="43">
        <f ca="1">IFERROR(__xludf.DUMMYFUNCTION("""COMPUTED_VALUE"""),454522464682)</f>
        <v>454522464682</v>
      </c>
      <c r="I690" s="45">
        <f ca="1">IFERROR(__xludf.DUMMYFUNCTION("""COMPUTED_VALUE"""),19855142)</f>
        <v>19855142</v>
      </c>
      <c r="J690" s="45" t="str">
        <f ca="1">IFERROR(__xludf.DUMMYFUNCTION("""COMPUTED_VALUE"""),"LW3ISOS")</f>
        <v>LW3ISOS</v>
      </c>
      <c r="K690" s="45" t="str">
        <f ca="1">IFERROR(__xludf.DUMMYFUNCTION("""COMPUTED_VALUE"""),"LW3ISOS-0001")</f>
        <v>LW3ISOS-0001</v>
      </c>
      <c r="L690" s="45">
        <f ca="1">IFERROR(__xludf.DUMMYFUNCTION("""COMPUTED_VALUE"""),4)</f>
        <v>4</v>
      </c>
      <c r="M690" s="45">
        <f ca="1">IFERROR(__xludf.DUMMYFUNCTION("""COMPUTED_VALUE"""),320)</f>
        <v>320</v>
      </c>
      <c r="N690" s="45">
        <f ca="1">IFERROR(__xludf.DUMMYFUNCTION("""COMPUTED_VALUE"""),55.83)</f>
        <v>55.83</v>
      </c>
      <c r="O690" s="45">
        <f ca="1">IFERROR(__xludf.DUMMYFUNCTION("""COMPUTED_VALUE"""),0.314)</f>
        <v>0.314</v>
      </c>
      <c r="P690" s="45" t="str">
        <f ca="1">IFERROR(__xludf.DUMMYFUNCTION("""COMPUTED_VALUE"""),"Colombo, LK")</f>
        <v>Colombo, LK</v>
      </c>
      <c r="Q690" s="45" t="str">
        <f ca="1">IFERROR(__xludf.DUMMYFUNCTION("""COMPUTED_VALUE"""),"New York, NY, US")</f>
        <v>New York, NY, US</v>
      </c>
      <c r="R690" s="44">
        <f ca="1">IFERROR(__xludf.DUMMYFUNCTION("""COMPUTED_VALUE"""),45831)</f>
        <v>45831</v>
      </c>
      <c r="S690" s="44">
        <f ca="1">IFERROR(__xludf.DUMMYFUNCTION("""COMPUTED_VALUE"""),45890)</f>
        <v>45890</v>
      </c>
      <c r="T690" s="45" t="str">
        <f ca="1">IFERROR(__xludf.DUMMYFUNCTION("""COMPUTED_VALUE"""),"Mississauga, ON, CA")</f>
        <v>Mississauga, ON, CA</v>
      </c>
      <c r="U690" s="45"/>
      <c r="V690" s="45"/>
      <c r="W690" s="45"/>
      <c r="X690" s="45"/>
      <c r="Y690" s="46">
        <f ca="1">IFERROR(__xludf.DUMMYFUNCTION("""COMPUTED_VALUE"""),45838)</f>
        <v>45838</v>
      </c>
      <c r="Z690" s="46">
        <f ca="1">IFERROR(__xludf.DUMMYFUNCTION("""COMPUTED_VALUE"""),45859)</f>
        <v>45859</v>
      </c>
      <c r="AA690" s="46">
        <f ca="1">IFERROR(__xludf.DUMMYFUNCTION("""COMPUTED_VALUE"""),45859)</f>
        <v>45859</v>
      </c>
      <c r="AB690" s="45" t="str">
        <f ca="1">IFERROR(__xludf.DUMMYFUNCTION("""COMPUTED_VALUE"""),"3500 Argentia Road")</f>
        <v>3500 Argentia Road</v>
      </c>
      <c r="AC690" s="45"/>
      <c r="AD690" s="45" t="str">
        <f ca="1">IFERROR(__xludf.DUMMYFUNCTION("""COMPUTED_VALUE"""),"OCEAN")</f>
        <v>OCEAN</v>
      </c>
      <c r="AE690" s="45" t="str">
        <f ca="1">IFERROR(__xludf.DUMMYFUNCTION("""COMPUTED_VALUE"""),"N")</f>
        <v>N</v>
      </c>
      <c r="AF690" s="45"/>
      <c r="AG690" s="49" t="str">
        <f ca="1">IFERROR(__xludf.DUMMYFUNCTION("IFNA(vlookup(H690,IMPORTRANGE(""1vUGwO1n0QQGx9kKbO0_M5gmuhXZ6-LaxQxgrmJnzgP0"",""'TP# look up'!A:C""),3,0),"""")"),"")</f>
        <v/>
      </c>
      <c r="AH690" s="49" t="str">
        <f t="shared" ca="1" si="10"/>
        <v>LW</v>
      </c>
    </row>
    <row r="691" spans="1:34" ht="12.75">
      <c r="A691" s="45" t="str">
        <f ca="1">IFERROR(__xludf.DUMMYFUNCTION("""COMPUTED_VALUE"""),"Colombo")</f>
        <v>Colombo</v>
      </c>
      <c r="B691" s="45"/>
      <c r="C691" s="45">
        <f ca="1">IFERROR(__xludf.DUMMYFUNCTION("""COMPUTED_VALUE"""),3259512)</f>
        <v>3259512</v>
      </c>
      <c r="D691" s="45"/>
      <c r="E691" s="45" t="str">
        <f ca="1">IFERROR(__xludf.DUMMYFUNCTION("""COMPUTED_VALUE"""),"CFS")</f>
        <v>CFS</v>
      </c>
      <c r="F691" s="45" t="str">
        <f ca="1">IFERROR(__xludf.DUMMYFUNCTION("""COMPUTED_VALUE"""),"Inqube Global (PVT) Ltd")</f>
        <v>Inqube Global (PVT) Ltd</v>
      </c>
      <c r="G691" s="45" t="str">
        <f ca="1">IFERROR(__xludf.DUMMYFUNCTION("""COMPUTED_VALUE"""),"Brandix Apparel Solutions Limited - Minuwangoda")</f>
        <v>Brandix Apparel Solutions Limited - Minuwangoda</v>
      </c>
      <c r="H691" s="43">
        <f ca="1">IFERROR(__xludf.DUMMYFUNCTION("""COMPUTED_VALUE"""),454522465755)</f>
        <v>454522465755</v>
      </c>
      <c r="I691" s="45">
        <f ca="1">IFERROR(__xludf.DUMMYFUNCTION("""COMPUTED_VALUE"""),19910643)</f>
        <v>19910643</v>
      </c>
      <c r="J691" s="45" t="str">
        <f ca="1">IFERROR(__xludf.DUMMYFUNCTION("""COMPUTED_VALUE"""),"LW5GLNS")</f>
        <v>LW5GLNS</v>
      </c>
      <c r="K691" s="45" t="str">
        <f ca="1">IFERROR(__xludf.DUMMYFUNCTION("""COMPUTED_VALUE"""),"LW5GLNS-035486")</f>
        <v>LW5GLNS-035486</v>
      </c>
      <c r="L691" s="45">
        <f ca="1">IFERROR(__xludf.DUMMYFUNCTION("""COMPUTED_VALUE"""),26)</f>
        <v>26</v>
      </c>
      <c r="M691" s="45">
        <f ca="1">IFERROR(__xludf.DUMMYFUNCTION("""COMPUTED_VALUE"""),551)</f>
        <v>551</v>
      </c>
      <c r="N691" s="45">
        <f ca="1">IFERROR(__xludf.DUMMYFUNCTION("""COMPUTED_VALUE"""),278.33)</f>
        <v>278.33</v>
      </c>
      <c r="O691" s="45">
        <f ca="1">IFERROR(__xludf.DUMMYFUNCTION("""COMPUTED_VALUE"""),2.041)</f>
        <v>2.0409999999999999</v>
      </c>
      <c r="P691" s="45" t="str">
        <f ca="1">IFERROR(__xludf.DUMMYFUNCTION("""COMPUTED_VALUE"""),"Colombo, LK")</f>
        <v>Colombo, LK</v>
      </c>
      <c r="Q691" s="45" t="str">
        <f ca="1">IFERROR(__xludf.DUMMYFUNCTION("""COMPUTED_VALUE"""),"New York, NY, US")</f>
        <v>New York, NY, US</v>
      </c>
      <c r="R691" s="44">
        <f ca="1">IFERROR(__xludf.DUMMYFUNCTION("""COMPUTED_VALUE"""),45831)</f>
        <v>45831</v>
      </c>
      <c r="S691" s="44">
        <f ca="1">IFERROR(__xludf.DUMMYFUNCTION("""COMPUTED_VALUE"""),45890)</f>
        <v>45890</v>
      </c>
      <c r="T691" s="45" t="str">
        <f ca="1">IFERROR(__xludf.DUMMYFUNCTION("""COMPUTED_VALUE"""),"Mississauga, ON, CA")</f>
        <v>Mississauga, ON, CA</v>
      </c>
      <c r="U691" s="45"/>
      <c r="V691" s="45"/>
      <c r="W691" s="45"/>
      <c r="X691" s="45"/>
      <c r="Y691" s="46">
        <f ca="1">IFERROR(__xludf.DUMMYFUNCTION("""COMPUTED_VALUE"""),45838)</f>
        <v>45838</v>
      </c>
      <c r="Z691" s="46">
        <f ca="1">IFERROR(__xludf.DUMMYFUNCTION("""COMPUTED_VALUE"""),45859)</f>
        <v>45859</v>
      </c>
      <c r="AA691" s="46">
        <f ca="1">IFERROR(__xludf.DUMMYFUNCTION("""COMPUTED_VALUE"""),45859)</f>
        <v>45859</v>
      </c>
      <c r="AB691" s="45" t="str">
        <f ca="1">IFERROR(__xludf.DUMMYFUNCTION("""COMPUTED_VALUE"""),"3500 Argentia Road")</f>
        <v>3500 Argentia Road</v>
      </c>
      <c r="AC691" s="45"/>
      <c r="AD691" s="45" t="str">
        <f ca="1">IFERROR(__xludf.DUMMYFUNCTION("""COMPUTED_VALUE"""),"OCEAN")</f>
        <v>OCEAN</v>
      </c>
      <c r="AE691" s="45" t="str">
        <f ca="1">IFERROR(__xludf.DUMMYFUNCTION("""COMPUTED_VALUE"""),"N")</f>
        <v>N</v>
      </c>
      <c r="AF691" s="45"/>
      <c r="AG691" s="49" t="str">
        <f ca="1">IFERROR(__xludf.DUMMYFUNCTION("IFNA(vlookup(H691,IMPORTRANGE(""1vUGwO1n0QQGx9kKbO0_M5gmuhXZ6-LaxQxgrmJnzgP0"",""'TP# look up'!A:C""),3,0),"""")"),"")</f>
        <v/>
      </c>
      <c r="AH691" s="49" t="str">
        <f t="shared" ca="1" si="10"/>
        <v>LW</v>
      </c>
    </row>
    <row r="692" spans="1:34" ht="12.75">
      <c r="A692" s="45" t="str">
        <f ca="1">IFERROR(__xludf.DUMMYFUNCTION("""COMPUTED_VALUE"""),"Colombo")</f>
        <v>Colombo</v>
      </c>
      <c r="B692" s="45"/>
      <c r="C692" s="45">
        <f ca="1">IFERROR(__xludf.DUMMYFUNCTION("""COMPUTED_VALUE"""),3259512)</f>
        <v>3259512</v>
      </c>
      <c r="D692" s="45"/>
      <c r="E692" s="45" t="str">
        <f ca="1">IFERROR(__xludf.DUMMYFUNCTION("""COMPUTED_VALUE"""),"CFS")</f>
        <v>CFS</v>
      </c>
      <c r="F692" s="45" t="str">
        <f ca="1">IFERROR(__xludf.DUMMYFUNCTION("""COMPUTED_VALUE"""),"Inqube Global (PVT) Ltd")</f>
        <v>Inqube Global (PVT) Ltd</v>
      </c>
      <c r="G692" s="45" t="str">
        <f ca="1">IFERROR(__xludf.DUMMYFUNCTION("""COMPUTED_VALUE"""),"Brandix Apparel Solutions Limited - Minuwangoda")</f>
        <v>Brandix Apparel Solutions Limited - Minuwangoda</v>
      </c>
      <c r="H692" s="43">
        <f ca="1">IFERROR(__xludf.DUMMYFUNCTION("""COMPUTED_VALUE"""),454724988297)</f>
        <v>454724988297</v>
      </c>
      <c r="I692" s="45">
        <f ca="1">IFERROR(__xludf.DUMMYFUNCTION("""COMPUTED_VALUE"""),19855052)</f>
        <v>19855052</v>
      </c>
      <c r="J692" s="45" t="str">
        <f ca="1">IFERROR(__xludf.DUMMYFUNCTION("""COMPUTED_VALUE"""),"LW3ISOS")</f>
        <v>LW3ISOS</v>
      </c>
      <c r="K692" s="45" t="str">
        <f ca="1">IFERROR(__xludf.DUMMYFUNCTION("""COMPUTED_VALUE"""),"LW3ISOS-033454")</f>
        <v>LW3ISOS-033454</v>
      </c>
      <c r="L692" s="45">
        <f ca="1">IFERROR(__xludf.DUMMYFUNCTION("""COMPUTED_VALUE"""),5)</f>
        <v>5</v>
      </c>
      <c r="M692" s="45">
        <f ca="1">IFERROR(__xludf.DUMMYFUNCTION("""COMPUTED_VALUE"""),453)</f>
        <v>453</v>
      </c>
      <c r="N692" s="45">
        <f ca="1">IFERROR(__xludf.DUMMYFUNCTION("""COMPUTED_VALUE"""),78.68)</f>
        <v>78.680000000000007</v>
      </c>
      <c r="O692" s="45">
        <f ca="1">IFERROR(__xludf.DUMMYFUNCTION("""COMPUTED_VALUE"""),0.393)</f>
        <v>0.39300000000000002</v>
      </c>
      <c r="P692" s="45" t="str">
        <f ca="1">IFERROR(__xludf.DUMMYFUNCTION("""COMPUTED_VALUE"""),"Colombo, LK")</f>
        <v>Colombo, LK</v>
      </c>
      <c r="Q692" s="45" t="str">
        <f ca="1">IFERROR(__xludf.DUMMYFUNCTION("""COMPUTED_VALUE"""),"New York, NY, US")</f>
        <v>New York, NY, US</v>
      </c>
      <c r="R692" s="44">
        <f ca="1">IFERROR(__xludf.DUMMYFUNCTION("""COMPUTED_VALUE"""),45831)</f>
        <v>45831</v>
      </c>
      <c r="S692" s="44">
        <f ca="1">IFERROR(__xludf.DUMMYFUNCTION("""COMPUTED_VALUE"""),45890)</f>
        <v>45890</v>
      </c>
      <c r="T692" s="45" t="str">
        <f ca="1">IFERROR(__xludf.DUMMYFUNCTION("""COMPUTED_VALUE"""),"Milton, ON, CA")</f>
        <v>Milton, ON, CA</v>
      </c>
      <c r="U692" s="45"/>
      <c r="V692" s="45"/>
      <c r="W692" s="45"/>
      <c r="X692" s="45"/>
      <c r="Y692" s="46">
        <f ca="1">IFERROR(__xludf.DUMMYFUNCTION("""COMPUTED_VALUE"""),45838)</f>
        <v>45838</v>
      </c>
      <c r="Z692" s="46">
        <f ca="1">IFERROR(__xludf.DUMMYFUNCTION("""COMPUTED_VALUE"""),45859)</f>
        <v>45859</v>
      </c>
      <c r="AA692" s="46">
        <f ca="1">IFERROR(__xludf.DUMMYFUNCTION("""COMPUTED_VALUE"""),45859)</f>
        <v>45859</v>
      </c>
      <c r="AB692" s="45" t="str">
        <f ca="1">IFERROR(__xludf.DUMMYFUNCTION("""COMPUTED_VALUE"""),"7211 Fifth Line")</f>
        <v>7211 Fifth Line</v>
      </c>
      <c r="AC692" s="45"/>
      <c r="AD692" s="45" t="str">
        <f ca="1">IFERROR(__xludf.DUMMYFUNCTION("""COMPUTED_VALUE"""),"OCEAN")</f>
        <v>OCEAN</v>
      </c>
      <c r="AE692" s="45" t="str">
        <f ca="1">IFERROR(__xludf.DUMMYFUNCTION("""COMPUTED_VALUE"""),"N")</f>
        <v>N</v>
      </c>
      <c r="AF692" s="45"/>
      <c r="AG692" s="49" t="str">
        <f ca="1">IFERROR(__xludf.DUMMYFUNCTION("IFNA(vlookup(H692,IMPORTRANGE(""1vUGwO1n0QQGx9kKbO0_M5gmuhXZ6-LaxQxgrmJnzgP0"",""'TP# look up'!A:C""),3,0),"""")"),"")</f>
        <v/>
      </c>
      <c r="AH692" s="49" t="str">
        <f t="shared" ca="1" si="10"/>
        <v>LW</v>
      </c>
    </row>
    <row r="693" spans="1:34" ht="12.75">
      <c r="A693" s="45" t="str">
        <f ca="1">IFERROR(__xludf.DUMMYFUNCTION("""COMPUTED_VALUE"""),"Colombo")</f>
        <v>Colombo</v>
      </c>
      <c r="B693" s="45"/>
      <c r="C693" s="45">
        <f ca="1">IFERROR(__xludf.DUMMYFUNCTION("""COMPUTED_VALUE"""),3259512)</f>
        <v>3259512</v>
      </c>
      <c r="D693" s="45"/>
      <c r="E693" s="45" t="str">
        <f ca="1">IFERROR(__xludf.DUMMYFUNCTION("""COMPUTED_VALUE"""),"CFS")</f>
        <v>CFS</v>
      </c>
      <c r="F693" s="45" t="str">
        <f ca="1">IFERROR(__xludf.DUMMYFUNCTION("""COMPUTED_VALUE"""),"Inqube Global (PVT) Ltd")</f>
        <v>Inqube Global (PVT) Ltd</v>
      </c>
      <c r="G693" s="45" t="str">
        <f ca="1">IFERROR(__xludf.DUMMYFUNCTION("""COMPUTED_VALUE"""),"Brandix Apparel Solutions Limited - Minuwangoda")</f>
        <v>Brandix Apparel Solutions Limited - Minuwangoda</v>
      </c>
      <c r="H693" s="43">
        <f ca="1">IFERROR(__xludf.DUMMYFUNCTION("""COMPUTED_VALUE"""),454724988682)</f>
        <v>454724988682</v>
      </c>
      <c r="I693" s="45">
        <f ca="1">IFERROR(__xludf.DUMMYFUNCTION("""COMPUTED_VALUE"""),19855148)</f>
        <v>19855148</v>
      </c>
      <c r="J693" s="45" t="str">
        <f ca="1">IFERROR(__xludf.DUMMYFUNCTION("""COMPUTED_VALUE"""),"LW3ISOS")</f>
        <v>LW3ISOS</v>
      </c>
      <c r="K693" s="45" t="str">
        <f ca="1">IFERROR(__xludf.DUMMYFUNCTION("""COMPUTED_VALUE"""),"LW3ISOS-033454")</f>
        <v>LW3ISOS-033454</v>
      </c>
      <c r="L693" s="45">
        <f ca="1">IFERROR(__xludf.DUMMYFUNCTION("""COMPUTED_VALUE"""),4)</f>
        <v>4</v>
      </c>
      <c r="M693" s="45">
        <f ca="1">IFERROR(__xludf.DUMMYFUNCTION("""COMPUTED_VALUE"""),304)</f>
        <v>304</v>
      </c>
      <c r="N693" s="45">
        <f ca="1">IFERROR(__xludf.DUMMYFUNCTION("""COMPUTED_VALUE"""),53.24)</f>
        <v>53.24</v>
      </c>
      <c r="O693" s="45">
        <f ca="1">IFERROR(__xludf.DUMMYFUNCTION("""COMPUTED_VALUE"""),0.314)</f>
        <v>0.314</v>
      </c>
      <c r="P693" s="45" t="str">
        <f ca="1">IFERROR(__xludf.DUMMYFUNCTION("""COMPUTED_VALUE"""),"Colombo, LK")</f>
        <v>Colombo, LK</v>
      </c>
      <c r="Q693" s="45" t="str">
        <f ca="1">IFERROR(__xludf.DUMMYFUNCTION("""COMPUTED_VALUE"""),"New York, NY, US")</f>
        <v>New York, NY, US</v>
      </c>
      <c r="R693" s="44">
        <f ca="1">IFERROR(__xludf.DUMMYFUNCTION("""COMPUTED_VALUE"""),45831)</f>
        <v>45831</v>
      </c>
      <c r="S693" s="44">
        <f ca="1">IFERROR(__xludf.DUMMYFUNCTION("""COMPUTED_VALUE"""),45890)</f>
        <v>45890</v>
      </c>
      <c r="T693" s="45" t="str">
        <f ca="1">IFERROR(__xludf.DUMMYFUNCTION("""COMPUTED_VALUE"""),"Mississauga, ON, CA")</f>
        <v>Mississauga, ON, CA</v>
      </c>
      <c r="U693" s="45"/>
      <c r="V693" s="45"/>
      <c r="W693" s="45"/>
      <c r="X693" s="45"/>
      <c r="Y693" s="46">
        <f ca="1">IFERROR(__xludf.DUMMYFUNCTION("""COMPUTED_VALUE"""),45838)</f>
        <v>45838</v>
      </c>
      <c r="Z693" s="46">
        <f ca="1">IFERROR(__xludf.DUMMYFUNCTION("""COMPUTED_VALUE"""),45859)</f>
        <v>45859</v>
      </c>
      <c r="AA693" s="46">
        <f ca="1">IFERROR(__xludf.DUMMYFUNCTION("""COMPUTED_VALUE"""),45859)</f>
        <v>45859</v>
      </c>
      <c r="AB693" s="45" t="str">
        <f ca="1">IFERROR(__xludf.DUMMYFUNCTION("""COMPUTED_VALUE"""),"3500 Argentia Road")</f>
        <v>3500 Argentia Road</v>
      </c>
      <c r="AC693" s="45"/>
      <c r="AD693" s="45" t="str">
        <f ca="1">IFERROR(__xludf.DUMMYFUNCTION("""COMPUTED_VALUE"""),"OCEAN")</f>
        <v>OCEAN</v>
      </c>
      <c r="AE693" s="45" t="str">
        <f ca="1">IFERROR(__xludf.DUMMYFUNCTION("""COMPUTED_VALUE"""),"N")</f>
        <v>N</v>
      </c>
      <c r="AF693" s="45"/>
      <c r="AG693" s="49" t="str">
        <f ca="1">IFERROR(__xludf.DUMMYFUNCTION("IFNA(vlookup(H693,IMPORTRANGE(""1vUGwO1n0QQGx9kKbO0_M5gmuhXZ6-LaxQxgrmJnzgP0"",""'TP# look up'!A:C""),3,0),"""")"),"")</f>
        <v/>
      </c>
      <c r="AH693" s="49" t="str">
        <f t="shared" ca="1" si="10"/>
        <v>LW</v>
      </c>
    </row>
    <row r="694" spans="1:34" ht="12.75">
      <c r="A694" s="45" t="str">
        <f ca="1">IFERROR(__xludf.DUMMYFUNCTION("""COMPUTED_VALUE"""),"Colombo")</f>
        <v>Colombo</v>
      </c>
      <c r="B694" s="45"/>
      <c r="C694" s="45">
        <f ca="1">IFERROR(__xludf.DUMMYFUNCTION("""COMPUTED_VALUE"""),3259512)</f>
        <v>3259512</v>
      </c>
      <c r="D694" s="45"/>
      <c r="E694" s="45" t="str">
        <f ca="1">IFERROR(__xludf.DUMMYFUNCTION("""COMPUTED_VALUE"""),"CFS")</f>
        <v>CFS</v>
      </c>
      <c r="F694" s="45" t="str">
        <f ca="1">IFERROR(__xludf.DUMMYFUNCTION("""COMPUTED_VALUE"""),"Inqube Global (PVT) Ltd")</f>
        <v>Inqube Global (PVT) Ltd</v>
      </c>
      <c r="G694" s="45" t="str">
        <f ca="1">IFERROR(__xludf.DUMMYFUNCTION("""COMPUTED_VALUE"""),"Brandix Apparel Solutions Limited - Minuwangoda")</f>
        <v>Brandix Apparel Solutions Limited - Minuwangoda</v>
      </c>
      <c r="H694" s="43">
        <f ca="1">IFERROR(__xludf.DUMMYFUNCTION("""COMPUTED_VALUE"""),454725776964)</f>
        <v>454725776964</v>
      </c>
      <c r="I694" s="45">
        <f ca="1">IFERROR(__xludf.DUMMYFUNCTION("""COMPUTED_VALUE"""),19910287)</f>
        <v>19910287</v>
      </c>
      <c r="J694" s="45" t="str">
        <f ca="1">IFERROR(__xludf.DUMMYFUNCTION("""COMPUTED_VALUE"""),"LW3JE3S")</f>
        <v>LW3JE3S</v>
      </c>
      <c r="K694" s="45" t="str">
        <f ca="1">IFERROR(__xludf.DUMMYFUNCTION("""COMPUTED_VALUE"""),"LW3JE3S-0002")</f>
        <v>LW3JE3S-0002</v>
      </c>
      <c r="L694" s="45">
        <f ca="1">IFERROR(__xludf.DUMMYFUNCTION("""COMPUTED_VALUE"""),10)</f>
        <v>10</v>
      </c>
      <c r="M694" s="45">
        <f ca="1">IFERROR(__xludf.DUMMYFUNCTION("""COMPUTED_VALUE"""),229)</f>
        <v>229</v>
      </c>
      <c r="N694" s="45">
        <f ca="1">IFERROR(__xludf.DUMMYFUNCTION("""COMPUTED_VALUE"""),101.18)</f>
        <v>101.18</v>
      </c>
      <c r="O694" s="45">
        <f ca="1">IFERROR(__xludf.DUMMYFUNCTION("""COMPUTED_VALUE"""),0.785)</f>
        <v>0.78500000000000003</v>
      </c>
      <c r="P694" s="45" t="str">
        <f ca="1">IFERROR(__xludf.DUMMYFUNCTION("""COMPUTED_VALUE"""),"Colombo, LK")</f>
        <v>Colombo, LK</v>
      </c>
      <c r="Q694" s="45" t="str">
        <f ca="1">IFERROR(__xludf.DUMMYFUNCTION("""COMPUTED_VALUE"""),"New York, NY, US")</f>
        <v>New York, NY, US</v>
      </c>
      <c r="R694" s="44">
        <f ca="1">IFERROR(__xludf.DUMMYFUNCTION("""COMPUTED_VALUE"""),45831)</f>
        <v>45831</v>
      </c>
      <c r="S694" s="44">
        <f ca="1">IFERROR(__xludf.DUMMYFUNCTION("""COMPUTED_VALUE"""),45890)</f>
        <v>45890</v>
      </c>
      <c r="T694" s="45" t="str">
        <f ca="1">IFERROR(__xludf.DUMMYFUNCTION("""COMPUTED_VALUE"""),"Mississauga, ON, CA")</f>
        <v>Mississauga, ON, CA</v>
      </c>
      <c r="U694" s="45"/>
      <c r="V694" s="45"/>
      <c r="W694" s="45"/>
      <c r="X694" s="45"/>
      <c r="Y694" s="46">
        <f ca="1">IFERROR(__xludf.DUMMYFUNCTION("""COMPUTED_VALUE"""),45838)</f>
        <v>45838</v>
      </c>
      <c r="Z694" s="46">
        <f ca="1">IFERROR(__xludf.DUMMYFUNCTION("""COMPUTED_VALUE"""),45859)</f>
        <v>45859</v>
      </c>
      <c r="AA694" s="46">
        <f ca="1">IFERROR(__xludf.DUMMYFUNCTION("""COMPUTED_VALUE"""),45859)</f>
        <v>45859</v>
      </c>
      <c r="AB694" s="45" t="str">
        <f ca="1">IFERROR(__xludf.DUMMYFUNCTION("""COMPUTED_VALUE"""),"3500 Argentia Road")</f>
        <v>3500 Argentia Road</v>
      </c>
      <c r="AC694" s="45"/>
      <c r="AD694" s="45" t="str">
        <f ca="1">IFERROR(__xludf.DUMMYFUNCTION("""COMPUTED_VALUE"""),"OCEAN")</f>
        <v>OCEAN</v>
      </c>
      <c r="AE694" s="45" t="str">
        <f ca="1">IFERROR(__xludf.DUMMYFUNCTION("""COMPUTED_VALUE"""),"N")</f>
        <v>N</v>
      </c>
      <c r="AF694" s="45"/>
      <c r="AG694" s="49" t="str">
        <f ca="1">IFERROR(__xludf.DUMMYFUNCTION("IFNA(vlookup(H694,IMPORTRANGE(""1vUGwO1n0QQGx9kKbO0_M5gmuhXZ6-LaxQxgrmJnzgP0"",""'TP# look up'!A:C""),3,0),"""")"),"")</f>
        <v/>
      </c>
      <c r="AH694" s="49" t="str">
        <f t="shared" ca="1" si="10"/>
        <v>LW</v>
      </c>
    </row>
    <row r="695" spans="1:34" ht="12.75">
      <c r="A695" s="45" t="str">
        <f ca="1">IFERROR(__xludf.DUMMYFUNCTION("""COMPUTED_VALUE"""),"Colombo")</f>
        <v>Colombo</v>
      </c>
      <c r="B695" s="45"/>
      <c r="C695" s="45">
        <f ca="1">IFERROR(__xludf.DUMMYFUNCTION("""COMPUTED_VALUE"""),3259512)</f>
        <v>3259512</v>
      </c>
      <c r="D695" s="45"/>
      <c r="E695" s="45" t="str">
        <f ca="1">IFERROR(__xludf.DUMMYFUNCTION("""COMPUTED_VALUE"""),"CFS")</f>
        <v>CFS</v>
      </c>
      <c r="F695" s="45" t="str">
        <f ca="1">IFERROR(__xludf.DUMMYFUNCTION("""COMPUTED_VALUE"""),"Inqube Global (PVT) Ltd")</f>
        <v>Inqube Global (PVT) Ltd</v>
      </c>
      <c r="G695" s="45" t="str">
        <f ca="1">IFERROR(__xludf.DUMMYFUNCTION("""COMPUTED_VALUE"""),"Brandix Apparel Solutions Limited - Minuwangoda")</f>
        <v>Brandix Apparel Solutions Limited - Minuwangoda</v>
      </c>
      <c r="H695" s="43">
        <f ca="1">IFERROR(__xludf.DUMMYFUNCTION("""COMPUTED_VALUE"""),454725983625)</f>
        <v>454725983625</v>
      </c>
      <c r="I695" s="45">
        <f ca="1">IFERROR(__xludf.DUMMYFUNCTION("""COMPUTED_VALUE"""),19855054)</f>
        <v>19855054</v>
      </c>
      <c r="J695" s="45" t="str">
        <f ca="1">IFERROR(__xludf.DUMMYFUNCTION("""COMPUTED_VALUE"""),"LW3ISOS")</f>
        <v>LW3ISOS</v>
      </c>
      <c r="K695" s="45" t="str">
        <f ca="1">IFERROR(__xludf.DUMMYFUNCTION("""COMPUTED_VALUE"""),"LW3ISOS-033454")</f>
        <v>LW3ISOS-033454</v>
      </c>
      <c r="L695" s="45">
        <f ca="1">IFERROR(__xludf.DUMMYFUNCTION("""COMPUTED_VALUE"""),3)</f>
        <v>3</v>
      </c>
      <c r="M695" s="45">
        <f ca="1">IFERROR(__xludf.DUMMYFUNCTION("""COMPUTED_VALUE"""),167)</f>
        <v>167</v>
      </c>
      <c r="N695" s="45">
        <f ca="1">IFERROR(__xludf.DUMMYFUNCTION("""COMPUTED_VALUE"""),30.04)</f>
        <v>30.04</v>
      </c>
      <c r="O695" s="45">
        <f ca="1">IFERROR(__xludf.DUMMYFUNCTION("""COMPUTED_VALUE"""),0.236)</f>
        <v>0.23599999999999999</v>
      </c>
      <c r="P695" s="45" t="str">
        <f ca="1">IFERROR(__xludf.DUMMYFUNCTION("""COMPUTED_VALUE"""),"Colombo, LK")</f>
        <v>Colombo, LK</v>
      </c>
      <c r="Q695" s="45" t="str">
        <f ca="1">IFERROR(__xludf.DUMMYFUNCTION("""COMPUTED_VALUE"""),"New York, NY, US")</f>
        <v>New York, NY, US</v>
      </c>
      <c r="R695" s="44">
        <f ca="1">IFERROR(__xludf.DUMMYFUNCTION("""COMPUTED_VALUE"""),45831)</f>
        <v>45831</v>
      </c>
      <c r="S695" s="44">
        <f ca="1">IFERROR(__xludf.DUMMYFUNCTION("""COMPUTED_VALUE"""),45890)</f>
        <v>45890</v>
      </c>
      <c r="T695" s="45" t="str">
        <f ca="1">IFERROR(__xludf.DUMMYFUNCTION("""COMPUTED_VALUE"""),"Mississauga, ON, CA")</f>
        <v>Mississauga, ON, CA</v>
      </c>
      <c r="U695" s="45"/>
      <c r="V695" s="45"/>
      <c r="W695" s="45"/>
      <c r="X695" s="45"/>
      <c r="Y695" s="46">
        <f ca="1">IFERROR(__xludf.DUMMYFUNCTION("""COMPUTED_VALUE"""),45838)</f>
        <v>45838</v>
      </c>
      <c r="Z695" s="46">
        <f ca="1">IFERROR(__xludf.DUMMYFUNCTION("""COMPUTED_VALUE"""),45859)</f>
        <v>45859</v>
      </c>
      <c r="AA695" s="46">
        <f ca="1">IFERROR(__xludf.DUMMYFUNCTION("""COMPUTED_VALUE"""),45859)</f>
        <v>45859</v>
      </c>
      <c r="AB695" s="45" t="str">
        <f ca="1">IFERROR(__xludf.DUMMYFUNCTION("""COMPUTED_VALUE"""),"3500 Argentia Road")</f>
        <v>3500 Argentia Road</v>
      </c>
      <c r="AC695" s="45"/>
      <c r="AD695" s="45" t="str">
        <f ca="1">IFERROR(__xludf.DUMMYFUNCTION("""COMPUTED_VALUE"""),"OCEAN")</f>
        <v>OCEAN</v>
      </c>
      <c r="AE695" s="45" t="str">
        <f ca="1">IFERROR(__xludf.DUMMYFUNCTION("""COMPUTED_VALUE"""),"N")</f>
        <v>N</v>
      </c>
      <c r="AF695" s="45"/>
      <c r="AG695" s="49" t="str">
        <f ca="1">IFERROR(__xludf.DUMMYFUNCTION("IFNA(vlookup(H695,IMPORTRANGE(""1vUGwO1n0QQGx9kKbO0_M5gmuhXZ6-LaxQxgrmJnzgP0"",""'TP# look up'!A:C""),3,0),"""")"),"")</f>
        <v/>
      </c>
      <c r="AH695" s="49" t="str">
        <f t="shared" ca="1" si="10"/>
        <v>LW</v>
      </c>
    </row>
    <row r="696" spans="1:34" ht="12.75">
      <c r="A696" s="45" t="str">
        <f ca="1">IFERROR(__xludf.DUMMYFUNCTION("""COMPUTED_VALUE"""),"Colombo")</f>
        <v>Colombo</v>
      </c>
      <c r="B696" s="45"/>
      <c r="C696" s="45">
        <f ca="1">IFERROR(__xludf.DUMMYFUNCTION("""COMPUTED_VALUE"""),3259512)</f>
        <v>3259512</v>
      </c>
      <c r="D696" s="45"/>
      <c r="E696" s="45" t="str">
        <f ca="1">IFERROR(__xludf.DUMMYFUNCTION("""COMPUTED_VALUE"""),"CFS")</f>
        <v>CFS</v>
      </c>
      <c r="F696" s="45" t="str">
        <f ca="1">IFERROR(__xludf.DUMMYFUNCTION("""COMPUTED_VALUE"""),"Inqube Global (PVT) Ltd")</f>
        <v>Inqube Global (PVT) Ltd</v>
      </c>
      <c r="G696" s="45" t="str">
        <f ca="1">IFERROR(__xludf.DUMMYFUNCTION("""COMPUTED_VALUE"""),"Quantum Clothing Lanka (Pvt) Ltd")</f>
        <v>Quantum Clothing Lanka (Pvt) Ltd</v>
      </c>
      <c r="H696" s="43">
        <f ca="1">IFERROR(__xludf.DUMMYFUNCTION("""COMPUTED_VALUE"""),454534009102)</f>
        <v>454534009102</v>
      </c>
      <c r="I696" s="45">
        <f ca="1">IFERROR(__xludf.DUMMYFUNCTION("""COMPUTED_VALUE"""),19876916)</f>
        <v>19876916</v>
      </c>
      <c r="J696" s="45" t="str">
        <f ca="1">IFERROR(__xludf.DUMMYFUNCTION("""COMPUTED_VALUE"""),"LW9FMOS")</f>
        <v>LW9FMOS</v>
      </c>
      <c r="K696" s="45" t="str">
        <f ca="1">IFERROR(__xludf.DUMMYFUNCTION("""COMPUTED_VALUE"""),"LW9FMOS-071150")</f>
        <v>LW9FMOS-071150</v>
      </c>
      <c r="L696" s="45">
        <f ca="1">IFERROR(__xludf.DUMMYFUNCTION("""COMPUTED_VALUE"""),1)</f>
        <v>1</v>
      </c>
      <c r="M696" s="45">
        <f ca="1">IFERROR(__xludf.DUMMYFUNCTION("""COMPUTED_VALUE"""),40)</f>
        <v>40</v>
      </c>
      <c r="N696" s="45">
        <f ca="1">IFERROR(__xludf.DUMMYFUNCTION("""COMPUTED_VALUE"""),3.789)</f>
        <v>3.7890000000000001</v>
      </c>
      <c r="O696" s="45">
        <f ca="1">IFERROR(__xludf.DUMMYFUNCTION("""COMPUTED_VALUE"""),0.04)</f>
        <v>0.04</v>
      </c>
      <c r="P696" s="45" t="str">
        <f ca="1">IFERROR(__xludf.DUMMYFUNCTION("""COMPUTED_VALUE"""),"Colombo, LK")</f>
        <v>Colombo, LK</v>
      </c>
      <c r="Q696" s="45" t="str">
        <f ca="1">IFERROR(__xludf.DUMMYFUNCTION("""COMPUTED_VALUE"""),"New York, NY, US")</f>
        <v>New York, NY, US</v>
      </c>
      <c r="R696" s="44">
        <f ca="1">IFERROR(__xludf.DUMMYFUNCTION("""COMPUTED_VALUE"""),45831)</f>
        <v>45831</v>
      </c>
      <c r="S696" s="44">
        <f ca="1">IFERROR(__xludf.DUMMYFUNCTION("""COMPUTED_VALUE"""),45890)</f>
        <v>45890</v>
      </c>
      <c r="T696" s="45" t="str">
        <f ca="1">IFERROR(__xludf.DUMMYFUNCTION("""COMPUTED_VALUE"""),"Mississauga, ON, CA")</f>
        <v>Mississauga, ON, CA</v>
      </c>
      <c r="U696" s="45"/>
      <c r="V696" s="45"/>
      <c r="W696" s="45"/>
      <c r="X696" s="45"/>
      <c r="Y696" s="46">
        <f ca="1">IFERROR(__xludf.DUMMYFUNCTION("""COMPUTED_VALUE"""),45838)</f>
        <v>45838</v>
      </c>
      <c r="Z696" s="46">
        <f ca="1">IFERROR(__xludf.DUMMYFUNCTION("""COMPUTED_VALUE"""),45859)</f>
        <v>45859</v>
      </c>
      <c r="AA696" s="46">
        <f ca="1">IFERROR(__xludf.DUMMYFUNCTION("""COMPUTED_VALUE"""),45859)</f>
        <v>45859</v>
      </c>
      <c r="AB696" s="45" t="str">
        <f ca="1">IFERROR(__xludf.DUMMYFUNCTION("""COMPUTED_VALUE"""),"3500 Argentia Road")</f>
        <v>3500 Argentia Road</v>
      </c>
      <c r="AC696" s="45"/>
      <c r="AD696" s="45" t="str">
        <f ca="1">IFERROR(__xludf.DUMMYFUNCTION("""COMPUTED_VALUE"""),"OCEAN")</f>
        <v>OCEAN</v>
      </c>
      <c r="AE696" s="45" t="str">
        <f ca="1">IFERROR(__xludf.DUMMYFUNCTION("""COMPUTED_VALUE"""),"N")</f>
        <v>N</v>
      </c>
      <c r="AF696" s="45"/>
      <c r="AG696" s="49" t="str">
        <f ca="1">IFERROR(__xludf.DUMMYFUNCTION("IFNA(vlookup(H696,IMPORTRANGE(""1vUGwO1n0QQGx9kKbO0_M5gmuhXZ6-LaxQxgrmJnzgP0"",""'TP# look up'!A:C""),3,0),"""")"),"")</f>
        <v/>
      </c>
      <c r="AH696" s="49" t="str">
        <f t="shared" ca="1" si="10"/>
        <v>LW</v>
      </c>
    </row>
    <row r="697" spans="1:34" ht="12.75">
      <c r="A697" s="45" t="str">
        <f ca="1">IFERROR(__xludf.DUMMYFUNCTION("""COMPUTED_VALUE"""),"Colombo")</f>
        <v>Colombo</v>
      </c>
      <c r="B697" s="45"/>
      <c r="C697" s="45">
        <f ca="1">IFERROR(__xludf.DUMMYFUNCTION("""COMPUTED_VALUE"""),3259512)</f>
        <v>3259512</v>
      </c>
      <c r="D697" s="45"/>
      <c r="E697" s="45" t="str">
        <f ca="1">IFERROR(__xludf.DUMMYFUNCTION("""COMPUTED_VALUE"""),"CFS")</f>
        <v>CFS</v>
      </c>
      <c r="F697" s="45" t="str">
        <f ca="1">IFERROR(__xludf.DUMMYFUNCTION("""COMPUTED_VALUE"""),"Inqube Global (PVT) Ltd")</f>
        <v>Inqube Global (PVT) Ltd</v>
      </c>
      <c r="G697" s="45" t="str">
        <f ca="1">IFERROR(__xludf.DUMMYFUNCTION("""COMPUTED_VALUE"""),"Quantum Clothing Lanka (Pvt) Ltd")</f>
        <v>Quantum Clothing Lanka (Pvt) Ltd</v>
      </c>
      <c r="H697" s="43">
        <f ca="1">IFERROR(__xludf.DUMMYFUNCTION("""COMPUTED_VALUE"""),454534128458)</f>
        <v>454534128458</v>
      </c>
      <c r="I697" s="45">
        <f ca="1">IFERROR(__xludf.DUMMYFUNCTION("""COMPUTED_VALUE"""),19877012)</f>
        <v>19877012</v>
      </c>
      <c r="J697" s="45" t="str">
        <f ca="1">IFERROR(__xludf.DUMMYFUNCTION("""COMPUTED_VALUE"""),"LW9FMPS")</f>
        <v>LW9FMPS</v>
      </c>
      <c r="K697" s="45" t="str">
        <f ca="1">IFERROR(__xludf.DUMMYFUNCTION("""COMPUTED_VALUE"""),"LW9FMPS-071150")</f>
        <v>LW9FMPS-071150</v>
      </c>
      <c r="L697" s="45">
        <f ca="1">IFERROR(__xludf.DUMMYFUNCTION("""COMPUTED_VALUE"""),1)</f>
        <v>1</v>
      </c>
      <c r="M697" s="45">
        <f ca="1">IFERROR(__xludf.DUMMYFUNCTION("""COMPUTED_VALUE"""),28)</f>
        <v>28</v>
      </c>
      <c r="N697" s="45">
        <f ca="1">IFERROR(__xludf.DUMMYFUNCTION("""COMPUTED_VALUE"""),1.97)</f>
        <v>1.97</v>
      </c>
      <c r="O697" s="45">
        <f ca="1">IFERROR(__xludf.DUMMYFUNCTION("""COMPUTED_VALUE"""),0.04)</f>
        <v>0.04</v>
      </c>
      <c r="P697" s="45" t="str">
        <f ca="1">IFERROR(__xludf.DUMMYFUNCTION("""COMPUTED_VALUE"""),"Colombo, LK")</f>
        <v>Colombo, LK</v>
      </c>
      <c r="Q697" s="45" t="str">
        <f ca="1">IFERROR(__xludf.DUMMYFUNCTION("""COMPUTED_VALUE"""),"New York, NY, US")</f>
        <v>New York, NY, US</v>
      </c>
      <c r="R697" s="44">
        <f ca="1">IFERROR(__xludf.DUMMYFUNCTION("""COMPUTED_VALUE"""),45831)</f>
        <v>45831</v>
      </c>
      <c r="S697" s="44">
        <f ca="1">IFERROR(__xludf.DUMMYFUNCTION("""COMPUTED_VALUE"""),45890)</f>
        <v>45890</v>
      </c>
      <c r="T697" s="45" t="str">
        <f ca="1">IFERROR(__xludf.DUMMYFUNCTION("""COMPUTED_VALUE"""),"Mississauga, ON, CA")</f>
        <v>Mississauga, ON, CA</v>
      </c>
      <c r="U697" s="45"/>
      <c r="V697" s="45"/>
      <c r="W697" s="45"/>
      <c r="X697" s="45"/>
      <c r="Y697" s="46">
        <f ca="1">IFERROR(__xludf.DUMMYFUNCTION("""COMPUTED_VALUE"""),45838)</f>
        <v>45838</v>
      </c>
      <c r="Z697" s="46">
        <f ca="1">IFERROR(__xludf.DUMMYFUNCTION("""COMPUTED_VALUE"""),45859)</f>
        <v>45859</v>
      </c>
      <c r="AA697" s="46">
        <f ca="1">IFERROR(__xludf.DUMMYFUNCTION("""COMPUTED_VALUE"""),45859)</f>
        <v>45859</v>
      </c>
      <c r="AB697" s="45" t="str">
        <f ca="1">IFERROR(__xludf.DUMMYFUNCTION("""COMPUTED_VALUE"""),"3500 Argentia Road")</f>
        <v>3500 Argentia Road</v>
      </c>
      <c r="AC697" s="45"/>
      <c r="AD697" s="45" t="str">
        <f ca="1">IFERROR(__xludf.DUMMYFUNCTION("""COMPUTED_VALUE"""),"OCEAN")</f>
        <v>OCEAN</v>
      </c>
      <c r="AE697" s="45" t="str">
        <f ca="1">IFERROR(__xludf.DUMMYFUNCTION("""COMPUTED_VALUE"""),"N")</f>
        <v>N</v>
      </c>
      <c r="AF697" s="45"/>
      <c r="AG697" s="49" t="str">
        <f ca="1">IFERROR(__xludf.DUMMYFUNCTION("IFNA(vlookup(H697,IMPORTRANGE(""1vUGwO1n0QQGx9kKbO0_M5gmuhXZ6-LaxQxgrmJnzgP0"",""'TP# look up'!A:C""),3,0),"""")"),"")</f>
        <v/>
      </c>
      <c r="AH697" s="49" t="str">
        <f t="shared" ca="1" si="10"/>
        <v>LW</v>
      </c>
    </row>
    <row r="698" spans="1:34" ht="12.75">
      <c r="A698" s="45" t="str">
        <f ca="1">IFERROR(__xludf.DUMMYFUNCTION("""COMPUTED_VALUE"""),"Colombo")</f>
        <v>Colombo</v>
      </c>
      <c r="B698" s="45"/>
      <c r="C698" s="45">
        <f ca="1">IFERROR(__xludf.DUMMYFUNCTION("""COMPUTED_VALUE"""),3259512)</f>
        <v>3259512</v>
      </c>
      <c r="D698" s="45"/>
      <c r="E698" s="45" t="str">
        <f ca="1">IFERROR(__xludf.DUMMYFUNCTION("""COMPUTED_VALUE"""),"CFS")</f>
        <v>CFS</v>
      </c>
      <c r="F698" s="45" t="str">
        <f ca="1">IFERROR(__xludf.DUMMYFUNCTION("""COMPUTED_VALUE"""),"MAS AMITY PTE LTD")</f>
        <v>MAS AMITY PTE LTD</v>
      </c>
      <c r="G698" s="45" t="str">
        <f ca="1">IFERROR(__xludf.DUMMYFUNCTION("""COMPUTED_VALUE"""),"MAS Active (Pvt) Ltd – Shadowline")</f>
        <v>MAS Active (Pvt) Ltd – Shadowline</v>
      </c>
      <c r="H698" s="43">
        <f ca="1">IFERROR(__xludf.DUMMYFUNCTION("""COMPUTED_VALUE"""),454992711828)</f>
        <v>454992711828</v>
      </c>
      <c r="I698" s="45">
        <f ca="1">IFERROR(__xludf.DUMMYFUNCTION("""COMPUTED_VALUE"""),19938186)</f>
        <v>19938186</v>
      </c>
      <c r="J698" s="45" t="str">
        <f ca="1">IFERROR(__xludf.DUMMYFUNCTION("""COMPUTED_VALUE"""),"LW5FLOS")</f>
        <v>LW5FLOS</v>
      </c>
      <c r="K698" s="45" t="str">
        <f ca="1">IFERROR(__xludf.DUMMYFUNCTION("""COMPUTED_VALUE"""),"LW5FLOS-041179")</f>
        <v>LW5FLOS-041179</v>
      </c>
      <c r="L698" s="45">
        <f ca="1">IFERROR(__xludf.DUMMYFUNCTION("""COMPUTED_VALUE"""),8)</f>
        <v>8</v>
      </c>
      <c r="M698" s="45">
        <f ca="1">IFERROR(__xludf.DUMMYFUNCTION("""COMPUTED_VALUE"""),361)</f>
        <v>361</v>
      </c>
      <c r="N698" s="45">
        <f ca="1">IFERROR(__xludf.DUMMYFUNCTION("""COMPUTED_VALUE"""),81.311)</f>
        <v>81.311000000000007</v>
      </c>
      <c r="O698" s="45">
        <f ca="1">IFERROR(__xludf.DUMMYFUNCTION("""COMPUTED_VALUE"""),0.632)</f>
        <v>0.63200000000000001</v>
      </c>
      <c r="P698" s="45" t="str">
        <f ca="1">IFERROR(__xludf.DUMMYFUNCTION("""COMPUTED_VALUE"""),"Colombo, LK")</f>
        <v>Colombo, LK</v>
      </c>
      <c r="Q698" s="45" t="str">
        <f ca="1">IFERROR(__xludf.DUMMYFUNCTION("""COMPUTED_VALUE"""),"New York, NY, US")</f>
        <v>New York, NY, US</v>
      </c>
      <c r="R698" s="44">
        <f ca="1">IFERROR(__xludf.DUMMYFUNCTION("""COMPUTED_VALUE"""),45831)</f>
        <v>45831</v>
      </c>
      <c r="S698" s="44">
        <f ca="1">IFERROR(__xludf.DUMMYFUNCTION("""COMPUTED_VALUE"""),45890)</f>
        <v>45890</v>
      </c>
      <c r="T698" s="45" t="str">
        <f ca="1">IFERROR(__xludf.DUMMYFUNCTION("""COMPUTED_VALUE"""),"Mississauga, ON, CA")</f>
        <v>Mississauga, ON, CA</v>
      </c>
      <c r="U698" s="45"/>
      <c r="V698" s="45"/>
      <c r="W698" s="45"/>
      <c r="X698" s="45"/>
      <c r="Y698" s="46">
        <f ca="1">IFERROR(__xludf.DUMMYFUNCTION("""COMPUTED_VALUE"""),45838)</f>
        <v>45838</v>
      </c>
      <c r="Z698" s="46">
        <f ca="1">IFERROR(__xludf.DUMMYFUNCTION("""COMPUTED_VALUE"""),45859)</f>
        <v>45859</v>
      </c>
      <c r="AA698" s="46">
        <f ca="1">IFERROR(__xludf.DUMMYFUNCTION("""COMPUTED_VALUE"""),45859)</f>
        <v>45859</v>
      </c>
      <c r="AB698" s="45" t="str">
        <f ca="1">IFERROR(__xludf.DUMMYFUNCTION("""COMPUTED_VALUE"""),"3500 Argentia Road")</f>
        <v>3500 Argentia Road</v>
      </c>
      <c r="AC698" s="45"/>
      <c r="AD698" s="45" t="str">
        <f ca="1">IFERROR(__xludf.DUMMYFUNCTION("""COMPUTED_VALUE"""),"OCEAN")</f>
        <v>OCEAN</v>
      </c>
      <c r="AE698" s="45" t="str">
        <f ca="1">IFERROR(__xludf.DUMMYFUNCTION("""COMPUTED_VALUE"""),"N")</f>
        <v>N</v>
      </c>
      <c r="AF698" s="45"/>
      <c r="AG698" s="49" t="str">
        <f ca="1">IFERROR(__xludf.DUMMYFUNCTION("IFNA(vlookup(H698,IMPORTRANGE(""1vUGwO1n0QQGx9kKbO0_M5gmuhXZ6-LaxQxgrmJnzgP0"",""'TP# look up'!A:C""),3,0),"""")"),"")</f>
        <v/>
      </c>
      <c r="AH698" s="49" t="str">
        <f t="shared" ca="1" si="10"/>
        <v>LW</v>
      </c>
    </row>
    <row r="699" spans="1:34" ht="12.75">
      <c r="A699" s="45" t="str">
        <f ca="1">IFERROR(__xludf.DUMMYFUNCTION("""COMPUTED_VALUE"""),"Colombo")</f>
        <v>Colombo</v>
      </c>
      <c r="B699" s="45"/>
      <c r="C699" s="45">
        <f ca="1">IFERROR(__xludf.DUMMYFUNCTION("""COMPUTED_VALUE"""),3259512)</f>
        <v>3259512</v>
      </c>
      <c r="D699" s="45"/>
      <c r="E699" s="45" t="str">
        <f ca="1">IFERROR(__xludf.DUMMYFUNCTION("""COMPUTED_VALUE"""),"CFS")</f>
        <v>CFS</v>
      </c>
      <c r="F699" s="45" t="str">
        <f ca="1">IFERROR(__xludf.DUMMYFUNCTION("""COMPUTED_VALUE"""),"MAS AMITY PTE LTD")</f>
        <v>MAS AMITY PTE LTD</v>
      </c>
      <c r="G699" s="45" t="str">
        <f ca="1">IFERROR(__xludf.DUMMYFUNCTION("""COMPUTED_VALUE"""),"MAS Active (Pvt) Ltd – Shadowline")</f>
        <v>MAS Active (Pvt) Ltd – Shadowline</v>
      </c>
      <c r="H699" s="43">
        <f ca="1">IFERROR(__xludf.DUMMYFUNCTION("""COMPUTED_VALUE"""),454994262848)</f>
        <v>454994262848</v>
      </c>
      <c r="I699" s="45">
        <f ca="1">IFERROR(__xludf.DUMMYFUNCTION("""COMPUTED_VALUE"""),19923533)</f>
        <v>19923533</v>
      </c>
      <c r="J699" s="45" t="str">
        <f ca="1">IFERROR(__xludf.DUMMYFUNCTION("""COMPUTED_VALUE"""),"LW5FLOS")</f>
        <v>LW5FLOS</v>
      </c>
      <c r="K699" s="45" t="str">
        <f ca="1">IFERROR(__xludf.DUMMYFUNCTION("""COMPUTED_VALUE"""),"LW5FLOS-0001")</f>
        <v>LW5FLOS-0001</v>
      </c>
      <c r="L699" s="45">
        <f ca="1">IFERROR(__xludf.DUMMYFUNCTION("""COMPUTED_VALUE"""),10)</f>
        <v>10</v>
      </c>
      <c r="M699" s="45">
        <f ca="1">IFERROR(__xludf.DUMMYFUNCTION("""COMPUTED_VALUE"""),465)</f>
        <v>465</v>
      </c>
      <c r="N699" s="45">
        <f ca="1">IFERROR(__xludf.DUMMYFUNCTION("""COMPUTED_VALUE"""),103.582)</f>
        <v>103.58199999999999</v>
      </c>
      <c r="O699" s="45">
        <f ca="1">IFERROR(__xludf.DUMMYFUNCTION("""COMPUTED_VALUE"""),0.632)</f>
        <v>0.63200000000000001</v>
      </c>
      <c r="P699" s="45" t="str">
        <f ca="1">IFERROR(__xludf.DUMMYFUNCTION("""COMPUTED_VALUE"""),"Colombo, LK")</f>
        <v>Colombo, LK</v>
      </c>
      <c r="Q699" s="45" t="str">
        <f ca="1">IFERROR(__xludf.DUMMYFUNCTION("""COMPUTED_VALUE"""),"New York, NY, US")</f>
        <v>New York, NY, US</v>
      </c>
      <c r="R699" s="44">
        <f ca="1">IFERROR(__xludf.DUMMYFUNCTION("""COMPUTED_VALUE"""),45831)</f>
        <v>45831</v>
      </c>
      <c r="S699" s="44">
        <f ca="1">IFERROR(__xludf.DUMMYFUNCTION("""COMPUTED_VALUE"""),45890)</f>
        <v>45890</v>
      </c>
      <c r="T699" s="45" t="str">
        <f ca="1">IFERROR(__xludf.DUMMYFUNCTION("""COMPUTED_VALUE"""),"Mississauga, ON, CA")</f>
        <v>Mississauga, ON, CA</v>
      </c>
      <c r="U699" s="45"/>
      <c r="V699" s="45"/>
      <c r="W699" s="45"/>
      <c r="X699" s="45"/>
      <c r="Y699" s="46">
        <f ca="1">IFERROR(__xludf.DUMMYFUNCTION("""COMPUTED_VALUE"""),45838)</f>
        <v>45838</v>
      </c>
      <c r="Z699" s="46">
        <f ca="1">IFERROR(__xludf.DUMMYFUNCTION("""COMPUTED_VALUE"""),45859)</f>
        <v>45859</v>
      </c>
      <c r="AA699" s="46">
        <f ca="1">IFERROR(__xludf.DUMMYFUNCTION("""COMPUTED_VALUE"""),45859)</f>
        <v>45859</v>
      </c>
      <c r="AB699" s="45" t="str">
        <f ca="1">IFERROR(__xludf.DUMMYFUNCTION("""COMPUTED_VALUE"""),"3500 Argentia Road")</f>
        <v>3500 Argentia Road</v>
      </c>
      <c r="AC699" s="45"/>
      <c r="AD699" s="45" t="str">
        <f ca="1">IFERROR(__xludf.DUMMYFUNCTION("""COMPUTED_VALUE"""),"OCEAN")</f>
        <v>OCEAN</v>
      </c>
      <c r="AE699" s="45" t="str">
        <f ca="1">IFERROR(__xludf.DUMMYFUNCTION("""COMPUTED_VALUE"""),"N")</f>
        <v>N</v>
      </c>
      <c r="AF699" s="45"/>
      <c r="AG699" s="49" t="str">
        <f ca="1">IFERROR(__xludf.DUMMYFUNCTION("IFNA(vlookup(H699,IMPORTRANGE(""1vUGwO1n0QQGx9kKbO0_M5gmuhXZ6-LaxQxgrmJnzgP0"",""'TP# look up'!A:C""),3,0),"""")"),"")</f>
        <v/>
      </c>
      <c r="AH699" s="49" t="str">
        <f t="shared" ca="1" si="10"/>
        <v>LW</v>
      </c>
    </row>
    <row r="700" spans="1:34" ht="12.75">
      <c r="A700" s="45" t="str">
        <f ca="1">IFERROR(__xludf.DUMMYFUNCTION("""COMPUTED_VALUE"""),"Colombo")</f>
        <v>Colombo</v>
      </c>
      <c r="B700" s="45"/>
      <c r="C700" s="45">
        <f ca="1">IFERROR(__xludf.DUMMYFUNCTION("""COMPUTED_VALUE"""),3259512)</f>
        <v>3259512</v>
      </c>
      <c r="D700" s="45"/>
      <c r="E700" s="45" t="str">
        <f ca="1">IFERROR(__xludf.DUMMYFUNCTION("""COMPUTED_VALUE"""),"CFS")</f>
        <v>CFS</v>
      </c>
      <c r="F700" s="45" t="str">
        <f ca="1">IFERROR(__xludf.DUMMYFUNCTION("""COMPUTED_VALUE"""),"MAS AMITY PTE LTD")</f>
        <v>MAS AMITY PTE LTD</v>
      </c>
      <c r="G700" s="45" t="str">
        <f ca="1">IFERROR(__xludf.DUMMYFUNCTION("""COMPUTED_VALUE"""),"MAS Active (Pvt) Ltd – Sleekline")</f>
        <v>MAS Active (Pvt) Ltd – Sleekline</v>
      </c>
      <c r="H700" s="43">
        <f ca="1">IFERROR(__xludf.DUMMYFUNCTION("""COMPUTED_VALUE"""),454957514065)</f>
        <v>454957514065</v>
      </c>
      <c r="I700" s="45">
        <f ca="1">IFERROR(__xludf.DUMMYFUNCTION("""COMPUTED_VALUE"""),19922422)</f>
        <v>19922422</v>
      </c>
      <c r="J700" s="45" t="str">
        <f ca="1">IFERROR(__xludf.DUMMYFUNCTION("""COMPUTED_VALUE"""),"LM9AN5S")</f>
        <v>LM9AN5S</v>
      </c>
      <c r="K700" s="45" t="str">
        <f ca="1">IFERROR(__xludf.DUMMYFUNCTION("""COMPUTED_VALUE"""),"LM9AN5S-067086")</f>
        <v>LM9AN5S-067086</v>
      </c>
      <c r="L700" s="45">
        <f ca="1">IFERROR(__xludf.DUMMYFUNCTION("""COMPUTED_VALUE"""),6)</f>
        <v>6</v>
      </c>
      <c r="M700" s="45">
        <f ca="1">IFERROR(__xludf.DUMMYFUNCTION("""COMPUTED_VALUE"""),150)</f>
        <v>150</v>
      </c>
      <c r="N700" s="45">
        <f ca="1">IFERROR(__xludf.DUMMYFUNCTION("""COMPUTED_VALUE"""),83.2)</f>
        <v>83.2</v>
      </c>
      <c r="O700" s="45">
        <f ca="1">IFERROR(__xludf.DUMMYFUNCTION("""COMPUTED_VALUE"""),0.476)</f>
        <v>0.47599999999999998</v>
      </c>
      <c r="P700" s="45" t="str">
        <f ca="1">IFERROR(__xludf.DUMMYFUNCTION("""COMPUTED_VALUE"""),"Colombo, LK")</f>
        <v>Colombo, LK</v>
      </c>
      <c r="Q700" s="45" t="str">
        <f ca="1">IFERROR(__xludf.DUMMYFUNCTION("""COMPUTED_VALUE"""),"New York, NY, US")</f>
        <v>New York, NY, US</v>
      </c>
      <c r="R700" s="44">
        <f ca="1">IFERROR(__xludf.DUMMYFUNCTION("""COMPUTED_VALUE"""),45831)</f>
        <v>45831</v>
      </c>
      <c r="S700" s="44">
        <f ca="1">IFERROR(__xludf.DUMMYFUNCTION("""COMPUTED_VALUE"""),45890)</f>
        <v>45890</v>
      </c>
      <c r="T700" s="45" t="str">
        <f ca="1">IFERROR(__xludf.DUMMYFUNCTION("""COMPUTED_VALUE"""),"Mississauga, ON, CA")</f>
        <v>Mississauga, ON, CA</v>
      </c>
      <c r="U700" s="45"/>
      <c r="V700" s="45"/>
      <c r="W700" s="45"/>
      <c r="X700" s="45"/>
      <c r="Y700" s="46">
        <f ca="1">IFERROR(__xludf.DUMMYFUNCTION("""COMPUTED_VALUE"""),45838)</f>
        <v>45838</v>
      </c>
      <c r="Z700" s="46">
        <f ca="1">IFERROR(__xludf.DUMMYFUNCTION("""COMPUTED_VALUE"""),45859)</f>
        <v>45859</v>
      </c>
      <c r="AA700" s="46">
        <f ca="1">IFERROR(__xludf.DUMMYFUNCTION("""COMPUTED_VALUE"""),45859)</f>
        <v>45859</v>
      </c>
      <c r="AB700" s="45" t="str">
        <f ca="1">IFERROR(__xludf.DUMMYFUNCTION("""COMPUTED_VALUE"""),"3500 Argentia Road")</f>
        <v>3500 Argentia Road</v>
      </c>
      <c r="AC700" s="45"/>
      <c r="AD700" s="45" t="str">
        <f ca="1">IFERROR(__xludf.DUMMYFUNCTION("""COMPUTED_VALUE"""),"OCEAN")</f>
        <v>OCEAN</v>
      </c>
      <c r="AE700" s="45" t="str">
        <f ca="1">IFERROR(__xludf.DUMMYFUNCTION("""COMPUTED_VALUE"""),"N")</f>
        <v>N</v>
      </c>
      <c r="AF700" s="45"/>
      <c r="AG700" s="49" t="str">
        <f ca="1">IFERROR(__xludf.DUMMYFUNCTION("IFNA(vlookup(H700,IMPORTRANGE(""1vUGwO1n0QQGx9kKbO0_M5gmuhXZ6-LaxQxgrmJnzgP0"",""'TP# look up'!A:C""),3,0),"""")"),"")</f>
        <v/>
      </c>
      <c r="AH700" s="49" t="str">
        <f t="shared" ca="1" si="10"/>
        <v>LM</v>
      </c>
    </row>
    <row r="701" spans="1:34" ht="12.75">
      <c r="A701" s="45" t="str">
        <f ca="1">IFERROR(__xludf.DUMMYFUNCTION("""COMPUTED_VALUE"""),"Colombo")</f>
        <v>Colombo</v>
      </c>
      <c r="B701" s="45"/>
      <c r="C701" s="45">
        <f ca="1">IFERROR(__xludf.DUMMYFUNCTION("""COMPUTED_VALUE"""),3259512)</f>
        <v>3259512</v>
      </c>
      <c r="D701" s="45"/>
      <c r="E701" s="45" t="str">
        <f ca="1">IFERROR(__xludf.DUMMYFUNCTION("""COMPUTED_VALUE"""),"CFS")</f>
        <v>CFS</v>
      </c>
      <c r="F701" s="45" t="str">
        <f ca="1">IFERROR(__xludf.DUMMYFUNCTION("""COMPUTED_VALUE"""),"MAS AMITY PTE LTD")</f>
        <v>MAS AMITY PTE LTD</v>
      </c>
      <c r="G701" s="45" t="str">
        <f ca="1">IFERROR(__xludf.DUMMYFUNCTION("""COMPUTED_VALUE"""),"MAS Active (Pvt) Ltd – Sleekline")</f>
        <v>MAS Active (Pvt) Ltd – Sleekline</v>
      </c>
      <c r="H701" s="43">
        <f ca="1">IFERROR(__xludf.DUMMYFUNCTION("""COMPUTED_VALUE"""),454959511939)</f>
        <v>454959511939</v>
      </c>
      <c r="I701" s="45">
        <f ca="1">IFERROR(__xludf.DUMMYFUNCTION("""COMPUTED_VALUE"""),19926865)</f>
        <v>19926865</v>
      </c>
      <c r="J701" s="45" t="str">
        <f ca="1">IFERROR(__xludf.DUMMYFUNCTION("""COMPUTED_VALUE"""),"LM9B20S")</f>
        <v>LM9B20S</v>
      </c>
      <c r="K701" s="45" t="str">
        <f ca="1">IFERROR(__xludf.DUMMYFUNCTION("""COMPUTED_VALUE"""),"LM9B20S-4310")</f>
        <v>LM9B20S-4310</v>
      </c>
      <c r="L701" s="45">
        <f ca="1">IFERROR(__xludf.DUMMYFUNCTION("""COMPUTED_VALUE"""),4)</f>
        <v>4</v>
      </c>
      <c r="M701" s="45">
        <f ca="1">IFERROR(__xludf.DUMMYFUNCTION("""COMPUTED_VALUE"""),136)</f>
        <v>136</v>
      </c>
      <c r="N701" s="45">
        <f ca="1">IFERROR(__xludf.DUMMYFUNCTION("""COMPUTED_VALUE"""),43.2)</f>
        <v>43.2</v>
      </c>
      <c r="O701" s="45">
        <f ca="1">IFERROR(__xludf.DUMMYFUNCTION("""COMPUTED_VALUE"""),0.278)</f>
        <v>0.27800000000000002</v>
      </c>
      <c r="P701" s="45" t="str">
        <f ca="1">IFERROR(__xludf.DUMMYFUNCTION("""COMPUTED_VALUE"""),"Colombo, LK")</f>
        <v>Colombo, LK</v>
      </c>
      <c r="Q701" s="45" t="str">
        <f ca="1">IFERROR(__xludf.DUMMYFUNCTION("""COMPUTED_VALUE"""),"New York, NY, US")</f>
        <v>New York, NY, US</v>
      </c>
      <c r="R701" s="44">
        <f ca="1">IFERROR(__xludf.DUMMYFUNCTION("""COMPUTED_VALUE"""),45831)</f>
        <v>45831</v>
      </c>
      <c r="S701" s="44">
        <f ca="1">IFERROR(__xludf.DUMMYFUNCTION("""COMPUTED_VALUE"""),45890)</f>
        <v>45890</v>
      </c>
      <c r="T701" s="45" t="str">
        <f ca="1">IFERROR(__xludf.DUMMYFUNCTION("""COMPUTED_VALUE"""),"Mississauga, ON, CA")</f>
        <v>Mississauga, ON, CA</v>
      </c>
      <c r="U701" s="45"/>
      <c r="V701" s="45"/>
      <c r="W701" s="45"/>
      <c r="X701" s="45"/>
      <c r="Y701" s="46">
        <f ca="1">IFERROR(__xludf.DUMMYFUNCTION("""COMPUTED_VALUE"""),45838)</f>
        <v>45838</v>
      </c>
      <c r="Z701" s="46">
        <f ca="1">IFERROR(__xludf.DUMMYFUNCTION("""COMPUTED_VALUE"""),45859)</f>
        <v>45859</v>
      </c>
      <c r="AA701" s="46">
        <f ca="1">IFERROR(__xludf.DUMMYFUNCTION("""COMPUTED_VALUE"""),45859)</f>
        <v>45859</v>
      </c>
      <c r="AB701" s="45" t="str">
        <f ca="1">IFERROR(__xludf.DUMMYFUNCTION("""COMPUTED_VALUE"""),"3500 Argentia Road")</f>
        <v>3500 Argentia Road</v>
      </c>
      <c r="AC701" s="45"/>
      <c r="AD701" s="45" t="str">
        <f ca="1">IFERROR(__xludf.DUMMYFUNCTION("""COMPUTED_VALUE"""),"OCEAN")</f>
        <v>OCEAN</v>
      </c>
      <c r="AE701" s="45" t="str">
        <f ca="1">IFERROR(__xludf.DUMMYFUNCTION("""COMPUTED_VALUE"""),"N")</f>
        <v>N</v>
      </c>
      <c r="AF701" s="45"/>
      <c r="AG701" s="49" t="str">
        <f ca="1">IFERROR(__xludf.DUMMYFUNCTION("IFNA(vlookup(H701,IMPORTRANGE(""1vUGwO1n0QQGx9kKbO0_M5gmuhXZ6-LaxQxgrmJnzgP0"",""'TP# look up'!A:C""),3,0),"""")"),"")</f>
        <v/>
      </c>
      <c r="AH701" s="49" t="str">
        <f t="shared" ca="1" si="10"/>
        <v>LM</v>
      </c>
    </row>
    <row r="702" spans="1:34" ht="12.75">
      <c r="A702" s="45" t="str">
        <f ca="1">IFERROR(__xludf.DUMMYFUNCTION("""COMPUTED_VALUE"""),"Colombo")</f>
        <v>Colombo</v>
      </c>
      <c r="B702" s="45"/>
      <c r="C702" s="45">
        <f ca="1">IFERROR(__xludf.DUMMYFUNCTION("""COMPUTED_VALUE"""),3259512)</f>
        <v>3259512</v>
      </c>
      <c r="D702" s="45"/>
      <c r="E702" s="45" t="str">
        <f ca="1">IFERROR(__xludf.DUMMYFUNCTION("""COMPUTED_VALUE"""),"CFS")</f>
        <v>CFS</v>
      </c>
      <c r="F702" s="45" t="str">
        <f ca="1">IFERROR(__xludf.DUMMYFUNCTION("""COMPUTED_VALUE"""),"MAS AMITY PTE LTD")</f>
        <v>MAS AMITY PTE LTD</v>
      </c>
      <c r="G702" s="45" t="str">
        <f ca="1">IFERROR(__xludf.DUMMYFUNCTION("""COMPUTED_VALUE"""),"MAS Active (Pvt) Ltd – Sleekline")</f>
        <v>MAS Active (Pvt) Ltd – Sleekline</v>
      </c>
      <c r="H702" s="43">
        <f ca="1">IFERROR(__xludf.DUMMYFUNCTION("""COMPUTED_VALUE"""),454960438694)</f>
        <v>454960438694</v>
      </c>
      <c r="I702" s="45">
        <f ca="1">IFERROR(__xludf.DUMMYFUNCTION("""COMPUTED_VALUE"""),19922467)</f>
        <v>19922467</v>
      </c>
      <c r="J702" s="45" t="str">
        <f ca="1">IFERROR(__xludf.DUMMYFUNCTION("""COMPUTED_VALUE"""),"LM9AY5S")</f>
        <v>LM9AY5S</v>
      </c>
      <c r="K702" s="45" t="str">
        <f ca="1">IFERROR(__xludf.DUMMYFUNCTION("""COMPUTED_VALUE"""),"LM9AY5S-031045")</f>
        <v>LM9AY5S-031045</v>
      </c>
      <c r="L702" s="45">
        <f ca="1">IFERROR(__xludf.DUMMYFUNCTION("""COMPUTED_VALUE"""),1)</f>
        <v>1</v>
      </c>
      <c r="M702" s="45">
        <f ca="1">IFERROR(__xludf.DUMMYFUNCTION("""COMPUTED_VALUE"""),75)</f>
        <v>75</v>
      </c>
      <c r="N702" s="45">
        <f ca="1">IFERROR(__xludf.DUMMYFUNCTION("""COMPUTED_VALUE"""),8.78)</f>
        <v>8.7799999999999994</v>
      </c>
      <c r="O702" s="45">
        <f ca="1">IFERROR(__xludf.DUMMYFUNCTION("""COMPUTED_VALUE"""),0.079)</f>
        <v>7.9000000000000001E-2</v>
      </c>
      <c r="P702" s="45" t="str">
        <f ca="1">IFERROR(__xludf.DUMMYFUNCTION("""COMPUTED_VALUE"""),"Colombo, LK")</f>
        <v>Colombo, LK</v>
      </c>
      <c r="Q702" s="45" t="str">
        <f ca="1">IFERROR(__xludf.DUMMYFUNCTION("""COMPUTED_VALUE"""),"New York, NY, US")</f>
        <v>New York, NY, US</v>
      </c>
      <c r="R702" s="44">
        <f ca="1">IFERROR(__xludf.DUMMYFUNCTION("""COMPUTED_VALUE"""),45831)</f>
        <v>45831</v>
      </c>
      <c r="S702" s="44">
        <f ca="1">IFERROR(__xludf.DUMMYFUNCTION("""COMPUTED_VALUE"""),45890)</f>
        <v>45890</v>
      </c>
      <c r="T702" s="45" t="str">
        <f ca="1">IFERROR(__xludf.DUMMYFUNCTION("""COMPUTED_VALUE"""),"Mississauga, ON, CA")</f>
        <v>Mississauga, ON, CA</v>
      </c>
      <c r="U702" s="45"/>
      <c r="V702" s="45"/>
      <c r="W702" s="45"/>
      <c r="X702" s="45"/>
      <c r="Y702" s="46">
        <f ca="1">IFERROR(__xludf.DUMMYFUNCTION("""COMPUTED_VALUE"""),45838)</f>
        <v>45838</v>
      </c>
      <c r="Z702" s="46">
        <f ca="1">IFERROR(__xludf.DUMMYFUNCTION("""COMPUTED_VALUE"""),45859)</f>
        <v>45859</v>
      </c>
      <c r="AA702" s="46">
        <f ca="1">IFERROR(__xludf.DUMMYFUNCTION("""COMPUTED_VALUE"""),45859)</f>
        <v>45859</v>
      </c>
      <c r="AB702" s="45" t="str">
        <f ca="1">IFERROR(__xludf.DUMMYFUNCTION("""COMPUTED_VALUE"""),"3500 Argentia Road")</f>
        <v>3500 Argentia Road</v>
      </c>
      <c r="AC702" s="45"/>
      <c r="AD702" s="45" t="str">
        <f ca="1">IFERROR(__xludf.DUMMYFUNCTION("""COMPUTED_VALUE"""),"OCEAN")</f>
        <v>OCEAN</v>
      </c>
      <c r="AE702" s="45" t="str">
        <f ca="1">IFERROR(__xludf.DUMMYFUNCTION("""COMPUTED_VALUE"""),"N")</f>
        <v>N</v>
      </c>
      <c r="AF702" s="45"/>
      <c r="AG702" s="49" t="str">
        <f ca="1">IFERROR(__xludf.DUMMYFUNCTION("IFNA(vlookup(H702,IMPORTRANGE(""1vUGwO1n0QQGx9kKbO0_M5gmuhXZ6-LaxQxgrmJnzgP0"",""'TP# look up'!A:C""),3,0),"""")"),"")</f>
        <v/>
      </c>
      <c r="AH702" s="49" t="str">
        <f t="shared" ca="1" si="10"/>
        <v>LM</v>
      </c>
    </row>
    <row r="703" spans="1:34" ht="12.75">
      <c r="A703" s="45" t="str">
        <f ca="1">IFERROR(__xludf.DUMMYFUNCTION("""COMPUTED_VALUE"""),"Colombo")</f>
        <v>Colombo</v>
      </c>
      <c r="B703" s="45"/>
      <c r="C703" s="45">
        <f ca="1">IFERROR(__xludf.DUMMYFUNCTION("""COMPUTED_VALUE"""),3259512)</f>
        <v>3259512</v>
      </c>
      <c r="D703" s="45"/>
      <c r="E703" s="45" t="str">
        <f ca="1">IFERROR(__xludf.DUMMYFUNCTION("""COMPUTED_VALUE"""),"CFS")</f>
        <v>CFS</v>
      </c>
      <c r="F703" s="45" t="str">
        <f ca="1">IFERROR(__xludf.DUMMYFUNCTION("""COMPUTED_VALUE"""),"MAS AMITY PTE LTD")</f>
        <v>MAS AMITY PTE LTD</v>
      </c>
      <c r="G703" s="45" t="str">
        <f ca="1">IFERROR(__xludf.DUMMYFUNCTION("""COMPUTED_VALUE"""),"MAS Active (Pvt) Ltd – Sleekline")</f>
        <v>MAS Active (Pvt) Ltd – Sleekline</v>
      </c>
      <c r="H703" s="43">
        <f ca="1">IFERROR(__xludf.DUMMYFUNCTION("""COMPUTED_VALUE"""),454961172217)</f>
        <v>454961172217</v>
      </c>
      <c r="I703" s="45">
        <f ca="1">IFERROR(__xludf.DUMMYFUNCTION("""COMPUTED_VALUE"""),19926859)</f>
        <v>19926859</v>
      </c>
      <c r="J703" s="45" t="str">
        <f ca="1">IFERROR(__xludf.DUMMYFUNCTION("""COMPUTED_VALUE"""),"LM9B17S")</f>
        <v>LM9B17S</v>
      </c>
      <c r="K703" s="45" t="str">
        <f ca="1">IFERROR(__xludf.DUMMYFUNCTION("""COMPUTED_VALUE"""),"LM9B17S-031382")</f>
        <v>LM9B17S-031382</v>
      </c>
      <c r="L703" s="45">
        <f ca="1">IFERROR(__xludf.DUMMYFUNCTION("""COMPUTED_VALUE"""),1)</f>
        <v>1</v>
      </c>
      <c r="M703" s="45">
        <f ca="1">IFERROR(__xludf.DUMMYFUNCTION("""COMPUTED_VALUE"""),100)</f>
        <v>100</v>
      </c>
      <c r="N703" s="45">
        <f ca="1">IFERROR(__xludf.DUMMYFUNCTION("""COMPUTED_VALUE"""),9.18)</f>
        <v>9.18</v>
      </c>
      <c r="O703" s="45">
        <f ca="1">IFERROR(__xludf.DUMMYFUNCTION("""COMPUTED_VALUE"""),0.079)</f>
        <v>7.9000000000000001E-2</v>
      </c>
      <c r="P703" s="45" t="str">
        <f ca="1">IFERROR(__xludf.DUMMYFUNCTION("""COMPUTED_VALUE"""),"Colombo, LK")</f>
        <v>Colombo, LK</v>
      </c>
      <c r="Q703" s="45" t="str">
        <f ca="1">IFERROR(__xludf.DUMMYFUNCTION("""COMPUTED_VALUE"""),"New York, NY, US")</f>
        <v>New York, NY, US</v>
      </c>
      <c r="R703" s="44">
        <f ca="1">IFERROR(__xludf.DUMMYFUNCTION("""COMPUTED_VALUE"""),45831)</f>
        <v>45831</v>
      </c>
      <c r="S703" s="44">
        <f ca="1">IFERROR(__xludf.DUMMYFUNCTION("""COMPUTED_VALUE"""),45890)</f>
        <v>45890</v>
      </c>
      <c r="T703" s="45" t="str">
        <f ca="1">IFERROR(__xludf.DUMMYFUNCTION("""COMPUTED_VALUE"""),"Mississauga, ON, CA")</f>
        <v>Mississauga, ON, CA</v>
      </c>
      <c r="U703" s="45"/>
      <c r="V703" s="45"/>
      <c r="W703" s="45"/>
      <c r="X703" s="45"/>
      <c r="Y703" s="46">
        <f ca="1">IFERROR(__xludf.DUMMYFUNCTION("""COMPUTED_VALUE"""),45838)</f>
        <v>45838</v>
      </c>
      <c r="Z703" s="46">
        <f ca="1">IFERROR(__xludf.DUMMYFUNCTION("""COMPUTED_VALUE"""),45859)</f>
        <v>45859</v>
      </c>
      <c r="AA703" s="46">
        <f ca="1">IFERROR(__xludf.DUMMYFUNCTION("""COMPUTED_VALUE"""),45859)</f>
        <v>45859</v>
      </c>
      <c r="AB703" s="45" t="str">
        <f ca="1">IFERROR(__xludf.DUMMYFUNCTION("""COMPUTED_VALUE"""),"3500 Argentia Road")</f>
        <v>3500 Argentia Road</v>
      </c>
      <c r="AC703" s="45"/>
      <c r="AD703" s="45" t="str">
        <f ca="1">IFERROR(__xludf.DUMMYFUNCTION("""COMPUTED_VALUE"""),"OCEAN")</f>
        <v>OCEAN</v>
      </c>
      <c r="AE703" s="45" t="str">
        <f ca="1">IFERROR(__xludf.DUMMYFUNCTION("""COMPUTED_VALUE"""),"N")</f>
        <v>N</v>
      </c>
      <c r="AF703" s="45"/>
      <c r="AG703" s="49" t="str">
        <f ca="1">IFERROR(__xludf.DUMMYFUNCTION("IFNA(vlookup(H703,IMPORTRANGE(""1vUGwO1n0QQGx9kKbO0_M5gmuhXZ6-LaxQxgrmJnzgP0"",""'TP# look up'!A:C""),3,0),"""")"),"")</f>
        <v/>
      </c>
      <c r="AH703" s="49" t="str">
        <f t="shared" ca="1" si="10"/>
        <v>LM</v>
      </c>
    </row>
    <row r="704" spans="1:34" ht="12.75">
      <c r="A704" s="45" t="str">
        <f ca="1">IFERROR(__xludf.DUMMYFUNCTION("""COMPUTED_VALUE"""),"Colombo")</f>
        <v>Colombo</v>
      </c>
      <c r="B704" s="45"/>
      <c r="C704" s="45">
        <f ca="1">IFERROR(__xludf.DUMMYFUNCTION("""COMPUTED_VALUE"""),3259512)</f>
        <v>3259512</v>
      </c>
      <c r="D704" s="45"/>
      <c r="E704" s="45" t="str">
        <f ca="1">IFERROR(__xludf.DUMMYFUNCTION("""COMPUTED_VALUE"""),"CFS")</f>
        <v>CFS</v>
      </c>
      <c r="F704" s="45" t="str">
        <f ca="1">IFERROR(__xludf.DUMMYFUNCTION("""COMPUTED_VALUE"""),"MAS AMITY PTE LTD")</f>
        <v>MAS AMITY PTE LTD</v>
      </c>
      <c r="G704" s="45" t="str">
        <f ca="1">IFERROR(__xludf.DUMMYFUNCTION("""COMPUTED_VALUE"""),"MAS Active (Pvt) Ltd – Sleekline")</f>
        <v>MAS Active (Pvt) Ltd – Sleekline</v>
      </c>
      <c r="H704" s="43">
        <f ca="1">IFERROR(__xludf.DUMMYFUNCTION("""COMPUTED_VALUE"""),454962149125)</f>
        <v>454962149125</v>
      </c>
      <c r="I704" s="45">
        <f ca="1">IFERROR(__xludf.DUMMYFUNCTION("""COMPUTED_VALUE"""),19927134)</f>
        <v>19927134</v>
      </c>
      <c r="J704" s="45" t="str">
        <f ca="1">IFERROR(__xludf.DUMMYFUNCTION("""COMPUTED_VALUE"""),"LM9AY9S")</f>
        <v>LM9AY9S</v>
      </c>
      <c r="K704" s="45" t="str">
        <f ca="1">IFERROR(__xludf.DUMMYFUNCTION("""COMPUTED_VALUE"""),"LM9AY9S-072079")</f>
        <v>LM9AY9S-072079</v>
      </c>
      <c r="L704" s="45">
        <f ca="1">IFERROR(__xludf.DUMMYFUNCTION("""COMPUTED_VALUE"""),3)</f>
        <v>3</v>
      </c>
      <c r="M704" s="45">
        <f ca="1">IFERROR(__xludf.DUMMYFUNCTION("""COMPUTED_VALUE"""),113)</f>
        <v>113</v>
      </c>
      <c r="N704" s="45">
        <f ca="1">IFERROR(__xludf.DUMMYFUNCTION("""COMPUTED_VALUE"""),33.72)</f>
        <v>33.72</v>
      </c>
      <c r="O704" s="45">
        <f ca="1">IFERROR(__xludf.DUMMYFUNCTION("""COMPUTED_VALUE"""),0.238)</f>
        <v>0.23799999999999999</v>
      </c>
      <c r="P704" s="45" t="str">
        <f ca="1">IFERROR(__xludf.DUMMYFUNCTION("""COMPUTED_VALUE"""),"Colombo, LK")</f>
        <v>Colombo, LK</v>
      </c>
      <c r="Q704" s="45" t="str">
        <f ca="1">IFERROR(__xludf.DUMMYFUNCTION("""COMPUTED_VALUE"""),"New York, NY, US")</f>
        <v>New York, NY, US</v>
      </c>
      <c r="R704" s="44">
        <f ca="1">IFERROR(__xludf.DUMMYFUNCTION("""COMPUTED_VALUE"""),45831)</f>
        <v>45831</v>
      </c>
      <c r="S704" s="44">
        <f ca="1">IFERROR(__xludf.DUMMYFUNCTION("""COMPUTED_VALUE"""),45890)</f>
        <v>45890</v>
      </c>
      <c r="T704" s="45" t="str">
        <f ca="1">IFERROR(__xludf.DUMMYFUNCTION("""COMPUTED_VALUE"""),"Mississauga, ON, CA")</f>
        <v>Mississauga, ON, CA</v>
      </c>
      <c r="U704" s="45"/>
      <c r="V704" s="45"/>
      <c r="W704" s="45"/>
      <c r="X704" s="45"/>
      <c r="Y704" s="46">
        <f ca="1">IFERROR(__xludf.DUMMYFUNCTION("""COMPUTED_VALUE"""),45838)</f>
        <v>45838</v>
      </c>
      <c r="Z704" s="46">
        <f ca="1">IFERROR(__xludf.DUMMYFUNCTION("""COMPUTED_VALUE"""),45859)</f>
        <v>45859</v>
      </c>
      <c r="AA704" s="46">
        <f ca="1">IFERROR(__xludf.DUMMYFUNCTION("""COMPUTED_VALUE"""),45859)</f>
        <v>45859</v>
      </c>
      <c r="AB704" s="45" t="str">
        <f ca="1">IFERROR(__xludf.DUMMYFUNCTION("""COMPUTED_VALUE"""),"3500 Argentia Road")</f>
        <v>3500 Argentia Road</v>
      </c>
      <c r="AC704" s="45"/>
      <c r="AD704" s="45" t="str">
        <f ca="1">IFERROR(__xludf.DUMMYFUNCTION("""COMPUTED_VALUE"""),"OCEAN")</f>
        <v>OCEAN</v>
      </c>
      <c r="AE704" s="45" t="str">
        <f ca="1">IFERROR(__xludf.DUMMYFUNCTION("""COMPUTED_VALUE"""),"N")</f>
        <v>N</v>
      </c>
      <c r="AF704" s="45"/>
      <c r="AG704" s="49" t="str">
        <f ca="1">IFERROR(__xludf.DUMMYFUNCTION("IFNA(vlookup(H704,IMPORTRANGE(""1vUGwO1n0QQGx9kKbO0_M5gmuhXZ6-LaxQxgrmJnzgP0"",""'TP# look up'!A:C""),3,0),"""")"),"")</f>
        <v/>
      </c>
      <c r="AH704" s="49" t="str">
        <f t="shared" ca="1" si="10"/>
        <v>LM</v>
      </c>
    </row>
    <row r="705" spans="1:34" ht="12.75">
      <c r="A705" s="45" t="str">
        <f ca="1">IFERROR(__xludf.DUMMYFUNCTION("""COMPUTED_VALUE"""),"Colombo")</f>
        <v>Colombo</v>
      </c>
      <c r="B705" s="45"/>
      <c r="C705" s="45">
        <f ca="1">IFERROR(__xludf.DUMMYFUNCTION("""COMPUTED_VALUE"""),3259512)</f>
        <v>3259512</v>
      </c>
      <c r="D705" s="45"/>
      <c r="E705" s="45" t="str">
        <f ca="1">IFERROR(__xludf.DUMMYFUNCTION("""COMPUTED_VALUE"""),"CFS")</f>
        <v>CFS</v>
      </c>
      <c r="F705" s="45" t="str">
        <f ca="1">IFERROR(__xludf.DUMMYFUNCTION("""COMPUTED_VALUE"""),"MAS AMITY PTE LTD")</f>
        <v>MAS AMITY PTE LTD</v>
      </c>
      <c r="G705" s="45" t="str">
        <f ca="1">IFERROR(__xludf.DUMMYFUNCTION("""COMPUTED_VALUE"""),"MAS Active (Pvt) Ltd – Sleekline")</f>
        <v>MAS Active (Pvt) Ltd – Sleekline</v>
      </c>
      <c r="H705" s="43">
        <f ca="1">IFERROR(__xludf.DUMMYFUNCTION("""COMPUTED_VALUE"""),454962542770)</f>
        <v>454962542770</v>
      </c>
      <c r="I705" s="45">
        <f ca="1">IFERROR(__xludf.DUMMYFUNCTION("""COMPUTED_VALUE"""),19927208)</f>
        <v>19927208</v>
      </c>
      <c r="J705" s="45" t="str">
        <f ca="1">IFERROR(__xludf.DUMMYFUNCTION("""COMPUTED_VALUE"""),"LM9B17S")</f>
        <v>LM9B17S</v>
      </c>
      <c r="K705" s="45" t="str">
        <f ca="1">IFERROR(__xludf.DUMMYFUNCTION("""COMPUTED_VALUE"""),"LM9B17S-0001")</f>
        <v>LM9B17S-0001</v>
      </c>
      <c r="L705" s="45">
        <f ca="1">IFERROR(__xludf.DUMMYFUNCTION("""COMPUTED_VALUE"""),3)</f>
        <v>3</v>
      </c>
      <c r="M705" s="45">
        <f ca="1">IFERROR(__xludf.DUMMYFUNCTION("""COMPUTED_VALUE"""),211)</f>
        <v>211</v>
      </c>
      <c r="N705" s="45">
        <f ca="1">IFERROR(__xludf.DUMMYFUNCTION("""COMPUTED_VALUE"""),20.2)</f>
        <v>20.2</v>
      </c>
      <c r="O705" s="45">
        <f ca="1">IFERROR(__xludf.DUMMYFUNCTION("""COMPUTED_VALUE"""),0.198)</f>
        <v>0.19800000000000001</v>
      </c>
      <c r="P705" s="45" t="str">
        <f ca="1">IFERROR(__xludf.DUMMYFUNCTION("""COMPUTED_VALUE"""),"Colombo, LK")</f>
        <v>Colombo, LK</v>
      </c>
      <c r="Q705" s="45" t="str">
        <f ca="1">IFERROR(__xludf.DUMMYFUNCTION("""COMPUTED_VALUE"""),"New York, NY, US")</f>
        <v>New York, NY, US</v>
      </c>
      <c r="R705" s="44">
        <f ca="1">IFERROR(__xludf.DUMMYFUNCTION("""COMPUTED_VALUE"""),45831)</f>
        <v>45831</v>
      </c>
      <c r="S705" s="44">
        <f ca="1">IFERROR(__xludf.DUMMYFUNCTION("""COMPUTED_VALUE"""),45890)</f>
        <v>45890</v>
      </c>
      <c r="T705" s="45" t="str">
        <f ca="1">IFERROR(__xludf.DUMMYFUNCTION("""COMPUTED_VALUE"""),"Mississauga, ON, CA")</f>
        <v>Mississauga, ON, CA</v>
      </c>
      <c r="U705" s="45"/>
      <c r="V705" s="45"/>
      <c r="W705" s="45"/>
      <c r="X705" s="45"/>
      <c r="Y705" s="46">
        <f ca="1">IFERROR(__xludf.DUMMYFUNCTION("""COMPUTED_VALUE"""),45838)</f>
        <v>45838</v>
      </c>
      <c r="Z705" s="46">
        <f ca="1">IFERROR(__xludf.DUMMYFUNCTION("""COMPUTED_VALUE"""),45859)</f>
        <v>45859</v>
      </c>
      <c r="AA705" s="46">
        <f ca="1">IFERROR(__xludf.DUMMYFUNCTION("""COMPUTED_VALUE"""),45859)</f>
        <v>45859</v>
      </c>
      <c r="AB705" s="45" t="str">
        <f ca="1">IFERROR(__xludf.DUMMYFUNCTION("""COMPUTED_VALUE"""),"3500 Argentia Road")</f>
        <v>3500 Argentia Road</v>
      </c>
      <c r="AC705" s="45"/>
      <c r="AD705" s="45" t="str">
        <f ca="1">IFERROR(__xludf.DUMMYFUNCTION("""COMPUTED_VALUE"""),"OCEAN")</f>
        <v>OCEAN</v>
      </c>
      <c r="AE705" s="45" t="str">
        <f ca="1">IFERROR(__xludf.DUMMYFUNCTION("""COMPUTED_VALUE"""),"N")</f>
        <v>N</v>
      </c>
      <c r="AF705" s="45"/>
      <c r="AG705" s="49" t="str">
        <f ca="1">IFERROR(__xludf.DUMMYFUNCTION("IFNA(vlookup(H705,IMPORTRANGE(""1vUGwO1n0QQGx9kKbO0_M5gmuhXZ6-LaxQxgrmJnzgP0"",""'TP# look up'!A:C""),3,0),"""")"),"")</f>
        <v/>
      </c>
      <c r="AH705" s="49" t="str">
        <f t="shared" ca="1" si="10"/>
        <v>LM</v>
      </c>
    </row>
    <row r="706" spans="1:34" ht="12.75">
      <c r="A706" s="45" t="str">
        <f ca="1">IFERROR(__xludf.DUMMYFUNCTION("""COMPUTED_VALUE"""),"Colombo")</f>
        <v>Colombo</v>
      </c>
      <c r="B706" s="45"/>
      <c r="C706" s="45">
        <f ca="1">IFERROR(__xludf.DUMMYFUNCTION("""COMPUTED_VALUE"""),3259512)</f>
        <v>3259512</v>
      </c>
      <c r="D706" s="45"/>
      <c r="E706" s="45" t="str">
        <f ca="1">IFERROR(__xludf.DUMMYFUNCTION("""COMPUTED_VALUE"""),"CFS")</f>
        <v>CFS</v>
      </c>
      <c r="F706" s="45" t="str">
        <f ca="1">IFERROR(__xludf.DUMMYFUNCTION("""COMPUTED_VALUE"""),"MAS AMITY PTE LTD")</f>
        <v>MAS AMITY PTE LTD</v>
      </c>
      <c r="G706" s="45" t="str">
        <f ca="1">IFERROR(__xludf.DUMMYFUNCTION("""COMPUTED_VALUE"""),"MAS Active (Pvt) Ltd – Sleekline")</f>
        <v>MAS Active (Pvt) Ltd – Sleekline</v>
      </c>
      <c r="H706" s="43">
        <f ca="1">IFERROR(__xludf.DUMMYFUNCTION("""COMPUTED_VALUE"""),454963860011)</f>
        <v>454963860011</v>
      </c>
      <c r="I706" s="45">
        <f ca="1">IFERROR(__xludf.DUMMYFUNCTION("""COMPUTED_VALUE"""),19927251)</f>
        <v>19927251</v>
      </c>
      <c r="J706" s="45" t="str">
        <f ca="1">IFERROR(__xludf.DUMMYFUNCTION("""COMPUTED_VALUE"""),"LM9B17S")</f>
        <v>LM9B17S</v>
      </c>
      <c r="K706" s="45" t="str">
        <f ca="1">IFERROR(__xludf.DUMMYFUNCTION("""COMPUTED_VALUE"""),"LM9B17S-031382")</f>
        <v>LM9B17S-031382</v>
      </c>
      <c r="L706" s="45">
        <f ca="1">IFERROR(__xludf.DUMMYFUNCTION("""COMPUTED_VALUE"""),2)</f>
        <v>2</v>
      </c>
      <c r="M706" s="45">
        <f ca="1">IFERROR(__xludf.DUMMYFUNCTION("""COMPUTED_VALUE"""),172)</f>
        <v>172</v>
      </c>
      <c r="N706" s="45">
        <f ca="1">IFERROR(__xludf.DUMMYFUNCTION("""COMPUTED_VALUE"""),15.94)</f>
        <v>15.94</v>
      </c>
      <c r="O706" s="45">
        <f ca="1">IFERROR(__xludf.DUMMYFUNCTION("""COMPUTED_VALUE"""),0.119)</f>
        <v>0.11899999999999999</v>
      </c>
      <c r="P706" s="45" t="str">
        <f ca="1">IFERROR(__xludf.DUMMYFUNCTION("""COMPUTED_VALUE"""),"Colombo, LK")</f>
        <v>Colombo, LK</v>
      </c>
      <c r="Q706" s="45" t="str">
        <f ca="1">IFERROR(__xludf.DUMMYFUNCTION("""COMPUTED_VALUE"""),"New York, NY, US")</f>
        <v>New York, NY, US</v>
      </c>
      <c r="R706" s="44">
        <f ca="1">IFERROR(__xludf.DUMMYFUNCTION("""COMPUTED_VALUE"""),45831)</f>
        <v>45831</v>
      </c>
      <c r="S706" s="44">
        <f ca="1">IFERROR(__xludf.DUMMYFUNCTION("""COMPUTED_VALUE"""),45890)</f>
        <v>45890</v>
      </c>
      <c r="T706" s="45" t="str">
        <f ca="1">IFERROR(__xludf.DUMMYFUNCTION("""COMPUTED_VALUE"""),"Mississauga, ON, CA")</f>
        <v>Mississauga, ON, CA</v>
      </c>
      <c r="U706" s="45"/>
      <c r="V706" s="45"/>
      <c r="W706" s="45"/>
      <c r="X706" s="45"/>
      <c r="Y706" s="46">
        <f ca="1">IFERROR(__xludf.DUMMYFUNCTION("""COMPUTED_VALUE"""),45838)</f>
        <v>45838</v>
      </c>
      <c r="Z706" s="46">
        <f ca="1">IFERROR(__xludf.DUMMYFUNCTION("""COMPUTED_VALUE"""),45859)</f>
        <v>45859</v>
      </c>
      <c r="AA706" s="46">
        <f ca="1">IFERROR(__xludf.DUMMYFUNCTION("""COMPUTED_VALUE"""),45859)</f>
        <v>45859</v>
      </c>
      <c r="AB706" s="45" t="str">
        <f ca="1">IFERROR(__xludf.DUMMYFUNCTION("""COMPUTED_VALUE"""),"3500 Argentia Road")</f>
        <v>3500 Argentia Road</v>
      </c>
      <c r="AC706" s="45"/>
      <c r="AD706" s="45" t="str">
        <f ca="1">IFERROR(__xludf.DUMMYFUNCTION("""COMPUTED_VALUE"""),"OCEAN")</f>
        <v>OCEAN</v>
      </c>
      <c r="AE706" s="45" t="str">
        <f ca="1">IFERROR(__xludf.DUMMYFUNCTION("""COMPUTED_VALUE"""),"N")</f>
        <v>N</v>
      </c>
      <c r="AF706" s="45"/>
      <c r="AG706" s="49" t="str">
        <f ca="1">IFERROR(__xludf.DUMMYFUNCTION("IFNA(vlookup(H706,IMPORTRANGE(""1vUGwO1n0QQGx9kKbO0_M5gmuhXZ6-LaxQxgrmJnzgP0"",""'TP# look up'!A:C""),3,0),"""")"),"")</f>
        <v/>
      </c>
      <c r="AH706" s="49" t="str">
        <f t="shared" ref="AH706:AH769" ca="1" si="11">LEFT(J706,2)</f>
        <v>LM</v>
      </c>
    </row>
    <row r="707" spans="1:34" ht="12.75">
      <c r="A707" s="45" t="str">
        <f ca="1">IFERROR(__xludf.DUMMYFUNCTION("""COMPUTED_VALUE"""),"Colombo")</f>
        <v>Colombo</v>
      </c>
      <c r="B707" s="45"/>
      <c r="C707" s="45">
        <f ca="1">IFERROR(__xludf.DUMMYFUNCTION("""COMPUTED_VALUE"""),3259512)</f>
        <v>3259512</v>
      </c>
      <c r="D707" s="45"/>
      <c r="E707" s="45" t="str">
        <f ca="1">IFERROR(__xludf.DUMMYFUNCTION("""COMPUTED_VALUE"""),"CFS")</f>
        <v>CFS</v>
      </c>
      <c r="F707" s="45" t="str">
        <f ca="1">IFERROR(__xludf.DUMMYFUNCTION("""COMPUTED_VALUE"""),"MAS AMITY PTE LTD")</f>
        <v>MAS AMITY PTE LTD</v>
      </c>
      <c r="G707" s="45" t="str">
        <f ca="1">IFERROR(__xludf.DUMMYFUNCTION("""COMPUTED_VALUE"""),"MAS Active (Pvt) Ltd – Sleekline")</f>
        <v>MAS Active (Pvt) Ltd – Sleekline</v>
      </c>
      <c r="H707" s="43">
        <f ca="1">IFERROR(__xludf.DUMMYFUNCTION("""COMPUTED_VALUE"""),454965767523)</f>
        <v>454965767523</v>
      </c>
      <c r="I707" s="45">
        <f ca="1">IFERROR(__xludf.DUMMYFUNCTION("""COMPUTED_VALUE"""),19935921)</f>
        <v>19935921</v>
      </c>
      <c r="J707" s="45" t="str">
        <f ca="1">IFERROR(__xludf.DUMMYFUNCTION("""COMPUTED_VALUE"""),"LM9B17S")</f>
        <v>LM9B17S</v>
      </c>
      <c r="K707" s="45" t="str">
        <f ca="1">IFERROR(__xludf.DUMMYFUNCTION("""COMPUTED_VALUE"""),"LM9B17S-0001")</f>
        <v>LM9B17S-0001</v>
      </c>
      <c r="L707" s="45">
        <f ca="1">IFERROR(__xludf.DUMMYFUNCTION("""COMPUTED_VALUE"""),2)</f>
        <v>2</v>
      </c>
      <c r="M707" s="45">
        <f ca="1">IFERROR(__xludf.DUMMYFUNCTION("""COMPUTED_VALUE"""),144)</f>
        <v>144</v>
      </c>
      <c r="N707" s="45">
        <f ca="1">IFERROR(__xludf.DUMMYFUNCTION("""COMPUTED_VALUE"""),13.61)</f>
        <v>13.61</v>
      </c>
      <c r="O707" s="45">
        <f ca="1">IFERROR(__xludf.DUMMYFUNCTION("""COMPUTED_VALUE"""),0.119)</f>
        <v>0.11899999999999999</v>
      </c>
      <c r="P707" s="45" t="str">
        <f ca="1">IFERROR(__xludf.DUMMYFUNCTION("""COMPUTED_VALUE"""),"Colombo, LK")</f>
        <v>Colombo, LK</v>
      </c>
      <c r="Q707" s="45" t="str">
        <f ca="1">IFERROR(__xludf.DUMMYFUNCTION("""COMPUTED_VALUE"""),"New York, NY, US")</f>
        <v>New York, NY, US</v>
      </c>
      <c r="R707" s="44">
        <f ca="1">IFERROR(__xludf.DUMMYFUNCTION("""COMPUTED_VALUE"""),45831)</f>
        <v>45831</v>
      </c>
      <c r="S707" s="44">
        <f ca="1">IFERROR(__xludf.DUMMYFUNCTION("""COMPUTED_VALUE"""),45890)</f>
        <v>45890</v>
      </c>
      <c r="T707" s="45" t="str">
        <f ca="1">IFERROR(__xludf.DUMMYFUNCTION("""COMPUTED_VALUE"""),"Mississauga, ON, CA")</f>
        <v>Mississauga, ON, CA</v>
      </c>
      <c r="U707" s="45"/>
      <c r="V707" s="45"/>
      <c r="W707" s="45"/>
      <c r="X707" s="45"/>
      <c r="Y707" s="46">
        <f ca="1">IFERROR(__xludf.DUMMYFUNCTION("""COMPUTED_VALUE"""),45838)</f>
        <v>45838</v>
      </c>
      <c r="Z707" s="46">
        <f ca="1">IFERROR(__xludf.DUMMYFUNCTION("""COMPUTED_VALUE"""),45859)</f>
        <v>45859</v>
      </c>
      <c r="AA707" s="46">
        <f ca="1">IFERROR(__xludf.DUMMYFUNCTION("""COMPUTED_VALUE"""),45859)</f>
        <v>45859</v>
      </c>
      <c r="AB707" s="45" t="str">
        <f ca="1">IFERROR(__xludf.DUMMYFUNCTION("""COMPUTED_VALUE"""),"3500 Argentia Road")</f>
        <v>3500 Argentia Road</v>
      </c>
      <c r="AC707" s="45"/>
      <c r="AD707" s="45" t="str">
        <f ca="1">IFERROR(__xludf.DUMMYFUNCTION("""COMPUTED_VALUE"""),"OCEAN")</f>
        <v>OCEAN</v>
      </c>
      <c r="AE707" s="45" t="str">
        <f ca="1">IFERROR(__xludf.DUMMYFUNCTION("""COMPUTED_VALUE"""),"N")</f>
        <v>N</v>
      </c>
      <c r="AF707" s="45"/>
      <c r="AG707" s="49" t="str">
        <f ca="1">IFERROR(__xludf.DUMMYFUNCTION("IFNA(vlookup(H707,IMPORTRANGE(""1vUGwO1n0QQGx9kKbO0_M5gmuhXZ6-LaxQxgrmJnzgP0"",""'TP# look up'!A:C""),3,0),"""")"),"")</f>
        <v/>
      </c>
      <c r="AH707" s="49" t="str">
        <f t="shared" ca="1" si="11"/>
        <v>LM</v>
      </c>
    </row>
    <row r="708" spans="1:34" ht="12.75">
      <c r="A708" s="45" t="str">
        <f ca="1">IFERROR(__xludf.DUMMYFUNCTION("""COMPUTED_VALUE"""),"Colombo")</f>
        <v>Colombo</v>
      </c>
      <c r="B708" s="45"/>
      <c r="C708" s="45">
        <f ca="1">IFERROR(__xludf.DUMMYFUNCTION("""COMPUTED_VALUE"""),3259512)</f>
        <v>3259512</v>
      </c>
      <c r="D708" s="45"/>
      <c r="E708" s="45" t="str">
        <f ca="1">IFERROR(__xludf.DUMMYFUNCTION("""COMPUTED_VALUE"""),"CFS")</f>
        <v>CFS</v>
      </c>
      <c r="F708" s="45" t="str">
        <f ca="1">IFERROR(__xludf.DUMMYFUNCTION("""COMPUTED_VALUE"""),"MAS AMITY PTE LTD")</f>
        <v>MAS AMITY PTE LTD</v>
      </c>
      <c r="G708" s="45" t="str">
        <f ca="1">IFERROR(__xludf.DUMMYFUNCTION("""COMPUTED_VALUE"""),"MAS Active (Pvt) Ltd – Sleekline")</f>
        <v>MAS Active (Pvt) Ltd – Sleekline</v>
      </c>
      <c r="H708" s="43">
        <f ca="1">IFERROR(__xludf.DUMMYFUNCTION("""COMPUTED_VALUE"""),454967330328)</f>
        <v>454967330328</v>
      </c>
      <c r="I708" s="45">
        <f ca="1">IFERROR(__xludf.DUMMYFUNCTION("""COMPUTED_VALUE"""),19936167)</f>
        <v>19936167</v>
      </c>
      <c r="J708" s="45" t="str">
        <f ca="1">IFERROR(__xludf.DUMMYFUNCTION("""COMPUTED_VALUE"""),"LM9B20S")</f>
        <v>LM9B20S</v>
      </c>
      <c r="K708" s="45" t="str">
        <f ca="1">IFERROR(__xludf.DUMMYFUNCTION("""COMPUTED_VALUE"""),"LM9B20S-4310")</f>
        <v>LM9B20S-4310</v>
      </c>
      <c r="L708" s="45">
        <f ca="1">IFERROR(__xludf.DUMMYFUNCTION("""COMPUTED_VALUE"""),5)</f>
        <v>5</v>
      </c>
      <c r="M708" s="45">
        <f ca="1">IFERROR(__xludf.DUMMYFUNCTION("""COMPUTED_VALUE"""),199)</f>
        <v>199</v>
      </c>
      <c r="N708" s="45">
        <f ca="1">IFERROR(__xludf.DUMMYFUNCTION("""COMPUTED_VALUE"""),62.03)</f>
        <v>62.03</v>
      </c>
      <c r="O708" s="45">
        <f ca="1">IFERROR(__xludf.DUMMYFUNCTION("""COMPUTED_VALUE"""),0.357)</f>
        <v>0.35699999999999998</v>
      </c>
      <c r="P708" s="45" t="str">
        <f ca="1">IFERROR(__xludf.DUMMYFUNCTION("""COMPUTED_VALUE"""),"Colombo, LK")</f>
        <v>Colombo, LK</v>
      </c>
      <c r="Q708" s="45" t="str">
        <f ca="1">IFERROR(__xludf.DUMMYFUNCTION("""COMPUTED_VALUE"""),"New York, NY, US")</f>
        <v>New York, NY, US</v>
      </c>
      <c r="R708" s="44">
        <f ca="1">IFERROR(__xludf.DUMMYFUNCTION("""COMPUTED_VALUE"""),45831)</f>
        <v>45831</v>
      </c>
      <c r="S708" s="44">
        <f ca="1">IFERROR(__xludf.DUMMYFUNCTION("""COMPUTED_VALUE"""),45890)</f>
        <v>45890</v>
      </c>
      <c r="T708" s="45" t="str">
        <f ca="1">IFERROR(__xludf.DUMMYFUNCTION("""COMPUTED_VALUE"""),"Mississauga, ON, CA")</f>
        <v>Mississauga, ON, CA</v>
      </c>
      <c r="U708" s="45"/>
      <c r="V708" s="45"/>
      <c r="W708" s="45"/>
      <c r="X708" s="45"/>
      <c r="Y708" s="46">
        <f ca="1">IFERROR(__xludf.DUMMYFUNCTION("""COMPUTED_VALUE"""),45838)</f>
        <v>45838</v>
      </c>
      <c r="Z708" s="46">
        <f ca="1">IFERROR(__xludf.DUMMYFUNCTION("""COMPUTED_VALUE"""),45859)</f>
        <v>45859</v>
      </c>
      <c r="AA708" s="46">
        <f ca="1">IFERROR(__xludf.DUMMYFUNCTION("""COMPUTED_VALUE"""),45859)</f>
        <v>45859</v>
      </c>
      <c r="AB708" s="45" t="str">
        <f ca="1">IFERROR(__xludf.DUMMYFUNCTION("""COMPUTED_VALUE"""),"3500 Argentia Road")</f>
        <v>3500 Argentia Road</v>
      </c>
      <c r="AC708" s="45"/>
      <c r="AD708" s="45" t="str">
        <f ca="1">IFERROR(__xludf.DUMMYFUNCTION("""COMPUTED_VALUE"""),"OCEAN")</f>
        <v>OCEAN</v>
      </c>
      <c r="AE708" s="45" t="str">
        <f ca="1">IFERROR(__xludf.DUMMYFUNCTION("""COMPUTED_VALUE"""),"N")</f>
        <v>N</v>
      </c>
      <c r="AF708" s="45"/>
      <c r="AG708" s="49" t="str">
        <f ca="1">IFERROR(__xludf.DUMMYFUNCTION("IFNA(vlookup(H708,IMPORTRANGE(""1vUGwO1n0QQGx9kKbO0_M5gmuhXZ6-LaxQxgrmJnzgP0"",""'TP# look up'!A:C""),3,0),"""")"),"")</f>
        <v/>
      </c>
      <c r="AH708" s="49" t="str">
        <f t="shared" ca="1" si="11"/>
        <v>LM</v>
      </c>
    </row>
    <row r="709" spans="1:34" ht="12.75">
      <c r="A709" s="45" t="str">
        <f ca="1">IFERROR(__xludf.DUMMYFUNCTION("""COMPUTED_VALUE"""),"Colombo")</f>
        <v>Colombo</v>
      </c>
      <c r="B709" s="45"/>
      <c r="C709" s="45">
        <f ca="1">IFERROR(__xludf.DUMMYFUNCTION("""COMPUTED_VALUE"""),3259512)</f>
        <v>3259512</v>
      </c>
      <c r="D709" s="45"/>
      <c r="E709" s="45" t="str">
        <f ca="1">IFERROR(__xludf.DUMMYFUNCTION("""COMPUTED_VALUE"""),"CFS")</f>
        <v>CFS</v>
      </c>
      <c r="F709" s="45" t="str">
        <f ca="1">IFERROR(__xludf.DUMMYFUNCTION("""COMPUTED_VALUE"""),"MAS AMITY PTE LTD")</f>
        <v>MAS AMITY PTE LTD</v>
      </c>
      <c r="G709" s="45" t="str">
        <f ca="1">IFERROR(__xludf.DUMMYFUNCTION("""COMPUTED_VALUE"""),"MAS Active (Pvt) Ltd – Sleekline")</f>
        <v>MAS Active (Pvt) Ltd – Sleekline</v>
      </c>
      <c r="H709" s="43">
        <f ca="1">IFERROR(__xludf.DUMMYFUNCTION("""COMPUTED_VALUE"""),454968871857)</f>
        <v>454968871857</v>
      </c>
      <c r="I709" s="45">
        <f ca="1">IFERROR(__xludf.DUMMYFUNCTION("""COMPUTED_VALUE"""),19940690)</f>
        <v>19940690</v>
      </c>
      <c r="J709" s="45" t="str">
        <f ca="1">IFERROR(__xludf.DUMMYFUNCTION("""COMPUTED_VALUE"""),"LM9AY9S")</f>
        <v>LM9AY9S</v>
      </c>
      <c r="K709" s="45" t="str">
        <f ca="1">IFERROR(__xludf.DUMMYFUNCTION("""COMPUTED_VALUE"""),"LM9AY9S-042751")</f>
        <v>LM9AY9S-042751</v>
      </c>
      <c r="L709" s="45">
        <f ca="1">IFERROR(__xludf.DUMMYFUNCTION("""COMPUTED_VALUE"""),8)</f>
        <v>8</v>
      </c>
      <c r="M709" s="45">
        <f ca="1">IFERROR(__xludf.DUMMYFUNCTION("""COMPUTED_VALUE"""),336)</f>
        <v>336</v>
      </c>
      <c r="N709" s="45">
        <f ca="1">IFERROR(__xludf.DUMMYFUNCTION("""COMPUTED_VALUE"""),98.99)</f>
        <v>98.99</v>
      </c>
      <c r="O709" s="45">
        <f ca="1">IFERROR(__xludf.DUMMYFUNCTION("""COMPUTED_VALUE"""),0.595)</f>
        <v>0.59499999999999997</v>
      </c>
      <c r="P709" s="45" t="str">
        <f ca="1">IFERROR(__xludf.DUMMYFUNCTION("""COMPUTED_VALUE"""),"Colombo, LK")</f>
        <v>Colombo, LK</v>
      </c>
      <c r="Q709" s="45" t="str">
        <f ca="1">IFERROR(__xludf.DUMMYFUNCTION("""COMPUTED_VALUE"""),"New York, NY, US")</f>
        <v>New York, NY, US</v>
      </c>
      <c r="R709" s="44">
        <f ca="1">IFERROR(__xludf.DUMMYFUNCTION("""COMPUTED_VALUE"""),45831)</f>
        <v>45831</v>
      </c>
      <c r="S709" s="44">
        <f ca="1">IFERROR(__xludf.DUMMYFUNCTION("""COMPUTED_VALUE"""),45890)</f>
        <v>45890</v>
      </c>
      <c r="T709" s="45" t="str">
        <f ca="1">IFERROR(__xludf.DUMMYFUNCTION("""COMPUTED_VALUE"""),"Mississauga, ON, CA")</f>
        <v>Mississauga, ON, CA</v>
      </c>
      <c r="U709" s="45"/>
      <c r="V709" s="45"/>
      <c r="W709" s="45"/>
      <c r="X709" s="45"/>
      <c r="Y709" s="46">
        <f ca="1">IFERROR(__xludf.DUMMYFUNCTION("""COMPUTED_VALUE"""),45838)</f>
        <v>45838</v>
      </c>
      <c r="Z709" s="46">
        <f ca="1">IFERROR(__xludf.DUMMYFUNCTION("""COMPUTED_VALUE"""),45859)</f>
        <v>45859</v>
      </c>
      <c r="AA709" s="46">
        <f ca="1">IFERROR(__xludf.DUMMYFUNCTION("""COMPUTED_VALUE"""),45859)</f>
        <v>45859</v>
      </c>
      <c r="AB709" s="45" t="str">
        <f ca="1">IFERROR(__xludf.DUMMYFUNCTION("""COMPUTED_VALUE"""),"3500 Argentia Road")</f>
        <v>3500 Argentia Road</v>
      </c>
      <c r="AC709" s="45"/>
      <c r="AD709" s="45" t="str">
        <f ca="1">IFERROR(__xludf.DUMMYFUNCTION("""COMPUTED_VALUE"""),"OCEAN")</f>
        <v>OCEAN</v>
      </c>
      <c r="AE709" s="45" t="str">
        <f ca="1">IFERROR(__xludf.DUMMYFUNCTION("""COMPUTED_VALUE"""),"N")</f>
        <v>N</v>
      </c>
      <c r="AF709" s="45"/>
      <c r="AG709" s="49" t="str">
        <f ca="1">IFERROR(__xludf.DUMMYFUNCTION("IFNA(vlookup(H709,IMPORTRANGE(""1vUGwO1n0QQGx9kKbO0_M5gmuhXZ6-LaxQxgrmJnzgP0"",""'TP# look up'!A:C""),3,0),"""")"),"")</f>
        <v/>
      </c>
      <c r="AH709" s="49" t="str">
        <f t="shared" ca="1" si="11"/>
        <v>LM</v>
      </c>
    </row>
    <row r="710" spans="1:34" ht="12.75">
      <c r="A710" s="45" t="str">
        <f ca="1">IFERROR(__xludf.DUMMYFUNCTION("""COMPUTED_VALUE"""),"Colombo")</f>
        <v>Colombo</v>
      </c>
      <c r="B710" s="45"/>
      <c r="C710" s="45">
        <f ca="1">IFERROR(__xludf.DUMMYFUNCTION("""COMPUTED_VALUE"""),3259512)</f>
        <v>3259512</v>
      </c>
      <c r="D710" s="45"/>
      <c r="E710" s="45" t="str">
        <f ca="1">IFERROR(__xludf.DUMMYFUNCTION("""COMPUTED_VALUE"""),"CFS")</f>
        <v>CFS</v>
      </c>
      <c r="F710" s="45" t="str">
        <f ca="1">IFERROR(__xludf.DUMMYFUNCTION("""COMPUTED_VALUE"""),"MAS AMITY PTE LTD")</f>
        <v>MAS AMITY PTE LTD</v>
      </c>
      <c r="G710" s="45" t="str">
        <f ca="1">IFERROR(__xludf.DUMMYFUNCTION("""COMPUTED_VALUE"""),"MAS Active (Pvt) Ltd – Sleekline")</f>
        <v>MAS Active (Pvt) Ltd – Sleekline</v>
      </c>
      <c r="H710" s="43">
        <f ca="1">IFERROR(__xludf.DUMMYFUNCTION("""COMPUTED_VALUE"""),454970657209)</f>
        <v>454970657209</v>
      </c>
      <c r="I710" s="45">
        <f ca="1">IFERROR(__xludf.DUMMYFUNCTION("""COMPUTED_VALUE"""),19940707)</f>
        <v>19940707</v>
      </c>
      <c r="J710" s="45" t="str">
        <f ca="1">IFERROR(__xludf.DUMMYFUNCTION("""COMPUTED_VALUE"""),"LM9AYES")</f>
        <v>LM9AYES</v>
      </c>
      <c r="K710" s="45" t="str">
        <f ca="1">IFERROR(__xludf.DUMMYFUNCTION("""COMPUTED_VALUE"""),"LM9AYES-071856")</f>
        <v>LM9AYES-071856</v>
      </c>
      <c r="L710" s="45">
        <f ca="1">IFERROR(__xludf.DUMMYFUNCTION("""COMPUTED_VALUE"""),9)</f>
        <v>9</v>
      </c>
      <c r="M710" s="45">
        <f ca="1">IFERROR(__xludf.DUMMYFUNCTION("""COMPUTED_VALUE"""),196)</f>
        <v>196</v>
      </c>
      <c r="N710" s="45">
        <f ca="1">IFERROR(__xludf.DUMMYFUNCTION("""COMPUTED_VALUE"""),94.01)</f>
        <v>94.01</v>
      </c>
      <c r="O710" s="45">
        <f ca="1">IFERROR(__xludf.DUMMYFUNCTION("""COMPUTED_VALUE"""),0.674)</f>
        <v>0.67400000000000004</v>
      </c>
      <c r="P710" s="45" t="str">
        <f ca="1">IFERROR(__xludf.DUMMYFUNCTION("""COMPUTED_VALUE"""),"Colombo, LK")</f>
        <v>Colombo, LK</v>
      </c>
      <c r="Q710" s="45" t="str">
        <f ca="1">IFERROR(__xludf.DUMMYFUNCTION("""COMPUTED_VALUE"""),"New York, NY, US")</f>
        <v>New York, NY, US</v>
      </c>
      <c r="R710" s="44">
        <f ca="1">IFERROR(__xludf.DUMMYFUNCTION("""COMPUTED_VALUE"""),45831)</f>
        <v>45831</v>
      </c>
      <c r="S710" s="44">
        <f ca="1">IFERROR(__xludf.DUMMYFUNCTION("""COMPUTED_VALUE"""),45890)</f>
        <v>45890</v>
      </c>
      <c r="T710" s="45" t="str">
        <f ca="1">IFERROR(__xludf.DUMMYFUNCTION("""COMPUTED_VALUE"""),"Mississauga, ON, CA")</f>
        <v>Mississauga, ON, CA</v>
      </c>
      <c r="U710" s="45"/>
      <c r="V710" s="45"/>
      <c r="W710" s="45"/>
      <c r="X710" s="45"/>
      <c r="Y710" s="46">
        <f ca="1">IFERROR(__xludf.DUMMYFUNCTION("""COMPUTED_VALUE"""),45838)</f>
        <v>45838</v>
      </c>
      <c r="Z710" s="46">
        <f ca="1">IFERROR(__xludf.DUMMYFUNCTION("""COMPUTED_VALUE"""),45859)</f>
        <v>45859</v>
      </c>
      <c r="AA710" s="46">
        <f ca="1">IFERROR(__xludf.DUMMYFUNCTION("""COMPUTED_VALUE"""),45859)</f>
        <v>45859</v>
      </c>
      <c r="AB710" s="45" t="str">
        <f ca="1">IFERROR(__xludf.DUMMYFUNCTION("""COMPUTED_VALUE"""),"3500 Argentia Road")</f>
        <v>3500 Argentia Road</v>
      </c>
      <c r="AC710" s="45"/>
      <c r="AD710" s="45" t="str">
        <f ca="1">IFERROR(__xludf.DUMMYFUNCTION("""COMPUTED_VALUE"""),"OCEAN")</f>
        <v>OCEAN</v>
      </c>
      <c r="AE710" s="45" t="str">
        <f ca="1">IFERROR(__xludf.DUMMYFUNCTION("""COMPUTED_VALUE"""),"N")</f>
        <v>N</v>
      </c>
      <c r="AF710" s="45"/>
      <c r="AG710" s="49" t="str">
        <f ca="1">IFERROR(__xludf.DUMMYFUNCTION("IFNA(vlookup(H710,IMPORTRANGE(""1vUGwO1n0QQGx9kKbO0_M5gmuhXZ6-LaxQxgrmJnzgP0"",""'TP# look up'!A:C""),3,0),"""")"),"")</f>
        <v/>
      </c>
      <c r="AH710" s="49" t="str">
        <f t="shared" ca="1" si="11"/>
        <v>LM</v>
      </c>
    </row>
    <row r="711" spans="1:34" ht="12.75">
      <c r="A711" s="45" t="str">
        <f ca="1">IFERROR(__xludf.DUMMYFUNCTION("""COMPUTED_VALUE"""),"Colombo")</f>
        <v>Colombo</v>
      </c>
      <c r="B711" s="45"/>
      <c r="C711" s="45">
        <f ca="1">IFERROR(__xludf.DUMMYFUNCTION("""COMPUTED_VALUE"""),3259512)</f>
        <v>3259512</v>
      </c>
      <c r="D711" s="45"/>
      <c r="E711" s="45" t="str">
        <f ca="1">IFERROR(__xludf.DUMMYFUNCTION("""COMPUTED_VALUE"""),"CFS")</f>
        <v>CFS</v>
      </c>
      <c r="F711" s="45" t="str">
        <f ca="1">IFERROR(__xludf.DUMMYFUNCTION("""COMPUTED_VALUE"""),"MAS AMITY PTE LTD")</f>
        <v>MAS AMITY PTE LTD</v>
      </c>
      <c r="G711" s="45" t="str">
        <f ca="1">IFERROR(__xludf.DUMMYFUNCTION("""COMPUTED_VALUE"""),"MAS Active (Pvt) Ltd – Sleekline")</f>
        <v>MAS Active (Pvt) Ltd – Sleekline</v>
      </c>
      <c r="H711" s="43">
        <f ca="1">IFERROR(__xludf.DUMMYFUNCTION("""COMPUTED_VALUE"""),454970845920)</f>
        <v>454970845920</v>
      </c>
      <c r="I711" s="45">
        <f ca="1">IFERROR(__xludf.DUMMYFUNCTION("""COMPUTED_VALUE"""),19940735)</f>
        <v>19940735</v>
      </c>
      <c r="J711" s="45" t="str">
        <f ca="1">IFERROR(__xludf.DUMMYFUNCTION("""COMPUTED_VALUE"""),"LM9AYLS")</f>
        <v>LM9AYLS</v>
      </c>
      <c r="K711" s="45" t="str">
        <f ca="1">IFERROR(__xludf.DUMMYFUNCTION("""COMPUTED_VALUE"""),"LM9AYLS-035487")</f>
        <v>LM9AYLS-035487</v>
      </c>
      <c r="L711" s="45">
        <f ca="1">IFERROR(__xludf.DUMMYFUNCTION("""COMPUTED_VALUE"""),1)</f>
        <v>1</v>
      </c>
      <c r="M711" s="45">
        <f ca="1">IFERROR(__xludf.DUMMYFUNCTION("""COMPUTED_VALUE"""),75)</f>
        <v>75</v>
      </c>
      <c r="N711" s="45">
        <f ca="1">IFERROR(__xludf.DUMMYFUNCTION("""COMPUTED_VALUE"""),7.48)</f>
        <v>7.48</v>
      </c>
      <c r="O711" s="45">
        <f ca="1">IFERROR(__xludf.DUMMYFUNCTION("""COMPUTED_VALUE"""),0.079)</f>
        <v>7.9000000000000001E-2</v>
      </c>
      <c r="P711" s="45" t="str">
        <f ca="1">IFERROR(__xludf.DUMMYFUNCTION("""COMPUTED_VALUE"""),"Colombo, LK")</f>
        <v>Colombo, LK</v>
      </c>
      <c r="Q711" s="45" t="str">
        <f ca="1">IFERROR(__xludf.DUMMYFUNCTION("""COMPUTED_VALUE"""),"New York, NY, US")</f>
        <v>New York, NY, US</v>
      </c>
      <c r="R711" s="44">
        <f ca="1">IFERROR(__xludf.DUMMYFUNCTION("""COMPUTED_VALUE"""),45831)</f>
        <v>45831</v>
      </c>
      <c r="S711" s="44">
        <f ca="1">IFERROR(__xludf.DUMMYFUNCTION("""COMPUTED_VALUE"""),45890)</f>
        <v>45890</v>
      </c>
      <c r="T711" s="45" t="str">
        <f ca="1">IFERROR(__xludf.DUMMYFUNCTION("""COMPUTED_VALUE"""),"Mississauga, ON, CA")</f>
        <v>Mississauga, ON, CA</v>
      </c>
      <c r="U711" s="45"/>
      <c r="V711" s="45"/>
      <c r="W711" s="45"/>
      <c r="X711" s="45"/>
      <c r="Y711" s="46">
        <f ca="1">IFERROR(__xludf.DUMMYFUNCTION("""COMPUTED_VALUE"""),45838)</f>
        <v>45838</v>
      </c>
      <c r="Z711" s="46">
        <f ca="1">IFERROR(__xludf.DUMMYFUNCTION("""COMPUTED_VALUE"""),45859)</f>
        <v>45859</v>
      </c>
      <c r="AA711" s="46">
        <f ca="1">IFERROR(__xludf.DUMMYFUNCTION("""COMPUTED_VALUE"""),45859)</f>
        <v>45859</v>
      </c>
      <c r="AB711" s="45" t="str">
        <f ca="1">IFERROR(__xludf.DUMMYFUNCTION("""COMPUTED_VALUE"""),"3500 Argentia Road")</f>
        <v>3500 Argentia Road</v>
      </c>
      <c r="AC711" s="45"/>
      <c r="AD711" s="45" t="str">
        <f ca="1">IFERROR(__xludf.DUMMYFUNCTION("""COMPUTED_VALUE"""),"OCEAN")</f>
        <v>OCEAN</v>
      </c>
      <c r="AE711" s="45" t="str">
        <f ca="1">IFERROR(__xludf.DUMMYFUNCTION("""COMPUTED_VALUE"""),"N")</f>
        <v>N</v>
      </c>
      <c r="AF711" s="45"/>
      <c r="AG711" s="49" t="str">
        <f ca="1">IFERROR(__xludf.DUMMYFUNCTION("IFNA(vlookup(H711,IMPORTRANGE(""1vUGwO1n0QQGx9kKbO0_M5gmuhXZ6-LaxQxgrmJnzgP0"",""'TP# look up'!A:C""),3,0),"""")"),"")</f>
        <v/>
      </c>
      <c r="AH711" s="49" t="str">
        <f t="shared" ca="1" si="11"/>
        <v>LM</v>
      </c>
    </row>
    <row r="712" spans="1:34" ht="12.75">
      <c r="A712" s="45" t="str">
        <f ca="1">IFERROR(__xludf.DUMMYFUNCTION("""COMPUTED_VALUE"""),"Colombo")</f>
        <v>Colombo</v>
      </c>
      <c r="B712" s="45"/>
      <c r="C712" s="45">
        <f ca="1">IFERROR(__xludf.DUMMYFUNCTION("""COMPUTED_VALUE"""),3259512)</f>
        <v>3259512</v>
      </c>
      <c r="D712" s="45"/>
      <c r="E712" s="45" t="str">
        <f ca="1">IFERROR(__xludf.DUMMYFUNCTION("""COMPUTED_VALUE"""),"CFS")</f>
        <v>CFS</v>
      </c>
      <c r="F712" s="45" t="str">
        <f ca="1">IFERROR(__xludf.DUMMYFUNCTION("""COMPUTED_VALUE"""),"MAS AMITY PTE LTD")</f>
        <v>MAS AMITY PTE LTD</v>
      </c>
      <c r="G712" s="45" t="str">
        <f ca="1">IFERROR(__xludf.DUMMYFUNCTION("""COMPUTED_VALUE"""),"MAS Active (Pvt) Ltd – Sleekline")</f>
        <v>MAS Active (Pvt) Ltd – Sleekline</v>
      </c>
      <c r="H712" s="43">
        <f ca="1">IFERROR(__xludf.DUMMYFUNCTION("""COMPUTED_VALUE"""),454972329413)</f>
        <v>454972329413</v>
      </c>
      <c r="I712" s="45">
        <f ca="1">IFERROR(__xludf.DUMMYFUNCTION("""COMPUTED_VALUE"""),19940823)</f>
        <v>19940823</v>
      </c>
      <c r="J712" s="45" t="str">
        <f ca="1">IFERROR(__xludf.DUMMYFUNCTION("""COMPUTED_VALUE"""),"LM9B19S")</f>
        <v>LM9B19S</v>
      </c>
      <c r="K712" s="45" t="str">
        <f ca="1">IFERROR(__xludf.DUMMYFUNCTION("""COMPUTED_VALUE"""),"LM9B19S-4310")</f>
        <v>LM9B19S-4310</v>
      </c>
      <c r="L712" s="45">
        <f ca="1">IFERROR(__xludf.DUMMYFUNCTION("""COMPUTED_VALUE"""),6)</f>
        <v>6</v>
      </c>
      <c r="M712" s="45">
        <f ca="1">IFERROR(__xludf.DUMMYFUNCTION("""COMPUTED_VALUE"""),222)</f>
        <v>222</v>
      </c>
      <c r="N712" s="45">
        <f ca="1">IFERROR(__xludf.DUMMYFUNCTION("""COMPUTED_VALUE"""),63.1)</f>
        <v>63.1</v>
      </c>
      <c r="O712" s="45">
        <f ca="1">IFERROR(__xludf.DUMMYFUNCTION("""COMPUTED_VALUE"""),0.397)</f>
        <v>0.39700000000000002</v>
      </c>
      <c r="P712" s="45" t="str">
        <f ca="1">IFERROR(__xludf.DUMMYFUNCTION("""COMPUTED_VALUE"""),"Colombo, LK")</f>
        <v>Colombo, LK</v>
      </c>
      <c r="Q712" s="45" t="str">
        <f ca="1">IFERROR(__xludf.DUMMYFUNCTION("""COMPUTED_VALUE"""),"New York, NY, US")</f>
        <v>New York, NY, US</v>
      </c>
      <c r="R712" s="44">
        <f ca="1">IFERROR(__xludf.DUMMYFUNCTION("""COMPUTED_VALUE"""),45831)</f>
        <v>45831</v>
      </c>
      <c r="S712" s="44">
        <f ca="1">IFERROR(__xludf.DUMMYFUNCTION("""COMPUTED_VALUE"""),45890)</f>
        <v>45890</v>
      </c>
      <c r="T712" s="45" t="str">
        <f ca="1">IFERROR(__xludf.DUMMYFUNCTION("""COMPUTED_VALUE"""),"Mississauga, ON, CA")</f>
        <v>Mississauga, ON, CA</v>
      </c>
      <c r="U712" s="45"/>
      <c r="V712" s="45"/>
      <c r="W712" s="45"/>
      <c r="X712" s="45"/>
      <c r="Y712" s="46">
        <f ca="1">IFERROR(__xludf.DUMMYFUNCTION("""COMPUTED_VALUE"""),45838)</f>
        <v>45838</v>
      </c>
      <c r="Z712" s="46">
        <f ca="1">IFERROR(__xludf.DUMMYFUNCTION("""COMPUTED_VALUE"""),45859)</f>
        <v>45859</v>
      </c>
      <c r="AA712" s="46">
        <f ca="1">IFERROR(__xludf.DUMMYFUNCTION("""COMPUTED_VALUE"""),45859)</f>
        <v>45859</v>
      </c>
      <c r="AB712" s="45" t="str">
        <f ca="1">IFERROR(__xludf.DUMMYFUNCTION("""COMPUTED_VALUE"""),"3500 Argentia Road")</f>
        <v>3500 Argentia Road</v>
      </c>
      <c r="AC712" s="45"/>
      <c r="AD712" s="45" t="str">
        <f ca="1">IFERROR(__xludf.DUMMYFUNCTION("""COMPUTED_VALUE"""),"OCEAN")</f>
        <v>OCEAN</v>
      </c>
      <c r="AE712" s="45" t="str">
        <f ca="1">IFERROR(__xludf.DUMMYFUNCTION("""COMPUTED_VALUE"""),"N")</f>
        <v>N</v>
      </c>
      <c r="AF712" s="45"/>
      <c r="AG712" s="49" t="str">
        <f ca="1">IFERROR(__xludf.DUMMYFUNCTION("IFNA(vlookup(H712,IMPORTRANGE(""1vUGwO1n0QQGx9kKbO0_M5gmuhXZ6-LaxQxgrmJnzgP0"",""'TP# look up'!A:C""),3,0),"""")"),"")</f>
        <v/>
      </c>
      <c r="AH712" s="49" t="str">
        <f t="shared" ca="1" si="11"/>
        <v>LM</v>
      </c>
    </row>
    <row r="713" spans="1:34" ht="12.75">
      <c r="A713" s="45" t="str">
        <f ca="1">IFERROR(__xludf.DUMMYFUNCTION("""COMPUTED_VALUE"""),"Colombo")</f>
        <v>Colombo</v>
      </c>
      <c r="B713" s="45"/>
      <c r="C713" s="45">
        <f ca="1">IFERROR(__xludf.DUMMYFUNCTION("""COMPUTED_VALUE"""),3259512)</f>
        <v>3259512</v>
      </c>
      <c r="D713" s="45"/>
      <c r="E713" s="45" t="str">
        <f ca="1">IFERROR(__xludf.DUMMYFUNCTION("""COMPUTED_VALUE"""),"CFS")</f>
        <v>CFS</v>
      </c>
      <c r="F713" s="45" t="str">
        <f ca="1">IFERROR(__xludf.DUMMYFUNCTION("""COMPUTED_VALUE"""),"MAS AMITY PTE LTD")</f>
        <v>MAS AMITY PTE LTD</v>
      </c>
      <c r="G713" s="45" t="str">
        <f ca="1">IFERROR(__xludf.DUMMYFUNCTION("""COMPUTED_VALUE"""),"MAS Active(Pvt) Ltd – CONTOURLINE")</f>
        <v>MAS Active(Pvt) Ltd – CONTOURLINE</v>
      </c>
      <c r="H713" s="43">
        <f ca="1">IFERROR(__xludf.DUMMYFUNCTION("""COMPUTED_VALUE"""),454974939717)</f>
        <v>454974939717</v>
      </c>
      <c r="I713" s="45">
        <f ca="1">IFERROR(__xludf.DUMMYFUNCTION("""COMPUTED_VALUE"""),19890558)</f>
        <v>19890558</v>
      </c>
      <c r="J713" s="45" t="str">
        <f ca="1">IFERROR(__xludf.DUMMYFUNCTION("""COMPUTED_VALUE"""),"LW7CNIS")</f>
        <v>LW7CNIS</v>
      </c>
      <c r="K713" s="45" t="str">
        <f ca="1">IFERROR(__xludf.DUMMYFUNCTION("""COMPUTED_VALUE"""),"LW7CNIS-071188")</f>
        <v>LW7CNIS-071188</v>
      </c>
      <c r="L713" s="45">
        <f ca="1">IFERROR(__xludf.DUMMYFUNCTION("""COMPUTED_VALUE"""),4)</f>
        <v>4</v>
      </c>
      <c r="M713" s="45">
        <f ca="1">IFERROR(__xludf.DUMMYFUNCTION("""COMPUTED_VALUE"""),212)</f>
        <v>212</v>
      </c>
      <c r="N713" s="45">
        <f ca="1">IFERROR(__xludf.DUMMYFUNCTION("""COMPUTED_VALUE"""),37.38)</f>
        <v>37.380000000000003</v>
      </c>
      <c r="O713" s="45">
        <f ca="1">IFERROR(__xludf.DUMMYFUNCTION("""COMPUTED_VALUE"""),0.276)</f>
        <v>0.27600000000000002</v>
      </c>
      <c r="P713" s="45" t="str">
        <f ca="1">IFERROR(__xludf.DUMMYFUNCTION("""COMPUTED_VALUE"""),"Colombo, LK")</f>
        <v>Colombo, LK</v>
      </c>
      <c r="Q713" s="45" t="str">
        <f ca="1">IFERROR(__xludf.DUMMYFUNCTION("""COMPUTED_VALUE"""),"New York, NY, US")</f>
        <v>New York, NY, US</v>
      </c>
      <c r="R713" s="44">
        <f ca="1">IFERROR(__xludf.DUMMYFUNCTION("""COMPUTED_VALUE"""),45831)</f>
        <v>45831</v>
      </c>
      <c r="S713" s="44">
        <f ca="1">IFERROR(__xludf.DUMMYFUNCTION("""COMPUTED_VALUE"""),45890)</f>
        <v>45890</v>
      </c>
      <c r="T713" s="45" t="str">
        <f ca="1">IFERROR(__xludf.DUMMYFUNCTION("""COMPUTED_VALUE"""),"Mississauga, ON, CA")</f>
        <v>Mississauga, ON, CA</v>
      </c>
      <c r="U713" s="45"/>
      <c r="V713" s="45"/>
      <c r="W713" s="45"/>
      <c r="X713" s="45"/>
      <c r="Y713" s="46">
        <f ca="1">IFERROR(__xludf.DUMMYFUNCTION("""COMPUTED_VALUE"""),45838)</f>
        <v>45838</v>
      </c>
      <c r="Z713" s="46">
        <f ca="1">IFERROR(__xludf.DUMMYFUNCTION("""COMPUTED_VALUE"""),45859)</f>
        <v>45859</v>
      </c>
      <c r="AA713" s="46">
        <f ca="1">IFERROR(__xludf.DUMMYFUNCTION("""COMPUTED_VALUE"""),45859)</f>
        <v>45859</v>
      </c>
      <c r="AB713" s="45" t="str">
        <f ca="1">IFERROR(__xludf.DUMMYFUNCTION("""COMPUTED_VALUE"""),"3500 Argentia Road")</f>
        <v>3500 Argentia Road</v>
      </c>
      <c r="AC713" s="45"/>
      <c r="AD713" s="45" t="str">
        <f ca="1">IFERROR(__xludf.DUMMYFUNCTION("""COMPUTED_VALUE"""),"OCEAN")</f>
        <v>OCEAN</v>
      </c>
      <c r="AE713" s="45" t="str">
        <f ca="1">IFERROR(__xludf.DUMMYFUNCTION("""COMPUTED_VALUE"""),"N")</f>
        <v>N</v>
      </c>
      <c r="AF713" s="45"/>
      <c r="AG713" s="49" t="str">
        <f ca="1">IFERROR(__xludf.DUMMYFUNCTION("IFNA(vlookup(H713,IMPORTRANGE(""1vUGwO1n0QQGx9kKbO0_M5gmuhXZ6-LaxQxgrmJnzgP0"",""'TP# look up'!A:C""),3,0),"""")"),"")</f>
        <v/>
      </c>
      <c r="AH713" s="49" t="str">
        <f t="shared" ca="1" si="11"/>
        <v>LW</v>
      </c>
    </row>
    <row r="714" spans="1:34" ht="12.75">
      <c r="A714" s="45" t="str">
        <f ca="1">IFERROR(__xludf.DUMMYFUNCTION("""COMPUTED_VALUE"""),"Colombo")</f>
        <v>Colombo</v>
      </c>
      <c r="B714" s="45"/>
      <c r="C714" s="45">
        <f ca="1">IFERROR(__xludf.DUMMYFUNCTION("""COMPUTED_VALUE"""),3259512)</f>
        <v>3259512</v>
      </c>
      <c r="D714" s="45"/>
      <c r="E714" s="45" t="str">
        <f ca="1">IFERROR(__xludf.DUMMYFUNCTION("""COMPUTED_VALUE"""),"CFS")</f>
        <v>CFS</v>
      </c>
      <c r="F714" s="45" t="str">
        <f ca="1">IFERROR(__xludf.DUMMYFUNCTION("""COMPUTED_VALUE"""),"MAS AMITY PTE LTD")</f>
        <v>MAS AMITY PTE LTD</v>
      </c>
      <c r="G714" s="45" t="str">
        <f ca="1">IFERROR(__xludf.DUMMYFUNCTION("""COMPUTED_VALUE"""),"MAS Active(Pvt) Ltd – CONTOURLINE")</f>
        <v>MAS Active(Pvt) Ltd – CONTOURLINE</v>
      </c>
      <c r="H714" s="43">
        <f ca="1">IFERROR(__xludf.DUMMYFUNCTION("""COMPUTED_VALUE"""),454977327690)</f>
        <v>454977327690</v>
      </c>
      <c r="I714" s="45">
        <f ca="1">IFERROR(__xludf.DUMMYFUNCTION("""COMPUTED_VALUE"""),19890685)</f>
        <v>19890685</v>
      </c>
      <c r="J714" s="45" t="str">
        <f ca="1">IFERROR(__xludf.DUMMYFUNCTION("""COMPUTED_VALUE"""),"LW7CNIS")</f>
        <v>LW7CNIS</v>
      </c>
      <c r="K714" s="45" t="str">
        <f ca="1">IFERROR(__xludf.DUMMYFUNCTION("""COMPUTED_VALUE"""),"LW7CNIS-071188")</f>
        <v>LW7CNIS-071188</v>
      </c>
      <c r="L714" s="45">
        <f ca="1">IFERROR(__xludf.DUMMYFUNCTION("""COMPUTED_VALUE"""),2)</f>
        <v>2</v>
      </c>
      <c r="M714" s="45">
        <f ca="1">IFERROR(__xludf.DUMMYFUNCTION("""COMPUTED_VALUE"""),112)</f>
        <v>112</v>
      </c>
      <c r="N714" s="45">
        <f ca="1">IFERROR(__xludf.DUMMYFUNCTION("""COMPUTED_VALUE"""),19.477)</f>
        <v>19.477</v>
      </c>
      <c r="O714" s="45">
        <f ca="1">IFERROR(__xludf.DUMMYFUNCTION("""COMPUTED_VALUE"""),0.118)</f>
        <v>0.11799999999999999</v>
      </c>
      <c r="P714" s="45" t="str">
        <f ca="1">IFERROR(__xludf.DUMMYFUNCTION("""COMPUTED_VALUE"""),"Colombo, LK")</f>
        <v>Colombo, LK</v>
      </c>
      <c r="Q714" s="45" t="str">
        <f ca="1">IFERROR(__xludf.DUMMYFUNCTION("""COMPUTED_VALUE"""),"New York, NY, US")</f>
        <v>New York, NY, US</v>
      </c>
      <c r="R714" s="44">
        <f ca="1">IFERROR(__xludf.DUMMYFUNCTION("""COMPUTED_VALUE"""),45831)</f>
        <v>45831</v>
      </c>
      <c r="S714" s="44">
        <f ca="1">IFERROR(__xludf.DUMMYFUNCTION("""COMPUTED_VALUE"""),45890)</f>
        <v>45890</v>
      </c>
      <c r="T714" s="45" t="str">
        <f ca="1">IFERROR(__xludf.DUMMYFUNCTION("""COMPUTED_VALUE"""),"Mississauga, ON, CA")</f>
        <v>Mississauga, ON, CA</v>
      </c>
      <c r="U714" s="45"/>
      <c r="V714" s="45"/>
      <c r="W714" s="45"/>
      <c r="X714" s="45"/>
      <c r="Y714" s="46">
        <f ca="1">IFERROR(__xludf.DUMMYFUNCTION("""COMPUTED_VALUE"""),45838)</f>
        <v>45838</v>
      </c>
      <c r="Z714" s="46">
        <f ca="1">IFERROR(__xludf.DUMMYFUNCTION("""COMPUTED_VALUE"""),45859)</f>
        <v>45859</v>
      </c>
      <c r="AA714" s="46">
        <f ca="1">IFERROR(__xludf.DUMMYFUNCTION("""COMPUTED_VALUE"""),45859)</f>
        <v>45859</v>
      </c>
      <c r="AB714" s="45" t="str">
        <f ca="1">IFERROR(__xludf.DUMMYFUNCTION("""COMPUTED_VALUE"""),"3500 Argentia Road")</f>
        <v>3500 Argentia Road</v>
      </c>
      <c r="AC714" s="45"/>
      <c r="AD714" s="45" t="str">
        <f ca="1">IFERROR(__xludf.DUMMYFUNCTION("""COMPUTED_VALUE"""),"OCEAN")</f>
        <v>OCEAN</v>
      </c>
      <c r="AE714" s="45" t="str">
        <f ca="1">IFERROR(__xludf.DUMMYFUNCTION("""COMPUTED_VALUE"""),"N")</f>
        <v>N</v>
      </c>
      <c r="AF714" s="45"/>
      <c r="AG714" s="49" t="str">
        <f ca="1">IFERROR(__xludf.DUMMYFUNCTION("IFNA(vlookup(H714,IMPORTRANGE(""1vUGwO1n0QQGx9kKbO0_M5gmuhXZ6-LaxQxgrmJnzgP0"",""'TP# look up'!A:C""),3,0),"""")"),"")</f>
        <v/>
      </c>
      <c r="AH714" s="49" t="str">
        <f t="shared" ca="1" si="11"/>
        <v>LW</v>
      </c>
    </row>
    <row r="715" spans="1:34" ht="12.75">
      <c r="A715" s="45" t="str">
        <f ca="1">IFERROR(__xludf.DUMMYFUNCTION("""COMPUTED_VALUE"""),"Colombo")</f>
        <v>Colombo</v>
      </c>
      <c r="B715" s="45"/>
      <c r="C715" s="45">
        <f ca="1">IFERROR(__xludf.DUMMYFUNCTION("""COMPUTED_VALUE"""),3259512)</f>
        <v>3259512</v>
      </c>
      <c r="D715" s="45"/>
      <c r="E715" s="45" t="str">
        <f ca="1">IFERROR(__xludf.DUMMYFUNCTION("""COMPUTED_VALUE"""),"CFS")</f>
        <v>CFS</v>
      </c>
      <c r="F715" s="45" t="str">
        <f ca="1">IFERROR(__xludf.DUMMYFUNCTION("""COMPUTED_VALUE"""),"MAS AMITY PTE LTD")</f>
        <v>MAS AMITY PTE LTD</v>
      </c>
      <c r="G715" s="45" t="str">
        <f ca="1">IFERROR(__xludf.DUMMYFUNCTION("""COMPUTED_VALUE"""),"MAS Active(Pvt) Ltd – CONTOURLINE")</f>
        <v>MAS Active(Pvt) Ltd – CONTOURLINE</v>
      </c>
      <c r="H715" s="43">
        <f ca="1">IFERROR(__xludf.DUMMYFUNCTION("""COMPUTED_VALUE"""),454977350455)</f>
        <v>454977350455</v>
      </c>
      <c r="I715" s="45">
        <f ca="1">IFERROR(__xludf.DUMMYFUNCTION("""COMPUTED_VALUE"""),19890785)</f>
        <v>19890785</v>
      </c>
      <c r="J715" s="45" t="str">
        <f ca="1">IFERROR(__xludf.DUMMYFUNCTION("""COMPUTED_VALUE"""),"LW7CPPS")</f>
        <v>LW7CPPS</v>
      </c>
      <c r="K715" s="45" t="str">
        <f ca="1">IFERROR(__xludf.DUMMYFUNCTION("""COMPUTED_VALUE"""),"LW7CPPS-071188")</f>
        <v>LW7CPPS-071188</v>
      </c>
      <c r="L715" s="45">
        <f ca="1">IFERROR(__xludf.DUMMYFUNCTION("""COMPUTED_VALUE"""),1)</f>
        <v>1</v>
      </c>
      <c r="M715" s="45">
        <f ca="1">IFERROR(__xludf.DUMMYFUNCTION("""COMPUTED_VALUE"""),37)</f>
        <v>37</v>
      </c>
      <c r="N715" s="45">
        <f ca="1">IFERROR(__xludf.DUMMYFUNCTION("""COMPUTED_VALUE"""),6.299)</f>
        <v>6.2990000000000004</v>
      </c>
      <c r="O715" s="45">
        <f ca="1">IFERROR(__xludf.DUMMYFUNCTION("""COMPUTED_VALUE"""),0.079)</f>
        <v>7.9000000000000001E-2</v>
      </c>
      <c r="P715" s="45" t="str">
        <f ca="1">IFERROR(__xludf.DUMMYFUNCTION("""COMPUTED_VALUE"""),"Colombo, LK")</f>
        <v>Colombo, LK</v>
      </c>
      <c r="Q715" s="45" t="str">
        <f ca="1">IFERROR(__xludf.DUMMYFUNCTION("""COMPUTED_VALUE"""),"New York, NY, US")</f>
        <v>New York, NY, US</v>
      </c>
      <c r="R715" s="44">
        <f ca="1">IFERROR(__xludf.DUMMYFUNCTION("""COMPUTED_VALUE"""),45831)</f>
        <v>45831</v>
      </c>
      <c r="S715" s="44">
        <f ca="1">IFERROR(__xludf.DUMMYFUNCTION("""COMPUTED_VALUE"""),45890)</f>
        <v>45890</v>
      </c>
      <c r="T715" s="45" t="str">
        <f ca="1">IFERROR(__xludf.DUMMYFUNCTION("""COMPUTED_VALUE"""),"Mississauga, ON, CA")</f>
        <v>Mississauga, ON, CA</v>
      </c>
      <c r="U715" s="45"/>
      <c r="V715" s="45"/>
      <c r="W715" s="45"/>
      <c r="X715" s="45"/>
      <c r="Y715" s="46">
        <f ca="1">IFERROR(__xludf.DUMMYFUNCTION("""COMPUTED_VALUE"""),45838)</f>
        <v>45838</v>
      </c>
      <c r="Z715" s="46">
        <f ca="1">IFERROR(__xludf.DUMMYFUNCTION("""COMPUTED_VALUE"""),45859)</f>
        <v>45859</v>
      </c>
      <c r="AA715" s="46">
        <f ca="1">IFERROR(__xludf.DUMMYFUNCTION("""COMPUTED_VALUE"""),45859)</f>
        <v>45859</v>
      </c>
      <c r="AB715" s="45" t="str">
        <f ca="1">IFERROR(__xludf.DUMMYFUNCTION("""COMPUTED_VALUE"""),"3500 Argentia Road")</f>
        <v>3500 Argentia Road</v>
      </c>
      <c r="AC715" s="45"/>
      <c r="AD715" s="45" t="str">
        <f ca="1">IFERROR(__xludf.DUMMYFUNCTION("""COMPUTED_VALUE"""),"OCEAN")</f>
        <v>OCEAN</v>
      </c>
      <c r="AE715" s="45" t="str">
        <f ca="1">IFERROR(__xludf.DUMMYFUNCTION("""COMPUTED_VALUE"""),"N")</f>
        <v>N</v>
      </c>
      <c r="AF715" s="45"/>
      <c r="AG715" s="49" t="str">
        <f ca="1">IFERROR(__xludf.DUMMYFUNCTION("IFNA(vlookup(H715,IMPORTRANGE(""1vUGwO1n0QQGx9kKbO0_M5gmuhXZ6-LaxQxgrmJnzgP0"",""'TP# look up'!A:C""),3,0),"""")"),"")</f>
        <v/>
      </c>
      <c r="AH715" s="49" t="str">
        <f t="shared" ca="1" si="11"/>
        <v>LW</v>
      </c>
    </row>
    <row r="716" spans="1:34" ht="12.75">
      <c r="A716" s="45" t="str">
        <f ca="1">IFERROR(__xludf.DUMMYFUNCTION("""COMPUTED_VALUE"""),"Colombo")</f>
        <v>Colombo</v>
      </c>
      <c r="B716" s="45"/>
      <c r="C716" s="45">
        <f ca="1">IFERROR(__xludf.DUMMYFUNCTION("""COMPUTED_VALUE"""),3259512)</f>
        <v>3259512</v>
      </c>
      <c r="D716" s="45"/>
      <c r="E716" s="45" t="str">
        <f ca="1">IFERROR(__xludf.DUMMYFUNCTION("""COMPUTED_VALUE"""),"CFS")</f>
        <v>CFS</v>
      </c>
      <c r="F716" s="45" t="str">
        <f ca="1">IFERROR(__xludf.DUMMYFUNCTION("""COMPUTED_VALUE"""),"MAS AMITY PTE LTD")</f>
        <v>MAS AMITY PTE LTD</v>
      </c>
      <c r="G716" s="45" t="str">
        <f ca="1">IFERROR(__xludf.DUMMYFUNCTION("""COMPUTED_VALUE"""),"MAS Active(Pvt) Ltd – CONTOURLINE")</f>
        <v>MAS Active(Pvt) Ltd – CONTOURLINE</v>
      </c>
      <c r="H716" s="43">
        <f ca="1">IFERROR(__xludf.DUMMYFUNCTION("""COMPUTED_VALUE"""),454977351811)</f>
        <v>454977351811</v>
      </c>
      <c r="I716" s="45">
        <f ca="1">IFERROR(__xludf.DUMMYFUNCTION("""COMPUTED_VALUE"""),19890788)</f>
        <v>19890788</v>
      </c>
      <c r="J716" s="45" t="str">
        <f ca="1">IFERROR(__xludf.DUMMYFUNCTION("""COMPUTED_VALUE"""),"LW7CPPS")</f>
        <v>LW7CPPS</v>
      </c>
      <c r="K716" s="45" t="str">
        <f ca="1">IFERROR(__xludf.DUMMYFUNCTION("""COMPUTED_VALUE"""),"LW7CPPS-071188")</f>
        <v>LW7CPPS-071188</v>
      </c>
      <c r="L716" s="45">
        <f ca="1">IFERROR(__xludf.DUMMYFUNCTION("""COMPUTED_VALUE"""),2)</f>
        <v>2</v>
      </c>
      <c r="M716" s="45">
        <f ca="1">IFERROR(__xludf.DUMMYFUNCTION("""COMPUTED_VALUE"""),92)</f>
        <v>92</v>
      </c>
      <c r="N716" s="45">
        <f ca="1">IFERROR(__xludf.DUMMYFUNCTION("""COMPUTED_VALUE"""),14.784)</f>
        <v>14.784000000000001</v>
      </c>
      <c r="O716" s="45">
        <f ca="1">IFERROR(__xludf.DUMMYFUNCTION("""COMPUTED_VALUE"""),0.118)</f>
        <v>0.11799999999999999</v>
      </c>
      <c r="P716" s="45" t="str">
        <f ca="1">IFERROR(__xludf.DUMMYFUNCTION("""COMPUTED_VALUE"""),"Colombo, LK")</f>
        <v>Colombo, LK</v>
      </c>
      <c r="Q716" s="45" t="str">
        <f ca="1">IFERROR(__xludf.DUMMYFUNCTION("""COMPUTED_VALUE"""),"New York, NY, US")</f>
        <v>New York, NY, US</v>
      </c>
      <c r="R716" s="44">
        <f ca="1">IFERROR(__xludf.DUMMYFUNCTION("""COMPUTED_VALUE"""),45831)</f>
        <v>45831</v>
      </c>
      <c r="S716" s="44">
        <f ca="1">IFERROR(__xludf.DUMMYFUNCTION("""COMPUTED_VALUE"""),45890)</f>
        <v>45890</v>
      </c>
      <c r="T716" s="45" t="str">
        <f ca="1">IFERROR(__xludf.DUMMYFUNCTION("""COMPUTED_VALUE"""),"Mississauga, ON, CA")</f>
        <v>Mississauga, ON, CA</v>
      </c>
      <c r="U716" s="45"/>
      <c r="V716" s="45"/>
      <c r="W716" s="45"/>
      <c r="X716" s="45"/>
      <c r="Y716" s="46">
        <f ca="1">IFERROR(__xludf.DUMMYFUNCTION("""COMPUTED_VALUE"""),45838)</f>
        <v>45838</v>
      </c>
      <c r="Z716" s="46">
        <f ca="1">IFERROR(__xludf.DUMMYFUNCTION("""COMPUTED_VALUE"""),45859)</f>
        <v>45859</v>
      </c>
      <c r="AA716" s="46">
        <f ca="1">IFERROR(__xludf.DUMMYFUNCTION("""COMPUTED_VALUE"""),45859)</f>
        <v>45859</v>
      </c>
      <c r="AB716" s="45" t="str">
        <f ca="1">IFERROR(__xludf.DUMMYFUNCTION("""COMPUTED_VALUE"""),"3500 Argentia Road")</f>
        <v>3500 Argentia Road</v>
      </c>
      <c r="AC716" s="45"/>
      <c r="AD716" s="45" t="str">
        <f ca="1">IFERROR(__xludf.DUMMYFUNCTION("""COMPUTED_VALUE"""),"OCEAN")</f>
        <v>OCEAN</v>
      </c>
      <c r="AE716" s="45" t="str">
        <f ca="1">IFERROR(__xludf.DUMMYFUNCTION("""COMPUTED_VALUE"""),"N")</f>
        <v>N</v>
      </c>
      <c r="AF716" s="45"/>
      <c r="AG716" s="49" t="str">
        <f ca="1">IFERROR(__xludf.DUMMYFUNCTION("IFNA(vlookup(H716,IMPORTRANGE(""1vUGwO1n0QQGx9kKbO0_M5gmuhXZ6-LaxQxgrmJnzgP0"",""'TP# look up'!A:C""),3,0),"""")"),"")</f>
        <v/>
      </c>
      <c r="AH716" s="49" t="str">
        <f t="shared" ca="1" si="11"/>
        <v>LW</v>
      </c>
    </row>
    <row r="717" spans="1:34" ht="12.75">
      <c r="A717" s="45" t="str">
        <f ca="1">IFERROR(__xludf.DUMMYFUNCTION("""COMPUTED_VALUE"""),"Colombo")</f>
        <v>Colombo</v>
      </c>
      <c r="B717" s="45"/>
      <c r="C717" s="45">
        <f ca="1">IFERROR(__xludf.DUMMYFUNCTION("""COMPUTED_VALUE"""),3259512)</f>
        <v>3259512</v>
      </c>
      <c r="D717" s="45"/>
      <c r="E717" s="45" t="str">
        <f ca="1">IFERROR(__xludf.DUMMYFUNCTION("""COMPUTED_VALUE"""),"CFS")</f>
        <v>CFS</v>
      </c>
      <c r="F717" s="45" t="str">
        <f ca="1">IFERROR(__xludf.DUMMYFUNCTION("""COMPUTED_VALUE"""),"MAS AMITY PTE LTD")</f>
        <v>MAS AMITY PTE LTD</v>
      </c>
      <c r="G717" s="45" t="str">
        <f ca="1">IFERROR(__xludf.DUMMYFUNCTION("""COMPUTED_VALUE"""),"MAS Active(Pvt) Ltd – CONTOURLINE")</f>
        <v>MAS Active(Pvt) Ltd – CONTOURLINE</v>
      </c>
      <c r="H717" s="43">
        <f ca="1">IFERROR(__xludf.DUMMYFUNCTION("""COMPUTED_VALUE"""),454978932437)</f>
        <v>454978932437</v>
      </c>
      <c r="I717" s="45">
        <f ca="1">IFERROR(__xludf.DUMMYFUNCTION("""COMPUTED_VALUE"""),19896666)</f>
        <v>19896666</v>
      </c>
      <c r="J717" s="45" t="str">
        <f ca="1">IFERROR(__xludf.DUMMYFUNCTION("""COMPUTED_VALUE"""),"LW1DRKS")</f>
        <v>LW1DRKS</v>
      </c>
      <c r="K717" s="45" t="str">
        <f ca="1">IFERROR(__xludf.DUMMYFUNCTION("""COMPUTED_VALUE"""),"LW1DRKS-070108")</f>
        <v>LW1DRKS-070108</v>
      </c>
      <c r="L717" s="45">
        <f ca="1">IFERROR(__xludf.DUMMYFUNCTION("""COMPUTED_VALUE"""),2)</f>
        <v>2</v>
      </c>
      <c r="M717" s="45">
        <f ca="1">IFERROR(__xludf.DUMMYFUNCTION("""COMPUTED_VALUE"""),108)</f>
        <v>108</v>
      </c>
      <c r="N717" s="45">
        <f ca="1">IFERROR(__xludf.DUMMYFUNCTION("""COMPUTED_VALUE"""),14.178)</f>
        <v>14.178000000000001</v>
      </c>
      <c r="O717" s="45">
        <f ca="1">IFERROR(__xludf.DUMMYFUNCTION("""COMPUTED_VALUE"""),0.118)</f>
        <v>0.11799999999999999</v>
      </c>
      <c r="P717" s="45" t="str">
        <f ca="1">IFERROR(__xludf.DUMMYFUNCTION("""COMPUTED_VALUE"""),"Colombo, LK")</f>
        <v>Colombo, LK</v>
      </c>
      <c r="Q717" s="45" t="str">
        <f ca="1">IFERROR(__xludf.DUMMYFUNCTION("""COMPUTED_VALUE"""),"New York, NY, US")</f>
        <v>New York, NY, US</v>
      </c>
      <c r="R717" s="44">
        <f ca="1">IFERROR(__xludf.DUMMYFUNCTION("""COMPUTED_VALUE"""),45831)</f>
        <v>45831</v>
      </c>
      <c r="S717" s="44">
        <f ca="1">IFERROR(__xludf.DUMMYFUNCTION("""COMPUTED_VALUE"""),45890)</f>
        <v>45890</v>
      </c>
      <c r="T717" s="45" t="str">
        <f ca="1">IFERROR(__xludf.DUMMYFUNCTION("""COMPUTED_VALUE"""),"Milton, ON, CA")</f>
        <v>Milton, ON, CA</v>
      </c>
      <c r="U717" s="45"/>
      <c r="V717" s="45"/>
      <c r="W717" s="45"/>
      <c r="X717" s="45"/>
      <c r="Y717" s="46">
        <f ca="1">IFERROR(__xludf.DUMMYFUNCTION("""COMPUTED_VALUE"""),45838)</f>
        <v>45838</v>
      </c>
      <c r="Z717" s="46">
        <f ca="1">IFERROR(__xludf.DUMMYFUNCTION("""COMPUTED_VALUE"""),45859)</f>
        <v>45859</v>
      </c>
      <c r="AA717" s="46">
        <f ca="1">IFERROR(__xludf.DUMMYFUNCTION("""COMPUTED_VALUE"""),45859)</f>
        <v>45859</v>
      </c>
      <c r="AB717" s="45" t="str">
        <f ca="1">IFERROR(__xludf.DUMMYFUNCTION("""COMPUTED_VALUE"""),"7211 Fifth Line")</f>
        <v>7211 Fifth Line</v>
      </c>
      <c r="AC717" s="45"/>
      <c r="AD717" s="45" t="str">
        <f ca="1">IFERROR(__xludf.DUMMYFUNCTION("""COMPUTED_VALUE"""),"OCEAN")</f>
        <v>OCEAN</v>
      </c>
      <c r="AE717" s="45" t="str">
        <f ca="1">IFERROR(__xludf.DUMMYFUNCTION("""COMPUTED_VALUE"""),"N")</f>
        <v>N</v>
      </c>
      <c r="AF717" s="45"/>
      <c r="AG717" s="49" t="str">
        <f ca="1">IFERROR(__xludf.DUMMYFUNCTION("IFNA(vlookup(H717,IMPORTRANGE(""1vUGwO1n0QQGx9kKbO0_M5gmuhXZ6-LaxQxgrmJnzgP0"",""'TP# look up'!A:C""),3,0),"""")"),"")</f>
        <v/>
      </c>
      <c r="AH717" s="49" t="str">
        <f t="shared" ca="1" si="11"/>
        <v>LW</v>
      </c>
    </row>
    <row r="718" spans="1:34" ht="12.75">
      <c r="A718" s="45" t="str">
        <f ca="1">IFERROR(__xludf.DUMMYFUNCTION("""COMPUTED_VALUE"""),"Colombo")</f>
        <v>Colombo</v>
      </c>
      <c r="B718" s="45"/>
      <c r="C718" s="45">
        <f ca="1">IFERROR(__xludf.DUMMYFUNCTION("""COMPUTED_VALUE"""),3259512)</f>
        <v>3259512</v>
      </c>
      <c r="D718" s="45"/>
      <c r="E718" s="45" t="str">
        <f ca="1">IFERROR(__xludf.DUMMYFUNCTION("""COMPUTED_VALUE"""),"CFS")</f>
        <v>CFS</v>
      </c>
      <c r="F718" s="45" t="str">
        <f ca="1">IFERROR(__xludf.DUMMYFUNCTION("""COMPUTED_VALUE"""),"MAS AMITY PTE LTD")</f>
        <v>MAS AMITY PTE LTD</v>
      </c>
      <c r="G718" s="45" t="str">
        <f ca="1">IFERROR(__xludf.DUMMYFUNCTION("""COMPUTED_VALUE"""),"MAS Active(Pvt) Ltd – CONTOURLINE")</f>
        <v>MAS Active(Pvt) Ltd – CONTOURLINE</v>
      </c>
      <c r="H718" s="43">
        <f ca="1">IFERROR(__xludf.DUMMYFUNCTION("""COMPUTED_VALUE"""),454984696909)</f>
        <v>454984696909</v>
      </c>
      <c r="I718" s="45">
        <f ca="1">IFERROR(__xludf.DUMMYFUNCTION("""COMPUTED_VALUE"""),19897884)</f>
        <v>19897884</v>
      </c>
      <c r="J718" s="45" t="str">
        <f ca="1">IFERROR(__xludf.DUMMYFUNCTION("""COMPUTED_VALUE"""),"LW7CPPS")</f>
        <v>LW7CPPS</v>
      </c>
      <c r="K718" s="45" t="str">
        <f ca="1">IFERROR(__xludf.DUMMYFUNCTION("""COMPUTED_VALUE"""),"LW7CPPS-062214")</f>
        <v>LW7CPPS-062214</v>
      </c>
      <c r="L718" s="45">
        <f ca="1">IFERROR(__xludf.DUMMYFUNCTION("""COMPUTED_VALUE"""),2)</f>
        <v>2</v>
      </c>
      <c r="M718" s="45">
        <f ca="1">IFERROR(__xludf.DUMMYFUNCTION("""COMPUTED_VALUE"""),81)</f>
        <v>81</v>
      </c>
      <c r="N718" s="45">
        <f ca="1">IFERROR(__xludf.DUMMYFUNCTION("""COMPUTED_VALUE"""),13.121)</f>
        <v>13.121</v>
      </c>
      <c r="O718" s="45">
        <f ca="1">IFERROR(__xludf.DUMMYFUNCTION("""COMPUTED_VALUE"""),0.118)</f>
        <v>0.11799999999999999</v>
      </c>
      <c r="P718" s="45" t="str">
        <f ca="1">IFERROR(__xludf.DUMMYFUNCTION("""COMPUTED_VALUE"""),"Colombo, LK")</f>
        <v>Colombo, LK</v>
      </c>
      <c r="Q718" s="45" t="str">
        <f ca="1">IFERROR(__xludf.DUMMYFUNCTION("""COMPUTED_VALUE"""),"New York, NY, US")</f>
        <v>New York, NY, US</v>
      </c>
      <c r="R718" s="44">
        <f ca="1">IFERROR(__xludf.DUMMYFUNCTION("""COMPUTED_VALUE"""),45831)</f>
        <v>45831</v>
      </c>
      <c r="S718" s="44">
        <f ca="1">IFERROR(__xludf.DUMMYFUNCTION("""COMPUTED_VALUE"""),45890)</f>
        <v>45890</v>
      </c>
      <c r="T718" s="45" t="str">
        <f ca="1">IFERROR(__xludf.DUMMYFUNCTION("""COMPUTED_VALUE"""),"Milton, ON, CA")</f>
        <v>Milton, ON, CA</v>
      </c>
      <c r="U718" s="45"/>
      <c r="V718" s="45"/>
      <c r="W718" s="45"/>
      <c r="X718" s="45"/>
      <c r="Y718" s="46">
        <f ca="1">IFERROR(__xludf.DUMMYFUNCTION("""COMPUTED_VALUE"""),45838)</f>
        <v>45838</v>
      </c>
      <c r="Z718" s="46">
        <f ca="1">IFERROR(__xludf.DUMMYFUNCTION("""COMPUTED_VALUE"""),45859)</f>
        <v>45859</v>
      </c>
      <c r="AA718" s="46">
        <f ca="1">IFERROR(__xludf.DUMMYFUNCTION("""COMPUTED_VALUE"""),45859)</f>
        <v>45859</v>
      </c>
      <c r="AB718" s="45" t="str">
        <f ca="1">IFERROR(__xludf.DUMMYFUNCTION("""COMPUTED_VALUE"""),"7211 Fifth Line")</f>
        <v>7211 Fifth Line</v>
      </c>
      <c r="AC718" s="45"/>
      <c r="AD718" s="45" t="str">
        <f ca="1">IFERROR(__xludf.DUMMYFUNCTION("""COMPUTED_VALUE"""),"OCEAN")</f>
        <v>OCEAN</v>
      </c>
      <c r="AE718" s="45" t="str">
        <f ca="1">IFERROR(__xludf.DUMMYFUNCTION("""COMPUTED_VALUE"""),"N")</f>
        <v>N</v>
      </c>
      <c r="AF718" s="45"/>
      <c r="AG718" s="49" t="str">
        <f ca="1">IFERROR(__xludf.DUMMYFUNCTION("IFNA(vlookup(H718,IMPORTRANGE(""1vUGwO1n0QQGx9kKbO0_M5gmuhXZ6-LaxQxgrmJnzgP0"",""'TP# look up'!A:C""),3,0),"""")"),"")</f>
        <v/>
      </c>
      <c r="AH718" s="49" t="str">
        <f t="shared" ca="1" si="11"/>
        <v>LW</v>
      </c>
    </row>
    <row r="719" spans="1:34" ht="12.75">
      <c r="A719" s="45" t="str">
        <f ca="1">IFERROR(__xludf.DUMMYFUNCTION("""COMPUTED_VALUE"""),"Colombo")</f>
        <v>Colombo</v>
      </c>
      <c r="B719" s="45"/>
      <c r="C719" s="45">
        <f ca="1">IFERROR(__xludf.DUMMYFUNCTION("""COMPUTED_VALUE"""),3259512)</f>
        <v>3259512</v>
      </c>
      <c r="D719" s="45"/>
      <c r="E719" s="45" t="str">
        <f ca="1">IFERROR(__xludf.DUMMYFUNCTION("""COMPUTED_VALUE"""),"CFS")</f>
        <v>CFS</v>
      </c>
      <c r="F719" s="45" t="str">
        <f ca="1">IFERROR(__xludf.DUMMYFUNCTION("""COMPUTED_VALUE"""),"MAS AMITY PTE LTD")</f>
        <v>MAS AMITY PTE LTD</v>
      </c>
      <c r="G719" s="45" t="str">
        <f ca="1">IFERROR(__xludf.DUMMYFUNCTION("""COMPUTED_VALUE"""),"MAS Active(Pvt) Ltd – CONTOURLINE")</f>
        <v>MAS Active(Pvt) Ltd – CONTOURLINE</v>
      </c>
      <c r="H719" s="43">
        <f ca="1">IFERROR(__xludf.DUMMYFUNCTION("""COMPUTED_VALUE"""),454986101249)</f>
        <v>454986101249</v>
      </c>
      <c r="I719" s="45">
        <f ca="1">IFERROR(__xludf.DUMMYFUNCTION("""COMPUTED_VALUE"""),19920750)</f>
        <v>19920750</v>
      </c>
      <c r="J719" s="45" t="str">
        <f ca="1">IFERROR(__xludf.DUMMYFUNCTION("""COMPUTED_VALUE"""),"LW5FARS")</f>
        <v>LW5FARS</v>
      </c>
      <c r="K719" s="45" t="str">
        <f ca="1">IFERROR(__xludf.DUMMYFUNCTION("""COMPUTED_VALUE"""),"LW5FARS-071188")</f>
        <v>LW5FARS-071188</v>
      </c>
      <c r="L719" s="45">
        <f ca="1">IFERROR(__xludf.DUMMYFUNCTION("""COMPUTED_VALUE"""),4)</f>
        <v>4</v>
      </c>
      <c r="M719" s="45">
        <f ca="1">IFERROR(__xludf.DUMMYFUNCTION("""COMPUTED_VALUE"""),191)</f>
        <v>191</v>
      </c>
      <c r="N719" s="45">
        <f ca="1">IFERROR(__xludf.DUMMYFUNCTION("""COMPUTED_VALUE"""),41.542)</f>
        <v>41.542000000000002</v>
      </c>
      <c r="O719" s="45">
        <f ca="1">IFERROR(__xludf.DUMMYFUNCTION("""COMPUTED_VALUE"""),0.276)</f>
        <v>0.27600000000000002</v>
      </c>
      <c r="P719" s="45" t="str">
        <f ca="1">IFERROR(__xludf.DUMMYFUNCTION("""COMPUTED_VALUE"""),"Colombo, LK")</f>
        <v>Colombo, LK</v>
      </c>
      <c r="Q719" s="45" t="str">
        <f ca="1">IFERROR(__xludf.DUMMYFUNCTION("""COMPUTED_VALUE"""),"New York, NY, US")</f>
        <v>New York, NY, US</v>
      </c>
      <c r="R719" s="44">
        <f ca="1">IFERROR(__xludf.DUMMYFUNCTION("""COMPUTED_VALUE"""),45831)</f>
        <v>45831</v>
      </c>
      <c r="S719" s="44">
        <f ca="1">IFERROR(__xludf.DUMMYFUNCTION("""COMPUTED_VALUE"""),45890)</f>
        <v>45890</v>
      </c>
      <c r="T719" s="45" t="str">
        <f ca="1">IFERROR(__xludf.DUMMYFUNCTION("""COMPUTED_VALUE"""),"Mississauga, ON, CA")</f>
        <v>Mississauga, ON, CA</v>
      </c>
      <c r="U719" s="45"/>
      <c r="V719" s="45"/>
      <c r="W719" s="45"/>
      <c r="X719" s="45"/>
      <c r="Y719" s="46">
        <f ca="1">IFERROR(__xludf.DUMMYFUNCTION("""COMPUTED_VALUE"""),45838)</f>
        <v>45838</v>
      </c>
      <c r="Z719" s="46">
        <f ca="1">IFERROR(__xludf.DUMMYFUNCTION("""COMPUTED_VALUE"""),45859)</f>
        <v>45859</v>
      </c>
      <c r="AA719" s="46">
        <f ca="1">IFERROR(__xludf.DUMMYFUNCTION("""COMPUTED_VALUE"""),45859)</f>
        <v>45859</v>
      </c>
      <c r="AB719" s="45" t="str">
        <f ca="1">IFERROR(__xludf.DUMMYFUNCTION("""COMPUTED_VALUE"""),"3500 Argentia Road")</f>
        <v>3500 Argentia Road</v>
      </c>
      <c r="AC719" s="45"/>
      <c r="AD719" s="45" t="str">
        <f ca="1">IFERROR(__xludf.DUMMYFUNCTION("""COMPUTED_VALUE"""),"OCEAN")</f>
        <v>OCEAN</v>
      </c>
      <c r="AE719" s="45" t="str">
        <f ca="1">IFERROR(__xludf.DUMMYFUNCTION("""COMPUTED_VALUE"""),"N")</f>
        <v>N</v>
      </c>
      <c r="AF719" s="45"/>
      <c r="AG719" s="49" t="str">
        <f ca="1">IFERROR(__xludf.DUMMYFUNCTION("IFNA(vlookup(H719,IMPORTRANGE(""1vUGwO1n0QQGx9kKbO0_M5gmuhXZ6-LaxQxgrmJnzgP0"",""'TP# look up'!A:C""),3,0),"""")"),"")</f>
        <v/>
      </c>
      <c r="AH719" s="49" t="str">
        <f t="shared" ca="1" si="11"/>
        <v>LW</v>
      </c>
    </row>
    <row r="720" spans="1:34" ht="12.75">
      <c r="A720" s="45" t="str">
        <f ca="1">IFERROR(__xludf.DUMMYFUNCTION("""COMPUTED_VALUE"""),"Colombo")</f>
        <v>Colombo</v>
      </c>
      <c r="B720" s="45"/>
      <c r="C720" s="45">
        <f ca="1">IFERROR(__xludf.DUMMYFUNCTION("""COMPUTED_VALUE"""),3259512)</f>
        <v>3259512</v>
      </c>
      <c r="D720" s="45"/>
      <c r="E720" s="45" t="str">
        <f ca="1">IFERROR(__xludf.DUMMYFUNCTION("""COMPUTED_VALUE"""),"CFS")</f>
        <v>CFS</v>
      </c>
      <c r="F720" s="45" t="str">
        <f ca="1">IFERROR(__xludf.DUMMYFUNCTION("""COMPUTED_VALUE"""),"MAS AMITY PTE LTD")</f>
        <v>MAS AMITY PTE LTD</v>
      </c>
      <c r="G720" s="45" t="str">
        <f ca="1">IFERROR(__xludf.DUMMYFUNCTION("""COMPUTED_VALUE"""),"MAS Active(Pvt) Ltd – CONTOURLINE")</f>
        <v>MAS Active(Pvt) Ltd – CONTOURLINE</v>
      </c>
      <c r="H720" s="43">
        <f ca="1">IFERROR(__xludf.DUMMYFUNCTION("""COMPUTED_VALUE"""),454986238171)</f>
        <v>454986238171</v>
      </c>
      <c r="I720" s="45">
        <f ca="1">IFERROR(__xludf.DUMMYFUNCTION("""COMPUTED_VALUE"""),19920861)</f>
        <v>19920861</v>
      </c>
      <c r="J720" s="45" t="str">
        <f ca="1">IFERROR(__xludf.DUMMYFUNCTION("""COMPUTED_VALUE"""),"LW5FARS")</f>
        <v>LW5FARS</v>
      </c>
      <c r="K720" s="45" t="str">
        <f ca="1">IFERROR(__xludf.DUMMYFUNCTION("""COMPUTED_VALUE"""),"LW5FARS-071188")</f>
        <v>LW5FARS-071188</v>
      </c>
      <c r="L720" s="45">
        <f ca="1">IFERROR(__xludf.DUMMYFUNCTION("""COMPUTED_VALUE"""),9)</f>
        <v>9</v>
      </c>
      <c r="M720" s="45">
        <f ca="1">IFERROR(__xludf.DUMMYFUNCTION("""COMPUTED_VALUE"""),567)</f>
        <v>567</v>
      </c>
      <c r="N720" s="45">
        <f ca="1">IFERROR(__xludf.DUMMYFUNCTION("""COMPUTED_VALUE"""),120.45)</f>
        <v>120.45</v>
      </c>
      <c r="O720" s="45">
        <f ca="1">IFERROR(__xludf.DUMMYFUNCTION("""COMPUTED_VALUE"""),0.632)</f>
        <v>0.63200000000000001</v>
      </c>
      <c r="P720" s="45" t="str">
        <f ca="1">IFERROR(__xludf.DUMMYFUNCTION("""COMPUTED_VALUE"""),"Colombo, LK")</f>
        <v>Colombo, LK</v>
      </c>
      <c r="Q720" s="45" t="str">
        <f ca="1">IFERROR(__xludf.DUMMYFUNCTION("""COMPUTED_VALUE"""),"New York, NY, US")</f>
        <v>New York, NY, US</v>
      </c>
      <c r="R720" s="44">
        <f ca="1">IFERROR(__xludf.DUMMYFUNCTION("""COMPUTED_VALUE"""),45831)</f>
        <v>45831</v>
      </c>
      <c r="S720" s="44">
        <f ca="1">IFERROR(__xludf.DUMMYFUNCTION("""COMPUTED_VALUE"""),45890)</f>
        <v>45890</v>
      </c>
      <c r="T720" s="45" t="str">
        <f ca="1">IFERROR(__xludf.DUMMYFUNCTION("""COMPUTED_VALUE"""),"Mississauga, ON, CA")</f>
        <v>Mississauga, ON, CA</v>
      </c>
      <c r="U720" s="45"/>
      <c r="V720" s="45"/>
      <c r="W720" s="45"/>
      <c r="X720" s="45"/>
      <c r="Y720" s="46">
        <f ca="1">IFERROR(__xludf.DUMMYFUNCTION("""COMPUTED_VALUE"""),45838)</f>
        <v>45838</v>
      </c>
      <c r="Z720" s="46">
        <f ca="1">IFERROR(__xludf.DUMMYFUNCTION("""COMPUTED_VALUE"""),45859)</f>
        <v>45859</v>
      </c>
      <c r="AA720" s="46">
        <f ca="1">IFERROR(__xludf.DUMMYFUNCTION("""COMPUTED_VALUE"""),45859)</f>
        <v>45859</v>
      </c>
      <c r="AB720" s="45" t="str">
        <f ca="1">IFERROR(__xludf.DUMMYFUNCTION("""COMPUTED_VALUE"""),"3500 Argentia Road")</f>
        <v>3500 Argentia Road</v>
      </c>
      <c r="AC720" s="45"/>
      <c r="AD720" s="45" t="str">
        <f ca="1">IFERROR(__xludf.DUMMYFUNCTION("""COMPUTED_VALUE"""),"OCEAN")</f>
        <v>OCEAN</v>
      </c>
      <c r="AE720" s="45" t="str">
        <f ca="1">IFERROR(__xludf.DUMMYFUNCTION("""COMPUTED_VALUE"""),"N")</f>
        <v>N</v>
      </c>
      <c r="AF720" s="45"/>
      <c r="AG720" s="49" t="str">
        <f ca="1">IFERROR(__xludf.DUMMYFUNCTION("IFNA(vlookup(H720,IMPORTRANGE(""1vUGwO1n0QQGx9kKbO0_M5gmuhXZ6-LaxQxgrmJnzgP0"",""'TP# look up'!A:C""),3,0),"""")"),"")</f>
        <v/>
      </c>
      <c r="AH720" s="49" t="str">
        <f t="shared" ca="1" si="11"/>
        <v>LW</v>
      </c>
    </row>
    <row r="721" spans="1:34" ht="12.75">
      <c r="A721" s="45" t="str">
        <f ca="1">IFERROR(__xludf.DUMMYFUNCTION("""COMPUTED_VALUE"""),"Colombo")</f>
        <v>Colombo</v>
      </c>
      <c r="B721" s="45"/>
      <c r="C721" s="45">
        <f ca="1">IFERROR(__xludf.DUMMYFUNCTION("""COMPUTED_VALUE"""),3259512)</f>
        <v>3259512</v>
      </c>
      <c r="D721" s="45"/>
      <c r="E721" s="45" t="str">
        <f ca="1">IFERROR(__xludf.DUMMYFUNCTION("""COMPUTED_VALUE"""),"CFS")</f>
        <v>CFS</v>
      </c>
      <c r="F721" s="45" t="str">
        <f ca="1">IFERROR(__xludf.DUMMYFUNCTION("""COMPUTED_VALUE"""),"MAS AMITY PTE LTD")</f>
        <v>MAS AMITY PTE LTD</v>
      </c>
      <c r="G721" s="45" t="str">
        <f ca="1">IFERROR(__xludf.DUMMYFUNCTION("""COMPUTED_VALUE"""),"MAS Active(Pvt) Ltd – CONTOURLINE")</f>
        <v>MAS Active(Pvt) Ltd – CONTOURLINE</v>
      </c>
      <c r="H721" s="43">
        <f ca="1">IFERROR(__xludf.DUMMYFUNCTION("""COMPUTED_VALUE"""),454987720962)</f>
        <v>454987720962</v>
      </c>
      <c r="I721" s="45">
        <f ca="1">IFERROR(__xludf.DUMMYFUNCTION("""COMPUTED_VALUE"""),19920934)</f>
        <v>19920934</v>
      </c>
      <c r="J721" s="45" t="str">
        <f ca="1">IFERROR(__xludf.DUMMYFUNCTION("""COMPUTED_VALUE"""),"LM7BI2S")</f>
        <v>LM7BI2S</v>
      </c>
      <c r="K721" s="45" t="str">
        <f ca="1">IFERROR(__xludf.DUMMYFUNCTION("""COMPUTED_VALUE"""),"LM7BI2S-041179")</f>
        <v>LM7BI2S-041179</v>
      </c>
      <c r="L721" s="45">
        <f ca="1">IFERROR(__xludf.DUMMYFUNCTION("""COMPUTED_VALUE"""),7)</f>
        <v>7</v>
      </c>
      <c r="M721" s="45">
        <f ca="1">IFERROR(__xludf.DUMMYFUNCTION("""COMPUTED_VALUE"""),269)</f>
        <v>269</v>
      </c>
      <c r="N721" s="45">
        <f ca="1">IFERROR(__xludf.DUMMYFUNCTION("""COMPUTED_VALUE"""),65.045)</f>
        <v>65.045000000000002</v>
      </c>
      <c r="O721" s="45">
        <f ca="1">IFERROR(__xludf.DUMMYFUNCTION("""COMPUTED_VALUE"""),0.553)</f>
        <v>0.55300000000000005</v>
      </c>
      <c r="P721" s="45" t="str">
        <f ca="1">IFERROR(__xludf.DUMMYFUNCTION("""COMPUTED_VALUE"""),"Colombo, LK")</f>
        <v>Colombo, LK</v>
      </c>
      <c r="Q721" s="45" t="str">
        <f ca="1">IFERROR(__xludf.DUMMYFUNCTION("""COMPUTED_VALUE"""),"New York, NY, US")</f>
        <v>New York, NY, US</v>
      </c>
      <c r="R721" s="44">
        <f ca="1">IFERROR(__xludf.DUMMYFUNCTION("""COMPUTED_VALUE"""),45831)</f>
        <v>45831</v>
      </c>
      <c r="S721" s="44">
        <f ca="1">IFERROR(__xludf.DUMMYFUNCTION("""COMPUTED_VALUE"""),45890)</f>
        <v>45890</v>
      </c>
      <c r="T721" s="45" t="str">
        <f ca="1">IFERROR(__xludf.DUMMYFUNCTION("""COMPUTED_VALUE"""),"Mississauga, ON, CA")</f>
        <v>Mississauga, ON, CA</v>
      </c>
      <c r="U721" s="45"/>
      <c r="V721" s="45"/>
      <c r="W721" s="45"/>
      <c r="X721" s="45"/>
      <c r="Y721" s="46">
        <f ca="1">IFERROR(__xludf.DUMMYFUNCTION("""COMPUTED_VALUE"""),45838)</f>
        <v>45838</v>
      </c>
      <c r="Z721" s="46">
        <f ca="1">IFERROR(__xludf.DUMMYFUNCTION("""COMPUTED_VALUE"""),45859)</f>
        <v>45859</v>
      </c>
      <c r="AA721" s="46">
        <f ca="1">IFERROR(__xludf.DUMMYFUNCTION("""COMPUTED_VALUE"""),45859)</f>
        <v>45859</v>
      </c>
      <c r="AB721" s="45" t="str">
        <f ca="1">IFERROR(__xludf.DUMMYFUNCTION("""COMPUTED_VALUE"""),"3500 Argentia Road")</f>
        <v>3500 Argentia Road</v>
      </c>
      <c r="AC721" s="45"/>
      <c r="AD721" s="45" t="str">
        <f ca="1">IFERROR(__xludf.DUMMYFUNCTION("""COMPUTED_VALUE"""),"OCEAN")</f>
        <v>OCEAN</v>
      </c>
      <c r="AE721" s="45" t="str">
        <f ca="1">IFERROR(__xludf.DUMMYFUNCTION("""COMPUTED_VALUE"""),"N")</f>
        <v>N</v>
      </c>
      <c r="AF721" s="45"/>
      <c r="AG721" s="49" t="str">
        <f ca="1">IFERROR(__xludf.DUMMYFUNCTION("IFNA(vlookup(H721,IMPORTRANGE(""1vUGwO1n0QQGx9kKbO0_M5gmuhXZ6-LaxQxgrmJnzgP0"",""'TP# look up'!A:C""),3,0),"""")"),"")</f>
        <v/>
      </c>
      <c r="AH721" s="49" t="str">
        <f t="shared" ca="1" si="11"/>
        <v>LM</v>
      </c>
    </row>
    <row r="722" spans="1:34" ht="12.75">
      <c r="A722" s="45" t="str">
        <f ca="1">IFERROR(__xludf.DUMMYFUNCTION("""COMPUTED_VALUE"""),"Colombo")</f>
        <v>Colombo</v>
      </c>
      <c r="B722" s="45"/>
      <c r="C722" s="45">
        <f ca="1">IFERROR(__xludf.DUMMYFUNCTION("""COMPUTED_VALUE"""),3259512)</f>
        <v>3259512</v>
      </c>
      <c r="D722" s="45"/>
      <c r="E722" s="45" t="str">
        <f ca="1">IFERROR(__xludf.DUMMYFUNCTION("""COMPUTED_VALUE"""),"CFS")</f>
        <v>CFS</v>
      </c>
      <c r="F722" s="45" t="str">
        <f ca="1">IFERROR(__xludf.DUMMYFUNCTION("""COMPUTED_VALUE"""),"MAS AMITY PTE LTD")</f>
        <v>MAS AMITY PTE LTD</v>
      </c>
      <c r="G722" s="45" t="str">
        <f ca="1">IFERROR(__xludf.DUMMYFUNCTION("""COMPUTED_VALUE"""),"MAS Active(Pvt) Ltd – CONTOURLINE")</f>
        <v>MAS Active(Pvt) Ltd – CONTOURLINE</v>
      </c>
      <c r="H722" s="43">
        <f ca="1">IFERROR(__xludf.DUMMYFUNCTION("""COMPUTED_VALUE"""),454989034679)</f>
        <v>454989034679</v>
      </c>
      <c r="I722" s="45">
        <f ca="1">IFERROR(__xludf.DUMMYFUNCTION("""COMPUTED_VALUE"""),19925057)</f>
        <v>19925057</v>
      </c>
      <c r="J722" s="45" t="str">
        <f ca="1">IFERROR(__xludf.DUMMYFUNCTION("""COMPUTED_VALUE"""),"LW1DRNS")</f>
        <v>LW1DRNS</v>
      </c>
      <c r="K722" s="45" t="str">
        <f ca="1">IFERROR(__xludf.DUMMYFUNCTION("""COMPUTED_VALUE"""),"LW1DRNS-038337")</f>
        <v>LW1DRNS-038337</v>
      </c>
      <c r="L722" s="45">
        <f ca="1">IFERROR(__xludf.DUMMYFUNCTION("""COMPUTED_VALUE"""),1)</f>
        <v>1</v>
      </c>
      <c r="M722" s="45">
        <f ca="1">IFERROR(__xludf.DUMMYFUNCTION("""COMPUTED_VALUE"""),102)</f>
        <v>102</v>
      </c>
      <c r="N722" s="45">
        <f ca="1">IFERROR(__xludf.DUMMYFUNCTION("""COMPUTED_VALUE"""),12.819)</f>
        <v>12.819000000000001</v>
      </c>
      <c r="O722" s="45">
        <f ca="1">IFERROR(__xludf.DUMMYFUNCTION("""COMPUTED_VALUE"""),0.079)</f>
        <v>7.9000000000000001E-2</v>
      </c>
      <c r="P722" s="45" t="str">
        <f ca="1">IFERROR(__xludf.DUMMYFUNCTION("""COMPUTED_VALUE"""),"Colombo, LK")</f>
        <v>Colombo, LK</v>
      </c>
      <c r="Q722" s="45" t="str">
        <f ca="1">IFERROR(__xludf.DUMMYFUNCTION("""COMPUTED_VALUE"""),"New York, NY, US")</f>
        <v>New York, NY, US</v>
      </c>
      <c r="R722" s="44">
        <f ca="1">IFERROR(__xludf.DUMMYFUNCTION("""COMPUTED_VALUE"""),45831)</f>
        <v>45831</v>
      </c>
      <c r="S722" s="44">
        <f ca="1">IFERROR(__xludf.DUMMYFUNCTION("""COMPUTED_VALUE"""),45890)</f>
        <v>45890</v>
      </c>
      <c r="T722" s="45" t="str">
        <f ca="1">IFERROR(__xludf.DUMMYFUNCTION("""COMPUTED_VALUE"""),"Mississauga, ON, CA")</f>
        <v>Mississauga, ON, CA</v>
      </c>
      <c r="U722" s="45"/>
      <c r="V722" s="45"/>
      <c r="W722" s="45"/>
      <c r="X722" s="45"/>
      <c r="Y722" s="46">
        <f ca="1">IFERROR(__xludf.DUMMYFUNCTION("""COMPUTED_VALUE"""),45838)</f>
        <v>45838</v>
      </c>
      <c r="Z722" s="46">
        <f ca="1">IFERROR(__xludf.DUMMYFUNCTION("""COMPUTED_VALUE"""),45859)</f>
        <v>45859</v>
      </c>
      <c r="AA722" s="46">
        <f ca="1">IFERROR(__xludf.DUMMYFUNCTION("""COMPUTED_VALUE"""),45859)</f>
        <v>45859</v>
      </c>
      <c r="AB722" s="45" t="str">
        <f ca="1">IFERROR(__xludf.DUMMYFUNCTION("""COMPUTED_VALUE"""),"3500 Argentia Road")</f>
        <v>3500 Argentia Road</v>
      </c>
      <c r="AC722" s="45"/>
      <c r="AD722" s="45" t="str">
        <f ca="1">IFERROR(__xludf.DUMMYFUNCTION("""COMPUTED_VALUE"""),"OCEAN")</f>
        <v>OCEAN</v>
      </c>
      <c r="AE722" s="45" t="str">
        <f ca="1">IFERROR(__xludf.DUMMYFUNCTION("""COMPUTED_VALUE"""),"N")</f>
        <v>N</v>
      </c>
      <c r="AF722" s="45"/>
      <c r="AG722" s="49" t="str">
        <f ca="1">IFERROR(__xludf.DUMMYFUNCTION("IFNA(vlookup(H722,IMPORTRANGE(""1vUGwO1n0QQGx9kKbO0_M5gmuhXZ6-LaxQxgrmJnzgP0"",""'TP# look up'!A:C""),3,0),"""")"),"")</f>
        <v/>
      </c>
      <c r="AH722" s="49" t="str">
        <f t="shared" ca="1" si="11"/>
        <v>LW</v>
      </c>
    </row>
    <row r="723" spans="1:34" ht="12.75">
      <c r="A723" s="45" t="str">
        <f ca="1">IFERROR(__xludf.DUMMYFUNCTION("""COMPUTED_VALUE"""),"Colombo")</f>
        <v>Colombo</v>
      </c>
      <c r="B723" s="45"/>
      <c r="C723" s="45">
        <f ca="1">IFERROR(__xludf.DUMMYFUNCTION("""COMPUTED_VALUE"""),3259512)</f>
        <v>3259512</v>
      </c>
      <c r="D723" s="45"/>
      <c r="E723" s="45" t="str">
        <f ca="1">IFERROR(__xludf.DUMMYFUNCTION("""COMPUTED_VALUE"""),"CFS")</f>
        <v>CFS</v>
      </c>
      <c r="F723" s="45" t="str">
        <f ca="1">IFERROR(__xludf.DUMMYFUNCTION("""COMPUTED_VALUE"""),"MAS AMITY PTE LTD")</f>
        <v>MAS AMITY PTE LTD</v>
      </c>
      <c r="G723" s="45" t="str">
        <f ca="1">IFERROR(__xludf.DUMMYFUNCTION("""COMPUTED_VALUE"""),"MAS Active(Pvt) Ltd – CONTOURLINE")</f>
        <v>MAS Active(Pvt) Ltd – CONTOURLINE</v>
      </c>
      <c r="H723" s="43">
        <f ca="1">IFERROR(__xludf.DUMMYFUNCTION("""COMPUTED_VALUE"""),454989035139)</f>
        <v>454989035139</v>
      </c>
      <c r="I723" s="45">
        <f ca="1">IFERROR(__xludf.DUMMYFUNCTION("""COMPUTED_VALUE"""),19925215)</f>
        <v>19925215</v>
      </c>
      <c r="J723" s="45" t="str">
        <f ca="1">IFERROR(__xludf.DUMMYFUNCTION("""COMPUTED_VALUE"""),"LW6CLQS")</f>
        <v>LW6CLQS</v>
      </c>
      <c r="K723" s="45" t="str">
        <f ca="1">IFERROR(__xludf.DUMMYFUNCTION("""COMPUTED_VALUE"""),"LW6CLQS-071188")</f>
        <v>LW6CLQS-071188</v>
      </c>
      <c r="L723" s="45">
        <f ca="1">IFERROR(__xludf.DUMMYFUNCTION("""COMPUTED_VALUE"""),2)</f>
        <v>2</v>
      </c>
      <c r="M723" s="45">
        <f ca="1">IFERROR(__xludf.DUMMYFUNCTION("""COMPUTED_VALUE"""),88)</f>
        <v>88</v>
      </c>
      <c r="N723" s="45">
        <f ca="1">IFERROR(__xludf.DUMMYFUNCTION("""COMPUTED_VALUE"""),20.141)</f>
        <v>20.140999999999998</v>
      </c>
      <c r="O723" s="45">
        <f ca="1">IFERROR(__xludf.DUMMYFUNCTION("""COMPUTED_VALUE"""),0.118)</f>
        <v>0.11799999999999999</v>
      </c>
      <c r="P723" s="45" t="str">
        <f ca="1">IFERROR(__xludf.DUMMYFUNCTION("""COMPUTED_VALUE"""),"Colombo, LK")</f>
        <v>Colombo, LK</v>
      </c>
      <c r="Q723" s="45" t="str">
        <f ca="1">IFERROR(__xludf.DUMMYFUNCTION("""COMPUTED_VALUE"""),"New York, NY, US")</f>
        <v>New York, NY, US</v>
      </c>
      <c r="R723" s="44">
        <f ca="1">IFERROR(__xludf.DUMMYFUNCTION("""COMPUTED_VALUE"""),45831)</f>
        <v>45831</v>
      </c>
      <c r="S723" s="44">
        <f ca="1">IFERROR(__xludf.DUMMYFUNCTION("""COMPUTED_VALUE"""),45890)</f>
        <v>45890</v>
      </c>
      <c r="T723" s="45" t="str">
        <f ca="1">IFERROR(__xludf.DUMMYFUNCTION("""COMPUTED_VALUE"""),"Mississauga, ON, CA")</f>
        <v>Mississauga, ON, CA</v>
      </c>
      <c r="U723" s="45"/>
      <c r="V723" s="45"/>
      <c r="W723" s="45"/>
      <c r="X723" s="45"/>
      <c r="Y723" s="46">
        <f ca="1">IFERROR(__xludf.DUMMYFUNCTION("""COMPUTED_VALUE"""),45838)</f>
        <v>45838</v>
      </c>
      <c r="Z723" s="46">
        <f ca="1">IFERROR(__xludf.DUMMYFUNCTION("""COMPUTED_VALUE"""),45859)</f>
        <v>45859</v>
      </c>
      <c r="AA723" s="46">
        <f ca="1">IFERROR(__xludf.DUMMYFUNCTION("""COMPUTED_VALUE"""),45859)</f>
        <v>45859</v>
      </c>
      <c r="AB723" s="45" t="str">
        <f ca="1">IFERROR(__xludf.DUMMYFUNCTION("""COMPUTED_VALUE"""),"3500 Argentia Road")</f>
        <v>3500 Argentia Road</v>
      </c>
      <c r="AC723" s="45"/>
      <c r="AD723" s="45" t="str">
        <f ca="1">IFERROR(__xludf.DUMMYFUNCTION("""COMPUTED_VALUE"""),"OCEAN")</f>
        <v>OCEAN</v>
      </c>
      <c r="AE723" s="45" t="str">
        <f ca="1">IFERROR(__xludf.DUMMYFUNCTION("""COMPUTED_VALUE"""),"N")</f>
        <v>N</v>
      </c>
      <c r="AF723" s="45"/>
      <c r="AG723" s="49" t="str">
        <f ca="1">IFERROR(__xludf.DUMMYFUNCTION("IFNA(vlookup(H723,IMPORTRANGE(""1vUGwO1n0QQGx9kKbO0_M5gmuhXZ6-LaxQxgrmJnzgP0"",""'TP# look up'!A:C""),3,0),"""")"),"")</f>
        <v/>
      </c>
      <c r="AH723" s="49" t="str">
        <f t="shared" ca="1" si="11"/>
        <v>LW</v>
      </c>
    </row>
    <row r="724" spans="1:34" ht="12.75">
      <c r="A724" s="45" t="str">
        <f ca="1">IFERROR(__xludf.DUMMYFUNCTION("""COMPUTED_VALUE"""),"Colombo")</f>
        <v>Colombo</v>
      </c>
      <c r="B724" s="45"/>
      <c r="C724" s="45">
        <f ca="1">IFERROR(__xludf.DUMMYFUNCTION("""COMPUTED_VALUE"""),3259512)</f>
        <v>3259512</v>
      </c>
      <c r="D724" s="45"/>
      <c r="E724" s="45" t="str">
        <f ca="1">IFERROR(__xludf.DUMMYFUNCTION("""COMPUTED_VALUE"""),"CFS")</f>
        <v>CFS</v>
      </c>
      <c r="F724" s="45" t="str">
        <f ca="1">IFERROR(__xludf.DUMMYFUNCTION("""COMPUTED_VALUE"""),"MAS AMITY PTE LTD")</f>
        <v>MAS AMITY PTE LTD</v>
      </c>
      <c r="G724" s="45" t="str">
        <f ca="1">IFERROR(__xludf.DUMMYFUNCTION("""COMPUTED_VALUE"""),"MAS Active(Pvt) Ltd – CONTOURLINE")</f>
        <v>MAS Active(Pvt) Ltd – CONTOURLINE</v>
      </c>
      <c r="H724" s="43">
        <f ca="1">IFERROR(__xludf.DUMMYFUNCTION("""COMPUTED_VALUE"""),454990360741)</f>
        <v>454990360741</v>
      </c>
      <c r="I724" s="45">
        <f ca="1">IFERROR(__xludf.DUMMYFUNCTION("""COMPUTED_VALUE"""),19925435)</f>
        <v>19925435</v>
      </c>
      <c r="J724" s="45" t="str">
        <f ca="1">IFERROR(__xludf.DUMMYFUNCTION("""COMPUTED_VALUE"""),"LW5FARS")</f>
        <v>LW5FARS</v>
      </c>
      <c r="K724" s="45" t="str">
        <f ca="1">IFERROR(__xludf.DUMMYFUNCTION("""COMPUTED_VALUE"""),"LW5FARS-071168")</f>
        <v>LW5FARS-071168</v>
      </c>
      <c r="L724" s="45">
        <f ca="1">IFERROR(__xludf.DUMMYFUNCTION("""COMPUTED_VALUE"""),6)</f>
        <v>6</v>
      </c>
      <c r="M724" s="45">
        <f ca="1">IFERROR(__xludf.DUMMYFUNCTION("""COMPUTED_VALUE"""),318)</f>
        <v>318</v>
      </c>
      <c r="N724" s="45">
        <f ca="1">IFERROR(__xludf.DUMMYFUNCTION("""COMPUTED_VALUE"""),68.619)</f>
        <v>68.619</v>
      </c>
      <c r="O724" s="45">
        <f ca="1">IFERROR(__xludf.DUMMYFUNCTION("""COMPUTED_VALUE"""),0.434)</f>
        <v>0.434</v>
      </c>
      <c r="P724" s="45" t="str">
        <f ca="1">IFERROR(__xludf.DUMMYFUNCTION("""COMPUTED_VALUE"""),"Colombo, LK")</f>
        <v>Colombo, LK</v>
      </c>
      <c r="Q724" s="45" t="str">
        <f ca="1">IFERROR(__xludf.DUMMYFUNCTION("""COMPUTED_VALUE"""),"New York, NY, US")</f>
        <v>New York, NY, US</v>
      </c>
      <c r="R724" s="44">
        <f ca="1">IFERROR(__xludf.DUMMYFUNCTION("""COMPUTED_VALUE"""),45831)</f>
        <v>45831</v>
      </c>
      <c r="S724" s="44">
        <f ca="1">IFERROR(__xludf.DUMMYFUNCTION("""COMPUTED_VALUE"""),45890)</f>
        <v>45890</v>
      </c>
      <c r="T724" s="45" t="str">
        <f ca="1">IFERROR(__xludf.DUMMYFUNCTION("""COMPUTED_VALUE"""),"Mississauga, ON, CA")</f>
        <v>Mississauga, ON, CA</v>
      </c>
      <c r="U724" s="45"/>
      <c r="V724" s="45"/>
      <c r="W724" s="45"/>
      <c r="X724" s="45"/>
      <c r="Y724" s="46">
        <f ca="1">IFERROR(__xludf.DUMMYFUNCTION("""COMPUTED_VALUE"""),45838)</f>
        <v>45838</v>
      </c>
      <c r="Z724" s="46">
        <f ca="1">IFERROR(__xludf.DUMMYFUNCTION("""COMPUTED_VALUE"""),45859)</f>
        <v>45859</v>
      </c>
      <c r="AA724" s="46">
        <f ca="1">IFERROR(__xludf.DUMMYFUNCTION("""COMPUTED_VALUE"""),45859)</f>
        <v>45859</v>
      </c>
      <c r="AB724" s="45" t="str">
        <f ca="1">IFERROR(__xludf.DUMMYFUNCTION("""COMPUTED_VALUE"""),"3500 Argentia Road")</f>
        <v>3500 Argentia Road</v>
      </c>
      <c r="AC724" s="45"/>
      <c r="AD724" s="45" t="str">
        <f ca="1">IFERROR(__xludf.DUMMYFUNCTION("""COMPUTED_VALUE"""),"OCEAN")</f>
        <v>OCEAN</v>
      </c>
      <c r="AE724" s="45" t="str">
        <f ca="1">IFERROR(__xludf.DUMMYFUNCTION("""COMPUTED_VALUE"""),"N")</f>
        <v>N</v>
      </c>
      <c r="AF724" s="45"/>
      <c r="AG724" s="49" t="str">
        <f ca="1">IFERROR(__xludf.DUMMYFUNCTION("IFNA(vlookup(H724,IMPORTRANGE(""1vUGwO1n0QQGx9kKbO0_M5gmuhXZ6-LaxQxgrmJnzgP0"",""'TP# look up'!A:C""),3,0),"""")"),"")</f>
        <v/>
      </c>
      <c r="AH724" s="49" t="str">
        <f t="shared" ca="1" si="11"/>
        <v>LW</v>
      </c>
    </row>
    <row r="725" spans="1:34" ht="12.75">
      <c r="A725" s="45" t="str">
        <f ca="1">IFERROR(__xludf.DUMMYFUNCTION("""COMPUTED_VALUE"""),"Colombo")</f>
        <v>Colombo</v>
      </c>
      <c r="B725" s="45"/>
      <c r="C725" s="45">
        <f ca="1">IFERROR(__xludf.DUMMYFUNCTION("""COMPUTED_VALUE"""),3259512)</f>
        <v>3259512</v>
      </c>
      <c r="D725" s="45"/>
      <c r="E725" s="45" t="str">
        <f ca="1">IFERROR(__xludf.DUMMYFUNCTION("""COMPUTED_VALUE"""),"CFS")</f>
        <v>CFS</v>
      </c>
      <c r="F725" s="45" t="str">
        <f ca="1">IFERROR(__xludf.DUMMYFUNCTION("""COMPUTED_VALUE"""),"MAS AMITY PTE LTD")</f>
        <v>MAS AMITY PTE LTD</v>
      </c>
      <c r="G725" s="45" t="str">
        <f ca="1">IFERROR(__xludf.DUMMYFUNCTION("""COMPUTED_VALUE"""),"MAS Active(Pvt) Ltd – CONTOURLINE")</f>
        <v>MAS Active(Pvt) Ltd – CONTOURLINE</v>
      </c>
      <c r="H725" s="43">
        <f ca="1">IFERROR(__xludf.DUMMYFUNCTION("""COMPUTED_VALUE"""),454990678797)</f>
        <v>454990678797</v>
      </c>
      <c r="I725" s="45">
        <f ca="1">IFERROR(__xludf.DUMMYFUNCTION("""COMPUTED_VALUE"""),19939352)</f>
        <v>19939352</v>
      </c>
      <c r="J725" s="45" t="str">
        <f ca="1">IFERROR(__xludf.DUMMYFUNCTION("""COMPUTED_VALUE"""),"LW6CLQS")</f>
        <v>LW6CLQS</v>
      </c>
      <c r="K725" s="45" t="str">
        <f ca="1">IFERROR(__xludf.DUMMYFUNCTION("""COMPUTED_VALUE"""),"LW6CLQS-071188")</f>
        <v>LW6CLQS-071188</v>
      </c>
      <c r="L725" s="45">
        <f ca="1">IFERROR(__xludf.DUMMYFUNCTION("""COMPUTED_VALUE"""),5)</f>
        <v>5</v>
      </c>
      <c r="M725" s="45">
        <f ca="1">IFERROR(__xludf.DUMMYFUNCTION("""COMPUTED_VALUE"""),272)</f>
        <v>272</v>
      </c>
      <c r="N725" s="45">
        <f ca="1">IFERROR(__xludf.DUMMYFUNCTION("""COMPUTED_VALUE"""),62.075)</f>
        <v>62.075000000000003</v>
      </c>
      <c r="O725" s="45">
        <f ca="1">IFERROR(__xludf.DUMMYFUNCTION("""COMPUTED_VALUE"""),0.395)</f>
        <v>0.39500000000000002</v>
      </c>
      <c r="P725" s="45" t="str">
        <f ca="1">IFERROR(__xludf.DUMMYFUNCTION("""COMPUTED_VALUE"""),"Colombo, LK")</f>
        <v>Colombo, LK</v>
      </c>
      <c r="Q725" s="45" t="str">
        <f ca="1">IFERROR(__xludf.DUMMYFUNCTION("""COMPUTED_VALUE"""),"New York, NY, US")</f>
        <v>New York, NY, US</v>
      </c>
      <c r="R725" s="44">
        <f ca="1">IFERROR(__xludf.DUMMYFUNCTION("""COMPUTED_VALUE"""),45831)</f>
        <v>45831</v>
      </c>
      <c r="S725" s="44">
        <f ca="1">IFERROR(__xludf.DUMMYFUNCTION("""COMPUTED_VALUE"""),45890)</f>
        <v>45890</v>
      </c>
      <c r="T725" s="45" t="str">
        <f ca="1">IFERROR(__xludf.DUMMYFUNCTION("""COMPUTED_VALUE"""),"Mississauga, ON, CA")</f>
        <v>Mississauga, ON, CA</v>
      </c>
      <c r="U725" s="45"/>
      <c r="V725" s="45"/>
      <c r="W725" s="45"/>
      <c r="X725" s="45"/>
      <c r="Y725" s="46">
        <f ca="1">IFERROR(__xludf.DUMMYFUNCTION("""COMPUTED_VALUE"""),45838)</f>
        <v>45838</v>
      </c>
      <c r="Z725" s="46">
        <f ca="1">IFERROR(__xludf.DUMMYFUNCTION("""COMPUTED_VALUE"""),45859)</f>
        <v>45859</v>
      </c>
      <c r="AA725" s="46">
        <f ca="1">IFERROR(__xludf.DUMMYFUNCTION("""COMPUTED_VALUE"""),45859)</f>
        <v>45859</v>
      </c>
      <c r="AB725" s="45" t="str">
        <f ca="1">IFERROR(__xludf.DUMMYFUNCTION("""COMPUTED_VALUE"""),"3500 Argentia Road")</f>
        <v>3500 Argentia Road</v>
      </c>
      <c r="AC725" s="45"/>
      <c r="AD725" s="45" t="str">
        <f ca="1">IFERROR(__xludf.DUMMYFUNCTION("""COMPUTED_VALUE"""),"OCEAN")</f>
        <v>OCEAN</v>
      </c>
      <c r="AE725" s="45" t="str">
        <f ca="1">IFERROR(__xludf.DUMMYFUNCTION("""COMPUTED_VALUE"""),"N")</f>
        <v>N</v>
      </c>
      <c r="AF725" s="45"/>
      <c r="AG725" s="49" t="str">
        <f ca="1">IFERROR(__xludf.DUMMYFUNCTION("IFNA(vlookup(H725,IMPORTRANGE(""1vUGwO1n0QQGx9kKbO0_M5gmuhXZ6-LaxQxgrmJnzgP0"",""'TP# look up'!A:C""),3,0),"""")"),"")</f>
        <v/>
      </c>
      <c r="AH725" s="49" t="str">
        <f t="shared" ca="1" si="11"/>
        <v>LW</v>
      </c>
    </row>
    <row r="726" spans="1:34" ht="12.75">
      <c r="A726" s="45" t="str">
        <f ca="1">IFERROR(__xludf.DUMMYFUNCTION("""COMPUTED_VALUE"""),"Colombo")</f>
        <v>Colombo</v>
      </c>
      <c r="B726" s="45"/>
      <c r="C726" s="45">
        <f ca="1">IFERROR(__xludf.DUMMYFUNCTION("""COMPUTED_VALUE"""),3259512)</f>
        <v>3259512</v>
      </c>
      <c r="D726" s="45"/>
      <c r="E726" s="45" t="str">
        <f ca="1">IFERROR(__xludf.DUMMYFUNCTION("""COMPUTED_VALUE"""),"CFS")</f>
        <v>CFS</v>
      </c>
      <c r="F726" s="45" t="str">
        <f ca="1">IFERROR(__xludf.DUMMYFUNCTION("""COMPUTED_VALUE"""),"MAS AMITY PTE LTD")</f>
        <v>MAS AMITY PTE LTD</v>
      </c>
      <c r="G726" s="45" t="str">
        <f ca="1">IFERROR(__xludf.DUMMYFUNCTION("""COMPUTED_VALUE"""),"MAS Active(Pvt) Ltd – CONTOURLINE")</f>
        <v>MAS Active(Pvt) Ltd – CONTOURLINE</v>
      </c>
      <c r="H726" s="43">
        <f ca="1">IFERROR(__xludf.DUMMYFUNCTION("""COMPUTED_VALUE"""),454992286400)</f>
        <v>454992286400</v>
      </c>
      <c r="I726" s="45">
        <f ca="1">IFERROR(__xludf.DUMMYFUNCTION("""COMPUTED_VALUE"""),19939412)</f>
        <v>19939412</v>
      </c>
      <c r="J726" s="45" t="str">
        <f ca="1">IFERROR(__xludf.DUMMYFUNCTION("""COMPUTED_VALUE"""),"LW1DRNS")</f>
        <v>LW1DRNS</v>
      </c>
      <c r="K726" s="45" t="str">
        <f ca="1">IFERROR(__xludf.DUMMYFUNCTION("""COMPUTED_VALUE"""),"LW1DRNS-038337")</f>
        <v>LW1DRNS-038337</v>
      </c>
      <c r="L726" s="45">
        <f ca="1">IFERROR(__xludf.DUMMYFUNCTION("""COMPUTED_VALUE"""),4)</f>
        <v>4</v>
      </c>
      <c r="M726" s="45">
        <f ca="1">IFERROR(__xludf.DUMMYFUNCTION("""COMPUTED_VALUE"""),287)</f>
        <v>287</v>
      </c>
      <c r="N726" s="45">
        <f ca="1">IFERROR(__xludf.DUMMYFUNCTION("""COMPUTED_VALUE"""),36.895)</f>
        <v>36.895000000000003</v>
      </c>
      <c r="O726" s="45">
        <f ca="1">IFERROR(__xludf.DUMMYFUNCTION("""COMPUTED_VALUE"""),0.276)</f>
        <v>0.27600000000000002</v>
      </c>
      <c r="P726" s="45" t="str">
        <f ca="1">IFERROR(__xludf.DUMMYFUNCTION("""COMPUTED_VALUE"""),"Colombo, LK")</f>
        <v>Colombo, LK</v>
      </c>
      <c r="Q726" s="45" t="str">
        <f ca="1">IFERROR(__xludf.DUMMYFUNCTION("""COMPUTED_VALUE"""),"New York, NY, US")</f>
        <v>New York, NY, US</v>
      </c>
      <c r="R726" s="44">
        <f ca="1">IFERROR(__xludf.DUMMYFUNCTION("""COMPUTED_VALUE"""),45831)</f>
        <v>45831</v>
      </c>
      <c r="S726" s="44">
        <f ca="1">IFERROR(__xludf.DUMMYFUNCTION("""COMPUTED_VALUE"""),45890)</f>
        <v>45890</v>
      </c>
      <c r="T726" s="45" t="str">
        <f ca="1">IFERROR(__xludf.DUMMYFUNCTION("""COMPUTED_VALUE"""),"Mississauga, ON, CA")</f>
        <v>Mississauga, ON, CA</v>
      </c>
      <c r="U726" s="45"/>
      <c r="V726" s="45"/>
      <c r="W726" s="45"/>
      <c r="X726" s="45"/>
      <c r="Y726" s="46">
        <f ca="1">IFERROR(__xludf.DUMMYFUNCTION("""COMPUTED_VALUE"""),45838)</f>
        <v>45838</v>
      </c>
      <c r="Z726" s="46">
        <f ca="1">IFERROR(__xludf.DUMMYFUNCTION("""COMPUTED_VALUE"""),45859)</f>
        <v>45859</v>
      </c>
      <c r="AA726" s="46">
        <f ca="1">IFERROR(__xludf.DUMMYFUNCTION("""COMPUTED_VALUE"""),45859)</f>
        <v>45859</v>
      </c>
      <c r="AB726" s="45" t="str">
        <f ca="1">IFERROR(__xludf.DUMMYFUNCTION("""COMPUTED_VALUE"""),"3500 Argentia Road")</f>
        <v>3500 Argentia Road</v>
      </c>
      <c r="AC726" s="45"/>
      <c r="AD726" s="45" t="str">
        <f ca="1">IFERROR(__xludf.DUMMYFUNCTION("""COMPUTED_VALUE"""),"OCEAN")</f>
        <v>OCEAN</v>
      </c>
      <c r="AE726" s="45" t="str">
        <f ca="1">IFERROR(__xludf.DUMMYFUNCTION("""COMPUTED_VALUE"""),"N")</f>
        <v>N</v>
      </c>
      <c r="AF726" s="45"/>
      <c r="AG726" s="49" t="str">
        <f ca="1">IFERROR(__xludf.DUMMYFUNCTION("IFNA(vlookup(H726,IMPORTRANGE(""1vUGwO1n0QQGx9kKbO0_M5gmuhXZ6-LaxQxgrmJnzgP0"",""'TP# look up'!A:C""),3,0),"""")"),"")</f>
        <v/>
      </c>
      <c r="AH726" s="49" t="str">
        <f t="shared" ca="1" si="11"/>
        <v>LW</v>
      </c>
    </row>
    <row r="727" spans="1:34" ht="12.75">
      <c r="A727" s="45" t="str">
        <f ca="1">IFERROR(__xludf.DUMMYFUNCTION("""COMPUTED_VALUE"""),"Colombo")</f>
        <v>Colombo</v>
      </c>
      <c r="B727" s="45"/>
      <c r="C727" s="45">
        <f ca="1">IFERROR(__xludf.DUMMYFUNCTION("""COMPUTED_VALUE"""),3259512)</f>
        <v>3259512</v>
      </c>
      <c r="D727" s="45"/>
      <c r="E727" s="45" t="str">
        <f ca="1">IFERROR(__xludf.DUMMYFUNCTION("""COMPUTED_VALUE"""),"CFS")</f>
        <v>CFS</v>
      </c>
      <c r="F727" s="45" t="str">
        <f ca="1">IFERROR(__xludf.DUMMYFUNCTION("""COMPUTED_VALUE"""),"MAS AMITY PTE LTD")</f>
        <v>MAS AMITY PTE LTD</v>
      </c>
      <c r="G727" s="45" t="str">
        <f ca="1">IFERROR(__xludf.DUMMYFUNCTION("""COMPUTED_VALUE"""),"MAS Active (Pvt) Ltd - Linea Intimo")</f>
        <v>MAS Active (Pvt) Ltd - Linea Intimo</v>
      </c>
      <c r="H727" s="43">
        <f ca="1">IFERROR(__xludf.DUMMYFUNCTION("""COMPUTED_VALUE"""),456883432771)</f>
        <v>456883432771</v>
      </c>
      <c r="I727" s="45">
        <f ca="1">IFERROR(__xludf.DUMMYFUNCTION("""COMPUTED_VALUE"""),19890506)</f>
        <v>19890506</v>
      </c>
      <c r="J727" s="45" t="str">
        <f ca="1">IFERROR(__xludf.DUMMYFUNCTION("""COMPUTED_VALUE"""),"LW7DK4S")</f>
        <v>LW7DK4S</v>
      </c>
      <c r="K727" s="45" t="str">
        <f ca="1">IFERROR(__xludf.DUMMYFUNCTION("""COMPUTED_VALUE"""),"LW7DK4S-035647")</f>
        <v>LW7DK4S-035647</v>
      </c>
      <c r="L727" s="45">
        <f ca="1">IFERROR(__xludf.DUMMYFUNCTION("""COMPUTED_VALUE"""),4)</f>
        <v>4</v>
      </c>
      <c r="M727" s="45">
        <f ca="1">IFERROR(__xludf.DUMMYFUNCTION("""COMPUTED_VALUE"""),195)</f>
        <v>195</v>
      </c>
      <c r="N727" s="45">
        <f ca="1">IFERROR(__xludf.DUMMYFUNCTION("""COMPUTED_VALUE"""),28.668)</f>
        <v>28.667999999999999</v>
      </c>
      <c r="O727" s="45">
        <f ca="1">IFERROR(__xludf.DUMMYFUNCTION("""COMPUTED_VALUE"""),0.276)</f>
        <v>0.27600000000000002</v>
      </c>
      <c r="P727" s="45" t="str">
        <f ca="1">IFERROR(__xludf.DUMMYFUNCTION("""COMPUTED_VALUE"""),"Colombo, LK")</f>
        <v>Colombo, LK</v>
      </c>
      <c r="Q727" s="45" t="str">
        <f ca="1">IFERROR(__xludf.DUMMYFUNCTION("""COMPUTED_VALUE"""),"New York, NY, US")</f>
        <v>New York, NY, US</v>
      </c>
      <c r="R727" s="44">
        <f ca="1">IFERROR(__xludf.DUMMYFUNCTION("""COMPUTED_VALUE"""),45831)</f>
        <v>45831</v>
      </c>
      <c r="S727" s="44">
        <f ca="1">IFERROR(__xludf.DUMMYFUNCTION("""COMPUTED_VALUE"""),45890)</f>
        <v>45890</v>
      </c>
      <c r="T727" s="45" t="str">
        <f ca="1">IFERROR(__xludf.DUMMYFUNCTION("""COMPUTED_VALUE"""),"Mississauga, ON, CA")</f>
        <v>Mississauga, ON, CA</v>
      </c>
      <c r="U727" s="45"/>
      <c r="V727" s="45"/>
      <c r="W727" s="45"/>
      <c r="X727" s="45"/>
      <c r="Y727" s="46">
        <f ca="1">IFERROR(__xludf.DUMMYFUNCTION("""COMPUTED_VALUE"""),45838)</f>
        <v>45838</v>
      </c>
      <c r="Z727" s="46">
        <f ca="1">IFERROR(__xludf.DUMMYFUNCTION("""COMPUTED_VALUE"""),45852)</f>
        <v>45852</v>
      </c>
      <c r="AA727" s="46">
        <f ca="1">IFERROR(__xludf.DUMMYFUNCTION("""COMPUTED_VALUE"""),45852)</f>
        <v>45852</v>
      </c>
      <c r="AB727" s="45" t="str">
        <f ca="1">IFERROR(__xludf.DUMMYFUNCTION("""COMPUTED_VALUE"""),"3500 Argentia Road")</f>
        <v>3500 Argentia Road</v>
      </c>
      <c r="AC727" s="45"/>
      <c r="AD727" s="45" t="str">
        <f ca="1">IFERROR(__xludf.DUMMYFUNCTION("""COMPUTED_VALUE"""),"OCEAN")</f>
        <v>OCEAN</v>
      </c>
      <c r="AE727" s="45" t="str">
        <f ca="1">IFERROR(__xludf.DUMMYFUNCTION("""COMPUTED_VALUE"""),"N")</f>
        <v>N</v>
      </c>
      <c r="AF727" s="45"/>
      <c r="AG727" s="49" t="str">
        <f ca="1">IFERROR(__xludf.DUMMYFUNCTION("IFNA(vlookup(H727,IMPORTRANGE(""1vUGwO1n0QQGx9kKbO0_M5gmuhXZ6-LaxQxgrmJnzgP0"",""'TP# look up'!A:C""),3,0),"""")"),"")</f>
        <v/>
      </c>
      <c r="AH727" s="49" t="str">
        <f t="shared" ca="1" si="11"/>
        <v>LW</v>
      </c>
    </row>
    <row r="728" spans="1:34" ht="12.75">
      <c r="A728" s="45" t="str">
        <f ca="1">IFERROR(__xludf.DUMMYFUNCTION("""COMPUTED_VALUE"""),"Colombo")</f>
        <v>Colombo</v>
      </c>
      <c r="B728" s="45"/>
      <c r="C728" s="45">
        <f ca="1">IFERROR(__xludf.DUMMYFUNCTION("""COMPUTED_VALUE"""),3259512)</f>
        <v>3259512</v>
      </c>
      <c r="D728" s="45"/>
      <c r="E728" s="45" t="str">
        <f ca="1">IFERROR(__xludf.DUMMYFUNCTION("""COMPUTED_VALUE"""),"CFS")</f>
        <v>CFS</v>
      </c>
      <c r="F728" s="45" t="str">
        <f ca="1">IFERROR(__xludf.DUMMYFUNCTION("""COMPUTED_VALUE"""),"MAS AMITY PTE LTD")</f>
        <v>MAS AMITY PTE LTD</v>
      </c>
      <c r="G728" s="45" t="str">
        <f ca="1">IFERROR(__xludf.DUMMYFUNCTION("""COMPUTED_VALUE"""),"MAS Active (Pvt) Ltd - Linea Intimo")</f>
        <v>MAS Active (Pvt) Ltd - Linea Intimo</v>
      </c>
      <c r="H728" s="43">
        <f ca="1">IFERROR(__xludf.DUMMYFUNCTION("""COMPUTED_VALUE"""),456886176219)</f>
        <v>456886176219</v>
      </c>
      <c r="I728" s="45">
        <f ca="1">IFERROR(__xludf.DUMMYFUNCTION("""COMPUTED_VALUE"""),19913276)</f>
        <v>19913276</v>
      </c>
      <c r="J728" s="45" t="str">
        <f ca="1">IFERROR(__xludf.DUMMYFUNCTION("""COMPUTED_VALUE"""),"LW3FQHS")</f>
        <v>LW3FQHS</v>
      </c>
      <c r="K728" s="45" t="str">
        <f ca="1">IFERROR(__xludf.DUMMYFUNCTION("""COMPUTED_VALUE"""),"LW3FQHS-0572")</f>
        <v>LW3FQHS-0572</v>
      </c>
      <c r="L728" s="45">
        <f ca="1">IFERROR(__xludf.DUMMYFUNCTION("""COMPUTED_VALUE"""),15)</f>
        <v>15</v>
      </c>
      <c r="M728" s="45">
        <f ca="1">IFERROR(__xludf.DUMMYFUNCTION("""COMPUTED_VALUE"""),1958)</f>
        <v>1958</v>
      </c>
      <c r="N728" s="45">
        <f ca="1">IFERROR(__xludf.DUMMYFUNCTION("""COMPUTED_VALUE"""),191.23)</f>
        <v>191.23</v>
      </c>
      <c r="O728" s="45">
        <f ca="1">IFERROR(__xludf.DUMMYFUNCTION("""COMPUTED_VALUE"""),1.185)</f>
        <v>1.1850000000000001</v>
      </c>
      <c r="P728" s="45" t="str">
        <f ca="1">IFERROR(__xludf.DUMMYFUNCTION("""COMPUTED_VALUE"""),"Colombo, LK")</f>
        <v>Colombo, LK</v>
      </c>
      <c r="Q728" s="45" t="str">
        <f ca="1">IFERROR(__xludf.DUMMYFUNCTION("""COMPUTED_VALUE"""),"New York, NY, US")</f>
        <v>New York, NY, US</v>
      </c>
      <c r="R728" s="44">
        <f ca="1">IFERROR(__xludf.DUMMYFUNCTION("""COMPUTED_VALUE"""),45831)</f>
        <v>45831</v>
      </c>
      <c r="S728" s="44">
        <f ca="1">IFERROR(__xludf.DUMMYFUNCTION("""COMPUTED_VALUE"""),45890)</f>
        <v>45890</v>
      </c>
      <c r="T728" s="45" t="str">
        <f ca="1">IFERROR(__xludf.DUMMYFUNCTION("""COMPUTED_VALUE"""),"Mississauga, ON, CA")</f>
        <v>Mississauga, ON, CA</v>
      </c>
      <c r="U728" s="45"/>
      <c r="V728" s="45"/>
      <c r="W728" s="45"/>
      <c r="X728" s="45"/>
      <c r="Y728" s="46">
        <f ca="1">IFERROR(__xludf.DUMMYFUNCTION("""COMPUTED_VALUE"""),45838)</f>
        <v>45838</v>
      </c>
      <c r="Z728" s="46">
        <f ca="1">IFERROR(__xludf.DUMMYFUNCTION("""COMPUTED_VALUE"""),45852)</f>
        <v>45852</v>
      </c>
      <c r="AA728" s="46">
        <f ca="1">IFERROR(__xludf.DUMMYFUNCTION("""COMPUTED_VALUE"""),45852)</f>
        <v>45852</v>
      </c>
      <c r="AB728" s="45" t="str">
        <f ca="1">IFERROR(__xludf.DUMMYFUNCTION("""COMPUTED_VALUE"""),"3500 Argentia Road")</f>
        <v>3500 Argentia Road</v>
      </c>
      <c r="AC728" s="45"/>
      <c r="AD728" s="45" t="str">
        <f ca="1">IFERROR(__xludf.DUMMYFUNCTION("""COMPUTED_VALUE"""),"OCEAN")</f>
        <v>OCEAN</v>
      </c>
      <c r="AE728" s="45" t="str">
        <f ca="1">IFERROR(__xludf.DUMMYFUNCTION("""COMPUTED_VALUE"""),"N")</f>
        <v>N</v>
      </c>
      <c r="AF728" s="45"/>
      <c r="AG728" s="49" t="str">
        <f ca="1">IFERROR(__xludf.DUMMYFUNCTION("IFNA(vlookup(H728,IMPORTRANGE(""1vUGwO1n0QQGx9kKbO0_M5gmuhXZ6-LaxQxgrmJnzgP0"",""'TP# look up'!A:C""),3,0),"""")"),"")</f>
        <v/>
      </c>
      <c r="AH728" s="49" t="str">
        <f t="shared" ca="1" si="11"/>
        <v>LW</v>
      </c>
    </row>
    <row r="729" spans="1:34" ht="12.75">
      <c r="A729" s="45" t="str">
        <f ca="1">IFERROR(__xludf.DUMMYFUNCTION("""COMPUTED_VALUE"""),"Colombo")</f>
        <v>Colombo</v>
      </c>
      <c r="B729" s="45"/>
      <c r="C729" s="45">
        <f ca="1">IFERROR(__xludf.DUMMYFUNCTION("""COMPUTED_VALUE"""),3259512)</f>
        <v>3259512</v>
      </c>
      <c r="D729" s="45"/>
      <c r="E729" s="45" t="str">
        <f ca="1">IFERROR(__xludf.DUMMYFUNCTION("""COMPUTED_VALUE"""),"CFS")</f>
        <v>CFS</v>
      </c>
      <c r="F729" s="45" t="str">
        <f ca="1">IFERROR(__xludf.DUMMYFUNCTION("""COMPUTED_VALUE"""),"MAS AMITY PTE LTD")</f>
        <v>MAS AMITY PTE LTD</v>
      </c>
      <c r="G729" s="45" t="str">
        <f ca="1">IFERROR(__xludf.DUMMYFUNCTION("""COMPUTED_VALUE"""),"MAS Active (Pvt) Ltd - Linea Intimo")</f>
        <v>MAS Active (Pvt) Ltd - Linea Intimo</v>
      </c>
      <c r="H729" s="43">
        <f ca="1">IFERROR(__xludf.DUMMYFUNCTION("""COMPUTED_VALUE"""),456891473227)</f>
        <v>456891473227</v>
      </c>
      <c r="I729" s="45">
        <f ca="1">IFERROR(__xludf.DUMMYFUNCTION("""COMPUTED_VALUE"""),19897804)</f>
        <v>19897804</v>
      </c>
      <c r="J729" s="45" t="str">
        <f ca="1">IFERROR(__xludf.DUMMYFUNCTION("""COMPUTED_VALUE"""),"LM3FG2S")</f>
        <v>LM3FG2S</v>
      </c>
      <c r="K729" s="45" t="str">
        <f ca="1">IFERROR(__xludf.DUMMYFUNCTION("""COMPUTED_VALUE"""),"LM3FG2S-033976")</f>
        <v>LM3FG2S-033976</v>
      </c>
      <c r="L729" s="45">
        <f ca="1">IFERROR(__xludf.DUMMYFUNCTION("""COMPUTED_VALUE"""),7)</f>
        <v>7</v>
      </c>
      <c r="M729" s="45">
        <f ca="1">IFERROR(__xludf.DUMMYFUNCTION("""COMPUTED_VALUE"""),493)</f>
        <v>493</v>
      </c>
      <c r="N729" s="45">
        <f ca="1">IFERROR(__xludf.DUMMYFUNCTION("""COMPUTED_VALUE"""),92.832)</f>
        <v>92.831999999999994</v>
      </c>
      <c r="O729" s="45">
        <f ca="1">IFERROR(__xludf.DUMMYFUNCTION("""COMPUTED_VALUE"""),0.553)</f>
        <v>0.55300000000000005</v>
      </c>
      <c r="P729" s="45" t="str">
        <f ca="1">IFERROR(__xludf.DUMMYFUNCTION("""COMPUTED_VALUE"""),"Colombo, LK")</f>
        <v>Colombo, LK</v>
      </c>
      <c r="Q729" s="45" t="str">
        <f ca="1">IFERROR(__xludf.DUMMYFUNCTION("""COMPUTED_VALUE"""),"New York, NY, US")</f>
        <v>New York, NY, US</v>
      </c>
      <c r="R729" s="44">
        <f ca="1">IFERROR(__xludf.DUMMYFUNCTION("""COMPUTED_VALUE"""),45831)</f>
        <v>45831</v>
      </c>
      <c r="S729" s="44">
        <f ca="1">IFERROR(__xludf.DUMMYFUNCTION("""COMPUTED_VALUE"""),45890)</f>
        <v>45890</v>
      </c>
      <c r="T729" s="45" t="str">
        <f ca="1">IFERROR(__xludf.DUMMYFUNCTION("""COMPUTED_VALUE"""),"Milton, ON, CA")</f>
        <v>Milton, ON, CA</v>
      </c>
      <c r="U729" s="45"/>
      <c r="V729" s="45"/>
      <c r="W729" s="45"/>
      <c r="X729" s="45"/>
      <c r="Y729" s="46">
        <f ca="1">IFERROR(__xludf.DUMMYFUNCTION("""COMPUTED_VALUE"""),45838)</f>
        <v>45838</v>
      </c>
      <c r="Z729" s="46">
        <f ca="1">IFERROR(__xludf.DUMMYFUNCTION("""COMPUTED_VALUE"""),45852)</f>
        <v>45852</v>
      </c>
      <c r="AA729" s="46">
        <f ca="1">IFERROR(__xludf.DUMMYFUNCTION("""COMPUTED_VALUE"""),45852)</f>
        <v>45852</v>
      </c>
      <c r="AB729" s="45" t="str">
        <f ca="1">IFERROR(__xludf.DUMMYFUNCTION("""COMPUTED_VALUE"""),"7211 Fifth Line")</f>
        <v>7211 Fifth Line</v>
      </c>
      <c r="AC729" s="45"/>
      <c r="AD729" s="45" t="str">
        <f ca="1">IFERROR(__xludf.DUMMYFUNCTION("""COMPUTED_VALUE"""),"OCEAN")</f>
        <v>OCEAN</v>
      </c>
      <c r="AE729" s="45" t="str">
        <f ca="1">IFERROR(__xludf.DUMMYFUNCTION("""COMPUTED_VALUE"""),"N")</f>
        <v>N</v>
      </c>
      <c r="AF729" s="45"/>
      <c r="AG729" s="49" t="str">
        <f ca="1">IFERROR(__xludf.DUMMYFUNCTION("IFNA(vlookup(H729,IMPORTRANGE(""1vUGwO1n0QQGx9kKbO0_M5gmuhXZ6-LaxQxgrmJnzgP0"",""'TP# look up'!A:C""),3,0),"""")"),"")</f>
        <v/>
      </c>
      <c r="AH729" s="49" t="str">
        <f t="shared" ca="1" si="11"/>
        <v>LM</v>
      </c>
    </row>
    <row r="730" spans="1:34" ht="12.75">
      <c r="A730" s="45" t="str">
        <f ca="1">IFERROR(__xludf.DUMMYFUNCTION("""COMPUTED_VALUE"""),"Colombo")</f>
        <v>Colombo</v>
      </c>
      <c r="B730" s="45"/>
      <c r="C730" s="45">
        <f ca="1">IFERROR(__xludf.DUMMYFUNCTION("""COMPUTED_VALUE"""),3259512)</f>
        <v>3259512</v>
      </c>
      <c r="D730" s="45"/>
      <c r="E730" s="45" t="str">
        <f ca="1">IFERROR(__xludf.DUMMYFUNCTION("""COMPUTED_VALUE"""),"CFS")</f>
        <v>CFS</v>
      </c>
      <c r="F730" s="45" t="str">
        <f ca="1">IFERROR(__xludf.DUMMYFUNCTION("""COMPUTED_VALUE"""),"MAS AMITY PTE LTD")</f>
        <v>MAS AMITY PTE LTD</v>
      </c>
      <c r="G730" s="45" t="str">
        <f ca="1">IFERROR(__xludf.DUMMYFUNCTION("""COMPUTED_VALUE"""),"MAS Active (Pvt) Ltd - Linea Intimo")</f>
        <v>MAS Active (Pvt) Ltd - Linea Intimo</v>
      </c>
      <c r="H730" s="43">
        <f ca="1">IFERROR(__xludf.DUMMYFUNCTION("""COMPUTED_VALUE"""),456891473923)</f>
        <v>456891473923</v>
      </c>
      <c r="I730" s="45">
        <f ca="1">IFERROR(__xludf.DUMMYFUNCTION("""COMPUTED_VALUE"""),19918473)</f>
        <v>19918473</v>
      </c>
      <c r="J730" s="45" t="str">
        <f ca="1">IFERROR(__xludf.DUMMYFUNCTION("""COMPUTED_VALUE"""),"LW3FQHS")</f>
        <v>LW3FQHS</v>
      </c>
      <c r="K730" s="45" t="str">
        <f ca="1">IFERROR(__xludf.DUMMYFUNCTION("""COMPUTED_VALUE"""),"LW3FQHS-0572")</f>
        <v>LW3FQHS-0572</v>
      </c>
      <c r="L730" s="45">
        <f ca="1">IFERROR(__xludf.DUMMYFUNCTION("""COMPUTED_VALUE"""),6)</f>
        <v>6</v>
      </c>
      <c r="M730" s="45">
        <f ca="1">IFERROR(__xludf.DUMMYFUNCTION("""COMPUTED_VALUE"""),611)</f>
        <v>611</v>
      </c>
      <c r="N730" s="45">
        <f ca="1">IFERROR(__xludf.DUMMYFUNCTION("""COMPUTED_VALUE"""),61.85)</f>
        <v>61.85</v>
      </c>
      <c r="O730" s="45">
        <f ca="1">IFERROR(__xludf.DUMMYFUNCTION("""COMPUTED_VALUE"""),0.434)</f>
        <v>0.434</v>
      </c>
      <c r="P730" s="45" t="str">
        <f ca="1">IFERROR(__xludf.DUMMYFUNCTION("""COMPUTED_VALUE"""),"Colombo, LK")</f>
        <v>Colombo, LK</v>
      </c>
      <c r="Q730" s="45" t="str">
        <f ca="1">IFERROR(__xludf.DUMMYFUNCTION("""COMPUTED_VALUE"""),"New York, NY, US")</f>
        <v>New York, NY, US</v>
      </c>
      <c r="R730" s="44">
        <f ca="1">IFERROR(__xludf.DUMMYFUNCTION("""COMPUTED_VALUE"""),45831)</f>
        <v>45831</v>
      </c>
      <c r="S730" s="44">
        <f ca="1">IFERROR(__xludf.DUMMYFUNCTION("""COMPUTED_VALUE"""),45890)</f>
        <v>45890</v>
      </c>
      <c r="T730" s="45" t="str">
        <f ca="1">IFERROR(__xludf.DUMMYFUNCTION("""COMPUTED_VALUE"""),"Mississauga, ON, CA")</f>
        <v>Mississauga, ON, CA</v>
      </c>
      <c r="U730" s="45"/>
      <c r="V730" s="45"/>
      <c r="W730" s="45"/>
      <c r="X730" s="45"/>
      <c r="Y730" s="46">
        <f ca="1">IFERROR(__xludf.DUMMYFUNCTION("""COMPUTED_VALUE"""),45838)</f>
        <v>45838</v>
      </c>
      <c r="Z730" s="46">
        <f ca="1">IFERROR(__xludf.DUMMYFUNCTION("""COMPUTED_VALUE"""),45852)</f>
        <v>45852</v>
      </c>
      <c r="AA730" s="46">
        <f ca="1">IFERROR(__xludf.DUMMYFUNCTION("""COMPUTED_VALUE"""),45852)</f>
        <v>45852</v>
      </c>
      <c r="AB730" s="45" t="str">
        <f ca="1">IFERROR(__xludf.DUMMYFUNCTION("""COMPUTED_VALUE"""),"3500 Argentia Road")</f>
        <v>3500 Argentia Road</v>
      </c>
      <c r="AC730" s="45"/>
      <c r="AD730" s="45" t="str">
        <f ca="1">IFERROR(__xludf.DUMMYFUNCTION("""COMPUTED_VALUE"""),"OCEAN")</f>
        <v>OCEAN</v>
      </c>
      <c r="AE730" s="45" t="str">
        <f ca="1">IFERROR(__xludf.DUMMYFUNCTION("""COMPUTED_VALUE"""),"N")</f>
        <v>N</v>
      </c>
      <c r="AF730" s="45"/>
      <c r="AG730" s="49" t="str">
        <f ca="1">IFERROR(__xludf.DUMMYFUNCTION("IFNA(vlookup(H730,IMPORTRANGE(""1vUGwO1n0QQGx9kKbO0_M5gmuhXZ6-LaxQxgrmJnzgP0"",""'TP# look up'!A:C""),3,0),"""")"),"")</f>
        <v/>
      </c>
      <c r="AH730" s="49" t="str">
        <f t="shared" ca="1" si="11"/>
        <v>LW</v>
      </c>
    </row>
    <row r="731" spans="1:34" ht="12.75">
      <c r="A731" s="45" t="str">
        <f ca="1">IFERROR(__xludf.DUMMYFUNCTION("""COMPUTED_VALUE"""),"Colombo")</f>
        <v>Colombo</v>
      </c>
      <c r="B731" s="45"/>
      <c r="C731" s="45">
        <f ca="1">IFERROR(__xludf.DUMMYFUNCTION("""COMPUTED_VALUE"""),3259512)</f>
        <v>3259512</v>
      </c>
      <c r="D731" s="45"/>
      <c r="E731" s="45" t="str">
        <f ca="1">IFERROR(__xludf.DUMMYFUNCTION("""COMPUTED_VALUE"""),"CFS")</f>
        <v>CFS</v>
      </c>
      <c r="F731" s="45" t="str">
        <f ca="1">IFERROR(__xludf.DUMMYFUNCTION("""COMPUTED_VALUE"""),"MAS AMITY PTE LTD")</f>
        <v>MAS AMITY PTE LTD</v>
      </c>
      <c r="G731" s="45" t="str">
        <f ca="1">IFERROR(__xludf.DUMMYFUNCTION("""COMPUTED_VALUE"""),"MAS Active (Pvt) Ltd - Linea Intimo")</f>
        <v>MAS Active (Pvt) Ltd - Linea Intimo</v>
      </c>
      <c r="H731" s="43">
        <f ca="1">IFERROR(__xludf.DUMMYFUNCTION("""COMPUTED_VALUE"""),456895959305)</f>
        <v>456895959305</v>
      </c>
      <c r="I731" s="45">
        <f ca="1">IFERROR(__xludf.DUMMYFUNCTION("""COMPUTED_VALUE"""),19890556)</f>
        <v>19890556</v>
      </c>
      <c r="J731" s="45" t="str">
        <f ca="1">IFERROR(__xludf.DUMMYFUNCTION("""COMPUTED_VALUE"""),"LW7DK4S")</f>
        <v>LW7DK4S</v>
      </c>
      <c r="K731" s="45" t="str">
        <f ca="1">IFERROR(__xludf.DUMMYFUNCTION("""COMPUTED_VALUE"""),"LW7DK4S-035647")</f>
        <v>LW7DK4S-035647</v>
      </c>
      <c r="L731" s="45">
        <f ca="1">IFERROR(__xludf.DUMMYFUNCTION("""COMPUTED_VALUE"""),3)</f>
        <v>3</v>
      </c>
      <c r="M731" s="45">
        <f ca="1">IFERROR(__xludf.DUMMYFUNCTION("""COMPUTED_VALUE"""),126)</f>
        <v>126</v>
      </c>
      <c r="N731" s="45">
        <f ca="1">IFERROR(__xludf.DUMMYFUNCTION("""COMPUTED_VALUE"""),18.56)</f>
        <v>18.559999999999999</v>
      </c>
      <c r="O731" s="45">
        <f ca="1">IFERROR(__xludf.DUMMYFUNCTION("""COMPUTED_VALUE"""),0.158)</f>
        <v>0.158</v>
      </c>
      <c r="P731" s="45" t="str">
        <f ca="1">IFERROR(__xludf.DUMMYFUNCTION("""COMPUTED_VALUE"""),"Colombo, LK")</f>
        <v>Colombo, LK</v>
      </c>
      <c r="Q731" s="45" t="str">
        <f ca="1">IFERROR(__xludf.DUMMYFUNCTION("""COMPUTED_VALUE"""),"New York, NY, US")</f>
        <v>New York, NY, US</v>
      </c>
      <c r="R731" s="44">
        <f ca="1">IFERROR(__xludf.DUMMYFUNCTION("""COMPUTED_VALUE"""),45831)</f>
        <v>45831</v>
      </c>
      <c r="S731" s="44">
        <f ca="1">IFERROR(__xludf.DUMMYFUNCTION("""COMPUTED_VALUE"""),45890)</f>
        <v>45890</v>
      </c>
      <c r="T731" s="45" t="str">
        <f ca="1">IFERROR(__xludf.DUMMYFUNCTION("""COMPUTED_VALUE"""),"Mississauga, ON, CA")</f>
        <v>Mississauga, ON, CA</v>
      </c>
      <c r="U731" s="45"/>
      <c r="V731" s="45"/>
      <c r="W731" s="45"/>
      <c r="X731" s="45"/>
      <c r="Y731" s="46">
        <f ca="1">IFERROR(__xludf.DUMMYFUNCTION("""COMPUTED_VALUE"""),45838)</f>
        <v>45838</v>
      </c>
      <c r="Z731" s="46">
        <f ca="1">IFERROR(__xludf.DUMMYFUNCTION("""COMPUTED_VALUE"""),45852)</f>
        <v>45852</v>
      </c>
      <c r="AA731" s="46">
        <f ca="1">IFERROR(__xludf.DUMMYFUNCTION("""COMPUTED_VALUE"""),45852)</f>
        <v>45852</v>
      </c>
      <c r="AB731" s="45" t="str">
        <f ca="1">IFERROR(__xludf.DUMMYFUNCTION("""COMPUTED_VALUE"""),"3500 Argentia Road")</f>
        <v>3500 Argentia Road</v>
      </c>
      <c r="AC731" s="45"/>
      <c r="AD731" s="45" t="str">
        <f ca="1">IFERROR(__xludf.DUMMYFUNCTION("""COMPUTED_VALUE"""),"OCEAN")</f>
        <v>OCEAN</v>
      </c>
      <c r="AE731" s="45" t="str">
        <f ca="1">IFERROR(__xludf.DUMMYFUNCTION("""COMPUTED_VALUE"""),"N")</f>
        <v>N</v>
      </c>
      <c r="AF731" s="45"/>
      <c r="AG731" s="49" t="str">
        <f ca="1">IFERROR(__xludf.DUMMYFUNCTION("IFNA(vlookup(H731,IMPORTRANGE(""1vUGwO1n0QQGx9kKbO0_M5gmuhXZ6-LaxQxgrmJnzgP0"",""'TP# look up'!A:C""),3,0),"""")"),"")</f>
        <v/>
      </c>
      <c r="AH731" s="49" t="str">
        <f t="shared" ca="1" si="11"/>
        <v>LW</v>
      </c>
    </row>
    <row r="732" spans="1:34" ht="12.75">
      <c r="A732" s="45" t="str">
        <f ca="1">IFERROR(__xludf.DUMMYFUNCTION("""COMPUTED_VALUE"""),"Colombo")</f>
        <v>Colombo</v>
      </c>
      <c r="B732" s="45"/>
      <c r="C732" s="45">
        <f ca="1">IFERROR(__xludf.DUMMYFUNCTION("""COMPUTED_VALUE"""),3259512)</f>
        <v>3259512</v>
      </c>
      <c r="D732" s="45"/>
      <c r="E732" s="45" t="str">
        <f ca="1">IFERROR(__xludf.DUMMYFUNCTION("""COMPUTED_VALUE"""),"CFS")</f>
        <v>CFS</v>
      </c>
      <c r="F732" s="45" t="str">
        <f ca="1">IFERROR(__xludf.DUMMYFUNCTION("""COMPUTED_VALUE"""),"MAS AMITY PTE LTD")</f>
        <v>MAS AMITY PTE LTD</v>
      </c>
      <c r="G732" s="45" t="str">
        <f ca="1">IFERROR(__xludf.DUMMYFUNCTION("""COMPUTED_VALUE"""),"MAS Active (Pvt) Ltd - Linea Intimo")</f>
        <v>MAS Active (Pvt) Ltd - Linea Intimo</v>
      </c>
      <c r="H732" s="43">
        <f ca="1">IFERROR(__xludf.DUMMYFUNCTION("""COMPUTED_VALUE"""),456895960353)</f>
        <v>456895960353</v>
      </c>
      <c r="I732" s="45">
        <f ca="1">IFERROR(__xludf.DUMMYFUNCTION("""COMPUTED_VALUE"""),19920295)</f>
        <v>19920295</v>
      </c>
      <c r="J732" s="45" t="str">
        <f ca="1">IFERROR(__xludf.DUMMYFUNCTION("""COMPUTED_VALUE"""),"LW3FQHS")</f>
        <v>LW3FQHS</v>
      </c>
      <c r="K732" s="45" t="str">
        <f ca="1">IFERROR(__xludf.DUMMYFUNCTION("""COMPUTED_VALUE"""),"LW3FQHS-012826")</f>
        <v>LW3FQHS-012826</v>
      </c>
      <c r="L732" s="45">
        <f ca="1">IFERROR(__xludf.DUMMYFUNCTION("""COMPUTED_VALUE"""),6)</f>
        <v>6</v>
      </c>
      <c r="M732" s="45">
        <f ca="1">IFERROR(__xludf.DUMMYFUNCTION("""COMPUTED_VALUE"""),557)</f>
        <v>557</v>
      </c>
      <c r="N732" s="45">
        <f ca="1">IFERROR(__xludf.DUMMYFUNCTION("""COMPUTED_VALUE"""),56.716)</f>
        <v>56.716000000000001</v>
      </c>
      <c r="O732" s="45">
        <f ca="1">IFERROR(__xludf.DUMMYFUNCTION("""COMPUTED_VALUE"""),0.395)</f>
        <v>0.39500000000000002</v>
      </c>
      <c r="P732" s="45" t="str">
        <f ca="1">IFERROR(__xludf.DUMMYFUNCTION("""COMPUTED_VALUE"""),"Colombo, LK")</f>
        <v>Colombo, LK</v>
      </c>
      <c r="Q732" s="45" t="str">
        <f ca="1">IFERROR(__xludf.DUMMYFUNCTION("""COMPUTED_VALUE"""),"New York, NY, US")</f>
        <v>New York, NY, US</v>
      </c>
      <c r="R732" s="44">
        <f ca="1">IFERROR(__xludf.DUMMYFUNCTION("""COMPUTED_VALUE"""),45831)</f>
        <v>45831</v>
      </c>
      <c r="S732" s="44">
        <f ca="1">IFERROR(__xludf.DUMMYFUNCTION("""COMPUTED_VALUE"""),45890)</f>
        <v>45890</v>
      </c>
      <c r="T732" s="45" t="str">
        <f ca="1">IFERROR(__xludf.DUMMYFUNCTION("""COMPUTED_VALUE"""),"Mississauga, ON, CA")</f>
        <v>Mississauga, ON, CA</v>
      </c>
      <c r="U732" s="45"/>
      <c r="V732" s="45"/>
      <c r="W732" s="45"/>
      <c r="X732" s="45"/>
      <c r="Y732" s="46">
        <f ca="1">IFERROR(__xludf.DUMMYFUNCTION("""COMPUTED_VALUE"""),45838)</f>
        <v>45838</v>
      </c>
      <c r="Z732" s="46">
        <f ca="1">IFERROR(__xludf.DUMMYFUNCTION("""COMPUTED_VALUE"""),45852)</f>
        <v>45852</v>
      </c>
      <c r="AA732" s="46">
        <f ca="1">IFERROR(__xludf.DUMMYFUNCTION("""COMPUTED_VALUE"""),45852)</f>
        <v>45852</v>
      </c>
      <c r="AB732" s="45" t="str">
        <f ca="1">IFERROR(__xludf.DUMMYFUNCTION("""COMPUTED_VALUE"""),"3500 Argentia Road")</f>
        <v>3500 Argentia Road</v>
      </c>
      <c r="AC732" s="45"/>
      <c r="AD732" s="45" t="str">
        <f ca="1">IFERROR(__xludf.DUMMYFUNCTION("""COMPUTED_VALUE"""),"OCEAN")</f>
        <v>OCEAN</v>
      </c>
      <c r="AE732" s="45" t="str">
        <f ca="1">IFERROR(__xludf.DUMMYFUNCTION("""COMPUTED_VALUE"""),"N")</f>
        <v>N</v>
      </c>
      <c r="AF732" s="45"/>
      <c r="AG732" s="49" t="str">
        <f ca="1">IFERROR(__xludf.DUMMYFUNCTION("IFNA(vlookup(H732,IMPORTRANGE(""1vUGwO1n0QQGx9kKbO0_M5gmuhXZ6-LaxQxgrmJnzgP0"",""'TP# look up'!A:C""),3,0),"""")"),"")</f>
        <v/>
      </c>
      <c r="AH732" s="49" t="str">
        <f t="shared" ca="1" si="11"/>
        <v>LW</v>
      </c>
    </row>
    <row r="733" spans="1:34" ht="12.75">
      <c r="A733" s="45" t="str">
        <f ca="1">IFERROR(__xludf.DUMMYFUNCTION("""COMPUTED_VALUE"""),"Colombo")</f>
        <v>Colombo</v>
      </c>
      <c r="B733" s="45"/>
      <c r="C733" s="45">
        <f ca="1">IFERROR(__xludf.DUMMYFUNCTION("""COMPUTED_VALUE"""),3259512)</f>
        <v>3259512</v>
      </c>
      <c r="D733" s="45"/>
      <c r="E733" s="45" t="str">
        <f ca="1">IFERROR(__xludf.DUMMYFUNCTION("""COMPUTED_VALUE"""),"CFS")</f>
        <v>CFS</v>
      </c>
      <c r="F733" s="45" t="str">
        <f ca="1">IFERROR(__xludf.DUMMYFUNCTION("""COMPUTED_VALUE"""),"MAS AMITY PTE LTD")</f>
        <v>MAS AMITY PTE LTD</v>
      </c>
      <c r="G733" s="45" t="str">
        <f ca="1">IFERROR(__xludf.DUMMYFUNCTION("""COMPUTED_VALUE"""),"MAS Active (Pvt) Ltd - Linea Intimo")</f>
        <v>MAS Active (Pvt) Ltd - Linea Intimo</v>
      </c>
      <c r="H733" s="43">
        <f ca="1">IFERROR(__xludf.DUMMYFUNCTION("""COMPUTED_VALUE"""),456901650142)</f>
        <v>456901650142</v>
      </c>
      <c r="I733" s="45">
        <f ca="1">IFERROR(__xludf.DUMMYFUNCTION("""COMPUTED_VALUE"""),19890511)</f>
        <v>19890511</v>
      </c>
      <c r="J733" s="45" t="str">
        <f ca="1">IFERROR(__xludf.DUMMYFUNCTION("""COMPUTED_VALUE"""),"LW7DK4S")</f>
        <v>LW7DK4S</v>
      </c>
      <c r="K733" s="45" t="str">
        <f ca="1">IFERROR(__xludf.DUMMYFUNCTION("""COMPUTED_VALUE"""),"LW7DK4S-044166")</f>
        <v>LW7DK4S-044166</v>
      </c>
      <c r="L733" s="45">
        <f ca="1">IFERROR(__xludf.DUMMYFUNCTION("""COMPUTED_VALUE"""),5)</f>
        <v>5</v>
      </c>
      <c r="M733" s="45">
        <f ca="1">IFERROR(__xludf.DUMMYFUNCTION("""COMPUTED_VALUE"""),238)</f>
        <v>238</v>
      </c>
      <c r="N733" s="45">
        <f ca="1">IFERROR(__xludf.DUMMYFUNCTION("""COMPUTED_VALUE"""),35.127)</f>
        <v>35.127000000000002</v>
      </c>
      <c r="O733" s="45">
        <f ca="1">IFERROR(__xludf.DUMMYFUNCTION("""COMPUTED_VALUE"""),0.355)</f>
        <v>0.35499999999999998</v>
      </c>
      <c r="P733" s="45" t="str">
        <f ca="1">IFERROR(__xludf.DUMMYFUNCTION("""COMPUTED_VALUE"""),"Colombo, LK")</f>
        <v>Colombo, LK</v>
      </c>
      <c r="Q733" s="45" t="str">
        <f ca="1">IFERROR(__xludf.DUMMYFUNCTION("""COMPUTED_VALUE"""),"New York, NY, US")</f>
        <v>New York, NY, US</v>
      </c>
      <c r="R733" s="44">
        <f ca="1">IFERROR(__xludf.DUMMYFUNCTION("""COMPUTED_VALUE"""),45831)</f>
        <v>45831</v>
      </c>
      <c r="S733" s="44">
        <f ca="1">IFERROR(__xludf.DUMMYFUNCTION("""COMPUTED_VALUE"""),45890)</f>
        <v>45890</v>
      </c>
      <c r="T733" s="45" t="str">
        <f ca="1">IFERROR(__xludf.DUMMYFUNCTION("""COMPUTED_VALUE"""),"Mississauga, ON, CA")</f>
        <v>Mississauga, ON, CA</v>
      </c>
      <c r="U733" s="45"/>
      <c r="V733" s="45"/>
      <c r="W733" s="45"/>
      <c r="X733" s="45"/>
      <c r="Y733" s="46">
        <f ca="1">IFERROR(__xludf.DUMMYFUNCTION("""COMPUTED_VALUE"""),45838)</f>
        <v>45838</v>
      </c>
      <c r="Z733" s="46">
        <f ca="1">IFERROR(__xludf.DUMMYFUNCTION("""COMPUTED_VALUE"""),45852)</f>
        <v>45852</v>
      </c>
      <c r="AA733" s="46">
        <f ca="1">IFERROR(__xludf.DUMMYFUNCTION("""COMPUTED_VALUE"""),45852)</f>
        <v>45852</v>
      </c>
      <c r="AB733" s="45" t="str">
        <f ca="1">IFERROR(__xludf.DUMMYFUNCTION("""COMPUTED_VALUE"""),"3500 Argentia Road")</f>
        <v>3500 Argentia Road</v>
      </c>
      <c r="AC733" s="45"/>
      <c r="AD733" s="45" t="str">
        <f ca="1">IFERROR(__xludf.DUMMYFUNCTION("""COMPUTED_VALUE"""),"OCEAN")</f>
        <v>OCEAN</v>
      </c>
      <c r="AE733" s="45" t="str">
        <f ca="1">IFERROR(__xludf.DUMMYFUNCTION("""COMPUTED_VALUE"""),"N")</f>
        <v>N</v>
      </c>
      <c r="AF733" s="45"/>
      <c r="AG733" s="49" t="str">
        <f ca="1">IFERROR(__xludf.DUMMYFUNCTION("IFNA(vlookup(H733,IMPORTRANGE(""1vUGwO1n0QQGx9kKbO0_M5gmuhXZ6-LaxQxgrmJnzgP0"",""'TP# look up'!A:C""),3,0),"""")"),"")</f>
        <v/>
      </c>
      <c r="AH733" s="49" t="str">
        <f t="shared" ca="1" si="11"/>
        <v>LW</v>
      </c>
    </row>
    <row r="734" spans="1:34" ht="12.75">
      <c r="A734" s="45" t="str">
        <f ca="1">IFERROR(__xludf.DUMMYFUNCTION("""COMPUTED_VALUE"""),"Colombo")</f>
        <v>Colombo</v>
      </c>
      <c r="B734" s="45"/>
      <c r="C734" s="45">
        <f ca="1">IFERROR(__xludf.DUMMYFUNCTION("""COMPUTED_VALUE"""),3259512)</f>
        <v>3259512</v>
      </c>
      <c r="D734" s="45"/>
      <c r="E734" s="45" t="str">
        <f ca="1">IFERROR(__xludf.DUMMYFUNCTION("""COMPUTED_VALUE"""),"CFS")</f>
        <v>CFS</v>
      </c>
      <c r="F734" s="45" t="str">
        <f ca="1">IFERROR(__xludf.DUMMYFUNCTION("""COMPUTED_VALUE"""),"MAS AMITY PTE LTD")</f>
        <v>MAS AMITY PTE LTD</v>
      </c>
      <c r="G734" s="45" t="str">
        <f ca="1">IFERROR(__xludf.DUMMYFUNCTION("""COMPUTED_VALUE"""),"MAS Active (Pvt) Ltd - Linea Intimo")</f>
        <v>MAS Active (Pvt) Ltd - Linea Intimo</v>
      </c>
      <c r="H734" s="43">
        <f ca="1">IFERROR(__xludf.DUMMYFUNCTION("""COMPUTED_VALUE"""),456902175171)</f>
        <v>456902175171</v>
      </c>
      <c r="I734" s="45">
        <f ca="1">IFERROR(__xludf.DUMMYFUNCTION("""COMPUTED_VALUE"""),19890553)</f>
        <v>19890553</v>
      </c>
      <c r="J734" s="45" t="str">
        <f ca="1">IFERROR(__xludf.DUMMYFUNCTION("""COMPUTED_VALUE"""),"LW7DK4S")</f>
        <v>LW7DK4S</v>
      </c>
      <c r="K734" s="45" t="str">
        <f ca="1">IFERROR(__xludf.DUMMYFUNCTION("""COMPUTED_VALUE"""),"LW7DK4S-035647")</f>
        <v>LW7DK4S-035647</v>
      </c>
      <c r="L734" s="45">
        <f ca="1">IFERROR(__xludf.DUMMYFUNCTION("""COMPUTED_VALUE"""),8)</f>
        <v>8</v>
      </c>
      <c r="M734" s="45">
        <f ca="1">IFERROR(__xludf.DUMMYFUNCTION("""COMPUTED_VALUE"""),452)</f>
        <v>452</v>
      </c>
      <c r="N734" s="45">
        <f ca="1">IFERROR(__xludf.DUMMYFUNCTION("""COMPUTED_VALUE"""),65.899)</f>
        <v>65.899000000000001</v>
      </c>
      <c r="O734" s="45">
        <f ca="1">IFERROR(__xludf.DUMMYFUNCTION("""COMPUTED_VALUE"""),0.592)</f>
        <v>0.59199999999999997</v>
      </c>
      <c r="P734" s="45" t="str">
        <f ca="1">IFERROR(__xludf.DUMMYFUNCTION("""COMPUTED_VALUE"""),"Colombo, LK")</f>
        <v>Colombo, LK</v>
      </c>
      <c r="Q734" s="45" t="str">
        <f ca="1">IFERROR(__xludf.DUMMYFUNCTION("""COMPUTED_VALUE"""),"New York, NY, US")</f>
        <v>New York, NY, US</v>
      </c>
      <c r="R734" s="44">
        <f ca="1">IFERROR(__xludf.DUMMYFUNCTION("""COMPUTED_VALUE"""),45831)</f>
        <v>45831</v>
      </c>
      <c r="S734" s="44">
        <f ca="1">IFERROR(__xludf.DUMMYFUNCTION("""COMPUTED_VALUE"""),45890)</f>
        <v>45890</v>
      </c>
      <c r="T734" s="45" t="str">
        <f ca="1">IFERROR(__xludf.DUMMYFUNCTION("""COMPUTED_VALUE"""),"Milton, ON, CA")</f>
        <v>Milton, ON, CA</v>
      </c>
      <c r="U734" s="45"/>
      <c r="V734" s="45"/>
      <c r="W734" s="45"/>
      <c r="X734" s="45"/>
      <c r="Y734" s="46">
        <f ca="1">IFERROR(__xludf.DUMMYFUNCTION("""COMPUTED_VALUE"""),45838)</f>
        <v>45838</v>
      </c>
      <c r="Z734" s="46">
        <f ca="1">IFERROR(__xludf.DUMMYFUNCTION("""COMPUTED_VALUE"""),45852)</f>
        <v>45852</v>
      </c>
      <c r="AA734" s="46">
        <f ca="1">IFERROR(__xludf.DUMMYFUNCTION("""COMPUTED_VALUE"""),45852)</f>
        <v>45852</v>
      </c>
      <c r="AB734" s="45" t="str">
        <f ca="1">IFERROR(__xludf.DUMMYFUNCTION("""COMPUTED_VALUE"""),"7211 Fifth Line")</f>
        <v>7211 Fifth Line</v>
      </c>
      <c r="AC734" s="45"/>
      <c r="AD734" s="45" t="str">
        <f ca="1">IFERROR(__xludf.DUMMYFUNCTION("""COMPUTED_VALUE"""),"OCEAN")</f>
        <v>OCEAN</v>
      </c>
      <c r="AE734" s="45" t="str">
        <f ca="1">IFERROR(__xludf.DUMMYFUNCTION("""COMPUTED_VALUE"""),"N")</f>
        <v>N</v>
      </c>
      <c r="AF734" s="45"/>
      <c r="AG734" s="49" t="str">
        <f ca="1">IFERROR(__xludf.DUMMYFUNCTION("IFNA(vlookup(H734,IMPORTRANGE(""1vUGwO1n0QQGx9kKbO0_M5gmuhXZ6-LaxQxgrmJnzgP0"",""'TP# look up'!A:C""),3,0),"""")"),"")</f>
        <v/>
      </c>
      <c r="AH734" s="49" t="str">
        <f t="shared" ca="1" si="11"/>
        <v>LW</v>
      </c>
    </row>
    <row r="735" spans="1:34" ht="12.75">
      <c r="A735" s="45" t="str">
        <f ca="1">IFERROR(__xludf.DUMMYFUNCTION("""COMPUTED_VALUE"""),"Colombo")</f>
        <v>Colombo</v>
      </c>
      <c r="B735" s="45"/>
      <c r="C735" s="45">
        <f ca="1">IFERROR(__xludf.DUMMYFUNCTION("""COMPUTED_VALUE"""),3259512)</f>
        <v>3259512</v>
      </c>
      <c r="D735" s="45"/>
      <c r="E735" s="45" t="str">
        <f ca="1">IFERROR(__xludf.DUMMYFUNCTION("""COMPUTED_VALUE"""),"CFS")</f>
        <v>CFS</v>
      </c>
      <c r="F735" s="45" t="str">
        <f ca="1">IFERROR(__xludf.DUMMYFUNCTION("""COMPUTED_VALUE"""),"MAS AMITY PTE LTD")</f>
        <v>MAS AMITY PTE LTD</v>
      </c>
      <c r="G735" s="45" t="str">
        <f ca="1">IFERROR(__xludf.DUMMYFUNCTION("""COMPUTED_VALUE"""),"MAS Active (Pvt) Ltd - Linea Intimo")</f>
        <v>MAS Active (Pvt) Ltd - Linea Intimo</v>
      </c>
      <c r="H735" s="43">
        <f ca="1">IFERROR(__xludf.DUMMYFUNCTION("""COMPUTED_VALUE"""),456902244137)</f>
        <v>456902244137</v>
      </c>
      <c r="I735" s="45">
        <f ca="1">IFERROR(__xludf.DUMMYFUNCTION("""COMPUTED_VALUE"""),19890563)</f>
        <v>19890563</v>
      </c>
      <c r="J735" s="45" t="str">
        <f ca="1">IFERROR(__xludf.DUMMYFUNCTION("""COMPUTED_VALUE"""),"LW7DK4S")</f>
        <v>LW7DK4S</v>
      </c>
      <c r="K735" s="45" t="str">
        <f ca="1">IFERROR(__xludf.DUMMYFUNCTION("""COMPUTED_VALUE"""),"LW7DK4S-044166")</f>
        <v>LW7DK4S-044166</v>
      </c>
      <c r="L735" s="45">
        <f ca="1">IFERROR(__xludf.DUMMYFUNCTION("""COMPUTED_VALUE"""),4)</f>
        <v>4</v>
      </c>
      <c r="M735" s="45">
        <f ca="1">IFERROR(__xludf.DUMMYFUNCTION("""COMPUTED_VALUE"""),152)</f>
        <v>152</v>
      </c>
      <c r="N735" s="45">
        <f ca="1">IFERROR(__xludf.DUMMYFUNCTION("""COMPUTED_VALUE"""),22.891)</f>
        <v>22.890999999999998</v>
      </c>
      <c r="O735" s="45">
        <f ca="1">IFERROR(__xludf.DUMMYFUNCTION("""COMPUTED_VALUE"""),0.237)</f>
        <v>0.23699999999999999</v>
      </c>
      <c r="P735" s="45" t="str">
        <f ca="1">IFERROR(__xludf.DUMMYFUNCTION("""COMPUTED_VALUE"""),"Colombo, LK")</f>
        <v>Colombo, LK</v>
      </c>
      <c r="Q735" s="45" t="str">
        <f ca="1">IFERROR(__xludf.DUMMYFUNCTION("""COMPUTED_VALUE"""),"New York, NY, US")</f>
        <v>New York, NY, US</v>
      </c>
      <c r="R735" s="44">
        <f ca="1">IFERROR(__xludf.DUMMYFUNCTION("""COMPUTED_VALUE"""),45831)</f>
        <v>45831</v>
      </c>
      <c r="S735" s="44">
        <f ca="1">IFERROR(__xludf.DUMMYFUNCTION("""COMPUTED_VALUE"""),45890)</f>
        <v>45890</v>
      </c>
      <c r="T735" s="45" t="str">
        <f ca="1">IFERROR(__xludf.DUMMYFUNCTION("""COMPUTED_VALUE"""),"Mississauga, ON, CA")</f>
        <v>Mississauga, ON, CA</v>
      </c>
      <c r="U735" s="45"/>
      <c r="V735" s="45"/>
      <c r="W735" s="45"/>
      <c r="X735" s="45"/>
      <c r="Y735" s="46">
        <f ca="1">IFERROR(__xludf.DUMMYFUNCTION("""COMPUTED_VALUE"""),45838)</f>
        <v>45838</v>
      </c>
      <c r="Z735" s="46">
        <f ca="1">IFERROR(__xludf.DUMMYFUNCTION("""COMPUTED_VALUE"""),45852)</f>
        <v>45852</v>
      </c>
      <c r="AA735" s="46">
        <f ca="1">IFERROR(__xludf.DUMMYFUNCTION("""COMPUTED_VALUE"""),45852)</f>
        <v>45852</v>
      </c>
      <c r="AB735" s="45" t="str">
        <f ca="1">IFERROR(__xludf.DUMMYFUNCTION("""COMPUTED_VALUE"""),"3500 Argentia Road")</f>
        <v>3500 Argentia Road</v>
      </c>
      <c r="AC735" s="45"/>
      <c r="AD735" s="45" t="str">
        <f ca="1">IFERROR(__xludf.DUMMYFUNCTION("""COMPUTED_VALUE"""),"OCEAN")</f>
        <v>OCEAN</v>
      </c>
      <c r="AE735" s="45" t="str">
        <f ca="1">IFERROR(__xludf.DUMMYFUNCTION("""COMPUTED_VALUE"""),"N")</f>
        <v>N</v>
      </c>
      <c r="AF735" s="45"/>
      <c r="AG735" s="49" t="str">
        <f ca="1">IFERROR(__xludf.DUMMYFUNCTION("IFNA(vlookup(H735,IMPORTRANGE(""1vUGwO1n0QQGx9kKbO0_M5gmuhXZ6-LaxQxgrmJnzgP0"",""'TP# look up'!A:C""),3,0),"""")"),"")</f>
        <v/>
      </c>
      <c r="AH735" s="49" t="str">
        <f t="shared" ca="1" si="11"/>
        <v>LW</v>
      </c>
    </row>
    <row r="736" spans="1:34" ht="12.75">
      <c r="A736" s="45" t="str">
        <f ca="1">IFERROR(__xludf.DUMMYFUNCTION("""COMPUTED_VALUE"""),"Colombo")</f>
        <v>Colombo</v>
      </c>
      <c r="B736" s="45"/>
      <c r="C736" s="45">
        <f ca="1">IFERROR(__xludf.DUMMYFUNCTION("""COMPUTED_VALUE"""),3259512)</f>
        <v>3259512</v>
      </c>
      <c r="D736" s="45"/>
      <c r="E736" s="45" t="str">
        <f ca="1">IFERROR(__xludf.DUMMYFUNCTION("""COMPUTED_VALUE"""),"CFS")</f>
        <v>CFS</v>
      </c>
      <c r="F736" s="45" t="str">
        <f ca="1">IFERROR(__xludf.DUMMYFUNCTION("""COMPUTED_VALUE"""),"MAS AMITY PTE LTD")</f>
        <v>MAS AMITY PTE LTD</v>
      </c>
      <c r="G736" s="45" t="str">
        <f ca="1">IFERROR(__xludf.DUMMYFUNCTION("""COMPUTED_VALUE"""),"MAS Active (Pvt) Ltd - Linea Intimo")</f>
        <v>MAS Active (Pvt) Ltd - Linea Intimo</v>
      </c>
      <c r="H736" s="43">
        <f ca="1">IFERROR(__xludf.DUMMYFUNCTION("""COMPUTED_VALUE"""),456902507726)</f>
        <v>456902507726</v>
      </c>
      <c r="I736" s="45">
        <f ca="1">IFERROR(__xludf.DUMMYFUNCTION("""COMPUTED_VALUE"""),19911832)</f>
        <v>19911832</v>
      </c>
      <c r="J736" s="45" t="str">
        <f ca="1">IFERROR(__xludf.DUMMYFUNCTION("""COMPUTED_VALUE"""),"LW3IVES")</f>
        <v>LW3IVES</v>
      </c>
      <c r="K736" s="45" t="str">
        <f ca="1">IFERROR(__xludf.DUMMYFUNCTION("""COMPUTED_VALUE"""),"LW3IVES-071219")</f>
        <v>LW3IVES-071219</v>
      </c>
      <c r="L736" s="45">
        <f ca="1">IFERROR(__xludf.DUMMYFUNCTION("""COMPUTED_VALUE"""),4)</f>
        <v>4</v>
      </c>
      <c r="M736" s="45">
        <f ca="1">IFERROR(__xludf.DUMMYFUNCTION("""COMPUTED_VALUE"""),163)</f>
        <v>163</v>
      </c>
      <c r="N736" s="45">
        <f ca="1">IFERROR(__xludf.DUMMYFUNCTION("""COMPUTED_VALUE"""),15.218)</f>
        <v>15.218</v>
      </c>
      <c r="O736" s="45">
        <f ca="1">IFERROR(__xludf.DUMMYFUNCTION("""COMPUTED_VALUE"""),0.197)</f>
        <v>0.19700000000000001</v>
      </c>
      <c r="P736" s="45" t="str">
        <f ca="1">IFERROR(__xludf.DUMMYFUNCTION("""COMPUTED_VALUE"""),"Colombo, LK")</f>
        <v>Colombo, LK</v>
      </c>
      <c r="Q736" s="45" t="str">
        <f ca="1">IFERROR(__xludf.DUMMYFUNCTION("""COMPUTED_VALUE"""),"New York, NY, US")</f>
        <v>New York, NY, US</v>
      </c>
      <c r="R736" s="44">
        <f ca="1">IFERROR(__xludf.DUMMYFUNCTION("""COMPUTED_VALUE"""),45831)</f>
        <v>45831</v>
      </c>
      <c r="S736" s="44">
        <f ca="1">IFERROR(__xludf.DUMMYFUNCTION("""COMPUTED_VALUE"""),45890)</f>
        <v>45890</v>
      </c>
      <c r="T736" s="45" t="str">
        <f ca="1">IFERROR(__xludf.DUMMYFUNCTION("""COMPUTED_VALUE"""),"Mississauga, ON, CA")</f>
        <v>Mississauga, ON, CA</v>
      </c>
      <c r="U736" s="45"/>
      <c r="V736" s="45"/>
      <c r="W736" s="45"/>
      <c r="X736" s="45"/>
      <c r="Y736" s="46">
        <f ca="1">IFERROR(__xludf.DUMMYFUNCTION("""COMPUTED_VALUE"""),45838)</f>
        <v>45838</v>
      </c>
      <c r="Z736" s="46">
        <f ca="1">IFERROR(__xludf.DUMMYFUNCTION("""COMPUTED_VALUE"""),45852)</f>
        <v>45852</v>
      </c>
      <c r="AA736" s="46">
        <f ca="1">IFERROR(__xludf.DUMMYFUNCTION("""COMPUTED_VALUE"""),45852)</f>
        <v>45852</v>
      </c>
      <c r="AB736" s="45" t="str">
        <f ca="1">IFERROR(__xludf.DUMMYFUNCTION("""COMPUTED_VALUE"""),"3500 Argentia Road")</f>
        <v>3500 Argentia Road</v>
      </c>
      <c r="AC736" s="45"/>
      <c r="AD736" s="45" t="str">
        <f ca="1">IFERROR(__xludf.DUMMYFUNCTION("""COMPUTED_VALUE"""),"OCEAN")</f>
        <v>OCEAN</v>
      </c>
      <c r="AE736" s="45" t="str">
        <f ca="1">IFERROR(__xludf.DUMMYFUNCTION("""COMPUTED_VALUE"""),"N")</f>
        <v>N</v>
      </c>
      <c r="AF736" s="45"/>
      <c r="AG736" s="49" t="str">
        <f ca="1">IFERROR(__xludf.DUMMYFUNCTION("IFNA(vlookup(H736,IMPORTRANGE(""1vUGwO1n0QQGx9kKbO0_M5gmuhXZ6-LaxQxgrmJnzgP0"",""'TP# look up'!A:C""),3,0),"""")"),"")</f>
        <v/>
      </c>
      <c r="AH736" s="49" t="str">
        <f t="shared" ca="1" si="11"/>
        <v>LW</v>
      </c>
    </row>
    <row r="737" spans="1:34" ht="12.75">
      <c r="A737" s="45" t="str">
        <f ca="1">IFERROR(__xludf.DUMMYFUNCTION("""COMPUTED_VALUE"""),"Colombo")</f>
        <v>Colombo</v>
      </c>
      <c r="B737" s="45"/>
      <c r="C737" s="45">
        <f ca="1">IFERROR(__xludf.DUMMYFUNCTION("""COMPUTED_VALUE"""),3259512)</f>
        <v>3259512</v>
      </c>
      <c r="D737" s="45"/>
      <c r="E737" s="45" t="str">
        <f ca="1">IFERROR(__xludf.DUMMYFUNCTION("""COMPUTED_VALUE"""),"CFS")</f>
        <v>CFS</v>
      </c>
      <c r="F737" s="45" t="str">
        <f ca="1">IFERROR(__xludf.DUMMYFUNCTION("""COMPUTED_VALUE"""),"MAS AMITY PTE LTD")</f>
        <v>MAS AMITY PTE LTD</v>
      </c>
      <c r="G737" s="45" t="str">
        <f ca="1">IFERROR(__xludf.DUMMYFUNCTION("""COMPUTED_VALUE"""),"MAS Active (Pvt) Ltd - Linea Intimo")</f>
        <v>MAS Active (Pvt) Ltd - Linea Intimo</v>
      </c>
      <c r="H737" s="43">
        <f ca="1">IFERROR(__xludf.DUMMYFUNCTION("""COMPUTED_VALUE"""),456902508526)</f>
        <v>456902508526</v>
      </c>
      <c r="I737" s="45">
        <f ca="1">IFERROR(__xludf.DUMMYFUNCTION("""COMPUTED_VALUE"""),19920289)</f>
        <v>19920289</v>
      </c>
      <c r="J737" s="45" t="str">
        <f ca="1">IFERROR(__xludf.DUMMYFUNCTION("""COMPUTED_VALUE"""),"LW3DFMS")</f>
        <v>LW3DFMS</v>
      </c>
      <c r="K737" s="45" t="str">
        <f ca="1">IFERROR(__xludf.DUMMYFUNCTION("""COMPUTED_VALUE"""),"LW3DFMS-071171")</f>
        <v>LW3DFMS-071171</v>
      </c>
      <c r="L737" s="45">
        <f ca="1">IFERROR(__xludf.DUMMYFUNCTION("""COMPUTED_VALUE"""),3)</f>
        <v>3</v>
      </c>
      <c r="M737" s="45">
        <f ca="1">IFERROR(__xludf.DUMMYFUNCTION("""COMPUTED_VALUE"""),107)</f>
        <v>107</v>
      </c>
      <c r="N737" s="45">
        <f ca="1">IFERROR(__xludf.DUMMYFUNCTION("""COMPUTED_VALUE"""),15.271)</f>
        <v>15.271000000000001</v>
      </c>
      <c r="O737" s="45">
        <f ca="1">IFERROR(__xludf.DUMMYFUNCTION("""COMPUTED_VALUE"""),0.158)</f>
        <v>0.158</v>
      </c>
      <c r="P737" s="45" t="str">
        <f ca="1">IFERROR(__xludf.DUMMYFUNCTION("""COMPUTED_VALUE"""),"Colombo, LK")</f>
        <v>Colombo, LK</v>
      </c>
      <c r="Q737" s="45" t="str">
        <f ca="1">IFERROR(__xludf.DUMMYFUNCTION("""COMPUTED_VALUE"""),"New York, NY, US")</f>
        <v>New York, NY, US</v>
      </c>
      <c r="R737" s="44">
        <f ca="1">IFERROR(__xludf.DUMMYFUNCTION("""COMPUTED_VALUE"""),45831)</f>
        <v>45831</v>
      </c>
      <c r="S737" s="44">
        <f ca="1">IFERROR(__xludf.DUMMYFUNCTION("""COMPUTED_VALUE"""),45890)</f>
        <v>45890</v>
      </c>
      <c r="T737" s="45" t="str">
        <f ca="1">IFERROR(__xludf.DUMMYFUNCTION("""COMPUTED_VALUE"""),"Mississauga, ON, CA")</f>
        <v>Mississauga, ON, CA</v>
      </c>
      <c r="U737" s="45"/>
      <c r="V737" s="45"/>
      <c r="W737" s="45"/>
      <c r="X737" s="45"/>
      <c r="Y737" s="46">
        <f ca="1">IFERROR(__xludf.DUMMYFUNCTION("""COMPUTED_VALUE"""),45838)</f>
        <v>45838</v>
      </c>
      <c r="Z737" s="46">
        <f ca="1">IFERROR(__xludf.DUMMYFUNCTION("""COMPUTED_VALUE"""),45852)</f>
        <v>45852</v>
      </c>
      <c r="AA737" s="46">
        <f ca="1">IFERROR(__xludf.DUMMYFUNCTION("""COMPUTED_VALUE"""),45852)</f>
        <v>45852</v>
      </c>
      <c r="AB737" s="45" t="str">
        <f ca="1">IFERROR(__xludf.DUMMYFUNCTION("""COMPUTED_VALUE"""),"3500 Argentia Road")</f>
        <v>3500 Argentia Road</v>
      </c>
      <c r="AC737" s="45"/>
      <c r="AD737" s="45" t="str">
        <f ca="1">IFERROR(__xludf.DUMMYFUNCTION("""COMPUTED_VALUE"""),"OCEAN")</f>
        <v>OCEAN</v>
      </c>
      <c r="AE737" s="45" t="str">
        <f ca="1">IFERROR(__xludf.DUMMYFUNCTION("""COMPUTED_VALUE"""),"N")</f>
        <v>N</v>
      </c>
      <c r="AF737" s="45"/>
      <c r="AG737" s="49" t="str">
        <f ca="1">IFERROR(__xludf.DUMMYFUNCTION("IFNA(vlookup(H737,IMPORTRANGE(""1vUGwO1n0QQGx9kKbO0_M5gmuhXZ6-LaxQxgrmJnzgP0"",""'TP# look up'!A:C""),3,0),"""")"),"")</f>
        <v/>
      </c>
      <c r="AH737" s="49" t="str">
        <f t="shared" ca="1" si="11"/>
        <v>LW</v>
      </c>
    </row>
    <row r="738" spans="1:34" ht="12.75">
      <c r="A738" s="45" t="str">
        <f ca="1">IFERROR(__xludf.DUMMYFUNCTION("""COMPUTED_VALUE"""),"Colombo")</f>
        <v>Colombo</v>
      </c>
      <c r="B738" s="45"/>
      <c r="C738" s="45">
        <f ca="1">IFERROR(__xludf.DUMMYFUNCTION("""COMPUTED_VALUE"""),3259512)</f>
        <v>3259512</v>
      </c>
      <c r="D738" s="45"/>
      <c r="E738" s="45" t="str">
        <f ca="1">IFERROR(__xludf.DUMMYFUNCTION("""COMPUTED_VALUE"""),"CFS")</f>
        <v>CFS</v>
      </c>
      <c r="F738" s="45" t="str">
        <f ca="1">IFERROR(__xludf.DUMMYFUNCTION("""COMPUTED_VALUE"""),"MAS AMITY PTE LTD")</f>
        <v>MAS AMITY PTE LTD</v>
      </c>
      <c r="G738" s="45" t="str">
        <f ca="1">IFERROR(__xludf.DUMMYFUNCTION("""COMPUTED_VALUE"""),"MAS Active (Pvt) Ltd - Linea Intimo")</f>
        <v>MAS Active (Pvt) Ltd - Linea Intimo</v>
      </c>
      <c r="H738" s="43">
        <f ca="1">IFERROR(__xludf.DUMMYFUNCTION("""COMPUTED_VALUE"""),456902509462)</f>
        <v>456902509462</v>
      </c>
      <c r="I738" s="45">
        <f ca="1">IFERROR(__xludf.DUMMYFUNCTION("""COMPUTED_VALUE"""),91019141)</f>
        <v>91019141</v>
      </c>
      <c r="J738" s="45" t="str">
        <f ca="1">IFERROR(__xludf.DUMMYFUNCTION("""COMPUTED_VALUE"""),"LW1FH4S")</f>
        <v>LW1FH4S</v>
      </c>
      <c r="K738" s="45" t="str">
        <f ca="1">IFERROR(__xludf.DUMMYFUNCTION("""COMPUTED_VALUE"""),"LW1FH4S-072791")</f>
        <v>LW1FH4S-072791</v>
      </c>
      <c r="L738" s="45">
        <f ca="1">IFERROR(__xludf.DUMMYFUNCTION("""COMPUTED_VALUE"""),2)</f>
        <v>2</v>
      </c>
      <c r="M738" s="45">
        <f ca="1">IFERROR(__xludf.DUMMYFUNCTION("""COMPUTED_VALUE"""),139)</f>
        <v>139</v>
      </c>
      <c r="N738" s="45">
        <f ca="1">IFERROR(__xludf.DUMMYFUNCTION("""COMPUTED_VALUE"""),19.115)</f>
        <v>19.114999999999998</v>
      </c>
      <c r="O738" s="45">
        <f ca="1">IFERROR(__xludf.DUMMYFUNCTION("""COMPUTED_VALUE"""),0.118)</f>
        <v>0.11799999999999999</v>
      </c>
      <c r="P738" s="45" t="str">
        <f ca="1">IFERROR(__xludf.DUMMYFUNCTION("""COMPUTED_VALUE"""),"Colombo, LK")</f>
        <v>Colombo, LK</v>
      </c>
      <c r="Q738" s="45" t="str">
        <f ca="1">IFERROR(__xludf.DUMMYFUNCTION("""COMPUTED_VALUE"""),"New York, NY, US")</f>
        <v>New York, NY, US</v>
      </c>
      <c r="R738" s="44">
        <f ca="1">IFERROR(__xludf.DUMMYFUNCTION("""COMPUTED_VALUE"""),45831)</f>
        <v>45831</v>
      </c>
      <c r="S738" s="44">
        <f ca="1">IFERROR(__xludf.DUMMYFUNCTION("""COMPUTED_VALUE"""),45895)</f>
        <v>45895</v>
      </c>
      <c r="T738" s="45" t="str">
        <f ca="1">IFERROR(__xludf.DUMMYFUNCTION("""COMPUTED_VALUE"""),"Mississauga, ON, CA")</f>
        <v>Mississauga, ON, CA</v>
      </c>
      <c r="U738" s="45"/>
      <c r="V738" s="45"/>
      <c r="W738" s="45"/>
      <c r="X738" s="45"/>
      <c r="Y738" s="46">
        <f ca="1">IFERROR(__xludf.DUMMYFUNCTION("""COMPUTED_VALUE"""),45838)</f>
        <v>45838</v>
      </c>
      <c r="Z738" s="46">
        <f ca="1">IFERROR(__xludf.DUMMYFUNCTION("""COMPUTED_VALUE"""),45852)</f>
        <v>45852</v>
      </c>
      <c r="AA738" s="46">
        <f ca="1">IFERROR(__xludf.DUMMYFUNCTION("""COMPUTED_VALUE"""),45852)</f>
        <v>45852</v>
      </c>
      <c r="AB738" s="45" t="str">
        <f ca="1">IFERROR(__xludf.DUMMYFUNCTION("""COMPUTED_VALUE"""),"3500 Argentia Road")</f>
        <v>3500 Argentia Road</v>
      </c>
      <c r="AC738" s="45"/>
      <c r="AD738" s="45" t="str">
        <f ca="1">IFERROR(__xludf.DUMMYFUNCTION("""COMPUTED_VALUE"""),"OCEAN")</f>
        <v>OCEAN</v>
      </c>
      <c r="AE738" s="45" t="str">
        <f ca="1">IFERROR(__xludf.DUMMYFUNCTION("""COMPUTED_VALUE"""),"N")</f>
        <v>N</v>
      </c>
      <c r="AF738" s="45"/>
      <c r="AG738" s="49" t="str">
        <f ca="1">IFERROR(__xludf.DUMMYFUNCTION("IFNA(vlookup(H738,IMPORTRANGE(""1vUGwO1n0QQGx9kKbO0_M5gmuhXZ6-LaxQxgrmJnzgP0"",""'TP# look up'!A:C""),3,0),"""")"),"")</f>
        <v/>
      </c>
      <c r="AH738" s="49" t="str">
        <f t="shared" ca="1" si="11"/>
        <v>LW</v>
      </c>
    </row>
    <row r="739" spans="1:34" ht="12.75">
      <c r="A739" s="45" t="str">
        <f ca="1">IFERROR(__xludf.DUMMYFUNCTION("""COMPUTED_VALUE"""),"Colombo")</f>
        <v>Colombo</v>
      </c>
      <c r="B739" s="45"/>
      <c r="C739" s="45">
        <f ca="1">IFERROR(__xludf.DUMMYFUNCTION("""COMPUTED_VALUE"""),3259512)</f>
        <v>3259512</v>
      </c>
      <c r="D739" s="45"/>
      <c r="E739" s="45" t="str">
        <f ca="1">IFERROR(__xludf.DUMMYFUNCTION("""COMPUTED_VALUE"""),"CFS")</f>
        <v>CFS</v>
      </c>
      <c r="F739" s="45" t="str">
        <f ca="1">IFERROR(__xludf.DUMMYFUNCTION("""COMPUTED_VALUE"""),"MAS AMITY PTE LTD")</f>
        <v>MAS AMITY PTE LTD</v>
      </c>
      <c r="G739" s="45" t="str">
        <f ca="1">IFERROR(__xludf.DUMMYFUNCTION("""COMPUTED_VALUE"""),"MAS Active (Pvt) Ltd - Linea Intimo")</f>
        <v>MAS Active (Pvt) Ltd - Linea Intimo</v>
      </c>
      <c r="H739" s="43">
        <f ca="1">IFERROR(__xludf.DUMMYFUNCTION("""COMPUTED_VALUE"""),456902509515)</f>
        <v>456902509515</v>
      </c>
      <c r="I739" s="45">
        <f ca="1">IFERROR(__xludf.DUMMYFUNCTION("""COMPUTED_VALUE"""),91019170)</f>
        <v>91019170</v>
      </c>
      <c r="J739" s="45" t="str">
        <f ca="1">IFERROR(__xludf.DUMMYFUNCTION("""COMPUTED_VALUE"""),"LW1FKES")</f>
        <v>LW1FKES</v>
      </c>
      <c r="K739" s="45" t="str">
        <f ca="1">IFERROR(__xludf.DUMMYFUNCTION("""COMPUTED_VALUE"""),"LW1FKES-035647")</f>
        <v>LW1FKES-035647</v>
      </c>
      <c r="L739" s="45">
        <f ca="1">IFERROR(__xludf.DUMMYFUNCTION("""COMPUTED_VALUE"""),6)</f>
        <v>6</v>
      </c>
      <c r="M739" s="45">
        <f ca="1">IFERROR(__xludf.DUMMYFUNCTION("""COMPUTED_VALUE"""),450)</f>
        <v>450</v>
      </c>
      <c r="N739" s="45">
        <f ca="1">IFERROR(__xludf.DUMMYFUNCTION("""COMPUTED_VALUE"""),59.113)</f>
        <v>59.113</v>
      </c>
      <c r="O739" s="45">
        <f ca="1">IFERROR(__xludf.DUMMYFUNCTION("""COMPUTED_VALUE"""),0.434)</f>
        <v>0.434</v>
      </c>
      <c r="P739" s="45" t="str">
        <f ca="1">IFERROR(__xludf.DUMMYFUNCTION("""COMPUTED_VALUE"""),"Colombo, LK")</f>
        <v>Colombo, LK</v>
      </c>
      <c r="Q739" s="45" t="str">
        <f ca="1">IFERROR(__xludf.DUMMYFUNCTION("""COMPUTED_VALUE"""),"New York, NY, US")</f>
        <v>New York, NY, US</v>
      </c>
      <c r="R739" s="44">
        <f ca="1">IFERROR(__xludf.DUMMYFUNCTION("""COMPUTED_VALUE"""),45831)</f>
        <v>45831</v>
      </c>
      <c r="S739" s="44">
        <f ca="1">IFERROR(__xludf.DUMMYFUNCTION("""COMPUTED_VALUE"""),45895)</f>
        <v>45895</v>
      </c>
      <c r="T739" s="45" t="str">
        <f ca="1">IFERROR(__xludf.DUMMYFUNCTION("""COMPUTED_VALUE"""),"Mississauga, ON, CA")</f>
        <v>Mississauga, ON, CA</v>
      </c>
      <c r="U739" s="45"/>
      <c r="V739" s="45"/>
      <c r="W739" s="45"/>
      <c r="X739" s="45"/>
      <c r="Y739" s="46">
        <f ca="1">IFERROR(__xludf.DUMMYFUNCTION("""COMPUTED_VALUE"""),45838)</f>
        <v>45838</v>
      </c>
      <c r="Z739" s="46">
        <f ca="1">IFERROR(__xludf.DUMMYFUNCTION("""COMPUTED_VALUE"""),45852)</f>
        <v>45852</v>
      </c>
      <c r="AA739" s="46">
        <f ca="1">IFERROR(__xludf.DUMMYFUNCTION("""COMPUTED_VALUE"""),45852)</f>
        <v>45852</v>
      </c>
      <c r="AB739" s="45" t="str">
        <f ca="1">IFERROR(__xludf.DUMMYFUNCTION("""COMPUTED_VALUE"""),"3500 Argentia Road")</f>
        <v>3500 Argentia Road</v>
      </c>
      <c r="AC739" s="45"/>
      <c r="AD739" s="45" t="str">
        <f ca="1">IFERROR(__xludf.DUMMYFUNCTION("""COMPUTED_VALUE"""),"OCEAN")</f>
        <v>OCEAN</v>
      </c>
      <c r="AE739" s="45" t="str">
        <f ca="1">IFERROR(__xludf.DUMMYFUNCTION("""COMPUTED_VALUE"""),"N")</f>
        <v>N</v>
      </c>
      <c r="AF739" s="45"/>
      <c r="AG739" s="49" t="str">
        <f ca="1">IFERROR(__xludf.DUMMYFUNCTION("IFNA(vlookup(H739,IMPORTRANGE(""1vUGwO1n0QQGx9kKbO0_M5gmuhXZ6-LaxQxgrmJnzgP0"",""'TP# look up'!A:C""),3,0),"""")"),"")</f>
        <v/>
      </c>
      <c r="AH739" s="49" t="str">
        <f t="shared" ca="1" si="11"/>
        <v>LW</v>
      </c>
    </row>
    <row r="740" spans="1:34" ht="12.75">
      <c r="A740" s="45" t="str">
        <f ca="1">IFERROR(__xludf.DUMMYFUNCTION("""COMPUTED_VALUE"""),"Colombo")</f>
        <v>Colombo</v>
      </c>
      <c r="B740" s="45"/>
      <c r="C740" s="45">
        <f ca="1">IFERROR(__xludf.DUMMYFUNCTION("""COMPUTED_VALUE"""),3259512)</f>
        <v>3259512</v>
      </c>
      <c r="D740" s="45"/>
      <c r="E740" s="45" t="str">
        <f ca="1">IFERROR(__xludf.DUMMYFUNCTION("""COMPUTED_VALUE"""),"CFS")</f>
        <v>CFS</v>
      </c>
      <c r="F740" s="45" t="str">
        <f ca="1">IFERROR(__xludf.DUMMYFUNCTION("""COMPUTED_VALUE"""),"MAS AMITY PTE LTD")</f>
        <v>MAS AMITY PTE LTD</v>
      </c>
      <c r="G740" s="45" t="str">
        <f ca="1">IFERROR(__xludf.DUMMYFUNCTION("""COMPUTED_VALUE"""),"MAS Active (Pvt) Ltd - Linea Intimo")</f>
        <v>MAS Active (Pvt) Ltd - Linea Intimo</v>
      </c>
      <c r="H740" s="43">
        <f ca="1">IFERROR(__xludf.DUMMYFUNCTION("""COMPUTED_VALUE"""),456903519763)</f>
        <v>456903519763</v>
      </c>
      <c r="I740" s="45">
        <f ca="1">IFERROR(__xludf.DUMMYFUNCTION("""COMPUTED_VALUE"""),19911899)</f>
        <v>19911899</v>
      </c>
      <c r="J740" s="45" t="str">
        <f ca="1">IFERROR(__xludf.DUMMYFUNCTION("""COMPUTED_VALUE"""),"LW3JE9S")</f>
        <v>LW3JE9S</v>
      </c>
      <c r="K740" s="45" t="str">
        <f ca="1">IFERROR(__xludf.DUMMYFUNCTION("""COMPUTED_VALUE"""),"LW3JE9S-071365")</f>
        <v>LW3JE9S-071365</v>
      </c>
      <c r="L740" s="45">
        <f ca="1">IFERROR(__xludf.DUMMYFUNCTION("""COMPUTED_VALUE"""),5)</f>
        <v>5</v>
      </c>
      <c r="M740" s="45">
        <f ca="1">IFERROR(__xludf.DUMMYFUNCTION("""COMPUTED_VALUE"""),287)</f>
        <v>287</v>
      </c>
      <c r="N740" s="45">
        <f ca="1">IFERROR(__xludf.DUMMYFUNCTION("""COMPUTED_VALUE"""),56.673)</f>
        <v>56.673000000000002</v>
      </c>
      <c r="O740" s="45">
        <f ca="1">IFERROR(__xludf.DUMMYFUNCTION("""COMPUTED_VALUE"""),0.395)</f>
        <v>0.39500000000000002</v>
      </c>
      <c r="P740" s="45" t="str">
        <f ca="1">IFERROR(__xludf.DUMMYFUNCTION("""COMPUTED_VALUE"""),"Colombo, LK")</f>
        <v>Colombo, LK</v>
      </c>
      <c r="Q740" s="45" t="str">
        <f ca="1">IFERROR(__xludf.DUMMYFUNCTION("""COMPUTED_VALUE"""),"New York, NY, US")</f>
        <v>New York, NY, US</v>
      </c>
      <c r="R740" s="44">
        <f ca="1">IFERROR(__xludf.DUMMYFUNCTION("""COMPUTED_VALUE"""),45831)</f>
        <v>45831</v>
      </c>
      <c r="S740" s="44">
        <f ca="1">IFERROR(__xludf.DUMMYFUNCTION("""COMPUTED_VALUE"""),45890)</f>
        <v>45890</v>
      </c>
      <c r="T740" s="45" t="str">
        <f ca="1">IFERROR(__xludf.DUMMYFUNCTION("""COMPUTED_VALUE"""),"Mississauga, ON, CA")</f>
        <v>Mississauga, ON, CA</v>
      </c>
      <c r="U740" s="45"/>
      <c r="V740" s="45"/>
      <c r="W740" s="45"/>
      <c r="X740" s="45"/>
      <c r="Y740" s="46">
        <f ca="1">IFERROR(__xludf.DUMMYFUNCTION("""COMPUTED_VALUE"""),45838)</f>
        <v>45838</v>
      </c>
      <c r="Z740" s="46">
        <f ca="1">IFERROR(__xludf.DUMMYFUNCTION("""COMPUTED_VALUE"""),45852)</f>
        <v>45852</v>
      </c>
      <c r="AA740" s="46">
        <f ca="1">IFERROR(__xludf.DUMMYFUNCTION("""COMPUTED_VALUE"""),45852)</f>
        <v>45852</v>
      </c>
      <c r="AB740" s="45" t="str">
        <f ca="1">IFERROR(__xludf.DUMMYFUNCTION("""COMPUTED_VALUE"""),"3500 Argentia Road")</f>
        <v>3500 Argentia Road</v>
      </c>
      <c r="AC740" s="45"/>
      <c r="AD740" s="45" t="str">
        <f ca="1">IFERROR(__xludf.DUMMYFUNCTION("""COMPUTED_VALUE"""),"OCEAN")</f>
        <v>OCEAN</v>
      </c>
      <c r="AE740" s="45" t="str">
        <f ca="1">IFERROR(__xludf.DUMMYFUNCTION("""COMPUTED_VALUE"""),"N")</f>
        <v>N</v>
      </c>
      <c r="AF740" s="45"/>
      <c r="AG740" s="49" t="str">
        <f ca="1">IFERROR(__xludf.DUMMYFUNCTION("IFNA(vlookup(H740,IMPORTRANGE(""1vUGwO1n0QQGx9kKbO0_M5gmuhXZ6-LaxQxgrmJnzgP0"",""'TP# look up'!A:C""),3,0),"""")"),"")</f>
        <v/>
      </c>
      <c r="AH740" s="49" t="str">
        <f t="shared" ca="1" si="11"/>
        <v>LW</v>
      </c>
    </row>
    <row r="741" spans="1:34" ht="12.75">
      <c r="A741" s="45" t="str">
        <f ca="1">IFERROR(__xludf.DUMMYFUNCTION("""COMPUTED_VALUE"""),"Colombo")</f>
        <v>Colombo</v>
      </c>
      <c r="B741" s="45"/>
      <c r="C741" s="45">
        <f ca="1">IFERROR(__xludf.DUMMYFUNCTION("""COMPUTED_VALUE"""),3259512)</f>
        <v>3259512</v>
      </c>
      <c r="D741" s="45"/>
      <c r="E741" s="45" t="str">
        <f ca="1">IFERROR(__xludf.DUMMYFUNCTION("""COMPUTED_VALUE"""),"CFS")</f>
        <v>CFS</v>
      </c>
      <c r="F741" s="45" t="str">
        <f ca="1">IFERROR(__xludf.DUMMYFUNCTION("""COMPUTED_VALUE"""),"MAS AMITY PTE LTD")</f>
        <v>MAS AMITY PTE LTD</v>
      </c>
      <c r="G741" s="45" t="str">
        <f ca="1">IFERROR(__xludf.DUMMYFUNCTION("""COMPUTED_VALUE"""),"MAS Active (Pvt) Ltd - Linea Intimo")</f>
        <v>MAS Active (Pvt) Ltd - Linea Intimo</v>
      </c>
      <c r="H741" s="43">
        <f ca="1">IFERROR(__xludf.DUMMYFUNCTION("""COMPUTED_VALUE"""),456905217922)</f>
        <v>456905217922</v>
      </c>
      <c r="I741" s="45">
        <f ca="1">IFERROR(__xludf.DUMMYFUNCTION("""COMPUTED_VALUE"""),19919125)</f>
        <v>19919125</v>
      </c>
      <c r="J741" s="45" t="str">
        <f ca="1">IFERROR(__xludf.DUMMYFUNCTION("""COMPUTED_VALUE"""),"LW3JE9S")</f>
        <v>LW3JE9S</v>
      </c>
      <c r="K741" s="45" t="str">
        <f ca="1">IFERROR(__xludf.DUMMYFUNCTION("""COMPUTED_VALUE"""),"LW3JE9S-071365")</f>
        <v>LW3JE9S-071365</v>
      </c>
      <c r="L741" s="45">
        <f ca="1">IFERROR(__xludf.DUMMYFUNCTION("""COMPUTED_VALUE"""),10)</f>
        <v>10</v>
      </c>
      <c r="M741" s="45">
        <f ca="1">IFERROR(__xludf.DUMMYFUNCTION("""COMPUTED_VALUE"""),599)</f>
        <v>599</v>
      </c>
      <c r="N741" s="45">
        <f ca="1">IFERROR(__xludf.DUMMYFUNCTION("""COMPUTED_VALUE"""),115.89)</f>
        <v>115.89</v>
      </c>
      <c r="O741" s="45">
        <f ca="1">IFERROR(__xludf.DUMMYFUNCTION("""COMPUTED_VALUE"""),0.711)</f>
        <v>0.71099999999999997</v>
      </c>
      <c r="P741" s="45" t="str">
        <f ca="1">IFERROR(__xludf.DUMMYFUNCTION("""COMPUTED_VALUE"""),"Colombo, LK")</f>
        <v>Colombo, LK</v>
      </c>
      <c r="Q741" s="45" t="str">
        <f ca="1">IFERROR(__xludf.DUMMYFUNCTION("""COMPUTED_VALUE"""),"New York, NY, US")</f>
        <v>New York, NY, US</v>
      </c>
      <c r="R741" s="44">
        <f ca="1">IFERROR(__xludf.DUMMYFUNCTION("""COMPUTED_VALUE"""),45831)</f>
        <v>45831</v>
      </c>
      <c r="S741" s="44">
        <f ca="1">IFERROR(__xludf.DUMMYFUNCTION("""COMPUTED_VALUE"""),45890)</f>
        <v>45890</v>
      </c>
      <c r="T741" s="45" t="str">
        <f ca="1">IFERROR(__xludf.DUMMYFUNCTION("""COMPUTED_VALUE"""),"Mississauga, ON, CA")</f>
        <v>Mississauga, ON, CA</v>
      </c>
      <c r="U741" s="45"/>
      <c r="V741" s="45"/>
      <c r="W741" s="45"/>
      <c r="X741" s="45"/>
      <c r="Y741" s="46">
        <f ca="1">IFERROR(__xludf.DUMMYFUNCTION("""COMPUTED_VALUE"""),45838)</f>
        <v>45838</v>
      </c>
      <c r="Z741" s="46">
        <f ca="1">IFERROR(__xludf.DUMMYFUNCTION("""COMPUTED_VALUE"""),45852)</f>
        <v>45852</v>
      </c>
      <c r="AA741" s="46">
        <f ca="1">IFERROR(__xludf.DUMMYFUNCTION("""COMPUTED_VALUE"""),45852)</f>
        <v>45852</v>
      </c>
      <c r="AB741" s="45" t="str">
        <f ca="1">IFERROR(__xludf.DUMMYFUNCTION("""COMPUTED_VALUE"""),"3500 Argentia Road")</f>
        <v>3500 Argentia Road</v>
      </c>
      <c r="AC741" s="45"/>
      <c r="AD741" s="45" t="str">
        <f ca="1">IFERROR(__xludf.DUMMYFUNCTION("""COMPUTED_VALUE"""),"OCEAN")</f>
        <v>OCEAN</v>
      </c>
      <c r="AE741" s="45" t="str">
        <f ca="1">IFERROR(__xludf.DUMMYFUNCTION("""COMPUTED_VALUE"""),"N")</f>
        <v>N</v>
      </c>
      <c r="AF741" s="45"/>
      <c r="AG741" s="49" t="str">
        <f ca="1">IFERROR(__xludf.DUMMYFUNCTION("IFNA(vlookup(H741,IMPORTRANGE(""1vUGwO1n0QQGx9kKbO0_M5gmuhXZ6-LaxQxgrmJnzgP0"",""'TP# look up'!A:C""),3,0),"""")"),"")</f>
        <v/>
      </c>
      <c r="AH741" s="49" t="str">
        <f t="shared" ca="1" si="11"/>
        <v>LW</v>
      </c>
    </row>
    <row r="742" spans="1:34" ht="12.75">
      <c r="A742" s="45" t="str">
        <f ca="1">IFERROR(__xludf.DUMMYFUNCTION("""COMPUTED_VALUE"""),"Colombo")</f>
        <v>Colombo</v>
      </c>
      <c r="B742" s="45"/>
      <c r="C742" s="45">
        <f ca="1">IFERROR(__xludf.DUMMYFUNCTION("""COMPUTED_VALUE"""),3259512)</f>
        <v>3259512</v>
      </c>
      <c r="D742" s="45"/>
      <c r="E742" s="45" t="str">
        <f ca="1">IFERROR(__xludf.DUMMYFUNCTION("""COMPUTED_VALUE"""),"CFS")</f>
        <v>CFS</v>
      </c>
      <c r="F742" s="45" t="str">
        <f ca="1">IFERROR(__xludf.DUMMYFUNCTION("""COMPUTED_VALUE"""),"MAS AMITY PTE LTD")</f>
        <v>MAS AMITY PTE LTD</v>
      </c>
      <c r="G742" s="45" t="str">
        <f ca="1">IFERROR(__xludf.DUMMYFUNCTION("""COMPUTED_VALUE"""),"MAS Active (Pvt) Ltd - Linea Intimo")</f>
        <v>MAS Active (Pvt) Ltd - Linea Intimo</v>
      </c>
      <c r="H742" s="43">
        <f ca="1">IFERROR(__xludf.DUMMYFUNCTION("""COMPUTED_VALUE"""),456905673301)</f>
        <v>456905673301</v>
      </c>
      <c r="I742" s="45">
        <f ca="1">IFERROR(__xludf.DUMMYFUNCTION("""COMPUTED_VALUE"""),19920399)</f>
        <v>19920399</v>
      </c>
      <c r="J742" s="45" t="str">
        <f ca="1">IFERROR(__xludf.DUMMYFUNCTION("""COMPUTED_VALUE"""),"LW3DFMS")</f>
        <v>LW3DFMS</v>
      </c>
      <c r="K742" s="45" t="str">
        <f ca="1">IFERROR(__xludf.DUMMYFUNCTION("""COMPUTED_VALUE"""),"LW3DFMS-071171")</f>
        <v>LW3DFMS-071171</v>
      </c>
      <c r="L742" s="45">
        <f ca="1">IFERROR(__xludf.DUMMYFUNCTION("""COMPUTED_VALUE"""),5)</f>
        <v>5</v>
      </c>
      <c r="M742" s="45">
        <f ca="1">IFERROR(__xludf.DUMMYFUNCTION("""COMPUTED_VALUE"""),252)</f>
        <v>252</v>
      </c>
      <c r="N742" s="45">
        <f ca="1">IFERROR(__xludf.DUMMYFUNCTION("""COMPUTED_VALUE"""),33.268)</f>
        <v>33.268000000000001</v>
      </c>
      <c r="O742" s="45">
        <f ca="1">IFERROR(__xludf.DUMMYFUNCTION("""COMPUTED_VALUE"""),0.316)</f>
        <v>0.316</v>
      </c>
      <c r="P742" s="45" t="str">
        <f ca="1">IFERROR(__xludf.DUMMYFUNCTION("""COMPUTED_VALUE"""),"Colombo, LK")</f>
        <v>Colombo, LK</v>
      </c>
      <c r="Q742" s="45" t="str">
        <f ca="1">IFERROR(__xludf.DUMMYFUNCTION("""COMPUTED_VALUE"""),"New York, NY, US")</f>
        <v>New York, NY, US</v>
      </c>
      <c r="R742" s="44">
        <f ca="1">IFERROR(__xludf.DUMMYFUNCTION("""COMPUTED_VALUE"""),45831)</f>
        <v>45831</v>
      </c>
      <c r="S742" s="44">
        <f ca="1">IFERROR(__xludf.DUMMYFUNCTION("""COMPUTED_VALUE"""),45890)</f>
        <v>45890</v>
      </c>
      <c r="T742" s="45" t="str">
        <f ca="1">IFERROR(__xludf.DUMMYFUNCTION("""COMPUTED_VALUE"""),"Mississauga, ON, CA")</f>
        <v>Mississauga, ON, CA</v>
      </c>
      <c r="U742" s="45"/>
      <c r="V742" s="45"/>
      <c r="W742" s="45"/>
      <c r="X742" s="45"/>
      <c r="Y742" s="46">
        <f ca="1">IFERROR(__xludf.DUMMYFUNCTION("""COMPUTED_VALUE"""),45838)</f>
        <v>45838</v>
      </c>
      <c r="Z742" s="46">
        <f ca="1">IFERROR(__xludf.DUMMYFUNCTION("""COMPUTED_VALUE"""),45852)</f>
        <v>45852</v>
      </c>
      <c r="AA742" s="46">
        <f ca="1">IFERROR(__xludf.DUMMYFUNCTION("""COMPUTED_VALUE"""),45852)</f>
        <v>45852</v>
      </c>
      <c r="AB742" s="45" t="str">
        <f ca="1">IFERROR(__xludf.DUMMYFUNCTION("""COMPUTED_VALUE"""),"3500 Argentia Road")</f>
        <v>3500 Argentia Road</v>
      </c>
      <c r="AC742" s="45"/>
      <c r="AD742" s="45" t="str">
        <f ca="1">IFERROR(__xludf.DUMMYFUNCTION("""COMPUTED_VALUE"""),"OCEAN")</f>
        <v>OCEAN</v>
      </c>
      <c r="AE742" s="45" t="str">
        <f ca="1">IFERROR(__xludf.DUMMYFUNCTION("""COMPUTED_VALUE"""),"N")</f>
        <v>N</v>
      </c>
      <c r="AF742" s="45"/>
      <c r="AG742" s="49" t="str">
        <f ca="1">IFERROR(__xludf.DUMMYFUNCTION("IFNA(vlookup(H742,IMPORTRANGE(""1vUGwO1n0QQGx9kKbO0_M5gmuhXZ6-LaxQxgrmJnzgP0"",""'TP# look up'!A:C""),3,0),"""")"),"")</f>
        <v/>
      </c>
      <c r="AH742" s="49" t="str">
        <f t="shared" ca="1" si="11"/>
        <v>LW</v>
      </c>
    </row>
    <row r="743" spans="1:34" ht="12.75">
      <c r="A743" s="45" t="str">
        <f ca="1">IFERROR(__xludf.DUMMYFUNCTION("""COMPUTED_VALUE"""),"Colombo")</f>
        <v>Colombo</v>
      </c>
      <c r="B743" s="45"/>
      <c r="C743" s="45">
        <f ca="1">IFERROR(__xludf.DUMMYFUNCTION("""COMPUTED_VALUE"""),3259512)</f>
        <v>3259512</v>
      </c>
      <c r="D743" s="45"/>
      <c r="E743" s="45" t="str">
        <f ca="1">IFERROR(__xludf.DUMMYFUNCTION("""COMPUTED_VALUE"""),"CFS")</f>
        <v>CFS</v>
      </c>
      <c r="F743" s="45" t="str">
        <f ca="1">IFERROR(__xludf.DUMMYFUNCTION("""COMPUTED_VALUE"""),"MAS AMITY PTE LTD")</f>
        <v>MAS AMITY PTE LTD</v>
      </c>
      <c r="G743" s="45" t="str">
        <f ca="1">IFERROR(__xludf.DUMMYFUNCTION("""COMPUTED_VALUE"""),"MAS Active (Pvt) Ltd - Linea Intimo")</f>
        <v>MAS Active (Pvt) Ltd - Linea Intimo</v>
      </c>
      <c r="H743" s="43">
        <f ca="1">IFERROR(__xludf.DUMMYFUNCTION("""COMPUTED_VALUE"""),456905673457)</f>
        <v>456905673457</v>
      </c>
      <c r="I743" s="45">
        <f ca="1">IFERROR(__xludf.DUMMYFUNCTION("""COMPUTED_VALUE"""),19920452)</f>
        <v>19920452</v>
      </c>
      <c r="J743" s="45" t="str">
        <f ca="1">IFERROR(__xludf.DUMMYFUNCTION("""COMPUTED_VALUE"""),"LW3IVES")</f>
        <v>LW3IVES</v>
      </c>
      <c r="K743" s="45" t="str">
        <f ca="1">IFERROR(__xludf.DUMMYFUNCTION("""COMPUTED_VALUE"""),"LW3IVES-071219")</f>
        <v>LW3IVES-071219</v>
      </c>
      <c r="L743" s="45">
        <f ca="1">IFERROR(__xludf.DUMMYFUNCTION("""COMPUTED_VALUE"""),5)</f>
        <v>5</v>
      </c>
      <c r="M743" s="45">
        <f ca="1">IFERROR(__xludf.DUMMYFUNCTION("""COMPUTED_VALUE"""),361)</f>
        <v>361</v>
      </c>
      <c r="N743" s="45">
        <f ca="1">IFERROR(__xludf.DUMMYFUNCTION("""COMPUTED_VALUE"""),30.284)</f>
        <v>30.283999999999999</v>
      </c>
      <c r="O743" s="45">
        <f ca="1">IFERROR(__xludf.DUMMYFUNCTION("""COMPUTED_VALUE"""),0.316)</f>
        <v>0.316</v>
      </c>
      <c r="P743" s="45" t="str">
        <f ca="1">IFERROR(__xludf.DUMMYFUNCTION("""COMPUTED_VALUE"""),"Colombo, LK")</f>
        <v>Colombo, LK</v>
      </c>
      <c r="Q743" s="45" t="str">
        <f ca="1">IFERROR(__xludf.DUMMYFUNCTION("""COMPUTED_VALUE"""),"New York, NY, US")</f>
        <v>New York, NY, US</v>
      </c>
      <c r="R743" s="44">
        <f ca="1">IFERROR(__xludf.DUMMYFUNCTION("""COMPUTED_VALUE"""),45831)</f>
        <v>45831</v>
      </c>
      <c r="S743" s="44">
        <f ca="1">IFERROR(__xludf.DUMMYFUNCTION("""COMPUTED_VALUE"""),45890)</f>
        <v>45890</v>
      </c>
      <c r="T743" s="45" t="str">
        <f ca="1">IFERROR(__xludf.DUMMYFUNCTION("""COMPUTED_VALUE"""),"Mississauga, ON, CA")</f>
        <v>Mississauga, ON, CA</v>
      </c>
      <c r="U743" s="45"/>
      <c r="V743" s="45"/>
      <c r="W743" s="45"/>
      <c r="X743" s="45"/>
      <c r="Y743" s="46">
        <f ca="1">IFERROR(__xludf.DUMMYFUNCTION("""COMPUTED_VALUE"""),45838)</f>
        <v>45838</v>
      </c>
      <c r="Z743" s="46">
        <f ca="1">IFERROR(__xludf.DUMMYFUNCTION("""COMPUTED_VALUE"""),45852)</f>
        <v>45852</v>
      </c>
      <c r="AA743" s="46">
        <f ca="1">IFERROR(__xludf.DUMMYFUNCTION("""COMPUTED_VALUE"""),45852)</f>
        <v>45852</v>
      </c>
      <c r="AB743" s="45" t="str">
        <f ca="1">IFERROR(__xludf.DUMMYFUNCTION("""COMPUTED_VALUE"""),"3500 Argentia Road")</f>
        <v>3500 Argentia Road</v>
      </c>
      <c r="AC743" s="45"/>
      <c r="AD743" s="45" t="str">
        <f ca="1">IFERROR(__xludf.DUMMYFUNCTION("""COMPUTED_VALUE"""),"OCEAN")</f>
        <v>OCEAN</v>
      </c>
      <c r="AE743" s="45" t="str">
        <f ca="1">IFERROR(__xludf.DUMMYFUNCTION("""COMPUTED_VALUE"""),"N")</f>
        <v>N</v>
      </c>
      <c r="AF743" s="45"/>
      <c r="AG743" s="49" t="str">
        <f ca="1">IFERROR(__xludf.DUMMYFUNCTION("IFNA(vlookup(H743,IMPORTRANGE(""1vUGwO1n0QQGx9kKbO0_M5gmuhXZ6-LaxQxgrmJnzgP0"",""'TP# look up'!A:C""),3,0),"""")"),"")</f>
        <v/>
      </c>
      <c r="AH743" s="49" t="str">
        <f t="shared" ca="1" si="11"/>
        <v>LW</v>
      </c>
    </row>
    <row r="744" spans="1:34" ht="12.75">
      <c r="A744" s="45" t="str">
        <f ca="1">IFERROR(__xludf.DUMMYFUNCTION("""COMPUTED_VALUE"""),"Colombo")</f>
        <v>Colombo</v>
      </c>
      <c r="B744" s="45"/>
      <c r="C744" s="45">
        <f ca="1">IFERROR(__xludf.DUMMYFUNCTION("""COMPUTED_VALUE"""),3259512)</f>
        <v>3259512</v>
      </c>
      <c r="D744" s="45"/>
      <c r="E744" s="45" t="str">
        <f ca="1">IFERROR(__xludf.DUMMYFUNCTION("""COMPUTED_VALUE"""),"CFS")</f>
        <v>CFS</v>
      </c>
      <c r="F744" s="45" t="str">
        <f ca="1">IFERROR(__xludf.DUMMYFUNCTION("""COMPUTED_VALUE"""),"MAS AMITY PTE LTD")</f>
        <v>MAS AMITY PTE LTD</v>
      </c>
      <c r="G744" s="45" t="str">
        <f ca="1">IFERROR(__xludf.DUMMYFUNCTION("""COMPUTED_VALUE"""),"MAS Active (Pvt) Ltd - Linea Intimo")</f>
        <v>MAS Active (Pvt) Ltd - Linea Intimo</v>
      </c>
      <c r="H744" s="43">
        <f ca="1">IFERROR(__xludf.DUMMYFUNCTION("""COMPUTED_VALUE"""),456909251643)</f>
        <v>456909251643</v>
      </c>
      <c r="I744" s="45">
        <f ca="1">IFERROR(__xludf.DUMMYFUNCTION("""COMPUTED_VALUE"""),91019207)</f>
        <v>91019207</v>
      </c>
      <c r="J744" s="45" t="str">
        <f ca="1">IFERROR(__xludf.DUMMYFUNCTION("""COMPUTED_VALUE"""),"LW1FKES")</f>
        <v>LW1FKES</v>
      </c>
      <c r="K744" s="45" t="str">
        <f ca="1">IFERROR(__xludf.DUMMYFUNCTION("""COMPUTED_VALUE"""),"LW1FKES-035647")</f>
        <v>LW1FKES-035647</v>
      </c>
      <c r="L744" s="45">
        <f ca="1">IFERROR(__xludf.DUMMYFUNCTION("""COMPUTED_VALUE"""),2)</f>
        <v>2</v>
      </c>
      <c r="M744" s="45">
        <f ca="1">IFERROR(__xludf.DUMMYFUNCTION("""COMPUTED_VALUE"""),115)</f>
        <v>115</v>
      </c>
      <c r="N744" s="45">
        <f ca="1">IFERROR(__xludf.DUMMYFUNCTION("""COMPUTED_VALUE"""),15.409)</f>
        <v>15.409000000000001</v>
      </c>
      <c r="O744" s="45">
        <f ca="1">IFERROR(__xludf.DUMMYFUNCTION("""COMPUTED_VALUE"""),0.118)</f>
        <v>0.11799999999999999</v>
      </c>
      <c r="P744" s="45" t="str">
        <f ca="1">IFERROR(__xludf.DUMMYFUNCTION("""COMPUTED_VALUE"""),"Colombo, LK")</f>
        <v>Colombo, LK</v>
      </c>
      <c r="Q744" s="45" t="str">
        <f ca="1">IFERROR(__xludf.DUMMYFUNCTION("""COMPUTED_VALUE"""),"New York, NY, US")</f>
        <v>New York, NY, US</v>
      </c>
      <c r="R744" s="44">
        <f ca="1">IFERROR(__xludf.DUMMYFUNCTION("""COMPUTED_VALUE"""),45831)</f>
        <v>45831</v>
      </c>
      <c r="S744" s="44">
        <f ca="1">IFERROR(__xludf.DUMMYFUNCTION("""COMPUTED_VALUE"""),45895)</f>
        <v>45895</v>
      </c>
      <c r="T744" s="45" t="str">
        <f ca="1">IFERROR(__xludf.DUMMYFUNCTION("""COMPUTED_VALUE"""),"Mississauga, ON, CA")</f>
        <v>Mississauga, ON, CA</v>
      </c>
      <c r="U744" s="45"/>
      <c r="V744" s="45"/>
      <c r="W744" s="45"/>
      <c r="X744" s="45"/>
      <c r="Y744" s="46">
        <f ca="1">IFERROR(__xludf.DUMMYFUNCTION("""COMPUTED_VALUE"""),45838)</f>
        <v>45838</v>
      </c>
      <c r="Z744" s="46">
        <f ca="1">IFERROR(__xludf.DUMMYFUNCTION("""COMPUTED_VALUE"""),45852)</f>
        <v>45852</v>
      </c>
      <c r="AA744" s="46">
        <f ca="1">IFERROR(__xludf.DUMMYFUNCTION("""COMPUTED_VALUE"""),45852)</f>
        <v>45852</v>
      </c>
      <c r="AB744" s="45" t="str">
        <f ca="1">IFERROR(__xludf.DUMMYFUNCTION("""COMPUTED_VALUE"""),"3500 Argentia Road")</f>
        <v>3500 Argentia Road</v>
      </c>
      <c r="AC744" s="45"/>
      <c r="AD744" s="45" t="str">
        <f ca="1">IFERROR(__xludf.DUMMYFUNCTION("""COMPUTED_VALUE"""),"OCEAN")</f>
        <v>OCEAN</v>
      </c>
      <c r="AE744" s="45" t="str">
        <f ca="1">IFERROR(__xludf.DUMMYFUNCTION("""COMPUTED_VALUE"""),"N")</f>
        <v>N</v>
      </c>
      <c r="AF744" s="45"/>
      <c r="AG744" s="49" t="str">
        <f ca="1">IFERROR(__xludf.DUMMYFUNCTION("IFNA(vlookup(H744,IMPORTRANGE(""1vUGwO1n0QQGx9kKbO0_M5gmuhXZ6-LaxQxgrmJnzgP0"",""'TP# look up'!A:C""),3,0),"""")"),"")</f>
        <v/>
      </c>
      <c r="AH744" s="49" t="str">
        <f t="shared" ca="1" si="11"/>
        <v>LW</v>
      </c>
    </row>
    <row r="745" spans="1:34" ht="12.75">
      <c r="A745" s="45" t="str">
        <f ca="1">IFERROR(__xludf.DUMMYFUNCTION("""COMPUTED_VALUE"""),"Colombo")</f>
        <v>Colombo</v>
      </c>
      <c r="B745" s="45"/>
      <c r="C745" s="45">
        <f ca="1">IFERROR(__xludf.DUMMYFUNCTION("""COMPUTED_VALUE"""),3259512)</f>
        <v>3259512</v>
      </c>
      <c r="D745" s="45"/>
      <c r="E745" s="45" t="str">
        <f ca="1">IFERROR(__xludf.DUMMYFUNCTION("""COMPUTED_VALUE"""),"CFS")</f>
        <v>CFS</v>
      </c>
      <c r="F745" s="45" t="str">
        <f ca="1">IFERROR(__xludf.DUMMYFUNCTION("""COMPUTED_VALUE"""),"MAS AMITY PTE LTD")</f>
        <v>MAS AMITY PTE LTD</v>
      </c>
      <c r="G745" s="45" t="str">
        <f ca="1">IFERROR(__xludf.DUMMYFUNCTION("""COMPUTED_VALUE"""),"MAS Active (Pvt) Ltd - Linea Intimo")</f>
        <v>MAS Active (Pvt) Ltd - Linea Intimo</v>
      </c>
      <c r="H745" s="43">
        <f ca="1">IFERROR(__xludf.DUMMYFUNCTION("""COMPUTED_VALUE"""),456911421144)</f>
        <v>456911421144</v>
      </c>
      <c r="I745" s="45">
        <f ca="1">IFERROR(__xludf.DUMMYFUNCTION("""COMPUTED_VALUE"""),91018313)</f>
        <v>91018313</v>
      </c>
      <c r="J745" s="45" t="str">
        <f ca="1">IFERROR(__xludf.DUMMYFUNCTION("""COMPUTED_VALUE"""),"LW1AX1S")</f>
        <v>LW1AX1S</v>
      </c>
      <c r="K745" s="45" t="str">
        <f ca="1">IFERROR(__xludf.DUMMYFUNCTION("""COMPUTED_VALUE"""),"LW1AX1S-035487")</f>
        <v>LW1AX1S-035487</v>
      </c>
      <c r="L745" s="45">
        <f ca="1">IFERROR(__xludf.DUMMYFUNCTION("""COMPUTED_VALUE"""),5)</f>
        <v>5</v>
      </c>
      <c r="M745" s="45">
        <f ca="1">IFERROR(__xludf.DUMMYFUNCTION("""COMPUTED_VALUE"""),209)</f>
        <v>209</v>
      </c>
      <c r="N745" s="45">
        <f ca="1">IFERROR(__xludf.DUMMYFUNCTION("""COMPUTED_VALUE"""),37.94)</f>
        <v>37.94</v>
      </c>
      <c r="O745" s="45">
        <f ca="1">IFERROR(__xludf.DUMMYFUNCTION("""COMPUTED_VALUE"""),0.397)</f>
        <v>0.39700000000000002</v>
      </c>
      <c r="P745" s="45" t="str">
        <f ca="1">IFERROR(__xludf.DUMMYFUNCTION("""COMPUTED_VALUE"""),"Colombo, LK")</f>
        <v>Colombo, LK</v>
      </c>
      <c r="Q745" s="45" t="str">
        <f ca="1">IFERROR(__xludf.DUMMYFUNCTION("""COMPUTED_VALUE"""),"New York, NY, US")</f>
        <v>New York, NY, US</v>
      </c>
      <c r="R745" s="44">
        <f ca="1">IFERROR(__xludf.DUMMYFUNCTION("""COMPUTED_VALUE"""),45831)</f>
        <v>45831</v>
      </c>
      <c r="S745" s="44">
        <f ca="1">IFERROR(__xludf.DUMMYFUNCTION("""COMPUTED_VALUE"""),45895)</f>
        <v>45895</v>
      </c>
      <c r="T745" s="45" t="str">
        <f ca="1">IFERROR(__xludf.DUMMYFUNCTION("""COMPUTED_VALUE"""),"Mississauga, ON, CA")</f>
        <v>Mississauga, ON, CA</v>
      </c>
      <c r="U745" s="45"/>
      <c r="V745" s="45"/>
      <c r="W745" s="45"/>
      <c r="X745" s="45"/>
      <c r="Y745" s="46">
        <f ca="1">IFERROR(__xludf.DUMMYFUNCTION("""COMPUTED_VALUE"""),45838)</f>
        <v>45838</v>
      </c>
      <c r="Z745" s="46">
        <f ca="1">IFERROR(__xludf.DUMMYFUNCTION("""COMPUTED_VALUE"""),45852)</f>
        <v>45852</v>
      </c>
      <c r="AA745" s="46">
        <f ca="1">IFERROR(__xludf.DUMMYFUNCTION("""COMPUTED_VALUE"""),45852)</f>
        <v>45852</v>
      </c>
      <c r="AB745" s="45" t="str">
        <f ca="1">IFERROR(__xludf.DUMMYFUNCTION("""COMPUTED_VALUE"""),"3500 Argentia Road")</f>
        <v>3500 Argentia Road</v>
      </c>
      <c r="AC745" s="45"/>
      <c r="AD745" s="45" t="str">
        <f ca="1">IFERROR(__xludf.DUMMYFUNCTION("""COMPUTED_VALUE"""),"OCEAN")</f>
        <v>OCEAN</v>
      </c>
      <c r="AE745" s="45" t="str">
        <f ca="1">IFERROR(__xludf.DUMMYFUNCTION("""COMPUTED_VALUE"""),"N")</f>
        <v>N</v>
      </c>
      <c r="AF745" s="45"/>
      <c r="AG745" s="49" t="str">
        <f ca="1">IFERROR(__xludf.DUMMYFUNCTION("IFNA(vlookup(H745,IMPORTRANGE(""1vUGwO1n0QQGx9kKbO0_M5gmuhXZ6-LaxQxgrmJnzgP0"",""'TP# look up'!A:C""),3,0),"""")"),"")</f>
        <v/>
      </c>
      <c r="AH745" s="49" t="str">
        <f t="shared" ca="1" si="11"/>
        <v>LW</v>
      </c>
    </row>
    <row r="746" spans="1:34" ht="12.75">
      <c r="A746" s="45" t="str">
        <f ca="1">IFERROR(__xludf.DUMMYFUNCTION("""COMPUTED_VALUE"""),"Colombo")</f>
        <v>Colombo</v>
      </c>
      <c r="B746" s="45"/>
      <c r="C746" s="45">
        <f ca="1">IFERROR(__xludf.DUMMYFUNCTION("""COMPUTED_VALUE"""),3259512)</f>
        <v>3259512</v>
      </c>
      <c r="D746" s="45"/>
      <c r="E746" s="45" t="str">
        <f ca="1">IFERROR(__xludf.DUMMYFUNCTION("""COMPUTED_VALUE"""),"CFS")</f>
        <v>CFS</v>
      </c>
      <c r="F746" s="45" t="str">
        <f ca="1">IFERROR(__xludf.DUMMYFUNCTION("""COMPUTED_VALUE"""),"MAS AMITY PTE LTD")</f>
        <v>MAS AMITY PTE LTD</v>
      </c>
      <c r="G746" s="45" t="str">
        <f ca="1">IFERROR(__xludf.DUMMYFUNCTION("""COMPUTED_VALUE"""),"MAS Active (Pvt) Ltd - Linea Intimo")</f>
        <v>MAS Active (Pvt) Ltd - Linea Intimo</v>
      </c>
      <c r="H746" s="43">
        <f ca="1">IFERROR(__xludf.DUMMYFUNCTION("""COMPUTED_VALUE"""),456912057386)</f>
        <v>456912057386</v>
      </c>
      <c r="I746" s="45">
        <f ca="1">IFERROR(__xludf.DUMMYFUNCTION("""COMPUTED_VALUE"""),91018224)</f>
        <v>91018224</v>
      </c>
      <c r="J746" s="45" t="str">
        <f ca="1">IFERROR(__xludf.DUMMYFUNCTION("""COMPUTED_VALUE"""),"LW1AX1S")</f>
        <v>LW1AX1S</v>
      </c>
      <c r="K746" s="45" t="str">
        <f ca="1">IFERROR(__xludf.DUMMYFUNCTION("""COMPUTED_VALUE"""),"LW1AX1S-035487")</f>
        <v>LW1AX1S-035487</v>
      </c>
      <c r="L746" s="45">
        <f ca="1">IFERROR(__xludf.DUMMYFUNCTION("""COMPUTED_VALUE"""),5)</f>
        <v>5</v>
      </c>
      <c r="M746" s="45">
        <f ca="1">IFERROR(__xludf.DUMMYFUNCTION("""COMPUTED_VALUE"""),194)</f>
        <v>194</v>
      </c>
      <c r="N746" s="45">
        <f ca="1">IFERROR(__xludf.DUMMYFUNCTION("""COMPUTED_VALUE"""),35.812)</f>
        <v>35.811999999999998</v>
      </c>
      <c r="O746" s="45">
        <f ca="1">IFERROR(__xludf.DUMMYFUNCTION("""COMPUTED_VALUE"""),0.357)</f>
        <v>0.35699999999999998</v>
      </c>
      <c r="P746" s="45" t="str">
        <f ca="1">IFERROR(__xludf.DUMMYFUNCTION("""COMPUTED_VALUE"""),"Colombo, LK")</f>
        <v>Colombo, LK</v>
      </c>
      <c r="Q746" s="45" t="str">
        <f ca="1">IFERROR(__xludf.DUMMYFUNCTION("""COMPUTED_VALUE"""),"New York, NY, US")</f>
        <v>New York, NY, US</v>
      </c>
      <c r="R746" s="44">
        <f ca="1">IFERROR(__xludf.DUMMYFUNCTION("""COMPUTED_VALUE"""),45831)</f>
        <v>45831</v>
      </c>
      <c r="S746" s="44">
        <f ca="1">IFERROR(__xludf.DUMMYFUNCTION("""COMPUTED_VALUE"""),45895)</f>
        <v>45895</v>
      </c>
      <c r="T746" s="45" t="str">
        <f ca="1">IFERROR(__xludf.DUMMYFUNCTION("""COMPUTED_VALUE"""),"Milton, ON, CA")</f>
        <v>Milton, ON, CA</v>
      </c>
      <c r="U746" s="45"/>
      <c r="V746" s="45"/>
      <c r="W746" s="45"/>
      <c r="X746" s="45"/>
      <c r="Y746" s="46">
        <f ca="1">IFERROR(__xludf.DUMMYFUNCTION("""COMPUTED_VALUE"""),45838)</f>
        <v>45838</v>
      </c>
      <c r="Z746" s="46">
        <f ca="1">IFERROR(__xludf.DUMMYFUNCTION("""COMPUTED_VALUE"""),45852)</f>
        <v>45852</v>
      </c>
      <c r="AA746" s="46">
        <f ca="1">IFERROR(__xludf.DUMMYFUNCTION("""COMPUTED_VALUE"""),45852)</f>
        <v>45852</v>
      </c>
      <c r="AB746" s="45" t="str">
        <f ca="1">IFERROR(__xludf.DUMMYFUNCTION("""COMPUTED_VALUE"""),"7211 Fifth Line")</f>
        <v>7211 Fifth Line</v>
      </c>
      <c r="AC746" s="45"/>
      <c r="AD746" s="45" t="str">
        <f ca="1">IFERROR(__xludf.DUMMYFUNCTION("""COMPUTED_VALUE"""),"OCEAN")</f>
        <v>OCEAN</v>
      </c>
      <c r="AE746" s="45" t="str">
        <f ca="1">IFERROR(__xludf.DUMMYFUNCTION("""COMPUTED_VALUE"""),"N")</f>
        <v>N</v>
      </c>
      <c r="AF746" s="45"/>
      <c r="AG746" s="49" t="str">
        <f ca="1">IFERROR(__xludf.DUMMYFUNCTION("IFNA(vlookup(H746,IMPORTRANGE(""1vUGwO1n0QQGx9kKbO0_M5gmuhXZ6-LaxQxgrmJnzgP0"",""'TP# look up'!A:C""),3,0),"""")"),"")</f>
        <v/>
      </c>
      <c r="AH746" s="49" t="str">
        <f t="shared" ca="1" si="11"/>
        <v>LW</v>
      </c>
    </row>
    <row r="747" spans="1:34" ht="12.75">
      <c r="A747" s="45" t="str">
        <f ca="1">IFERROR(__xludf.DUMMYFUNCTION("""COMPUTED_VALUE"""),"Colombo")</f>
        <v>Colombo</v>
      </c>
      <c r="B747" s="45"/>
      <c r="C747" s="45">
        <f ca="1">IFERROR(__xludf.DUMMYFUNCTION("""COMPUTED_VALUE"""),3259512)</f>
        <v>3259512</v>
      </c>
      <c r="D747" s="45"/>
      <c r="E747" s="45" t="str">
        <f ca="1">IFERROR(__xludf.DUMMYFUNCTION("""COMPUTED_VALUE"""),"CFS")</f>
        <v>CFS</v>
      </c>
      <c r="F747" s="45" t="str">
        <f ca="1">IFERROR(__xludf.DUMMYFUNCTION("""COMPUTED_VALUE"""),"MAS AMITY PTE LTD")</f>
        <v>MAS AMITY PTE LTD</v>
      </c>
      <c r="G747" s="45" t="str">
        <f ca="1">IFERROR(__xludf.DUMMYFUNCTION("""COMPUTED_VALUE"""),"MAS Active (Pvt) Ltd - Linea Intimo")</f>
        <v>MAS Active (Pvt) Ltd - Linea Intimo</v>
      </c>
      <c r="H747" s="43">
        <f ca="1">IFERROR(__xludf.DUMMYFUNCTION("""COMPUTED_VALUE"""),456912389881)</f>
        <v>456912389881</v>
      </c>
      <c r="I747" s="45">
        <f ca="1">IFERROR(__xludf.DUMMYFUNCTION("""COMPUTED_VALUE"""),91018290)</f>
        <v>91018290</v>
      </c>
      <c r="J747" s="45" t="str">
        <f ca="1">IFERROR(__xludf.DUMMYFUNCTION("""COMPUTED_VALUE"""),"LW1AX1S")</f>
        <v>LW1AX1S</v>
      </c>
      <c r="K747" s="45" t="str">
        <f ca="1">IFERROR(__xludf.DUMMYFUNCTION("""COMPUTED_VALUE"""),"LW1AX1S-035487")</f>
        <v>LW1AX1S-035487</v>
      </c>
      <c r="L747" s="45">
        <f ca="1">IFERROR(__xludf.DUMMYFUNCTION("""COMPUTED_VALUE"""),3)</f>
        <v>3</v>
      </c>
      <c r="M747" s="45">
        <f ca="1">IFERROR(__xludf.DUMMYFUNCTION("""COMPUTED_VALUE"""),82)</f>
        <v>82</v>
      </c>
      <c r="N747" s="45">
        <f ca="1">IFERROR(__xludf.DUMMYFUNCTION("""COMPUTED_VALUE"""),15.62)</f>
        <v>15.62</v>
      </c>
      <c r="O747" s="45">
        <f ca="1">IFERROR(__xludf.DUMMYFUNCTION("""COMPUTED_VALUE"""),0.159)</f>
        <v>0.159</v>
      </c>
      <c r="P747" s="45" t="str">
        <f ca="1">IFERROR(__xludf.DUMMYFUNCTION("""COMPUTED_VALUE"""),"Colombo, LK")</f>
        <v>Colombo, LK</v>
      </c>
      <c r="Q747" s="45" t="str">
        <f ca="1">IFERROR(__xludf.DUMMYFUNCTION("""COMPUTED_VALUE"""),"New York, NY, US")</f>
        <v>New York, NY, US</v>
      </c>
      <c r="R747" s="44">
        <f ca="1">IFERROR(__xludf.DUMMYFUNCTION("""COMPUTED_VALUE"""),45831)</f>
        <v>45831</v>
      </c>
      <c r="S747" s="44">
        <f ca="1">IFERROR(__xludf.DUMMYFUNCTION("""COMPUTED_VALUE"""),45895)</f>
        <v>45895</v>
      </c>
      <c r="T747" s="45" t="str">
        <f ca="1">IFERROR(__xludf.DUMMYFUNCTION("""COMPUTED_VALUE"""),"Mississauga, ON, CA")</f>
        <v>Mississauga, ON, CA</v>
      </c>
      <c r="U747" s="45"/>
      <c r="V747" s="45"/>
      <c r="W747" s="45"/>
      <c r="X747" s="45"/>
      <c r="Y747" s="46">
        <f ca="1">IFERROR(__xludf.DUMMYFUNCTION("""COMPUTED_VALUE"""),45838)</f>
        <v>45838</v>
      </c>
      <c r="Z747" s="46">
        <f ca="1">IFERROR(__xludf.DUMMYFUNCTION("""COMPUTED_VALUE"""),45852)</f>
        <v>45852</v>
      </c>
      <c r="AA747" s="46">
        <f ca="1">IFERROR(__xludf.DUMMYFUNCTION("""COMPUTED_VALUE"""),45852)</f>
        <v>45852</v>
      </c>
      <c r="AB747" s="45" t="str">
        <f ca="1">IFERROR(__xludf.DUMMYFUNCTION("""COMPUTED_VALUE"""),"3500 Argentia Road")</f>
        <v>3500 Argentia Road</v>
      </c>
      <c r="AC747" s="45"/>
      <c r="AD747" s="45" t="str">
        <f ca="1">IFERROR(__xludf.DUMMYFUNCTION("""COMPUTED_VALUE"""),"OCEAN")</f>
        <v>OCEAN</v>
      </c>
      <c r="AE747" s="45" t="str">
        <f ca="1">IFERROR(__xludf.DUMMYFUNCTION("""COMPUTED_VALUE"""),"N")</f>
        <v>N</v>
      </c>
      <c r="AF747" s="45"/>
      <c r="AG747" s="49" t="str">
        <f ca="1">IFERROR(__xludf.DUMMYFUNCTION("IFNA(vlookup(H747,IMPORTRANGE(""1vUGwO1n0QQGx9kKbO0_M5gmuhXZ6-LaxQxgrmJnzgP0"",""'TP# look up'!A:C""),3,0),"""")"),"")</f>
        <v/>
      </c>
      <c r="AH747" s="49" t="str">
        <f t="shared" ca="1" si="11"/>
        <v>LW</v>
      </c>
    </row>
    <row r="748" spans="1:34" ht="12.75">
      <c r="A748" s="45" t="str">
        <f ca="1">IFERROR(__xludf.DUMMYFUNCTION("""COMPUTED_VALUE"""),"Colombo")</f>
        <v>Colombo</v>
      </c>
      <c r="B748" s="45"/>
      <c r="C748" s="45">
        <f ca="1">IFERROR(__xludf.DUMMYFUNCTION("""COMPUTED_VALUE"""),3259512)</f>
        <v>3259512</v>
      </c>
      <c r="D748" s="45"/>
      <c r="E748" s="45" t="str">
        <f ca="1">IFERROR(__xludf.DUMMYFUNCTION("""COMPUTED_VALUE"""),"CFS")</f>
        <v>CFS</v>
      </c>
      <c r="F748" s="45" t="str">
        <f ca="1">IFERROR(__xludf.DUMMYFUNCTION("""COMPUTED_VALUE"""),"MAS AMITY PTE LTD")</f>
        <v>MAS AMITY PTE LTD</v>
      </c>
      <c r="G748" s="45" t="str">
        <f ca="1">IFERROR(__xludf.DUMMYFUNCTION("""COMPUTED_VALUE"""),"MAS Active (Pvt) Ltd - Linea Intimo")</f>
        <v>MAS Active (Pvt) Ltd - Linea Intimo</v>
      </c>
      <c r="H748" s="43">
        <f ca="1">IFERROR(__xludf.DUMMYFUNCTION("""COMPUTED_VALUE"""),456912390057)</f>
        <v>456912390057</v>
      </c>
      <c r="I748" s="45">
        <f ca="1">IFERROR(__xludf.DUMMYFUNCTION("""COMPUTED_VALUE"""),91018819)</f>
        <v>91018819</v>
      </c>
      <c r="J748" s="45" t="str">
        <f ca="1">IFERROR(__xludf.DUMMYFUNCTION("""COMPUTED_VALUE"""),"LW1EKLS")</f>
        <v>LW1EKLS</v>
      </c>
      <c r="K748" s="45" t="str">
        <f ca="1">IFERROR(__xludf.DUMMYFUNCTION("""COMPUTED_VALUE"""),"LW1EKLS-071213")</f>
        <v>LW1EKLS-071213</v>
      </c>
      <c r="L748" s="45">
        <f ca="1">IFERROR(__xludf.DUMMYFUNCTION("""COMPUTED_VALUE"""),2)</f>
        <v>2</v>
      </c>
      <c r="M748" s="45">
        <f ca="1">IFERROR(__xludf.DUMMYFUNCTION("""COMPUTED_VALUE"""),81)</f>
        <v>81</v>
      </c>
      <c r="N748" s="45">
        <f ca="1">IFERROR(__xludf.DUMMYFUNCTION("""COMPUTED_VALUE"""),7.98)</f>
        <v>7.98</v>
      </c>
      <c r="O748" s="45">
        <f ca="1">IFERROR(__xludf.DUMMYFUNCTION("""COMPUTED_VALUE"""),0.118)</f>
        <v>0.11799999999999999</v>
      </c>
      <c r="P748" s="45" t="str">
        <f ca="1">IFERROR(__xludf.DUMMYFUNCTION("""COMPUTED_VALUE"""),"Colombo, LK")</f>
        <v>Colombo, LK</v>
      </c>
      <c r="Q748" s="45" t="str">
        <f ca="1">IFERROR(__xludf.DUMMYFUNCTION("""COMPUTED_VALUE"""),"New York, NY, US")</f>
        <v>New York, NY, US</v>
      </c>
      <c r="R748" s="44">
        <f ca="1">IFERROR(__xludf.DUMMYFUNCTION("""COMPUTED_VALUE"""),45831)</f>
        <v>45831</v>
      </c>
      <c r="S748" s="44">
        <f ca="1">IFERROR(__xludf.DUMMYFUNCTION("""COMPUTED_VALUE"""),45895)</f>
        <v>45895</v>
      </c>
      <c r="T748" s="45" t="str">
        <f ca="1">IFERROR(__xludf.DUMMYFUNCTION("""COMPUTED_VALUE"""),"Mississauga, ON, CA")</f>
        <v>Mississauga, ON, CA</v>
      </c>
      <c r="U748" s="45"/>
      <c r="V748" s="45"/>
      <c r="W748" s="45"/>
      <c r="X748" s="45"/>
      <c r="Y748" s="46">
        <f ca="1">IFERROR(__xludf.DUMMYFUNCTION("""COMPUTED_VALUE"""),45838)</f>
        <v>45838</v>
      </c>
      <c r="Z748" s="46">
        <f ca="1">IFERROR(__xludf.DUMMYFUNCTION("""COMPUTED_VALUE"""),45852)</f>
        <v>45852</v>
      </c>
      <c r="AA748" s="46">
        <f ca="1">IFERROR(__xludf.DUMMYFUNCTION("""COMPUTED_VALUE"""),45852)</f>
        <v>45852</v>
      </c>
      <c r="AB748" s="45" t="str">
        <f ca="1">IFERROR(__xludf.DUMMYFUNCTION("""COMPUTED_VALUE"""),"3500 Argentia Road")</f>
        <v>3500 Argentia Road</v>
      </c>
      <c r="AC748" s="45"/>
      <c r="AD748" s="45" t="str">
        <f ca="1">IFERROR(__xludf.DUMMYFUNCTION("""COMPUTED_VALUE"""),"OCEAN")</f>
        <v>OCEAN</v>
      </c>
      <c r="AE748" s="45" t="str">
        <f ca="1">IFERROR(__xludf.DUMMYFUNCTION("""COMPUTED_VALUE"""),"N")</f>
        <v>N</v>
      </c>
      <c r="AF748" s="45"/>
      <c r="AG748" s="49" t="str">
        <f ca="1">IFERROR(__xludf.DUMMYFUNCTION("IFNA(vlookup(H748,IMPORTRANGE(""1vUGwO1n0QQGx9kKbO0_M5gmuhXZ6-LaxQxgrmJnzgP0"",""'TP# look up'!A:C""),3,0),"""")"),"")</f>
        <v/>
      </c>
      <c r="AH748" s="49" t="str">
        <f t="shared" ca="1" si="11"/>
        <v>LW</v>
      </c>
    </row>
    <row r="749" spans="1:34" ht="12.75">
      <c r="A749" s="45" t="str">
        <f ca="1">IFERROR(__xludf.DUMMYFUNCTION("""COMPUTED_VALUE"""),"Colombo")</f>
        <v>Colombo</v>
      </c>
      <c r="B749" s="45"/>
      <c r="C749" s="45">
        <f ca="1">IFERROR(__xludf.DUMMYFUNCTION("""COMPUTED_VALUE"""),3259512)</f>
        <v>3259512</v>
      </c>
      <c r="D749" s="45"/>
      <c r="E749" s="45" t="str">
        <f ca="1">IFERROR(__xludf.DUMMYFUNCTION("""COMPUTED_VALUE"""),"CFS")</f>
        <v>CFS</v>
      </c>
      <c r="F749" s="45" t="str">
        <f ca="1">IFERROR(__xludf.DUMMYFUNCTION("""COMPUTED_VALUE"""),"MAS AMITY PTE LTD")</f>
        <v>MAS AMITY PTE LTD</v>
      </c>
      <c r="G749" s="45" t="str">
        <f ca="1">IFERROR(__xludf.DUMMYFUNCTION("""COMPUTED_VALUE"""),"MAS Active (Pvt) Ltd - Linea Intimo")</f>
        <v>MAS Active (Pvt) Ltd - Linea Intimo</v>
      </c>
      <c r="H749" s="43">
        <f ca="1">IFERROR(__xludf.DUMMYFUNCTION("""COMPUTED_VALUE"""),456912390147)</f>
        <v>456912390147</v>
      </c>
      <c r="I749" s="45">
        <f ca="1">IFERROR(__xludf.DUMMYFUNCTION("""COMPUTED_VALUE"""),91019059)</f>
        <v>91019059</v>
      </c>
      <c r="J749" s="45" t="str">
        <f ca="1">IFERROR(__xludf.DUMMYFUNCTION("""COMPUTED_VALUE"""),"LW1FH4S")</f>
        <v>LW1FH4S</v>
      </c>
      <c r="K749" s="45" t="str">
        <f ca="1">IFERROR(__xludf.DUMMYFUNCTION("""COMPUTED_VALUE"""),"LW1FH4S-072791")</f>
        <v>LW1FH4S-072791</v>
      </c>
      <c r="L749" s="45">
        <f ca="1">IFERROR(__xludf.DUMMYFUNCTION("""COMPUTED_VALUE"""),5)</f>
        <v>5</v>
      </c>
      <c r="M749" s="45">
        <f ca="1">IFERROR(__xludf.DUMMYFUNCTION("""COMPUTED_VALUE"""),416)</f>
        <v>416</v>
      </c>
      <c r="N749" s="45">
        <f ca="1">IFERROR(__xludf.DUMMYFUNCTION("""COMPUTED_VALUE"""),56.634)</f>
        <v>56.634</v>
      </c>
      <c r="O749" s="45">
        <f ca="1">IFERROR(__xludf.DUMMYFUNCTION("""COMPUTED_VALUE"""),0.355)</f>
        <v>0.35499999999999998</v>
      </c>
      <c r="P749" s="45" t="str">
        <f ca="1">IFERROR(__xludf.DUMMYFUNCTION("""COMPUTED_VALUE"""),"Colombo, LK")</f>
        <v>Colombo, LK</v>
      </c>
      <c r="Q749" s="45" t="str">
        <f ca="1">IFERROR(__xludf.DUMMYFUNCTION("""COMPUTED_VALUE"""),"New York, NY, US")</f>
        <v>New York, NY, US</v>
      </c>
      <c r="R749" s="44">
        <f ca="1">IFERROR(__xludf.DUMMYFUNCTION("""COMPUTED_VALUE"""),45831)</f>
        <v>45831</v>
      </c>
      <c r="S749" s="44">
        <f ca="1">IFERROR(__xludf.DUMMYFUNCTION("""COMPUTED_VALUE"""),45895)</f>
        <v>45895</v>
      </c>
      <c r="T749" s="45" t="str">
        <f ca="1">IFERROR(__xludf.DUMMYFUNCTION("""COMPUTED_VALUE"""),"Mississauga, ON, CA")</f>
        <v>Mississauga, ON, CA</v>
      </c>
      <c r="U749" s="45"/>
      <c r="V749" s="45"/>
      <c r="W749" s="45"/>
      <c r="X749" s="45"/>
      <c r="Y749" s="46">
        <f ca="1">IFERROR(__xludf.DUMMYFUNCTION("""COMPUTED_VALUE"""),45838)</f>
        <v>45838</v>
      </c>
      <c r="Z749" s="46">
        <f ca="1">IFERROR(__xludf.DUMMYFUNCTION("""COMPUTED_VALUE"""),45852)</f>
        <v>45852</v>
      </c>
      <c r="AA749" s="46">
        <f ca="1">IFERROR(__xludf.DUMMYFUNCTION("""COMPUTED_VALUE"""),45852)</f>
        <v>45852</v>
      </c>
      <c r="AB749" s="45" t="str">
        <f ca="1">IFERROR(__xludf.DUMMYFUNCTION("""COMPUTED_VALUE"""),"3500 Argentia Road")</f>
        <v>3500 Argentia Road</v>
      </c>
      <c r="AC749" s="45"/>
      <c r="AD749" s="45" t="str">
        <f ca="1">IFERROR(__xludf.DUMMYFUNCTION("""COMPUTED_VALUE"""),"OCEAN")</f>
        <v>OCEAN</v>
      </c>
      <c r="AE749" s="45" t="str">
        <f ca="1">IFERROR(__xludf.DUMMYFUNCTION("""COMPUTED_VALUE"""),"N")</f>
        <v>N</v>
      </c>
      <c r="AF749" s="45"/>
      <c r="AG749" s="49" t="str">
        <f ca="1">IFERROR(__xludf.DUMMYFUNCTION("IFNA(vlookup(H749,IMPORTRANGE(""1vUGwO1n0QQGx9kKbO0_M5gmuhXZ6-LaxQxgrmJnzgP0"",""'TP# look up'!A:C""),3,0),"""")"),"")</f>
        <v/>
      </c>
      <c r="AH749" s="49" t="str">
        <f t="shared" ca="1" si="11"/>
        <v>LW</v>
      </c>
    </row>
    <row r="750" spans="1:34" ht="12.75">
      <c r="A750" s="45" t="str">
        <f ca="1">IFERROR(__xludf.DUMMYFUNCTION("""COMPUTED_VALUE"""),"Colombo")</f>
        <v>Colombo</v>
      </c>
      <c r="B750" s="45"/>
      <c r="C750" s="45">
        <f ca="1">IFERROR(__xludf.DUMMYFUNCTION("""COMPUTED_VALUE"""),3259512)</f>
        <v>3259512</v>
      </c>
      <c r="D750" s="45"/>
      <c r="E750" s="45" t="str">
        <f ca="1">IFERROR(__xludf.DUMMYFUNCTION("""COMPUTED_VALUE"""),"CFS")</f>
        <v>CFS</v>
      </c>
      <c r="F750" s="45" t="str">
        <f ca="1">IFERROR(__xludf.DUMMYFUNCTION("""COMPUTED_VALUE"""),"MAS AMITY PTE LTD")</f>
        <v>MAS AMITY PTE LTD</v>
      </c>
      <c r="G750" s="45" t="str">
        <f ca="1">IFERROR(__xludf.DUMMYFUNCTION("""COMPUTED_VALUE"""),"MAS Active (Pvt) Ltd - Linea Intimo")</f>
        <v>MAS Active (Pvt) Ltd - Linea Intimo</v>
      </c>
      <c r="H750" s="43">
        <f ca="1">IFERROR(__xludf.DUMMYFUNCTION("""COMPUTED_VALUE"""),456912390363)</f>
        <v>456912390363</v>
      </c>
      <c r="I750" s="45">
        <f ca="1">IFERROR(__xludf.DUMMYFUNCTION("""COMPUTED_VALUE"""),91019331)</f>
        <v>91019331</v>
      </c>
      <c r="J750" s="45" t="str">
        <f ca="1">IFERROR(__xludf.DUMMYFUNCTION("""COMPUTED_VALUE"""),"LW1FKES")</f>
        <v>LW1FKES</v>
      </c>
      <c r="K750" s="45" t="str">
        <f ca="1">IFERROR(__xludf.DUMMYFUNCTION("""COMPUTED_VALUE"""),"LW1FKES-041850")</f>
        <v>LW1FKES-041850</v>
      </c>
      <c r="L750" s="45">
        <f ca="1">IFERROR(__xludf.DUMMYFUNCTION("""COMPUTED_VALUE"""),2)</f>
        <v>2</v>
      </c>
      <c r="M750" s="45">
        <f ca="1">IFERROR(__xludf.DUMMYFUNCTION("""COMPUTED_VALUE"""),85)</f>
        <v>85</v>
      </c>
      <c r="N750" s="45">
        <f ca="1">IFERROR(__xludf.DUMMYFUNCTION("""COMPUTED_VALUE"""),11.88)</f>
        <v>11.88</v>
      </c>
      <c r="O750" s="45">
        <f ca="1">IFERROR(__xludf.DUMMYFUNCTION("""COMPUTED_VALUE"""),0.118)</f>
        <v>0.11799999999999999</v>
      </c>
      <c r="P750" s="45" t="str">
        <f ca="1">IFERROR(__xludf.DUMMYFUNCTION("""COMPUTED_VALUE"""),"Colombo, LK")</f>
        <v>Colombo, LK</v>
      </c>
      <c r="Q750" s="45" t="str">
        <f ca="1">IFERROR(__xludf.DUMMYFUNCTION("""COMPUTED_VALUE"""),"New York, NY, US")</f>
        <v>New York, NY, US</v>
      </c>
      <c r="R750" s="44">
        <f ca="1">IFERROR(__xludf.DUMMYFUNCTION("""COMPUTED_VALUE"""),45831)</f>
        <v>45831</v>
      </c>
      <c r="S750" s="44">
        <f ca="1">IFERROR(__xludf.DUMMYFUNCTION("""COMPUTED_VALUE"""),45895)</f>
        <v>45895</v>
      </c>
      <c r="T750" s="45" t="str">
        <f ca="1">IFERROR(__xludf.DUMMYFUNCTION("""COMPUTED_VALUE"""),"Mississauga, ON, CA")</f>
        <v>Mississauga, ON, CA</v>
      </c>
      <c r="U750" s="45"/>
      <c r="V750" s="45"/>
      <c r="W750" s="45"/>
      <c r="X750" s="45"/>
      <c r="Y750" s="46">
        <f ca="1">IFERROR(__xludf.DUMMYFUNCTION("""COMPUTED_VALUE"""),45838)</f>
        <v>45838</v>
      </c>
      <c r="Z750" s="46">
        <f ca="1">IFERROR(__xludf.DUMMYFUNCTION("""COMPUTED_VALUE"""),45852)</f>
        <v>45852</v>
      </c>
      <c r="AA750" s="46">
        <f ca="1">IFERROR(__xludf.DUMMYFUNCTION("""COMPUTED_VALUE"""),45852)</f>
        <v>45852</v>
      </c>
      <c r="AB750" s="45" t="str">
        <f ca="1">IFERROR(__xludf.DUMMYFUNCTION("""COMPUTED_VALUE"""),"3500 Argentia Road")</f>
        <v>3500 Argentia Road</v>
      </c>
      <c r="AC750" s="45"/>
      <c r="AD750" s="45" t="str">
        <f ca="1">IFERROR(__xludf.DUMMYFUNCTION("""COMPUTED_VALUE"""),"OCEAN")</f>
        <v>OCEAN</v>
      </c>
      <c r="AE750" s="45" t="str">
        <f ca="1">IFERROR(__xludf.DUMMYFUNCTION("""COMPUTED_VALUE"""),"N")</f>
        <v>N</v>
      </c>
      <c r="AF750" s="45"/>
      <c r="AG750" s="49" t="str">
        <f ca="1">IFERROR(__xludf.DUMMYFUNCTION("IFNA(vlookup(H750,IMPORTRANGE(""1vUGwO1n0QQGx9kKbO0_M5gmuhXZ6-LaxQxgrmJnzgP0"",""'TP# look up'!A:C""),3,0),"""")"),"")</f>
        <v/>
      </c>
      <c r="AH750" s="49" t="str">
        <f t="shared" ca="1" si="11"/>
        <v>LW</v>
      </c>
    </row>
    <row r="751" spans="1:34" ht="12.75">
      <c r="A751" s="45" t="str">
        <f ca="1">IFERROR(__xludf.DUMMYFUNCTION("""COMPUTED_VALUE"""),"Colombo")</f>
        <v>Colombo</v>
      </c>
      <c r="B751" s="45"/>
      <c r="C751" s="45">
        <f ca="1">IFERROR(__xludf.DUMMYFUNCTION("""COMPUTED_VALUE"""),3259512)</f>
        <v>3259512</v>
      </c>
      <c r="D751" s="45"/>
      <c r="E751" s="45" t="str">
        <f ca="1">IFERROR(__xludf.DUMMYFUNCTION("""COMPUTED_VALUE"""),"CFS")</f>
        <v>CFS</v>
      </c>
      <c r="F751" s="45" t="str">
        <f ca="1">IFERROR(__xludf.DUMMYFUNCTION("""COMPUTED_VALUE"""),"MAS AMITY PTE LTD")</f>
        <v>MAS AMITY PTE LTD</v>
      </c>
      <c r="G751" s="45" t="str">
        <f ca="1">IFERROR(__xludf.DUMMYFUNCTION("""COMPUTED_VALUE"""),"MAS Active (Pvt) Ltd - Linea Intimo")</f>
        <v>MAS Active (Pvt) Ltd - Linea Intimo</v>
      </c>
      <c r="H751" s="43">
        <f ca="1">IFERROR(__xludf.DUMMYFUNCTION("""COMPUTED_VALUE"""),456912516350)</f>
        <v>456912516350</v>
      </c>
      <c r="I751" s="45">
        <f ca="1">IFERROR(__xludf.DUMMYFUNCTION("""COMPUTED_VALUE"""),91019010)</f>
        <v>91019010</v>
      </c>
      <c r="J751" s="45" t="str">
        <f ca="1">IFERROR(__xludf.DUMMYFUNCTION("""COMPUTED_VALUE"""),"LW1EKLS")</f>
        <v>LW1EKLS</v>
      </c>
      <c r="K751" s="45" t="str">
        <f ca="1">IFERROR(__xludf.DUMMYFUNCTION("""COMPUTED_VALUE"""),"LW1EKLS-071213")</f>
        <v>LW1EKLS-071213</v>
      </c>
      <c r="L751" s="45">
        <f ca="1">IFERROR(__xludf.DUMMYFUNCTION("""COMPUTED_VALUE"""),5)</f>
        <v>5</v>
      </c>
      <c r="M751" s="45">
        <f ca="1">IFERROR(__xludf.DUMMYFUNCTION("""COMPUTED_VALUE"""),309)</f>
        <v>309</v>
      </c>
      <c r="N751" s="45">
        <f ca="1">IFERROR(__xludf.DUMMYFUNCTION("""COMPUTED_VALUE"""),28.357)</f>
        <v>28.356999999999999</v>
      </c>
      <c r="O751" s="45">
        <f ca="1">IFERROR(__xludf.DUMMYFUNCTION("""COMPUTED_VALUE"""),0.355)</f>
        <v>0.35499999999999998</v>
      </c>
      <c r="P751" s="45" t="str">
        <f ca="1">IFERROR(__xludf.DUMMYFUNCTION("""COMPUTED_VALUE"""),"Colombo, LK")</f>
        <v>Colombo, LK</v>
      </c>
      <c r="Q751" s="45" t="str">
        <f ca="1">IFERROR(__xludf.DUMMYFUNCTION("""COMPUTED_VALUE"""),"New York, NY, US")</f>
        <v>New York, NY, US</v>
      </c>
      <c r="R751" s="44">
        <f ca="1">IFERROR(__xludf.DUMMYFUNCTION("""COMPUTED_VALUE"""),45831)</f>
        <v>45831</v>
      </c>
      <c r="S751" s="44">
        <f ca="1">IFERROR(__xludf.DUMMYFUNCTION("""COMPUTED_VALUE"""),45895)</f>
        <v>45895</v>
      </c>
      <c r="T751" s="45" t="str">
        <f ca="1">IFERROR(__xludf.DUMMYFUNCTION("""COMPUTED_VALUE"""),"Mississauga, ON, CA")</f>
        <v>Mississauga, ON, CA</v>
      </c>
      <c r="U751" s="45"/>
      <c r="V751" s="45"/>
      <c r="W751" s="45"/>
      <c r="X751" s="45"/>
      <c r="Y751" s="46">
        <f ca="1">IFERROR(__xludf.DUMMYFUNCTION("""COMPUTED_VALUE"""),45838)</f>
        <v>45838</v>
      </c>
      <c r="Z751" s="46">
        <f ca="1">IFERROR(__xludf.DUMMYFUNCTION("""COMPUTED_VALUE"""),45852)</f>
        <v>45852</v>
      </c>
      <c r="AA751" s="46">
        <f ca="1">IFERROR(__xludf.DUMMYFUNCTION("""COMPUTED_VALUE"""),45852)</f>
        <v>45852</v>
      </c>
      <c r="AB751" s="45" t="str">
        <f ca="1">IFERROR(__xludf.DUMMYFUNCTION("""COMPUTED_VALUE"""),"3500 Argentia Road")</f>
        <v>3500 Argentia Road</v>
      </c>
      <c r="AC751" s="45"/>
      <c r="AD751" s="45" t="str">
        <f ca="1">IFERROR(__xludf.DUMMYFUNCTION("""COMPUTED_VALUE"""),"OCEAN")</f>
        <v>OCEAN</v>
      </c>
      <c r="AE751" s="45" t="str">
        <f ca="1">IFERROR(__xludf.DUMMYFUNCTION("""COMPUTED_VALUE"""),"N")</f>
        <v>N</v>
      </c>
      <c r="AF751" s="45"/>
      <c r="AG751" s="49" t="str">
        <f ca="1">IFERROR(__xludf.DUMMYFUNCTION("IFNA(vlookup(H751,IMPORTRANGE(""1vUGwO1n0QQGx9kKbO0_M5gmuhXZ6-LaxQxgrmJnzgP0"",""'TP# look up'!A:C""),3,0),"""")"),"")</f>
        <v/>
      </c>
      <c r="AH751" s="49" t="str">
        <f t="shared" ca="1" si="11"/>
        <v>LW</v>
      </c>
    </row>
    <row r="752" spans="1:34" ht="12.75">
      <c r="A752" s="45" t="str">
        <f ca="1">IFERROR(__xludf.DUMMYFUNCTION("""COMPUTED_VALUE"""),"Colombo")</f>
        <v>Colombo</v>
      </c>
      <c r="B752" s="45"/>
      <c r="C752" s="45">
        <f ca="1">IFERROR(__xludf.DUMMYFUNCTION("""COMPUTED_VALUE"""),3259512)</f>
        <v>3259512</v>
      </c>
      <c r="D752" s="45"/>
      <c r="E752" s="45" t="str">
        <f ca="1">IFERROR(__xludf.DUMMYFUNCTION("""COMPUTED_VALUE"""),"CFS")</f>
        <v>CFS</v>
      </c>
      <c r="F752" s="45" t="str">
        <f ca="1">IFERROR(__xludf.DUMMYFUNCTION("""COMPUTED_VALUE"""),"MAS AMITY PTE LTD")</f>
        <v>MAS AMITY PTE LTD</v>
      </c>
      <c r="G752" s="45" t="str">
        <f ca="1">IFERROR(__xludf.DUMMYFUNCTION("""COMPUTED_VALUE"""),"MAS Active (Pvt) Ltd - Linea Intimo")</f>
        <v>MAS Active (Pvt) Ltd - Linea Intimo</v>
      </c>
      <c r="H752" s="43">
        <f ca="1">IFERROR(__xludf.DUMMYFUNCTION("""COMPUTED_VALUE"""),456913884913)</f>
        <v>456913884913</v>
      </c>
      <c r="I752" s="45">
        <f ca="1">IFERROR(__xludf.DUMMYFUNCTION("""COMPUTED_VALUE"""),91019257)</f>
        <v>91019257</v>
      </c>
      <c r="J752" s="45" t="str">
        <f ca="1">IFERROR(__xludf.DUMMYFUNCTION("""COMPUTED_VALUE"""),"LW1FKES")</f>
        <v>LW1FKES</v>
      </c>
      <c r="K752" s="45" t="str">
        <f ca="1">IFERROR(__xludf.DUMMYFUNCTION("""COMPUTED_VALUE"""),"LW1FKES-041850")</f>
        <v>LW1FKES-041850</v>
      </c>
      <c r="L752" s="45">
        <f ca="1">IFERROR(__xludf.DUMMYFUNCTION("""COMPUTED_VALUE"""),4)</f>
        <v>4</v>
      </c>
      <c r="M752" s="45">
        <f ca="1">IFERROR(__xludf.DUMMYFUNCTION("""COMPUTED_VALUE"""),225)</f>
        <v>225</v>
      </c>
      <c r="N752" s="45">
        <f ca="1">IFERROR(__xludf.DUMMYFUNCTION("""COMPUTED_VALUE"""),30.528)</f>
        <v>30.527999999999999</v>
      </c>
      <c r="O752" s="45">
        <f ca="1">IFERROR(__xludf.DUMMYFUNCTION("""COMPUTED_VALUE"""),0.276)</f>
        <v>0.27600000000000002</v>
      </c>
      <c r="P752" s="45" t="str">
        <f ca="1">IFERROR(__xludf.DUMMYFUNCTION("""COMPUTED_VALUE"""),"Colombo, LK")</f>
        <v>Colombo, LK</v>
      </c>
      <c r="Q752" s="45" t="str">
        <f ca="1">IFERROR(__xludf.DUMMYFUNCTION("""COMPUTED_VALUE"""),"New York, NY, US")</f>
        <v>New York, NY, US</v>
      </c>
      <c r="R752" s="44">
        <f ca="1">IFERROR(__xludf.DUMMYFUNCTION("""COMPUTED_VALUE"""),45831)</f>
        <v>45831</v>
      </c>
      <c r="S752" s="44">
        <f ca="1">IFERROR(__xludf.DUMMYFUNCTION("""COMPUTED_VALUE"""),45895)</f>
        <v>45895</v>
      </c>
      <c r="T752" s="45" t="str">
        <f ca="1">IFERROR(__xludf.DUMMYFUNCTION("""COMPUTED_VALUE"""),"Mississauga, ON, CA")</f>
        <v>Mississauga, ON, CA</v>
      </c>
      <c r="U752" s="45"/>
      <c r="V752" s="45"/>
      <c r="W752" s="45"/>
      <c r="X752" s="45"/>
      <c r="Y752" s="46">
        <f ca="1">IFERROR(__xludf.DUMMYFUNCTION("""COMPUTED_VALUE"""),45838)</f>
        <v>45838</v>
      </c>
      <c r="Z752" s="46">
        <f ca="1">IFERROR(__xludf.DUMMYFUNCTION("""COMPUTED_VALUE"""),45852)</f>
        <v>45852</v>
      </c>
      <c r="AA752" s="46">
        <f ca="1">IFERROR(__xludf.DUMMYFUNCTION("""COMPUTED_VALUE"""),45852)</f>
        <v>45852</v>
      </c>
      <c r="AB752" s="45" t="str">
        <f ca="1">IFERROR(__xludf.DUMMYFUNCTION("""COMPUTED_VALUE"""),"3500 Argentia Road")</f>
        <v>3500 Argentia Road</v>
      </c>
      <c r="AC752" s="45"/>
      <c r="AD752" s="45" t="str">
        <f ca="1">IFERROR(__xludf.DUMMYFUNCTION("""COMPUTED_VALUE"""),"OCEAN")</f>
        <v>OCEAN</v>
      </c>
      <c r="AE752" s="45" t="str">
        <f ca="1">IFERROR(__xludf.DUMMYFUNCTION("""COMPUTED_VALUE"""),"N")</f>
        <v>N</v>
      </c>
      <c r="AF752" s="45"/>
      <c r="AG752" s="49" t="str">
        <f ca="1">IFERROR(__xludf.DUMMYFUNCTION("IFNA(vlookup(H752,IMPORTRANGE(""1vUGwO1n0QQGx9kKbO0_M5gmuhXZ6-LaxQxgrmJnzgP0"",""'TP# look up'!A:C""),3,0),"""")"),"")</f>
        <v/>
      </c>
      <c r="AH752" s="49" t="str">
        <f t="shared" ca="1" si="11"/>
        <v>LW</v>
      </c>
    </row>
    <row r="753" spans="1:34" ht="12.75">
      <c r="A753" s="45" t="str">
        <f ca="1">IFERROR(__xludf.DUMMYFUNCTION("""COMPUTED_VALUE"""),"Colombo")</f>
        <v>Colombo</v>
      </c>
      <c r="B753" s="45"/>
      <c r="C753" s="45">
        <f ca="1">IFERROR(__xludf.DUMMYFUNCTION("""COMPUTED_VALUE"""),3259512)</f>
        <v>3259512</v>
      </c>
      <c r="D753" s="45"/>
      <c r="E753" s="45" t="str">
        <f ca="1">IFERROR(__xludf.DUMMYFUNCTION("""COMPUTED_VALUE"""),"CFS")</f>
        <v>CFS</v>
      </c>
      <c r="F753" s="45" t="str">
        <f ca="1">IFERROR(__xludf.DUMMYFUNCTION("""COMPUTED_VALUE"""),"MAS AMITY PTE LTD")</f>
        <v>MAS AMITY PTE LTD</v>
      </c>
      <c r="G753" s="45" t="str">
        <f ca="1">IFERROR(__xludf.DUMMYFUNCTION("""COMPUTED_VALUE"""),"MAS Fabrics (Pvt) Ltd Intimo")</f>
        <v>MAS Fabrics (Pvt) Ltd Intimo</v>
      </c>
      <c r="H753" s="43">
        <f ca="1">IFERROR(__xludf.DUMMYFUNCTION("""COMPUTED_VALUE"""),456891473455)</f>
        <v>456891473455</v>
      </c>
      <c r="I753" s="45">
        <f ca="1">IFERROR(__xludf.DUMMYFUNCTION("""COMPUTED_VALUE"""),19900258)</f>
        <v>19900258</v>
      </c>
      <c r="J753" s="45" t="str">
        <f ca="1">IFERROR(__xludf.DUMMYFUNCTION("""COMPUTED_VALUE"""),"LM3FG2S")</f>
        <v>LM3FG2S</v>
      </c>
      <c r="K753" s="45" t="str">
        <f ca="1">IFERROR(__xludf.DUMMYFUNCTION("""COMPUTED_VALUE"""),"LM3FG2S-062658")</f>
        <v>LM3FG2S-062658</v>
      </c>
      <c r="L753" s="45">
        <f ca="1">IFERROR(__xludf.DUMMYFUNCTION("""COMPUTED_VALUE"""),4)</f>
        <v>4</v>
      </c>
      <c r="M753" s="45">
        <f ca="1">IFERROR(__xludf.DUMMYFUNCTION("""COMPUTED_VALUE"""),200)</f>
        <v>200</v>
      </c>
      <c r="N753" s="45">
        <f ca="1">IFERROR(__xludf.DUMMYFUNCTION("""COMPUTED_VALUE"""),36.532)</f>
        <v>36.531999999999996</v>
      </c>
      <c r="O753" s="45">
        <f ca="1">IFERROR(__xludf.DUMMYFUNCTION("""COMPUTED_VALUE"""),0.316)</f>
        <v>0.316</v>
      </c>
      <c r="P753" s="45" t="str">
        <f ca="1">IFERROR(__xludf.DUMMYFUNCTION("""COMPUTED_VALUE"""),"Colombo, LK")</f>
        <v>Colombo, LK</v>
      </c>
      <c r="Q753" s="45" t="str">
        <f ca="1">IFERROR(__xludf.DUMMYFUNCTION("""COMPUTED_VALUE"""),"New York, NY, US")</f>
        <v>New York, NY, US</v>
      </c>
      <c r="R753" s="44">
        <f ca="1">IFERROR(__xludf.DUMMYFUNCTION("""COMPUTED_VALUE"""),45831)</f>
        <v>45831</v>
      </c>
      <c r="S753" s="44">
        <f ca="1">IFERROR(__xludf.DUMMYFUNCTION("""COMPUTED_VALUE"""),45890)</f>
        <v>45890</v>
      </c>
      <c r="T753" s="45" t="str">
        <f ca="1">IFERROR(__xludf.DUMMYFUNCTION("""COMPUTED_VALUE"""),"Milton, ON, CA")</f>
        <v>Milton, ON, CA</v>
      </c>
      <c r="U753" s="45"/>
      <c r="V753" s="45"/>
      <c r="W753" s="45"/>
      <c r="X753" s="45"/>
      <c r="Y753" s="46">
        <f ca="1">IFERROR(__xludf.DUMMYFUNCTION("""COMPUTED_VALUE"""),45838)</f>
        <v>45838</v>
      </c>
      <c r="Z753" s="46">
        <f ca="1">IFERROR(__xludf.DUMMYFUNCTION("""COMPUTED_VALUE"""),45859)</f>
        <v>45859</v>
      </c>
      <c r="AA753" s="46">
        <f ca="1">IFERROR(__xludf.DUMMYFUNCTION("""COMPUTED_VALUE"""),45859)</f>
        <v>45859</v>
      </c>
      <c r="AB753" s="45" t="str">
        <f ca="1">IFERROR(__xludf.DUMMYFUNCTION("""COMPUTED_VALUE"""),"7211 Fifth Line")</f>
        <v>7211 Fifth Line</v>
      </c>
      <c r="AC753" s="45"/>
      <c r="AD753" s="45" t="str">
        <f ca="1">IFERROR(__xludf.DUMMYFUNCTION("""COMPUTED_VALUE"""),"OCEAN")</f>
        <v>OCEAN</v>
      </c>
      <c r="AE753" s="45" t="str">
        <f ca="1">IFERROR(__xludf.DUMMYFUNCTION("""COMPUTED_VALUE"""),"N")</f>
        <v>N</v>
      </c>
      <c r="AF753" s="45"/>
      <c r="AG753" s="49" t="str">
        <f ca="1">IFERROR(__xludf.DUMMYFUNCTION("IFNA(vlookup(H753,IMPORTRANGE(""1vUGwO1n0QQGx9kKbO0_M5gmuhXZ6-LaxQxgrmJnzgP0"",""'TP# look up'!A:C""),3,0),"""")"),"")</f>
        <v/>
      </c>
      <c r="AH753" s="49" t="str">
        <f t="shared" ca="1" si="11"/>
        <v>LM</v>
      </c>
    </row>
    <row r="754" spans="1:34" ht="12.75">
      <c r="A754" s="45" t="str">
        <f ca="1">IFERROR(__xludf.DUMMYFUNCTION("""COMPUTED_VALUE"""),"Colombo")</f>
        <v>Colombo</v>
      </c>
      <c r="B754" s="45"/>
      <c r="C754" s="45">
        <f ca="1">IFERROR(__xludf.DUMMYFUNCTION("""COMPUTED_VALUE"""),3259512)</f>
        <v>3259512</v>
      </c>
      <c r="D754" s="45"/>
      <c r="E754" s="45" t="str">
        <f ca="1">IFERROR(__xludf.DUMMYFUNCTION("""COMPUTED_VALUE"""),"CFS")</f>
        <v>CFS</v>
      </c>
      <c r="F754" s="45" t="str">
        <f ca="1">IFERROR(__xludf.DUMMYFUNCTION("""COMPUTED_VALUE"""),"MAS AMITY PTE LTD")</f>
        <v>MAS AMITY PTE LTD</v>
      </c>
      <c r="G754" s="45" t="str">
        <f ca="1">IFERROR(__xludf.DUMMYFUNCTION("""COMPUTED_VALUE"""),"MAS Fabrics (Pvt) Ltd Intimo")</f>
        <v>MAS Fabrics (Pvt) Ltd Intimo</v>
      </c>
      <c r="H754" s="43">
        <f ca="1">IFERROR(__xludf.DUMMYFUNCTION("""COMPUTED_VALUE"""),456895959426)</f>
        <v>456895959426</v>
      </c>
      <c r="I754" s="45">
        <f ca="1">IFERROR(__xludf.DUMMYFUNCTION("""COMPUTED_VALUE"""),19900090)</f>
        <v>19900090</v>
      </c>
      <c r="J754" s="45" t="str">
        <f ca="1">IFERROR(__xludf.DUMMYFUNCTION("""COMPUTED_VALUE"""),"LW3DOBS")</f>
        <v>LW3DOBS</v>
      </c>
      <c r="K754" s="45" t="str">
        <f ca="1">IFERROR(__xludf.DUMMYFUNCTION("""COMPUTED_VALUE"""),"LW3DOBS-041850")</f>
        <v>LW3DOBS-041850</v>
      </c>
      <c r="L754" s="45">
        <f ca="1">IFERROR(__xludf.DUMMYFUNCTION("""COMPUTED_VALUE"""),28)</f>
        <v>28</v>
      </c>
      <c r="M754" s="45">
        <f ca="1">IFERROR(__xludf.DUMMYFUNCTION("""COMPUTED_VALUE"""),2024)</f>
        <v>2024</v>
      </c>
      <c r="N754" s="45">
        <f ca="1">IFERROR(__xludf.DUMMYFUNCTION("""COMPUTED_VALUE"""),312.236)</f>
        <v>312.23599999999999</v>
      </c>
      <c r="O754" s="45">
        <f ca="1">IFERROR(__xludf.DUMMYFUNCTION("""COMPUTED_VALUE"""),2.172)</f>
        <v>2.1720000000000002</v>
      </c>
      <c r="P754" s="45" t="str">
        <f ca="1">IFERROR(__xludf.DUMMYFUNCTION("""COMPUTED_VALUE"""),"Colombo, LK")</f>
        <v>Colombo, LK</v>
      </c>
      <c r="Q754" s="45" t="str">
        <f ca="1">IFERROR(__xludf.DUMMYFUNCTION("""COMPUTED_VALUE"""),"New York, NY, US")</f>
        <v>New York, NY, US</v>
      </c>
      <c r="R754" s="44">
        <f ca="1">IFERROR(__xludf.DUMMYFUNCTION("""COMPUTED_VALUE"""),45831)</f>
        <v>45831</v>
      </c>
      <c r="S754" s="44">
        <f ca="1">IFERROR(__xludf.DUMMYFUNCTION("""COMPUTED_VALUE"""),45890)</f>
        <v>45890</v>
      </c>
      <c r="T754" s="45" t="str">
        <f ca="1">IFERROR(__xludf.DUMMYFUNCTION("""COMPUTED_VALUE"""),"Milton, ON, CA")</f>
        <v>Milton, ON, CA</v>
      </c>
      <c r="U754" s="45"/>
      <c r="V754" s="45"/>
      <c r="W754" s="45"/>
      <c r="X754" s="45"/>
      <c r="Y754" s="46">
        <f ca="1">IFERROR(__xludf.DUMMYFUNCTION("""COMPUTED_VALUE"""),45838)</f>
        <v>45838</v>
      </c>
      <c r="Z754" s="46">
        <f ca="1">IFERROR(__xludf.DUMMYFUNCTION("""COMPUTED_VALUE"""),45859)</f>
        <v>45859</v>
      </c>
      <c r="AA754" s="46">
        <f ca="1">IFERROR(__xludf.DUMMYFUNCTION("""COMPUTED_VALUE"""),45859)</f>
        <v>45859</v>
      </c>
      <c r="AB754" s="45" t="str">
        <f ca="1">IFERROR(__xludf.DUMMYFUNCTION("""COMPUTED_VALUE"""),"7211 Fifth Line")</f>
        <v>7211 Fifth Line</v>
      </c>
      <c r="AC754" s="45"/>
      <c r="AD754" s="45" t="str">
        <f ca="1">IFERROR(__xludf.DUMMYFUNCTION("""COMPUTED_VALUE"""),"OCEAN")</f>
        <v>OCEAN</v>
      </c>
      <c r="AE754" s="45" t="str">
        <f ca="1">IFERROR(__xludf.DUMMYFUNCTION("""COMPUTED_VALUE"""),"N")</f>
        <v>N</v>
      </c>
      <c r="AF754" s="45"/>
      <c r="AG754" s="49" t="str">
        <f ca="1">IFERROR(__xludf.DUMMYFUNCTION("IFNA(vlookup(H754,IMPORTRANGE(""1vUGwO1n0QQGx9kKbO0_M5gmuhXZ6-LaxQxgrmJnzgP0"",""'TP# look up'!A:C""),3,0),"""")"),"")</f>
        <v/>
      </c>
      <c r="AH754" s="49" t="str">
        <f t="shared" ca="1" si="11"/>
        <v>LW</v>
      </c>
    </row>
    <row r="755" spans="1:34" ht="12.75">
      <c r="A755" s="45" t="str">
        <f ca="1">IFERROR(__xludf.DUMMYFUNCTION("""COMPUTED_VALUE"""),"Colombo")</f>
        <v>Colombo</v>
      </c>
      <c r="B755" s="45"/>
      <c r="C755" s="45">
        <f ca="1">IFERROR(__xludf.DUMMYFUNCTION("""COMPUTED_VALUE"""),3259512)</f>
        <v>3259512</v>
      </c>
      <c r="D755" s="45"/>
      <c r="E755" s="45" t="str">
        <f ca="1">IFERROR(__xludf.DUMMYFUNCTION("""COMPUTED_VALUE"""),"CFS")</f>
        <v>CFS</v>
      </c>
      <c r="F755" s="45" t="str">
        <f ca="1">IFERROR(__xludf.DUMMYFUNCTION("""COMPUTED_VALUE"""),"MAS AMITY PTE LTD")</f>
        <v>MAS AMITY PTE LTD</v>
      </c>
      <c r="G755" s="45" t="str">
        <f ca="1">IFERROR(__xludf.DUMMYFUNCTION("""COMPUTED_VALUE"""),"MAS Fabrics (Pvt) Ltd Intimo")</f>
        <v>MAS Fabrics (Pvt) Ltd Intimo</v>
      </c>
      <c r="H755" s="43">
        <f ca="1">IFERROR(__xludf.DUMMYFUNCTION("""COMPUTED_VALUE"""),456902507383)</f>
        <v>456902507383</v>
      </c>
      <c r="I755" s="45">
        <f ca="1">IFERROR(__xludf.DUMMYFUNCTION("""COMPUTED_VALUE"""),19900233)</f>
        <v>19900233</v>
      </c>
      <c r="J755" s="45" t="str">
        <f ca="1">IFERROR(__xludf.DUMMYFUNCTION("""COMPUTED_VALUE"""),"LW3JSOS")</f>
        <v>LW3JSOS</v>
      </c>
      <c r="K755" s="45" t="str">
        <f ca="1">IFERROR(__xludf.DUMMYFUNCTION("""COMPUTED_VALUE"""),"LW3JSOS-072791")</f>
        <v>LW3JSOS-072791</v>
      </c>
      <c r="L755" s="45">
        <f ca="1">IFERROR(__xludf.DUMMYFUNCTION("""COMPUTED_VALUE"""),10)</f>
        <v>10</v>
      </c>
      <c r="M755" s="45">
        <f ca="1">IFERROR(__xludf.DUMMYFUNCTION("""COMPUTED_VALUE"""),651)</f>
        <v>651</v>
      </c>
      <c r="N755" s="45">
        <f ca="1">IFERROR(__xludf.DUMMYFUNCTION("""COMPUTED_VALUE"""),102.237)</f>
        <v>102.23699999999999</v>
      </c>
      <c r="O755" s="45">
        <f ca="1">IFERROR(__xludf.DUMMYFUNCTION("""COMPUTED_VALUE"""),0.711)</f>
        <v>0.71099999999999997</v>
      </c>
      <c r="P755" s="45" t="str">
        <f ca="1">IFERROR(__xludf.DUMMYFUNCTION("""COMPUTED_VALUE"""),"Colombo, LK")</f>
        <v>Colombo, LK</v>
      </c>
      <c r="Q755" s="45" t="str">
        <f ca="1">IFERROR(__xludf.DUMMYFUNCTION("""COMPUTED_VALUE"""),"New York, NY, US")</f>
        <v>New York, NY, US</v>
      </c>
      <c r="R755" s="44">
        <f ca="1">IFERROR(__xludf.DUMMYFUNCTION("""COMPUTED_VALUE"""),45831)</f>
        <v>45831</v>
      </c>
      <c r="S755" s="44">
        <f ca="1">IFERROR(__xludf.DUMMYFUNCTION("""COMPUTED_VALUE"""),45890)</f>
        <v>45890</v>
      </c>
      <c r="T755" s="45" t="str">
        <f ca="1">IFERROR(__xludf.DUMMYFUNCTION("""COMPUTED_VALUE"""),"Milton, ON, CA")</f>
        <v>Milton, ON, CA</v>
      </c>
      <c r="U755" s="45"/>
      <c r="V755" s="45"/>
      <c r="W755" s="45"/>
      <c r="X755" s="45"/>
      <c r="Y755" s="46">
        <f ca="1">IFERROR(__xludf.DUMMYFUNCTION("""COMPUTED_VALUE"""),45838)</f>
        <v>45838</v>
      </c>
      <c r="Z755" s="46">
        <f ca="1">IFERROR(__xludf.DUMMYFUNCTION("""COMPUTED_VALUE"""),45859)</f>
        <v>45859</v>
      </c>
      <c r="AA755" s="46">
        <f ca="1">IFERROR(__xludf.DUMMYFUNCTION("""COMPUTED_VALUE"""),45859)</f>
        <v>45859</v>
      </c>
      <c r="AB755" s="45" t="str">
        <f ca="1">IFERROR(__xludf.DUMMYFUNCTION("""COMPUTED_VALUE"""),"7211 Fifth Line")</f>
        <v>7211 Fifth Line</v>
      </c>
      <c r="AC755" s="45"/>
      <c r="AD755" s="45" t="str">
        <f ca="1">IFERROR(__xludf.DUMMYFUNCTION("""COMPUTED_VALUE"""),"OCEAN")</f>
        <v>OCEAN</v>
      </c>
      <c r="AE755" s="45" t="str">
        <f ca="1">IFERROR(__xludf.DUMMYFUNCTION("""COMPUTED_VALUE"""),"N")</f>
        <v>N</v>
      </c>
      <c r="AF755" s="45"/>
      <c r="AG755" s="49" t="str">
        <f ca="1">IFERROR(__xludf.DUMMYFUNCTION("IFNA(vlookup(H755,IMPORTRANGE(""1vUGwO1n0QQGx9kKbO0_M5gmuhXZ6-LaxQxgrmJnzgP0"",""'TP# look up'!A:C""),3,0),"""")"),"")</f>
        <v/>
      </c>
      <c r="AH755" s="49" t="str">
        <f t="shared" ca="1" si="11"/>
        <v>LW</v>
      </c>
    </row>
    <row r="756" spans="1:34" ht="12.75">
      <c r="A756" s="45" t="str">
        <f ca="1">IFERROR(__xludf.DUMMYFUNCTION("""COMPUTED_VALUE"""),"Colombo")</f>
        <v>Colombo</v>
      </c>
      <c r="B756" s="45"/>
      <c r="C756" s="45">
        <f ca="1">IFERROR(__xludf.DUMMYFUNCTION("""COMPUTED_VALUE"""),3259512)</f>
        <v>3259512</v>
      </c>
      <c r="D756" s="45"/>
      <c r="E756" s="45" t="str">
        <f ca="1">IFERROR(__xludf.DUMMYFUNCTION("""COMPUTED_VALUE"""),"CFS")</f>
        <v>CFS</v>
      </c>
      <c r="F756" s="45" t="str">
        <f ca="1">IFERROR(__xludf.DUMMYFUNCTION("""COMPUTED_VALUE"""),"MAS AMITY PTE LTD")</f>
        <v>MAS AMITY PTE LTD</v>
      </c>
      <c r="G756" s="45" t="str">
        <f ca="1">IFERROR(__xludf.DUMMYFUNCTION("""COMPUTED_VALUE"""),"MAS Fabrics (Pvt) Ltd Intimo")</f>
        <v>MAS Fabrics (Pvt) Ltd Intimo</v>
      </c>
      <c r="H756" s="43">
        <f ca="1">IFERROR(__xludf.DUMMYFUNCTION("""COMPUTED_VALUE"""),456902610601)</f>
        <v>456902610601</v>
      </c>
      <c r="I756" s="45">
        <f ca="1">IFERROR(__xludf.DUMMYFUNCTION("""COMPUTED_VALUE"""),19910501)</f>
        <v>19910501</v>
      </c>
      <c r="J756" s="45" t="str">
        <f ca="1">IFERROR(__xludf.DUMMYFUNCTION("""COMPUTED_VALUE"""),"LW3DOBS")</f>
        <v>LW3DOBS</v>
      </c>
      <c r="K756" s="45" t="str">
        <f ca="1">IFERROR(__xludf.DUMMYFUNCTION("""COMPUTED_VALUE"""),"LW3DOBS-071171")</f>
        <v>LW3DOBS-071171</v>
      </c>
      <c r="L756" s="45">
        <f ca="1">IFERROR(__xludf.DUMMYFUNCTION("""COMPUTED_VALUE"""),5)</f>
        <v>5</v>
      </c>
      <c r="M756" s="45">
        <f ca="1">IFERROR(__xludf.DUMMYFUNCTION("""COMPUTED_VALUE"""),175)</f>
        <v>175</v>
      </c>
      <c r="N756" s="45">
        <f ca="1">IFERROR(__xludf.DUMMYFUNCTION("""COMPUTED_VALUE"""),29.147)</f>
        <v>29.146999999999998</v>
      </c>
      <c r="O756" s="45">
        <f ca="1">IFERROR(__xludf.DUMMYFUNCTION("""COMPUTED_VALUE"""),0.316)</f>
        <v>0.316</v>
      </c>
      <c r="P756" s="45" t="str">
        <f ca="1">IFERROR(__xludf.DUMMYFUNCTION("""COMPUTED_VALUE"""),"Colombo, LK")</f>
        <v>Colombo, LK</v>
      </c>
      <c r="Q756" s="45" t="str">
        <f ca="1">IFERROR(__xludf.DUMMYFUNCTION("""COMPUTED_VALUE"""),"New York, NY, US")</f>
        <v>New York, NY, US</v>
      </c>
      <c r="R756" s="44">
        <f ca="1">IFERROR(__xludf.DUMMYFUNCTION("""COMPUTED_VALUE"""),45831)</f>
        <v>45831</v>
      </c>
      <c r="S756" s="44">
        <f ca="1">IFERROR(__xludf.DUMMYFUNCTION("""COMPUTED_VALUE"""),45890)</f>
        <v>45890</v>
      </c>
      <c r="T756" s="45" t="str">
        <f ca="1">IFERROR(__xludf.DUMMYFUNCTION("""COMPUTED_VALUE"""),"Mississauga, ON, CA")</f>
        <v>Mississauga, ON, CA</v>
      </c>
      <c r="U756" s="45"/>
      <c r="V756" s="45"/>
      <c r="W756" s="45"/>
      <c r="X756" s="45"/>
      <c r="Y756" s="46">
        <f ca="1">IFERROR(__xludf.DUMMYFUNCTION("""COMPUTED_VALUE"""),45838)</f>
        <v>45838</v>
      </c>
      <c r="Z756" s="46">
        <f ca="1">IFERROR(__xludf.DUMMYFUNCTION("""COMPUTED_VALUE"""),45859)</f>
        <v>45859</v>
      </c>
      <c r="AA756" s="46">
        <f ca="1">IFERROR(__xludf.DUMMYFUNCTION("""COMPUTED_VALUE"""),45859)</f>
        <v>45859</v>
      </c>
      <c r="AB756" s="45" t="str">
        <f ca="1">IFERROR(__xludf.DUMMYFUNCTION("""COMPUTED_VALUE"""),"3500 Argentia Road")</f>
        <v>3500 Argentia Road</v>
      </c>
      <c r="AC756" s="45"/>
      <c r="AD756" s="45" t="str">
        <f ca="1">IFERROR(__xludf.DUMMYFUNCTION("""COMPUTED_VALUE"""),"OCEAN")</f>
        <v>OCEAN</v>
      </c>
      <c r="AE756" s="45" t="str">
        <f ca="1">IFERROR(__xludf.DUMMYFUNCTION("""COMPUTED_VALUE"""),"N")</f>
        <v>N</v>
      </c>
      <c r="AF756" s="45"/>
      <c r="AG756" s="49" t="str">
        <f ca="1">IFERROR(__xludf.DUMMYFUNCTION("IFNA(vlookup(H756,IMPORTRANGE(""1vUGwO1n0QQGx9kKbO0_M5gmuhXZ6-LaxQxgrmJnzgP0"",""'TP# look up'!A:C""),3,0),"""")"),"")</f>
        <v/>
      </c>
      <c r="AH756" s="49" t="str">
        <f t="shared" ca="1" si="11"/>
        <v>LW</v>
      </c>
    </row>
    <row r="757" spans="1:34" ht="12.75">
      <c r="A757" s="45" t="str">
        <f ca="1">IFERROR(__xludf.DUMMYFUNCTION("""COMPUTED_VALUE"""),"Colombo")</f>
        <v>Colombo</v>
      </c>
      <c r="B757" s="45"/>
      <c r="C757" s="45">
        <f ca="1">IFERROR(__xludf.DUMMYFUNCTION("""COMPUTED_VALUE"""),3259512)</f>
        <v>3259512</v>
      </c>
      <c r="D757" s="45"/>
      <c r="E757" s="45" t="str">
        <f ca="1">IFERROR(__xludf.DUMMYFUNCTION("""COMPUTED_VALUE"""),"CFS")</f>
        <v>CFS</v>
      </c>
      <c r="F757" s="45" t="str">
        <f ca="1">IFERROR(__xludf.DUMMYFUNCTION("""COMPUTED_VALUE"""),"MAS AMITY PTE LTD")</f>
        <v>MAS AMITY PTE LTD</v>
      </c>
      <c r="G757" s="45" t="str">
        <f ca="1">IFERROR(__xludf.DUMMYFUNCTION("""COMPUTED_VALUE"""),"MAS Fabrics (Pvt) Ltd Intimo")</f>
        <v>MAS Fabrics (Pvt) Ltd Intimo</v>
      </c>
      <c r="H757" s="43">
        <f ca="1">IFERROR(__xludf.DUMMYFUNCTION("""COMPUTED_VALUE"""),456904720365)</f>
        <v>456904720365</v>
      </c>
      <c r="I757" s="45">
        <f ca="1">IFERROR(__xludf.DUMMYFUNCTION("""COMPUTED_VALUE"""),19920139)</f>
        <v>19920139</v>
      </c>
      <c r="J757" s="45" t="str">
        <f ca="1">IFERROR(__xludf.DUMMYFUNCTION("""COMPUTED_VALUE"""),"LW3JSOS")</f>
        <v>LW3JSOS</v>
      </c>
      <c r="K757" s="45" t="str">
        <f ca="1">IFERROR(__xludf.DUMMYFUNCTION("""COMPUTED_VALUE"""),"LW3JSOS-072791")</f>
        <v>LW3JSOS-072791</v>
      </c>
      <c r="L757" s="45">
        <f ca="1">IFERROR(__xludf.DUMMYFUNCTION("""COMPUTED_VALUE"""),6)</f>
        <v>6</v>
      </c>
      <c r="M757" s="45">
        <f ca="1">IFERROR(__xludf.DUMMYFUNCTION("""COMPUTED_VALUE"""),381)</f>
        <v>381</v>
      </c>
      <c r="N757" s="45">
        <f ca="1">IFERROR(__xludf.DUMMYFUNCTION("""COMPUTED_VALUE"""),57.664)</f>
        <v>57.664000000000001</v>
      </c>
      <c r="O757" s="45">
        <f ca="1">IFERROR(__xludf.DUMMYFUNCTION("""COMPUTED_VALUE"""),0.395)</f>
        <v>0.39500000000000002</v>
      </c>
      <c r="P757" s="45" t="str">
        <f ca="1">IFERROR(__xludf.DUMMYFUNCTION("""COMPUTED_VALUE"""),"Colombo, LK")</f>
        <v>Colombo, LK</v>
      </c>
      <c r="Q757" s="45" t="str">
        <f ca="1">IFERROR(__xludf.DUMMYFUNCTION("""COMPUTED_VALUE"""),"New York, NY, US")</f>
        <v>New York, NY, US</v>
      </c>
      <c r="R757" s="44">
        <f ca="1">IFERROR(__xludf.DUMMYFUNCTION("""COMPUTED_VALUE"""),45831)</f>
        <v>45831</v>
      </c>
      <c r="S757" s="44">
        <f ca="1">IFERROR(__xludf.DUMMYFUNCTION("""COMPUTED_VALUE"""),45890)</f>
        <v>45890</v>
      </c>
      <c r="T757" s="45" t="str">
        <f ca="1">IFERROR(__xludf.DUMMYFUNCTION("""COMPUTED_VALUE"""),"Mississauga, ON, CA")</f>
        <v>Mississauga, ON, CA</v>
      </c>
      <c r="U757" s="45"/>
      <c r="V757" s="45"/>
      <c r="W757" s="45"/>
      <c r="X757" s="45"/>
      <c r="Y757" s="46">
        <f ca="1">IFERROR(__xludf.DUMMYFUNCTION("""COMPUTED_VALUE"""),45838)</f>
        <v>45838</v>
      </c>
      <c r="Z757" s="46">
        <f ca="1">IFERROR(__xludf.DUMMYFUNCTION("""COMPUTED_VALUE"""),45859)</f>
        <v>45859</v>
      </c>
      <c r="AA757" s="46">
        <f ca="1">IFERROR(__xludf.DUMMYFUNCTION("""COMPUTED_VALUE"""),45859)</f>
        <v>45859</v>
      </c>
      <c r="AB757" s="45" t="str">
        <f ca="1">IFERROR(__xludf.DUMMYFUNCTION("""COMPUTED_VALUE"""),"3500 Argentia Road")</f>
        <v>3500 Argentia Road</v>
      </c>
      <c r="AC757" s="45"/>
      <c r="AD757" s="45" t="str">
        <f ca="1">IFERROR(__xludf.DUMMYFUNCTION("""COMPUTED_VALUE"""),"OCEAN")</f>
        <v>OCEAN</v>
      </c>
      <c r="AE757" s="45" t="str">
        <f ca="1">IFERROR(__xludf.DUMMYFUNCTION("""COMPUTED_VALUE"""),"N")</f>
        <v>N</v>
      </c>
      <c r="AF757" s="45"/>
      <c r="AG757" s="49" t="str">
        <f ca="1">IFERROR(__xludf.DUMMYFUNCTION("IFNA(vlookup(H757,IMPORTRANGE(""1vUGwO1n0QQGx9kKbO0_M5gmuhXZ6-LaxQxgrmJnzgP0"",""'TP# look up'!A:C""),3,0),"""")"),"")</f>
        <v/>
      </c>
      <c r="AH757" s="49" t="str">
        <f t="shared" ca="1" si="11"/>
        <v>LW</v>
      </c>
    </row>
    <row r="758" spans="1:34" ht="12.75">
      <c r="A758" s="45" t="str">
        <f ca="1">IFERROR(__xludf.DUMMYFUNCTION("""COMPUTED_VALUE"""),"Colombo")</f>
        <v>Colombo</v>
      </c>
      <c r="B758" s="45"/>
      <c r="C758" s="45">
        <f ca="1">IFERROR(__xludf.DUMMYFUNCTION("""COMPUTED_VALUE"""),3259512)</f>
        <v>3259512</v>
      </c>
      <c r="D758" s="45"/>
      <c r="E758" s="45" t="str">
        <f ca="1">IFERROR(__xludf.DUMMYFUNCTION("""COMPUTED_VALUE"""),"CFS")</f>
        <v>CFS</v>
      </c>
      <c r="F758" s="45" t="str">
        <f ca="1">IFERROR(__xludf.DUMMYFUNCTION("""COMPUTED_VALUE"""),"MAS AMITY PTE LTD")</f>
        <v>MAS AMITY PTE LTD</v>
      </c>
      <c r="G758" s="45" t="str">
        <f ca="1">IFERROR(__xludf.DUMMYFUNCTION("""COMPUTED_VALUE"""),"MAS Fabrics (Pvt) Ltd Intimo")</f>
        <v>MAS Fabrics (Pvt) Ltd Intimo</v>
      </c>
      <c r="H758" s="43">
        <f ca="1">IFERROR(__xludf.DUMMYFUNCTION("""COMPUTED_VALUE"""),456905768562)</f>
        <v>456905768562</v>
      </c>
      <c r="I758" s="45">
        <f ca="1">IFERROR(__xludf.DUMMYFUNCTION("""COMPUTED_VALUE"""),19919966)</f>
        <v>19919966</v>
      </c>
      <c r="J758" s="45" t="str">
        <f ca="1">IFERROR(__xludf.DUMMYFUNCTION("""COMPUTED_VALUE"""),"LW3DOBS")</f>
        <v>LW3DOBS</v>
      </c>
      <c r="K758" s="45" t="str">
        <f ca="1">IFERROR(__xludf.DUMMYFUNCTION("""COMPUTED_VALUE"""),"LW3DOBS-041850")</f>
        <v>LW3DOBS-041850</v>
      </c>
      <c r="L758" s="45">
        <f ca="1">IFERROR(__xludf.DUMMYFUNCTION("""COMPUTED_VALUE"""),6)</f>
        <v>6</v>
      </c>
      <c r="M758" s="45">
        <f ca="1">IFERROR(__xludf.DUMMYFUNCTION("""COMPUTED_VALUE"""),311)</f>
        <v>311</v>
      </c>
      <c r="N758" s="45">
        <f ca="1">IFERROR(__xludf.DUMMYFUNCTION("""COMPUTED_VALUE"""),48.59)</f>
        <v>48.59</v>
      </c>
      <c r="O758" s="45">
        <f ca="1">IFERROR(__xludf.DUMMYFUNCTION("""COMPUTED_VALUE"""),0.436)</f>
        <v>0.436</v>
      </c>
      <c r="P758" s="45" t="str">
        <f ca="1">IFERROR(__xludf.DUMMYFUNCTION("""COMPUTED_VALUE"""),"Colombo, LK")</f>
        <v>Colombo, LK</v>
      </c>
      <c r="Q758" s="45" t="str">
        <f ca="1">IFERROR(__xludf.DUMMYFUNCTION("""COMPUTED_VALUE"""),"New York, NY, US")</f>
        <v>New York, NY, US</v>
      </c>
      <c r="R758" s="44">
        <f ca="1">IFERROR(__xludf.DUMMYFUNCTION("""COMPUTED_VALUE"""),45831)</f>
        <v>45831</v>
      </c>
      <c r="S758" s="44">
        <f ca="1">IFERROR(__xludf.DUMMYFUNCTION("""COMPUTED_VALUE"""),45890)</f>
        <v>45890</v>
      </c>
      <c r="T758" s="45" t="str">
        <f ca="1">IFERROR(__xludf.DUMMYFUNCTION("""COMPUTED_VALUE"""),"Mississauga, ON, CA")</f>
        <v>Mississauga, ON, CA</v>
      </c>
      <c r="U758" s="45"/>
      <c r="V758" s="45"/>
      <c r="W758" s="45"/>
      <c r="X758" s="45"/>
      <c r="Y758" s="46">
        <f ca="1">IFERROR(__xludf.DUMMYFUNCTION("""COMPUTED_VALUE"""),45838)</f>
        <v>45838</v>
      </c>
      <c r="Z758" s="46">
        <f ca="1">IFERROR(__xludf.DUMMYFUNCTION("""COMPUTED_VALUE"""),45859)</f>
        <v>45859</v>
      </c>
      <c r="AA758" s="46">
        <f ca="1">IFERROR(__xludf.DUMMYFUNCTION("""COMPUTED_VALUE"""),45859)</f>
        <v>45859</v>
      </c>
      <c r="AB758" s="45" t="str">
        <f ca="1">IFERROR(__xludf.DUMMYFUNCTION("""COMPUTED_VALUE"""),"3500 Argentia Road")</f>
        <v>3500 Argentia Road</v>
      </c>
      <c r="AC758" s="45"/>
      <c r="AD758" s="45" t="str">
        <f ca="1">IFERROR(__xludf.DUMMYFUNCTION("""COMPUTED_VALUE"""),"OCEAN")</f>
        <v>OCEAN</v>
      </c>
      <c r="AE758" s="45" t="str">
        <f ca="1">IFERROR(__xludf.DUMMYFUNCTION("""COMPUTED_VALUE"""),"N")</f>
        <v>N</v>
      </c>
      <c r="AF758" s="45"/>
      <c r="AG758" s="49" t="str">
        <f ca="1">IFERROR(__xludf.DUMMYFUNCTION("IFNA(vlookup(H758,IMPORTRANGE(""1vUGwO1n0QQGx9kKbO0_M5gmuhXZ6-LaxQxgrmJnzgP0"",""'TP# look up'!A:C""),3,0),"""")"),"")</f>
        <v/>
      </c>
      <c r="AH758" s="49" t="str">
        <f t="shared" ca="1" si="11"/>
        <v>LW</v>
      </c>
    </row>
    <row r="759" spans="1:34" ht="12.75">
      <c r="A759" s="45" t="str">
        <f ca="1">IFERROR(__xludf.DUMMYFUNCTION("""COMPUTED_VALUE"""),"Colombo")</f>
        <v>Colombo</v>
      </c>
      <c r="B759" s="45"/>
      <c r="C759" s="45">
        <f ca="1">IFERROR(__xludf.DUMMYFUNCTION("""COMPUTED_VALUE"""),3259512)</f>
        <v>3259512</v>
      </c>
      <c r="D759" s="45"/>
      <c r="E759" s="45" t="str">
        <f ca="1">IFERROR(__xludf.DUMMYFUNCTION("""COMPUTED_VALUE"""),"CFS")</f>
        <v>CFS</v>
      </c>
      <c r="F759" s="45" t="str">
        <f ca="1">IFERROR(__xludf.DUMMYFUNCTION("""COMPUTED_VALUE"""),"MAS AMITY PTE LTD")</f>
        <v>MAS AMITY PTE LTD</v>
      </c>
      <c r="G759" s="45" t="str">
        <f ca="1">IFERROR(__xludf.DUMMYFUNCTION("""COMPUTED_VALUE"""),"MAS Fabrics (Pvt) Ltd Intimo")</f>
        <v>MAS Fabrics (Pvt) Ltd Intimo</v>
      </c>
      <c r="H759" s="43">
        <f ca="1">IFERROR(__xludf.DUMMYFUNCTION("""COMPUTED_VALUE"""),456906361290)</f>
        <v>456906361290</v>
      </c>
      <c r="I759" s="45">
        <f ca="1">IFERROR(__xludf.DUMMYFUNCTION("""COMPUTED_VALUE"""),19920024)</f>
        <v>19920024</v>
      </c>
      <c r="J759" s="45" t="str">
        <f ca="1">IFERROR(__xludf.DUMMYFUNCTION("""COMPUTED_VALUE"""),"LW3JSOS")</f>
        <v>LW3JSOS</v>
      </c>
      <c r="K759" s="45" t="str">
        <f ca="1">IFERROR(__xludf.DUMMYFUNCTION("""COMPUTED_VALUE"""),"LW3JSOS-072791")</f>
        <v>LW3JSOS-072791</v>
      </c>
      <c r="L759" s="45">
        <f ca="1">IFERROR(__xludf.DUMMYFUNCTION("""COMPUTED_VALUE"""),4)</f>
        <v>4</v>
      </c>
      <c r="M759" s="45">
        <f ca="1">IFERROR(__xludf.DUMMYFUNCTION("""COMPUTED_VALUE"""),190)</f>
        <v>190</v>
      </c>
      <c r="N759" s="45">
        <f ca="1">IFERROR(__xludf.DUMMYFUNCTION("""COMPUTED_VALUE"""),30.268)</f>
        <v>30.268000000000001</v>
      </c>
      <c r="O759" s="45">
        <f ca="1">IFERROR(__xludf.DUMMYFUNCTION("""COMPUTED_VALUE"""),0.276)</f>
        <v>0.27600000000000002</v>
      </c>
      <c r="P759" s="45" t="str">
        <f ca="1">IFERROR(__xludf.DUMMYFUNCTION("""COMPUTED_VALUE"""),"Colombo, LK")</f>
        <v>Colombo, LK</v>
      </c>
      <c r="Q759" s="45" t="str">
        <f ca="1">IFERROR(__xludf.DUMMYFUNCTION("""COMPUTED_VALUE"""),"New York, NY, US")</f>
        <v>New York, NY, US</v>
      </c>
      <c r="R759" s="44">
        <f ca="1">IFERROR(__xludf.DUMMYFUNCTION("""COMPUTED_VALUE"""),45831)</f>
        <v>45831</v>
      </c>
      <c r="S759" s="44">
        <f ca="1">IFERROR(__xludf.DUMMYFUNCTION("""COMPUTED_VALUE"""),45890)</f>
        <v>45890</v>
      </c>
      <c r="T759" s="45" t="str">
        <f ca="1">IFERROR(__xludf.DUMMYFUNCTION("""COMPUTED_VALUE"""),"Mississauga, ON, CA")</f>
        <v>Mississauga, ON, CA</v>
      </c>
      <c r="U759" s="45"/>
      <c r="V759" s="45"/>
      <c r="W759" s="45"/>
      <c r="X759" s="45"/>
      <c r="Y759" s="46">
        <f ca="1">IFERROR(__xludf.DUMMYFUNCTION("""COMPUTED_VALUE"""),45838)</f>
        <v>45838</v>
      </c>
      <c r="Z759" s="46">
        <f ca="1">IFERROR(__xludf.DUMMYFUNCTION("""COMPUTED_VALUE"""),45859)</f>
        <v>45859</v>
      </c>
      <c r="AA759" s="46">
        <f ca="1">IFERROR(__xludf.DUMMYFUNCTION("""COMPUTED_VALUE"""),45859)</f>
        <v>45859</v>
      </c>
      <c r="AB759" s="45" t="str">
        <f ca="1">IFERROR(__xludf.DUMMYFUNCTION("""COMPUTED_VALUE"""),"3500 Argentia Road")</f>
        <v>3500 Argentia Road</v>
      </c>
      <c r="AC759" s="45"/>
      <c r="AD759" s="45" t="str">
        <f ca="1">IFERROR(__xludf.DUMMYFUNCTION("""COMPUTED_VALUE"""),"OCEAN")</f>
        <v>OCEAN</v>
      </c>
      <c r="AE759" s="45" t="str">
        <f ca="1">IFERROR(__xludf.DUMMYFUNCTION("""COMPUTED_VALUE"""),"N")</f>
        <v>N</v>
      </c>
      <c r="AF759" s="45"/>
      <c r="AG759" s="49" t="str">
        <f ca="1">IFERROR(__xludf.DUMMYFUNCTION("IFNA(vlookup(H759,IMPORTRANGE(""1vUGwO1n0QQGx9kKbO0_M5gmuhXZ6-LaxQxgrmJnzgP0"",""'TP# look up'!A:C""),3,0),"""")"),"")</f>
        <v/>
      </c>
      <c r="AH759" s="49" t="str">
        <f t="shared" ca="1" si="11"/>
        <v>LW</v>
      </c>
    </row>
    <row r="760" spans="1:34" ht="12.75">
      <c r="A760" s="45" t="str">
        <f ca="1">IFERROR(__xludf.DUMMYFUNCTION("""COMPUTED_VALUE"""),"Colombo")</f>
        <v>Colombo</v>
      </c>
      <c r="B760" s="45"/>
      <c r="C760" s="45">
        <f ca="1">IFERROR(__xludf.DUMMYFUNCTION("""COMPUTED_VALUE"""),3259512)</f>
        <v>3259512</v>
      </c>
      <c r="D760" s="45"/>
      <c r="E760" s="45" t="str">
        <f ca="1">IFERROR(__xludf.DUMMYFUNCTION("""COMPUTED_VALUE"""),"CFS")</f>
        <v>CFS</v>
      </c>
      <c r="F760" s="45" t="str">
        <f ca="1">IFERROR(__xludf.DUMMYFUNCTION("""COMPUTED_VALUE"""),"MAS AMITY PTE LTD")</f>
        <v>MAS AMITY PTE LTD</v>
      </c>
      <c r="G760" s="45" t="str">
        <f ca="1">IFERROR(__xludf.DUMMYFUNCTION("""COMPUTED_VALUE"""),"MAS Fabrics (Pvt) Ltd Intimo")</f>
        <v>MAS Fabrics (Pvt) Ltd Intimo</v>
      </c>
      <c r="H760" s="43">
        <f ca="1">IFERROR(__xludf.DUMMYFUNCTION("""COMPUTED_VALUE"""),456909104192)</f>
        <v>456909104192</v>
      </c>
      <c r="I760" s="45">
        <f ca="1">IFERROR(__xludf.DUMMYFUNCTION("""COMPUTED_VALUE"""),19923565)</f>
        <v>19923565</v>
      </c>
      <c r="J760" s="45" t="str">
        <f ca="1">IFERROR(__xludf.DUMMYFUNCTION("""COMPUTED_VALUE"""),"LW3DOBS")</f>
        <v>LW3DOBS</v>
      </c>
      <c r="K760" s="45" t="str">
        <f ca="1">IFERROR(__xludf.DUMMYFUNCTION("""COMPUTED_VALUE"""),"LW3DOBS-071171")</f>
        <v>LW3DOBS-071171</v>
      </c>
      <c r="L760" s="45">
        <f ca="1">IFERROR(__xludf.DUMMYFUNCTION("""COMPUTED_VALUE"""),6)</f>
        <v>6</v>
      </c>
      <c r="M760" s="45">
        <f ca="1">IFERROR(__xludf.DUMMYFUNCTION("""COMPUTED_VALUE"""),293)</f>
        <v>293</v>
      </c>
      <c r="N760" s="45">
        <f ca="1">IFERROR(__xludf.DUMMYFUNCTION("""COMPUTED_VALUE"""),45.808)</f>
        <v>45.808</v>
      </c>
      <c r="O760" s="45">
        <f ca="1">IFERROR(__xludf.DUMMYFUNCTION("""COMPUTED_VALUE"""),0.395)</f>
        <v>0.39500000000000002</v>
      </c>
      <c r="P760" s="45" t="str">
        <f ca="1">IFERROR(__xludf.DUMMYFUNCTION("""COMPUTED_VALUE"""),"Colombo, LK")</f>
        <v>Colombo, LK</v>
      </c>
      <c r="Q760" s="45" t="str">
        <f ca="1">IFERROR(__xludf.DUMMYFUNCTION("""COMPUTED_VALUE"""),"New York, NY, US")</f>
        <v>New York, NY, US</v>
      </c>
      <c r="R760" s="44">
        <f ca="1">IFERROR(__xludf.DUMMYFUNCTION("""COMPUTED_VALUE"""),45831)</f>
        <v>45831</v>
      </c>
      <c r="S760" s="44">
        <f ca="1">IFERROR(__xludf.DUMMYFUNCTION("""COMPUTED_VALUE"""),45890)</f>
        <v>45890</v>
      </c>
      <c r="T760" s="45" t="str">
        <f ca="1">IFERROR(__xludf.DUMMYFUNCTION("""COMPUTED_VALUE"""),"Mississauga, ON, CA")</f>
        <v>Mississauga, ON, CA</v>
      </c>
      <c r="U760" s="45"/>
      <c r="V760" s="45"/>
      <c r="W760" s="45"/>
      <c r="X760" s="45"/>
      <c r="Y760" s="46">
        <f ca="1">IFERROR(__xludf.DUMMYFUNCTION("""COMPUTED_VALUE"""),45838)</f>
        <v>45838</v>
      </c>
      <c r="Z760" s="46">
        <f ca="1">IFERROR(__xludf.DUMMYFUNCTION("""COMPUTED_VALUE"""),45852)</f>
        <v>45852</v>
      </c>
      <c r="AA760" s="46">
        <f ca="1">IFERROR(__xludf.DUMMYFUNCTION("""COMPUTED_VALUE"""),45852)</f>
        <v>45852</v>
      </c>
      <c r="AB760" s="45" t="str">
        <f ca="1">IFERROR(__xludf.DUMMYFUNCTION("""COMPUTED_VALUE"""),"3500 Argentia Road")</f>
        <v>3500 Argentia Road</v>
      </c>
      <c r="AC760" s="45"/>
      <c r="AD760" s="45" t="str">
        <f ca="1">IFERROR(__xludf.DUMMYFUNCTION("""COMPUTED_VALUE"""),"OCEAN")</f>
        <v>OCEAN</v>
      </c>
      <c r="AE760" s="45" t="str">
        <f ca="1">IFERROR(__xludf.DUMMYFUNCTION("""COMPUTED_VALUE"""),"N")</f>
        <v>N</v>
      </c>
      <c r="AF760" s="45"/>
      <c r="AG760" s="49" t="str">
        <f ca="1">IFERROR(__xludf.DUMMYFUNCTION("IFNA(vlookup(H760,IMPORTRANGE(""1vUGwO1n0QQGx9kKbO0_M5gmuhXZ6-LaxQxgrmJnzgP0"",""'TP# look up'!A:C""),3,0),"""")"),"")</f>
        <v/>
      </c>
      <c r="AH760" s="49" t="str">
        <f t="shared" ca="1" si="11"/>
        <v>LW</v>
      </c>
    </row>
    <row r="761" spans="1:34" ht="12.75">
      <c r="A761" s="45" t="str">
        <f ca="1">IFERROR(__xludf.DUMMYFUNCTION("""COMPUTED_VALUE"""),"Colombo")</f>
        <v>Colombo</v>
      </c>
      <c r="B761" s="45"/>
      <c r="C761" s="45">
        <f ca="1">IFERROR(__xludf.DUMMYFUNCTION("""COMPUTED_VALUE"""),3259512)</f>
        <v>3259512</v>
      </c>
      <c r="D761" s="45"/>
      <c r="E761" s="45" t="str">
        <f ca="1">IFERROR(__xludf.DUMMYFUNCTION("""COMPUTED_VALUE"""),"CFS")</f>
        <v>CFS</v>
      </c>
      <c r="F761" s="45" t="str">
        <f ca="1">IFERROR(__xludf.DUMMYFUNCTION("""COMPUTED_VALUE"""),"MAS AMITY PTE LTD")</f>
        <v>MAS AMITY PTE LTD</v>
      </c>
      <c r="G761" s="45" t="str">
        <f ca="1">IFERROR(__xludf.DUMMYFUNCTION("""COMPUTED_VALUE"""),"MAS Fabrics (Pvt) Ltd Intimo")</f>
        <v>MAS Fabrics (Pvt) Ltd Intimo</v>
      </c>
      <c r="H761" s="43">
        <f ca="1">IFERROR(__xludf.DUMMYFUNCTION("""COMPUTED_VALUE"""),456909809004)</f>
        <v>456909809004</v>
      </c>
      <c r="I761" s="45">
        <f ca="1">IFERROR(__xludf.DUMMYFUNCTION("""COMPUTED_VALUE"""),19923537)</f>
        <v>19923537</v>
      </c>
      <c r="J761" s="45" t="str">
        <f ca="1">IFERROR(__xludf.DUMMYFUNCTION("""COMPUTED_VALUE"""),"LW3DOBS")</f>
        <v>LW3DOBS</v>
      </c>
      <c r="K761" s="45" t="str">
        <f ca="1">IFERROR(__xludf.DUMMYFUNCTION("""COMPUTED_VALUE"""),"LW3DOBS-041850")</f>
        <v>LW3DOBS-041850</v>
      </c>
      <c r="L761" s="45">
        <f ca="1">IFERROR(__xludf.DUMMYFUNCTION("""COMPUTED_VALUE"""),10)</f>
        <v>10</v>
      </c>
      <c r="M761" s="45">
        <f ca="1">IFERROR(__xludf.DUMMYFUNCTION("""COMPUTED_VALUE"""),651)</f>
        <v>651</v>
      </c>
      <c r="N761" s="45">
        <f ca="1">IFERROR(__xludf.DUMMYFUNCTION("""COMPUTED_VALUE"""),98.989)</f>
        <v>98.989000000000004</v>
      </c>
      <c r="O761" s="45">
        <f ca="1">IFERROR(__xludf.DUMMYFUNCTION("""COMPUTED_VALUE"""),0.711)</f>
        <v>0.71099999999999997</v>
      </c>
      <c r="P761" s="45" t="str">
        <f ca="1">IFERROR(__xludf.DUMMYFUNCTION("""COMPUTED_VALUE"""),"Colombo, LK")</f>
        <v>Colombo, LK</v>
      </c>
      <c r="Q761" s="45" t="str">
        <f ca="1">IFERROR(__xludf.DUMMYFUNCTION("""COMPUTED_VALUE"""),"New York, NY, US")</f>
        <v>New York, NY, US</v>
      </c>
      <c r="R761" s="44">
        <f ca="1">IFERROR(__xludf.DUMMYFUNCTION("""COMPUTED_VALUE"""),45831)</f>
        <v>45831</v>
      </c>
      <c r="S761" s="44">
        <f ca="1">IFERROR(__xludf.DUMMYFUNCTION("""COMPUTED_VALUE"""),45890)</f>
        <v>45890</v>
      </c>
      <c r="T761" s="45" t="str">
        <f ca="1">IFERROR(__xludf.DUMMYFUNCTION("""COMPUTED_VALUE"""),"Mississauga, ON, CA")</f>
        <v>Mississauga, ON, CA</v>
      </c>
      <c r="U761" s="45"/>
      <c r="V761" s="45"/>
      <c r="W761" s="45"/>
      <c r="X761" s="45"/>
      <c r="Y761" s="46">
        <f ca="1">IFERROR(__xludf.DUMMYFUNCTION("""COMPUTED_VALUE"""),45838)</f>
        <v>45838</v>
      </c>
      <c r="Z761" s="46">
        <f ca="1">IFERROR(__xludf.DUMMYFUNCTION("""COMPUTED_VALUE"""),45852)</f>
        <v>45852</v>
      </c>
      <c r="AA761" s="46">
        <f ca="1">IFERROR(__xludf.DUMMYFUNCTION("""COMPUTED_VALUE"""),45852)</f>
        <v>45852</v>
      </c>
      <c r="AB761" s="45" t="str">
        <f ca="1">IFERROR(__xludf.DUMMYFUNCTION("""COMPUTED_VALUE"""),"3500 Argentia Road")</f>
        <v>3500 Argentia Road</v>
      </c>
      <c r="AC761" s="45"/>
      <c r="AD761" s="45" t="str">
        <f ca="1">IFERROR(__xludf.DUMMYFUNCTION("""COMPUTED_VALUE"""),"OCEAN")</f>
        <v>OCEAN</v>
      </c>
      <c r="AE761" s="45" t="str">
        <f ca="1">IFERROR(__xludf.DUMMYFUNCTION("""COMPUTED_VALUE"""),"N")</f>
        <v>N</v>
      </c>
      <c r="AF761" s="45"/>
      <c r="AG761" s="49" t="str">
        <f ca="1">IFERROR(__xludf.DUMMYFUNCTION("IFNA(vlookup(H761,IMPORTRANGE(""1vUGwO1n0QQGx9kKbO0_M5gmuhXZ6-LaxQxgrmJnzgP0"",""'TP# look up'!A:C""),3,0),"""")"),"")</f>
        <v/>
      </c>
      <c r="AH761" s="49" t="str">
        <f t="shared" ca="1" si="11"/>
        <v>LW</v>
      </c>
    </row>
    <row r="762" spans="1:34" ht="12.75">
      <c r="A762" s="45" t="str">
        <f ca="1">IFERROR(__xludf.DUMMYFUNCTION("""COMPUTED_VALUE"""),"Colombo")</f>
        <v>Colombo</v>
      </c>
      <c r="B762" s="45"/>
      <c r="C762" s="45">
        <f ca="1">IFERROR(__xludf.DUMMYFUNCTION("""COMPUTED_VALUE"""),3259512)</f>
        <v>3259512</v>
      </c>
      <c r="D762" s="45"/>
      <c r="E762" s="45" t="str">
        <f ca="1">IFERROR(__xludf.DUMMYFUNCTION("""COMPUTED_VALUE"""),"CFS")</f>
        <v>CFS</v>
      </c>
      <c r="F762" s="45" t="str">
        <f ca="1">IFERROR(__xludf.DUMMYFUNCTION("""COMPUTED_VALUE"""),"Inqube Global (PVT) Ltd")</f>
        <v>Inqube Global (PVT) Ltd</v>
      </c>
      <c r="G762" s="45" t="str">
        <f ca="1">IFERROR(__xludf.DUMMYFUNCTION("""COMPUTED_VALUE"""),"Brandix Apparel Solutions Limited - Minuwangoda")</f>
        <v>Brandix Apparel Solutions Limited - Minuwangoda</v>
      </c>
      <c r="H762" s="43">
        <f ca="1">IFERROR(__xludf.DUMMYFUNCTION("""COMPUTED_VALUE"""),455737884362)</f>
        <v>455737884362</v>
      </c>
      <c r="I762" s="45">
        <f ca="1">IFERROR(__xludf.DUMMYFUNCTION("""COMPUTED_VALUE"""),19855042)</f>
        <v>19855042</v>
      </c>
      <c r="J762" s="45" t="str">
        <f ca="1">IFERROR(__xludf.DUMMYFUNCTION("""COMPUTED_VALUE"""),"LW1FQ4S")</f>
        <v>LW1FQ4S</v>
      </c>
      <c r="K762" s="45" t="str">
        <f ca="1">IFERROR(__xludf.DUMMYFUNCTION("""COMPUTED_VALUE"""),"LW1FQ4S-041179")</f>
        <v>LW1FQ4S-041179</v>
      </c>
      <c r="L762" s="45">
        <f ca="1">IFERROR(__xludf.DUMMYFUNCTION("""COMPUTED_VALUE"""),2)</f>
        <v>2</v>
      </c>
      <c r="M762" s="45">
        <f ca="1">IFERROR(__xludf.DUMMYFUNCTION("""COMPUTED_VALUE"""),61)</f>
        <v>61</v>
      </c>
      <c r="N762" s="45">
        <f ca="1">IFERROR(__xludf.DUMMYFUNCTION("""COMPUTED_VALUE"""),12.458)</f>
        <v>12.458</v>
      </c>
      <c r="O762" s="45">
        <f ca="1">IFERROR(__xludf.DUMMYFUNCTION("""COMPUTED_VALUE"""),0.157)</f>
        <v>0.157</v>
      </c>
      <c r="P762" s="45" t="str">
        <f ca="1">IFERROR(__xludf.DUMMYFUNCTION("""COMPUTED_VALUE"""),"Colombo, LK")</f>
        <v>Colombo, LK</v>
      </c>
      <c r="Q762" s="45" t="str">
        <f ca="1">IFERROR(__xludf.DUMMYFUNCTION("""COMPUTED_VALUE"""),"New York, NY, US")</f>
        <v>New York, NY, US</v>
      </c>
      <c r="R762" s="44">
        <f ca="1">IFERROR(__xludf.DUMMYFUNCTION("""COMPUTED_VALUE"""),45831)</f>
        <v>45831</v>
      </c>
      <c r="S762" s="44">
        <f ca="1">IFERROR(__xludf.DUMMYFUNCTION("""COMPUTED_VALUE"""),45890)</f>
        <v>45890</v>
      </c>
      <c r="T762" s="45" t="str">
        <f ca="1">IFERROR(__xludf.DUMMYFUNCTION("""COMPUTED_VALUE"""),"Mississauga, ON, CA")</f>
        <v>Mississauga, ON, CA</v>
      </c>
      <c r="U762" s="45"/>
      <c r="V762" s="45"/>
      <c r="W762" s="45"/>
      <c r="X762" s="45"/>
      <c r="Y762" s="46">
        <f ca="1">IFERROR(__xludf.DUMMYFUNCTION("""COMPUTED_VALUE"""),45838)</f>
        <v>45838</v>
      </c>
      <c r="Z762" s="46">
        <f ca="1">IFERROR(__xludf.DUMMYFUNCTION("""COMPUTED_VALUE"""),45859)</f>
        <v>45859</v>
      </c>
      <c r="AA762" s="46">
        <f ca="1">IFERROR(__xludf.DUMMYFUNCTION("""COMPUTED_VALUE"""),45859)</f>
        <v>45859</v>
      </c>
      <c r="AB762" s="45" t="str">
        <f ca="1">IFERROR(__xludf.DUMMYFUNCTION("""COMPUTED_VALUE"""),"3500 Argentia Road")</f>
        <v>3500 Argentia Road</v>
      </c>
      <c r="AC762" s="45"/>
      <c r="AD762" s="45" t="str">
        <f ca="1">IFERROR(__xludf.DUMMYFUNCTION("""COMPUTED_VALUE"""),"OCEAN")</f>
        <v>OCEAN</v>
      </c>
      <c r="AE762" s="45" t="str">
        <f ca="1">IFERROR(__xludf.DUMMYFUNCTION("""COMPUTED_VALUE"""),"N")</f>
        <v>N</v>
      </c>
      <c r="AF762" s="45"/>
      <c r="AG762" s="49" t="str">
        <f ca="1">IFERROR(__xludf.DUMMYFUNCTION("IFNA(vlookup(H762,IMPORTRANGE(""1vUGwO1n0QQGx9kKbO0_M5gmuhXZ6-LaxQxgrmJnzgP0"",""'TP# look up'!A:C""),3,0),"""")"),"")</f>
        <v/>
      </c>
      <c r="AH762" s="49" t="str">
        <f t="shared" ca="1" si="11"/>
        <v>LW</v>
      </c>
    </row>
    <row r="763" spans="1:34" ht="12.75">
      <c r="A763" s="45" t="str">
        <f ca="1">IFERROR(__xludf.DUMMYFUNCTION("""COMPUTED_VALUE"""),"Colombo")</f>
        <v>Colombo</v>
      </c>
      <c r="B763" s="45"/>
      <c r="C763" s="45">
        <f ca="1">IFERROR(__xludf.DUMMYFUNCTION("""COMPUTED_VALUE"""),3259512)</f>
        <v>3259512</v>
      </c>
      <c r="D763" s="45"/>
      <c r="E763" s="45" t="str">
        <f ca="1">IFERROR(__xludf.DUMMYFUNCTION("""COMPUTED_VALUE"""),"CFS")</f>
        <v>CFS</v>
      </c>
      <c r="F763" s="45" t="str">
        <f ca="1">IFERROR(__xludf.DUMMYFUNCTION("""COMPUTED_VALUE"""),"Inqube Global (PVT) Ltd")</f>
        <v>Inqube Global (PVT) Ltd</v>
      </c>
      <c r="G763" s="45" t="str">
        <f ca="1">IFERROR(__xludf.DUMMYFUNCTION("""COMPUTED_VALUE"""),"Brandix Apparel Solutions Limited - Minuwangoda")</f>
        <v>Brandix Apparel Solutions Limited - Minuwangoda</v>
      </c>
      <c r="H763" s="43">
        <f ca="1">IFERROR(__xludf.DUMMYFUNCTION("""COMPUTED_VALUE"""),455737884786)</f>
        <v>455737884786</v>
      </c>
      <c r="I763" s="45">
        <f ca="1">IFERROR(__xludf.DUMMYFUNCTION("""COMPUTED_VALUE"""),19855128)</f>
        <v>19855128</v>
      </c>
      <c r="J763" s="45" t="str">
        <f ca="1">IFERROR(__xludf.DUMMYFUNCTION("""COMPUTED_VALUE"""),"LW1FQ4S")</f>
        <v>LW1FQ4S</v>
      </c>
      <c r="K763" s="45" t="str">
        <f ca="1">IFERROR(__xludf.DUMMYFUNCTION("""COMPUTED_VALUE"""),"LW1FQ4S-041179")</f>
        <v>LW1FQ4S-041179</v>
      </c>
      <c r="L763" s="45">
        <f ca="1">IFERROR(__xludf.DUMMYFUNCTION("""COMPUTED_VALUE"""),5)</f>
        <v>5</v>
      </c>
      <c r="M763" s="45">
        <f ca="1">IFERROR(__xludf.DUMMYFUNCTION("""COMPUTED_VALUE"""),203)</f>
        <v>203</v>
      </c>
      <c r="N763" s="45">
        <f ca="1">IFERROR(__xludf.DUMMYFUNCTION("""COMPUTED_VALUE"""),39.678)</f>
        <v>39.677999999999997</v>
      </c>
      <c r="O763" s="45">
        <f ca="1">IFERROR(__xludf.DUMMYFUNCTION("""COMPUTED_VALUE"""),0.393)</f>
        <v>0.39300000000000002</v>
      </c>
      <c r="P763" s="45" t="str">
        <f ca="1">IFERROR(__xludf.DUMMYFUNCTION("""COMPUTED_VALUE"""),"Colombo, LK")</f>
        <v>Colombo, LK</v>
      </c>
      <c r="Q763" s="45" t="str">
        <f ca="1">IFERROR(__xludf.DUMMYFUNCTION("""COMPUTED_VALUE"""),"New York, NY, US")</f>
        <v>New York, NY, US</v>
      </c>
      <c r="R763" s="44">
        <f ca="1">IFERROR(__xludf.DUMMYFUNCTION("""COMPUTED_VALUE"""),45831)</f>
        <v>45831</v>
      </c>
      <c r="S763" s="44">
        <f ca="1">IFERROR(__xludf.DUMMYFUNCTION("""COMPUTED_VALUE"""),45890)</f>
        <v>45890</v>
      </c>
      <c r="T763" s="45" t="str">
        <f ca="1">IFERROR(__xludf.DUMMYFUNCTION("""COMPUTED_VALUE"""),"Mississauga, ON, CA")</f>
        <v>Mississauga, ON, CA</v>
      </c>
      <c r="U763" s="45"/>
      <c r="V763" s="45"/>
      <c r="W763" s="45"/>
      <c r="X763" s="45"/>
      <c r="Y763" s="46">
        <f ca="1">IFERROR(__xludf.DUMMYFUNCTION("""COMPUTED_VALUE"""),45838)</f>
        <v>45838</v>
      </c>
      <c r="Z763" s="46">
        <f ca="1">IFERROR(__xludf.DUMMYFUNCTION("""COMPUTED_VALUE"""),45859)</f>
        <v>45859</v>
      </c>
      <c r="AA763" s="46">
        <f ca="1">IFERROR(__xludf.DUMMYFUNCTION("""COMPUTED_VALUE"""),45859)</f>
        <v>45859</v>
      </c>
      <c r="AB763" s="45" t="str">
        <f ca="1">IFERROR(__xludf.DUMMYFUNCTION("""COMPUTED_VALUE"""),"3500 Argentia Road")</f>
        <v>3500 Argentia Road</v>
      </c>
      <c r="AC763" s="45"/>
      <c r="AD763" s="45" t="str">
        <f ca="1">IFERROR(__xludf.DUMMYFUNCTION("""COMPUTED_VALUE"""),"OCEAN")</f>
        <v>OCEAN</v>
      </c>
      <c r="AE763" s="45" t="str">
        <f ca="1">IFERROR(__xludf.DUMMYFUNCTION("""COMPUTED_VALUE"""),"N")</f>
        <v>N</v>
      </c>
      <c r="AF763" s="45"/>
      <c r="AG763" s="49" t="str">
        <f ca="1">IFERROR(__xludf.DUMMYFUNCTION("IFNA(vlookup(H763,IMPORTRANGE(""1vUGwO1n0QQGx9kKbO0_M5gmuhXZ6-LaxQxgrmJnzgP0"",""'TP# look up'!A:C""),3,0),"""")"),"")</f>
        <v/>
      </c>
      <c r="AH763" s="49" t="str">
        <f t="shared" ca="1" si="11"/>
        <v>LW</v>
      </c>
    </row>
    <row r="764" spans="1:34" ht="12.75">
      <c r="A764" s="45" t="str">
        <f ca="1">IFERROR(__xludf.DUMMYFUNCTION("""COMPUTED_VALUE"""),"Colombo")</f>
        <v>Colombo</v>
      </c>
      <c r="B764" s="45"/>
      <c r="C764" s="45">
        <f ca="1">IFERROR(__xludf.DUMMYFUNCTION("""COMPUTED_VALUE"""),3259512)</f>
        <v>3259512</v>
      </c>
      <c r="D764" s="45"/>
      <c r="E764" s="45" t="str">
        <f ca="1">IFERROR(__xludf.DUMMYFUNCTION("""COMPUTED_VALUE"""),"CFS")</f>
        <v>CFS</v>
      </c>
      <c r="F764" s="45" t="str">
        <f ca="1">IFERROR(__xludf.DUMMYFUNCTION("""COMPUTED_VALUE"""),"MAS AMITY PTE LTD")</f>
        <v>MAS AMITY PTE LTD</v>
      </c>
      <c r="G764" s="45" t="str">
        <f ca="1">IFERROR(__xludf.DUMMYFUNCTION("""COMPUTED_VALUE"""),"MAS Active(Pvt) Ltd – CONTOURLINE")</f>
        <v>MAS Active(Pvt) Ltd – CONTOURLINE</v>
      </c>
      <c r="H764" s="43">
        <f ca="1">IFERROR(__xludf.DUMMYFUNCTION("""COMPUTED_VALUE"""),454996555041)</f>
        <v>454996555041</v>
      </c>
      <c r="I764" s="45">
        <f ca="1">IFERROR(__xludf.DUMMYFUNCTION("""COMPUTED_VALUE"""),19890499)</f>
        <v>19890499</v>
      </c>
      <c r="J764" s="45" t="str">
        <f ca="1">IFERROR(__xludf.DUMMYFUNCTION("""COMPUTED_VALUE"""),"LW7CNIS")</f>
        <v>LW7CNIS</v>
      </c>
      <c r="K764" s="45" t="str">
        <f ca="1">IFERROR(__xludf.DUMMYFUNCTION("""COMPUTED_VALUE"""),"LW7CNIS-0001")</f>
        <v>LW7CNIS-0001</v>
      </c>
      <c r="L764" s="45">
        <f ca="1">IFERROR(__xludf.DUMMYFUNCTION("""COMPUTED_VALUE"""),2)</f>
        <v>2</v>
      </c>
      <c r="M764" s="45">
        <f ca="1">IFERROR(__xludf.DUMMYFUNCTION("""COMPUTED_VALUE"""),131)</f>
        <v>131</v>
      </c>
      <c r="N764" s="45">
        <f ca="1">IFERROR(__xludf.DUMMYFUNCTION("""COMPUTED_VALUE"""),22.406)</f>
        <v>22.405999999999999</v>
      </c>
      <c r="O764" s="45">
        <f ca="1">IFERROR(__xludf.DUMMYFUNCTION("""COMPUTED_VALUE"""),0.118)</f>
        <v>0.11799999999999999</v>
      </c>
      <c r="P764" s="45" t="str">
        <f ca="1">IFERROR(__xludf.DUMMYFUNCTION("""COMPUTED_VALUE"""),"Colombo, LK")</f>
        <v>Colombo, LK</v>
      </c>
      <c r="Q764" s="45" t="str">
        <f ca="1">IFERROR(__xludf.DUMMYFUNCTION("""COMPUTED_VALUE"""),"New York, NY, US")</f>
        <v>New York, NY, US</v>
      </c>
      <c r="R764" s="44">
        <f ca="1">IFERROR(__xludf.DUMMYFUNCTION("""COMPUTED_VALUE"""),45831)</f>
        <v>45831</v>
      </c>
      <c r="S764" s="44">
        <f ca="1">IFERROR(__xludf.DUMMYFUNCTION("""COMPUTED_VALUE"""),45890)</f>
        <v>45890</v>
      </c>
      <c r="T764" s="45" t="str">
        <f ca="1">IFERROR(__xludf.DUMMYFUNCTION("""COMPUTED_VALUE"""),"Mississauga, ON, CA")</f>
        <v>Mississauga, ON, CA</v>
      </c>
      <c r="U764" s="45"/>
      <c r="V764" s="45"/>
      <c r="W764" s="45"/>
      <c r="X764" s="45"/>
      <c r="Y764" s="46">
        <f ca="1">IFERROR(__xludf.DUMMYFUNCTION("""COMPUTED_VALUE"""),45838)</f>
        <v>45838</v>
      </c>
      <c r="Z764" s="46">
        <f ca="1">IFERROR(__xludf.DUMMYFUNCTION("""COMPUTED_VALUE"""),45859)</f>
        <v>45859</v>
      </c>
      <c r="AA764" s="46">
        <f ca="1">IFERROR(__xludf.DUMMYFUNCTION("""COMPUTED_VALUE"""),45859)</f>
        <v>45859</v>
      </c>
      <c r="AB764" s="45" t="str">
        <f ca="1">IFERROR(__xludf.DUMMYFUNCTION("""COMPUTED_VALUE"""),"3500 Argentia Road")</f>
        <v>3500 Argentia Road</v>
      </c>
      <c r="AC764" s="45"/>
      <c r="AD764" s="45" t="str">
        <f ca="1">IFERROR(__xludf.DUMMYFUNCTION("""COMPUTED_VALUE"""),"OCEAN")</f>
        <v>OCEAN</v>
      </c>
      <c r="AE764" s="45" t="str">
        <f ca="1">IFERROR(__xludf.DUMMYFUNCTION("""COMPUTED_VALUE"""),"N")</f>
        <v>N</v>
      </c>
      <c r="AF764" s="45"/>
      <c r="AG764" s="49" t="str">
        <f ca="1">IFERROR(__xludf.DUMMYFUNCTION("IFNA(vlookup(H764,IMPORTRANGE(""1vUGwO1n0QQGx9kKbO0_M5gmuhXZ6-LaxQxgrmJnzgP0"",""'TP# look up'!A:C""),3,0),"""")"),"")</f>
        <v/>
      </c>
      <c r="AH764" s="49" t="str">
        <f t="shared" ca="1" si="11"/>
        <v>LW</v>
      </c>
    </row>
    <row r="765" spans="1:34" ht="12.75">
      <c r="A765" s="45" t="str">
        <f ca="1">IFERROR(__xludf.DUMMYFUNCTION("""COMPUTED_VALUE"""),"Colombo")</f>
        <v>Colombo</v>
      </c>
      <c r="B765" s="45"/>
      <c r="C765" s="45">
        <f ca="1">IFERROR(__xludf.DUMMYFUNCTION("""COMPUTED_VALUE"""),3259827)</f>
        <v>3259827</v>
      </c>
      <c r="D765" s="45"/>
      <c r="E765" s="45" t="str">
        <f ca="1">IFERROR(__xludf.DUMMYFUNCTION("""COMPUTED_VALUE"""),"CFS")</f>
        <v>CFS</v>
      </c>
      <c r="F765" s="45" t="str">
        <f ca="1">IFERROR(__xludf.DUMMYFUNCTION("""COMPUTED_VALUE"""),"Inqube Global (PVT) Ltd")</f>
        <v>Inqube Global (PVT) Ltd</v>
      </c>
      <c r="G765" s="45" t="str">
        <f ca="1">IFERROR(__xludf.DUMMYFUNCTION("""COMPUTED_VALUE"""),"Brandix Apparel Solutions Limited - Minuwangoda")</f>
        <v>Brandix Apparel Solutions Limited - Minuwangoda</v>
      </c>
      <c r="H765" s="43">
        <f ca="1">IFERROR(__xludf.DUMMYFUNCTION("""COMPUTED_VALUE"""),455734799506)</f>
        <v>455734799506</v>
      </c>
      <c r="I765" s="45">
        <f ca="1">IFERROR(__xludf.DUMMYFUNCTION("""COMPUTED_VALUE"""),19855235)</f>
        <v>19855235</v>
      </c>
      <c r="J765" s="45" t="str">
        <f ca="1">IFERROR(__xludf.DUMMYFUNCTION("""COMPUTED_VALUE"""),"LW1FQ4S")</f>
        <v>LW1FQ4S</v>
      </c>
      <c r="K765" s="45" t="str">
        <f ca="1">IFERROR(__xludf.DUMMYFUNCTION("""COMPUTED_VALUE"""),"LW1FQ4S-031382")</f>
        <v>LW1FQ4S-031382</v>
      </c>
      <c r="L765" s="45">
        <f ca="1">IFERROR(__xludf.DUMMYFUNCTION("""COMPUTED_VALUE"""),4)</f>
        <v>4</v>
      </c>
      <c r="M765" s="45">
        <f ca="1">IFERROR(__xludf.DUMMYFUNCTION("""COMPUTED_VALUE"""),169)</f>
        <v>169</v>
      </c>
      <c r="N765" s="45">
        <f ca="1">IFERROR(__xludf.DUMMYFUNCTION("""COMPUTED_VALUE"""),32.239)</f>
        <v>32.238999999999997</v>
      </c>
      <c r="O765" s="45">
        <f ca="1">IFERROR(__xludf.DUMMYFUNCTION("""COMPUTED_VALUE"""),0.314)</f>
        <v>0.314</v>
      </c>
      <c r="P765" s="45" t="str">
        <f ca="1">IFERROR(__xludf.DUMMYFUNCTION("""COMPUTED_VALUE"""),"Colombo, LK")</f>
        <v>Colombo, LK</v>
      </c>
      <c r="Q765" s="45" t="str">
        <f ca="1">IFERROR(__xludf.DUMMYFUNCTION("""COMPUTED_VALUE"""),"Felixstowe, GB")</f>
        <v>Felixstowe, GB</v>
      </c>
      <c r="R765" s="44">
        <f ca="1">IFERROR(__xludf.DUMMYFUNCTION("""COMPUTED_VALUE"""),45831)</f>
        <v>45831</v>
      </c>
      <c r="S765" s="44">
        <f ca="1">IFERROR(__xludf.DUMMYFUNCTION("""COMPUTED_VALUE"""),45890)</f>
        <v>45890</v>
      </c>
      <c r="T765" s="45" t="str">
        <f ca="1">IFERROR(__xludf.DUMMYFUNCTION("""COMPUTED_VALUE"""),"Birmingham, GB")</f>
        <v>Birmingham, GB</v>
      </c>
      <c r="U765" s="45"/>
      <c r="V765" s="45"/>
      <c r="W765" s="45"/>
      <c r="X765" s="45"/>
      <c r="Y765" s="46">
        <f ca="1">IFERROR(__xludf.DUMMYFUNCTION("""COMPUTED_VALUE"""),45838)</f>
        <v>45838</v>
      </c>
      <c r="Z765" s="46">
        <f ca="1">IFERROR(__xludf.DUMMYFUNCTION("""COMPUTED_VALUE"""),45859)</f>
        <v>45859</v>
      </c>
      <c r="AA765" s="46">
        <f ca="1">IFERROR(__xludf.DUMMYFUNCTION("""COMPUTED_VALUE"""),45859)</f>
        <v>45859</v>
      </c>
      <c r="AB765" s="45" t="str">
        <f ca="1">IFERROR(__xludf.DUMMYFUNCTION("""COMPUTED_VALUE"""),"10A Faraday Ave")</f>
        <v>10A Faraday Ave</v>
      </c>
      <c r="AC765" s="45" t="str">
        <f ca="1">IFERROR(__xludf.DUMMYFUNCTION("""COMPUTED_VALUE"""),"Coleshill")</f>
        <v>Coleshill</v>
      </c>
      <c r="AD765" s="45" t="str">
        <f ca="1">IFERROR(__xludf.DUMMYFUNCTION("""COMPUTED_VALUE"""),"OCEAN")</f>
        <v>OCEAN</v>
      </c>
      <c r="AE765" s="45" t="str">
        <f ca="1">IFERROR(__xludf.DUMMYFUNCTION("""COMPUTED_VALUE"""),"N")</f>
        <v>N</v>
      </c>
      <c r="AF765" s="45"/>
      <c r="AG765" s="49" t="str">
        <f ca="1">IFERROR(__xludf.DUMMYFUNCTION("IFNA(vlookup(H765,IMPORTRANGE(""1vUGwO1n0QQGx9kKbO0_M5gmuhXZ6-LaxQxgrmJnzgP0"",""'TP# look up'!A:C""),3,0),"""")"),"")</f>
        <v/>
      </c>
      <c r="AH765" s="49" t="str">
        <f t="shared" ca="1" si="11"/>
        <v>LW</v>
      </c>
    </row>
    <row r="766" spans="1:34" ht="12.75">
      <c r="A766" s="45" t="str">
        <f ca="1">IFERROR(__xludf.DUMMYFUNCTION("""COMPUTED_VALUE"""),"Colombo")</f>
        <v>Colombo</v>
      </c>
      <c r="B766" s="45"/>
      <c r="C766" s="45">
        <f ca="1">IFERROR(__xludf.DUMMYFUNCTION("""COMPUTED_VALUE"""),3259827)</f>
        <v>3259827</v>
      </c>
      <c r="D766" s="45"/>
      <c r="E766" s="45" t="str">
        <f ca="1">IFERROR(__xludf.DUMMYFUNCTION("""COMPUTED_VALUE"""),"CFS")</f>
        <v>CFS</v>
      </c>
      <c r="F766" s="45" t="str">
        <f ca="1">IFERROR(__xludf.DUMMYFUNCTION("""COMPUTED_VALUE"""),"Inqube Global (PVT) Ltd")</f>
        <v>Inqube Global (PVT) Ltd</v>
      </c>
      <c r="G766" s="45" t="str">
        <f ca="1">IFERROR(__xludf.DUMMYFUNCTION("""COMPUTED_VALUE"""),"Quantum Clothing Lanka (Pvt) Ltd")</f>
        <v>Quantum Clothing Lanka (Pvt) Ltd</v>
      </c>
      <c r="H766" s="43">
        <f ca="1">IFERROR(__xludf.DUMMYFUNCTION("""COMPUTED_VALUE"""),454530801433)</f>
        <v>454530801433</v>
      </c>
      <c r="I766" s="45">
        <f ca="1">IFERROR(__xludf.DUMMYFUNCTION("""COMPUTED_VALUE"""),19802397)</f>
        <v>19802397</v>
      </c>
      <c r="J766" s="45" t="str">
        <f ca="1">IFERROR(__xludf.DUMMYFUNCTION("""COMPUTED_VALUE"""),"LW2EC1S")</f>
        <v>LW2EC1S</v>
      </c>
      <c r="K766" s="45" t="str">
        <f ca="1">IFERROR(__xludf.DUMMYFUNCTION("""COMPUTED_VALUE"""),"LW2EC1S-069122")</f>
        <v>LW2EC1S-069122</v>
      </c>
      <c r="L766" s="45">
        <f ca="1">IFERROR(__xludf.DUMMYFUNCTION("""COMPUTED_VALUE"""),35)</f>
        <v>35</v>
      </c>
      <c r="M766" s="45">
        <f ca="1">IFERROR(__xludf.DUMMYFUNCTION("""COMPUTED_VALUE"""),340)</f>
        <v>340</v>
      </c>
      <c r="N766" s="45">
        <f ca="1">IFERROR(__xludf.DUMMYFUNCTION("""COMPUTED_VALUE"""),121.204)</f>
        <v>121.20399999999999</v>
      </c>
      <c r="O766" s="45">
        <f ca="1">IFERROR(__xludf.DUMMYFUNCTION("""COMPUTED_VALUE"""),2.94)</f>
        <v>2.94</v>
      </c>
      <c r="P766" s="45" t="str">
        <f ca="1">IFERROR(__xludf.DUMMYFUNCTION("""COMPUTED_VALUE"""),"Colombo, LK")</f>
        <v>Colombo, LK</v>
      </c>
      <c r="Q766" s="45" t="str">
        <f ca="1">IFERROR(__xludf.DUMMYFUNCTION("""COMPUTED_VALUE"""),"Felixstowe, GB")</f>
        <v>Felixstowe, GB</v>
      </c>
      <c r="R766" s="44">
        <f ca="1">IFERROR(__xludf.DUMMYFUNCTION("""COMPUTED_VALUE"""),45831)</f>
        <v>45831</v>
      </c>
      <c r="S766" s="44">
        <f ca="1">IFERROR(__xludf.DUMMYFUNCTION("""COMPUTED_VALUE"""),45890)</f>
        <v>45890</v>
      </c>
      <c r="T766" s="45" t="str">
        <f ca="1">IFERROR(__xludf.DUMMYFUNCTION("""COMPUTED_VALUE"""),"Birmingham, GB")</f>
        <v>Birmingham, GB</v>
      </c>
      <c r="U766" s="45"/>
      <c r="V766" s="45"/>
      <c r="W766" s="45"/>
      <c r="X766" s="45"/>
      <c r="Y766" s="46">
        <f ca="1">IFERROR(__xludf.DUMMYFUNCTION("""COMPUTED_VALUE"""),45838)</f>
        <v>45838</v>
      </c>
      <c r="Z766" s="46">
        <f ca="1">IFERROR(__xludf.DUMMYFUNCTION("""COMPUTED_VALUE"""),45859)</f>
        <v>45859</v>
      </c>
      <c r="AA766" s="46">
        <f ca="1">IFERROR(__xludf.DUMMYFUNCTION("""COMPUTED_VALUE"""),45859)</f>
        <v>45859</v>
      </c>
      <c r="AB766" s="45" t="str">
        <f ca="1">IFERROR(__xludf.DUMMYFUNCTION("""COMPUTED_VALUE"""),"10A Faraday Ave")</f>
        <v>10A Faraday Ave</v>
      </c>
      <c r="AC766" s="45" t="str">
        <f ca="1">IFERROR(__xludf.DUMMYFUNCTION("""COMPUTED_VALUE"""),"Coleshill")</f>
        <v>Coleshill</v>
      </c>
      <c r="AD766" s="45" t="str">
        <f ca="1">IFERROR(__xludf.DUMMYFUNCTION("""COMPUTED_VALUE"""),"OCEAN")</f>
        <v>OCEAN</v>
      </c>
      <c r="AE766" s="45" t="str">
        <f ca="1">IFERROR(__xludf.DUMMYFUNCTION("""COMPUTED_VALUE"""),"N")</f>
        <v>N</v>
      </c>
      <c r="AF766" s="45"/>
      <c r="AG766" s="49" t="str">
        <f ca="1">IFERROR(__xludf.DUMMYFUNCTION("IFNA(vlookup(H766,IMPORTRANGE(""1vUGwO1n0QQGx9kKbO0_M5gmuhXZ6-LaxQxgrmJnzgP0"",""'TP# look up'!A:C""),3,0),"""")"),"")</f>
        <v/>
      </c>
      <c r="AH766" s="49" t="str">
        <f t="shared" ca="1" si="11"/>
        <v>LW</v>
      </c>
    </row>
    <row r="767" spans="1:34" ht="12.75">
      <c r="A767" s="45" t="str">
        <f ca="1">IFERROR(__xludf.DUMMYFUNCTION("""COMPUTED_VALUE"""),"Colombo")</f>
        <v>Colombo</v>
      </c>
      <c r="B767" s="45"/>
      <c r="C767" s="45">
        <f ca="1">IFERROR(__xludf.DUMMYFUNCTION("""COMPUTED_VALUE"""),3259522)</f>
        <v>3259522</v>
      </c>
      <c r="D767" s="45"/>
      <c r="E767" s="45" t="str">
        <f ca="1">IFERROR(__xludf.DUMMYFUNCTION("""COMPUTED_VALUE"""),"CFS")</f>
        <v>CFS</v>
      </c>
      <c r="F767" s="45" t="str">
        <f ca="1">IFERROR(__xludf.DUMMYFUNCTION("""COMPUTED_VALUE"""),"Inqube Global (PVT) Ltd")</f>
        <v>Inqube Global (PVT) Ltd</v>
      </c>
      <c r="G767" s="45" t="str">
        <f ca="1">IFERROR(__xludf.DUMMYFUNCTION("""COMPUTED_VALUE"""),"BRANDIX APPAREL SOLUTION LTD - GIRITALE")</f>
        <v>BRANDIX APPAREL SOLUTION LTD - GIRITALE</v>
      </c>
      <c r="H767" s="43">
        <f ca="1">IFERROR(__xludf.DUMMYFUNCTION("""COMPUTED_VALUE"""),455636891495)</f>
        <v>455636891495</v>
      </c>
      <c r="I767" s="45">
        <f ca="1">IFERROR(__xludf.DUMMYFUNCTION("""COMPUTED_VALUE"""),19807102)</f>
        <v>19807102</v>
      </c>
      <c r="J767" s="45" t="str">
        <f ca="1">IFERROR(__xludf.DUMMYFUNCTION("""COMPUTED_VALUE"""),"LM5AO4S")</f>
        <v>LM5AO4S</v>
      </c>
      <c r="K767" s="45" t="str">
        <f ca="1">IFERROR(__xludf.DUMMYFUNCTION("""COMPUTED_VALUE"""),"LM5AO4S-019222")</f>
        <v>LM5AO4S-019222</v>
      </c>
      <c r="L767" s="45">
        <f ca="1">IFERROR(__xludf.DUMMYFUNCTION("""COMPUTED_VALUE"""),8)</f>
        <v>8</v>
      </c>
      <c r="M767" s="45">
        <f ca="1">IFERROR(__xludf.DUMMYFUNCTION("""COMPUTED_VALUE"""),292)</f>
        <v>292</v>
      </c>
      <c r="N767" s="45">
        <f ca="1">IFERROR(__xludf.DUMMYFUNCTION("""COMPUTED_VALUE"""),128.63)</f>
        <v>128.63</v>
      </c>
      <c r="O767" s="45">
        <f ca="1">IFERROR(__xludf.DUMMYFUNCTION("""COMPUTED_VALUE"""),0.62)</f>
        <v>0.62</v>
      </c>
      <c r="P767" s="45" t="str">
        <f ca="1">IFERROR(__xludf.DUMMYFUNCTION("""COMPUTED_VALUE"""),"Colombo, LK")</f>
        <v>Colombo, LK</v>
      </c>
      <c r="Q767" s="45" t="str">
        <f ca="1">IFERROR(__xludf.DUMMYFUNCTION("""COMPUTED_VALUE"""),"Felixstowe, GB")</f>
        <v>Felixstowe, GB</v>
      </c>
      <c r="R767" s="44">
        <f ca="1">IFERROR(__xludf.DUMMYFUNCTION("""COMPUTED_VALUE"""),45838)</f>
        <v>45838</v>
      </c>
      <c r="S767" s="44">
        <f ca="1">IFERROR(__xludf.DUMMYFUNCTION("""COMPUTED_VALUE"""),45897)</f>
        <v>45897</v>
      </c>
      <c r="T767" s="45" t="str">
        <f ca="1">IFERROR(__xludf.DUMMYFUNCTION("""COMPUTED_VALUE"""),"Birmingham, GB")</f>
        <v>Birmingham, GB</v>
      </c>
      <c r="U767" s="45"/>
      <c r="V767" s="45"/>
      <c r="W767" s="45"/>
      <c r="X767" s="45"/>
      <c r="Y767" s="46">
        <f ca="1">IFERROR(__xludf.DUMMYFUNCTION("""COMPUTED_VALUE"""),45845)</f>
        <v>45845</v>
      </c>
      <c r="Z767" s="46">
        <f ca="1">IFERROR(__xludf.DUMMYFUNCTION("""COMPUTED_VALUE"""),45866)</f>
        <v>45866</v>
      </c>
      <c r="AA767" s="46">
        <f ca="1">IFERROR(__xludf.DUMMYFUNCTION("""COMPUTED_VALUE"""),45866)</f>
        <v>45866</v>
      </c>
      <c r="AB767" s="45" t="str">
        <f ca="1">IFERROR(__xludf.DUMMYFUNCTION("""COMPUTED_VALUE"""),"10A Faraday Ave")</f>
        <v>10A Faraday Ave</v>
      </c>
      <c r="AC767" s="45" t="str">
        <f ca="1">IFERROR(__xludf.DUMMYFUNCTION("""COMPUTED_VALUE"""),"Coleshill")</f>
        <v>Coleshill</v>
      </c>
      <c r="AD767" s="45" t="str">
        <f ca="1">IFERROR(__xludf.DUMMYFUNCTION("""COMPUTED_VALUE"""),"OCEAN")</f>
        <v>OCEAN</v>
      </c>
      <c r="AE767" s="45" t="str">
        <f ca="1">IFERROR(__xludf.DUMMYFUNCTION("""COMPUTED_VALUE"""),"N")</f>
        <v>N</v>
      </c>
      <c r="AF767" s="45" t="str">
        <f ca="1">IFERROR(__xludf.DUMMYFUNCTION("""COMPUTED_VALUE"""),"New Booking")</f>
        <v>New Booking</v>
      </c>
      <c r="AG767" s="49" t="str">
        <f ca="1">IFERROR(__xludf.DUMMYFUNCTION("IFNA(vlookup(H767,IMPORTRANGE(""1vUGwO1n0QQGx9kKbO0_M5gmuhXZ6-LaxQxgrmJnzgP0"",""'TP# look up'!A:C""),3,0),"""")"),"")</f>
        <v/>
      </c>
      <c r="AH767" s="49" t="str">
        <f t="shared" ca="1" si="11"/>
        <v>LM</v>
      </c>
    </row>
    <row r="768" spans="1:34" ht="12.75">
      <c r="A768" s="45" t="str">
        <f ca="1">IFERROR(__xludf.DUMMYFUNCTION("""COMPUTED_VALUE"""),"Colombo")</f>
        <v>Colombo</v>
      </c>
      <c r="B768" s="45"/>
      <c r="C768" s="45">
        <f ca="1">IFERROR(__xludf.DUMMYFUNCTION("""COMPUTED_VALUE"""),3259522)</f>
        <v>3259522</v>
      </c>
      <c r="D768" s="45"/>
      <c r="E768" s="45" t="str">
        <f ca="1">IFERROR(__xludf.DUMMYFUNCTION("""COMPUTED_VALUE"""),"CFS")</f>
        <v>CFS</v>
      </c>
      <c r="F768" s="45" t="str">
        <f ca="1">IFERROR(__xludf.DUMMYFUNCTION("""COMPUTED_VALUE"""),"Inqube Global (PVT) Ltd")</f>
        <v>Inqube Global (PVT) Ltd</v>
      </c>
      <c r="G768" s="45" t="str">
        <f ca="1">IFERROR(__xludf.DUMMYFUNCTION("""COMPUTED_VALUE"""),"BRANDIX APPAREL SOLUTION LTD - GIRITALE")</f>
        <v>BRANDIX APPAREL SOLUTION LTD - GIRITALE</v>
      </c>
      <c r="H768" s="43">
        <f ca="1">IFERROR(__xludf.DUMMYFUNCTION("""COMPUTED_VALUE"""),456037075505)</f>
        <v>456037075505</v>
      </c>
      <c r="I768" s="45">
        <f ca="1">IFERROR(__xludf.DUMMYFUNCTION("""COMPUTED_VALUE"""),19807134)</f>
        <v>19807134</v>
      </c>
      <c r="J768" s="45" t="str">
        <f ca="1">IFERROR(__xludf.DUMMYFUNCTION("""COMPUTED_VALUE"""),"LM5AXAS")</f>
        <v>LM5AXAS</v>
      </c>
      <c r="K768" s="45" t="str">
        <f ca="1">IFERROR(__xludf.DUMMYFUNCTION("""COMPUTED_VALUE"""),"LM5AXAS-019222")</f>
        <v>LM5AXAS-019222</v>
      </c>
      <c r="L768" s="45">
        <f ca="1">IFERROR(__xludf.DUMMYFUNCTION("""COMPUTED_VALUE"""),4)</f>
        <v>4</v>
      </c>
      <c r="M768" s="45">
        <f ca="1">IFERROR(__xludf.DUMMYFUNCTION("""COMPUTED_VALUE"""),56)</f>
        <v>56</v>
      </c>
      <c r="N768" s="45">
        <f ca="1">IFERROR(__xludf.DUMMYFUNCTION("""COMPUTED_VALUE"""),27.38)</f>
        <v>27.38</v>
      </c>
      <c r="O768" s="45">
        <f ca="1">IFERROR(__xludf.DUMMYFUNCTION("""COMPUTED_VALUE"""),0.21)</f>
        <v>0.21</v>
      </c>
      <c r="P768" s="45" t="str">
        <f ca="1">IFERROR(__xludf.DUMMYFUNCTION("""COMPUTED_VALUE"""),"Colombo, LK")</f>
        <v>Colombo, LK</v>
      </c>
      <c r="Q768" s="45" t="str">
        <f ca="1">IFERROR(__xludf.DUMMYFUNCTION("""COMPUTED_VALUE"""),"Felixstowe, GB")</f>
        <v>Felixstowe, GB</v>
      </c>
      <c r="R768" s="44">
        <f ca="1">IFERROR(__xludf.DUMMYFUNCTION("""COMPUTED_VALUE"""),45838)</f>
        <v>45838</v>
      </c>
      <c r="S768" s="44">
        <f ca="1">IFERROR(__xludf.DUMMYFUNCTION("""COMPUTED_VALUE"""),45897)</f>
        <v>45897</v>
      </c>
      <c r="T768" s="45" t="str">
        <f ca="1">IFERROR(__xludf.DUMMYFUNCTION("""COMPUTED_VALUE"""),"Birmingham, GB")</f>
        <v>Birmingham, GB</v>
      </c>
      <c r="U768" s="45"/>
      <c r="V768" s="45"/>
      <c r="W768" s="45"/>
      <c r="X768" s="45"/>
      <c r="Y768" s="46">
        <f ca="1">IFERROR(__xludf.DUMMYFUNCTION("""COMPUTED_VALUE"""),45845)</f>
        <v>45845</v>
      </c>
      <c r="Z768" s="46">
        <f ca="1">IFERROR(__xludf.DUMMYFUNCTION("""COMPUTED_VALUE"""),45866)</f>
        <v>45866</v>
      </c>
      <c r="AA768" s="46">
        <f ca="1">IFERROR(__xludf.DUMMYFUNCTION("""COMPUTED_VALUE"""),45866)</f>
        <v>45866</v>
      </c>
      <c r="AB768" s="45" t="str">
        <f ca="1">IFERROR(__xludf.DUMMYFUNCTION("""COMPUTED_VALUE"""),"10A Faraday Ave")</f>
        <v>10A Faraday Ave</v>
      </c>
      <c r="AC768" s="45"/>
      <c r="AD768" s="45" t="str">
        <f ca="1">IFERROR(__xludf.DUMMYFUNCTION("""COMPUTED_VALUE"""),"OCEAN")</f>
        <v>OCEAN</v>
      </c>
      <c r="AE768" s="45" t="str">
        <f ca="1">IFERROR(__xludf.DUMMYFUNCTION("""COMPUTED_VALUE"""),"N")</f>
        <v>N</v>
      </c>
      <c r="AF768" s="45" t="str">
        <f ca="1">IFERROR(__xludf.DUMMYFUNCTION("""COMPUTED_VALUE"""),"New Booking")</f>
        <v>New Booking</v>
      </c>
      <c r="AG768" s="49" t="str">
        <f ca="1">IFERROR(__xludf.DUMMYFUNCTION("IFNA(vlookup(H768,IMPORTRANGE(""1vUGwO1n0QQGx9kKbO0_M5gmuhXZ6-LaxQxgrmJnzgP0"",""'TP# look up'!A:C""),3,0),"""")"),"")</f>
        <v/>
      </c>
      <c r="AH768" s="49" t="str">
        <f t="shared" ca="1" si="11"/>
        <v>LM</v>
      </c>
    </row>
    <row r="769" spans="1:34" ht="12.75">
      <c r="A769" s="45" t="str">
        <f ca="1">IFERROR(__xludf.DUMMYFUNCTION("""COMPUTED_VALUE"""),"Colombo")</f>
        <v>Colombo</v>
      </c>
      <c r="B769" s="45"/>
      <c r="C769" s="45">
        <f ca="1">IFERROR(__xludf.DUMMYFUNCTION("""COMPUTED_VALUE"""),3259522)</f>
        <v>3259522</v>
      </c>
      <c r="D769" s="45"/>
      <c r="E769" s="45" t="str">
        <f ca="1">IFERROR(__xludf.DUMMYFUNCTION("""COMPUTED_VALUE"""),"CFS")</f>
        <v>CFS</v>
      </c>
      <c r="F769" s="45" t="str">
        <f ca="1">IFERROR(__xludf.DUMMYFUNCTION("""COMPUTED_VALUE"""),"Inqube Global (PVT) Ltd")</f>
        <v>Inqube Global (PVT) Ltd</v>
      </c>
      <c r="G769" s="45" t="str">
        <f ca="1">IFERROR(__xludf.DUMMYFUNCTION("""COMPUTED_VALUE"""),"BRANDIX APPAREL SOLUTION LTD - GIRITALE")</f>
        <v>BRANDIX APPAREL SOLUTION LTD - GIRITALE</v>
      </c>
      <c r="H769" s="43">
        <f ca="1">IFERROR(__xludf.DUMMYFUNCTION("""COMPUTED_VALUE"""),456039030394)</f>
        <v>456039030394</v>
      </c>
      <c r="I769" s="45">
        <f ca="1">IFERROR(__xludf.DUMMYFUNCTION("""COMPUTED_VALUE"""),19807132)</f>
        <v>19807132</v>
      </c>
      <c r="J769" s="45" t="str">
        <f ca="1">IFERROR(__xludf.DUMMYFUNCTION("""COMPUTED_VALUE"""),"LM5AXAS")</f>
        <v>LM5AXAS</v>
      </c>
      <c r="K769" s="45" t="str">
        <f ca="1">IFERROR(__xludf.DUMMYFUNCTION("""COMPUTED_VALUE"""),"LM5AXAS-031382")</f>
        <v>LM5AXAS-031382</v>
      </c>
      <c r="L769" s="45">
        <f ca="1">IFERROR(__xludf.DUMMYFUNCTION("""COMPUTED_VALUE"""),4)</f>
        <v>4</v>
      </c>
      <c r="M769" s="45">
        <f ca="1">IFERROR(__xludf.DUMMYFUNCTION("""COMPUTED_VALUE"""),68)</f>
        <v>68</v>
      </c>
      <c r="N769" s="45">
        <f ca="1">IFERROR(__xludf.DUMMYFUNCTION("""COMPUTED_VALUE"""),32.46)</f>
        <v>32.46</v>
      </c>
      <c r="O769" s="45">
        <f ca="1">IFERROR(__xludf.DUMMYFUNCTION("""COMPUTED_VALUE"""),0.21)</f>
        <v>0.21</v>
      </c>
      <c r="P769" s="45" t="str">
        <f ca="1">IFERROR(__xludf.DUMMYFUNCTION("""COMPUTED_VALUE"""),"Colombo, LK")</f>
        <v>Colombo, LK</v>
      </c>
      <c r="Q769" s="45" t="str">
        <f ca="1">IFERROR(__xludf.DUMMYFUNCTION("""COMPUTED_VALUE"""),"Felixstowe, GB")</f>
        <v>Felixstowe, GB</v>
      </c>
      <c r="R769" s="44">
        <f ca="1">IFERROR(__xludf.DUMMYFUNCTION("""COMPUTED_VALUE"""),45838)</f>
        <v>45838</v>
      </c>
      <c r="S769" s="44">
        <f ca="1">IFERROR(__xludf.DUMMYFUNCTION("""COMPUTED_VALUE"""),45897)</f>
        <v>45897</v>
      </c>
      <c r="T769" s="45" t="str">
        <f ca="1">IFERROR(__xludf.DUMMYFUNCTION("""COMPUTED_VALUE"""),"Birmingham, GB")</f>
        <v>Birmingham, GB</v>
      </c>
      <c r="U769" s="45"/>
      <c r="V769" s="45"/>
      <c r="W769" s="45"/>
      <c r="X769" s="45"/>
      <c r="Y769" s="46">
        <f ca="1">IFERROR(__xludf.DUMMYFUNCTION("""COMPUTED_VALUE"""),45845)</f>
        <v>45845</v>
      </c>
      <c r="Z769" s="46">
        <f ca="1">IFERROR(__xludf.DUMMYFUNCTION("""COMPUTED_VALUE"""),45866)</f>
        <v>45866</v>
      </c>
      <c r="AA769" s="46">
        <f ca="1">IFERROR(__xludf.DUMMYFUNCTION("""COMPUTED_VALUE"""),45866)</f>
        <v>45866</v>
      </c>
      <c r="AB769" s="45" t="str">
        <f ca="1">IFERROR(__xludf.DUMMYFUNCTION("""COMPUTED_VALUE"""),"10A Faraday Ave")</f>
        <v>10A Faraday Ave</v>
      </c>
      <c r="AC769" s="45"/>
      <c r="AD769" s="45" t="str">
        <f ca="1">IFERROR(__xludf.DUMMYFUNCTION("""COMPUTED_VALUE"""),"OCEAN")</f>
        <v>OCEAN</v>
      </c>
      <c r="AE769" s="45" t="str">
        <f ca="1">IFERROR(__xludf.DUMMYFUNCTION("""COMPUTED_VALUE"""),"N")</f>
        <v>N</v>
      </c>
      <c r="AF769" s="45" t="str">
        <f ca="1">IFERROR(__xludf.DUMMYFUNCTION("""COMPUTED_VALUE"""),"New Booking")</f>
        <v>New Booking</v>
      </c>
      <c r="AG769" s="49" t="str">
        <f ca="1">IFERROR(__xludf.DUMMYFUNCTION("IFNA(vlookup(H769,IMPORTRANGE(""1vUGwO1n0QQGx9kKbO0_M5gmuhXZ6-LaxQxgrmJnzgP0"",""'TP# look up'!A:C""),3,0),"""")"),"")</f>
        <v/>
      </c>
      <c r="AH769" s="49" t="str">
        <f t="shared" ca="1" si="11"/>
        <v>LM</v>
      </c>
    </row>
    <row r="770" spans="1:34" ht="12.75">
      <c r="A770" s="45" t="str">
        <f ca="1">IFERROR(__xludf.DUMMYFUNCTION("""COMPUTED_VALUE"""),"Colombo")</f>
        <v>Colombo</v>
      </c>
      <c r="B770" s="45"/>
      <c r="C770" s="45">
        <f ca="1">IFERROR(__xludf.DUMMYFUNCTION("""COMPUTED_VALUE"""),3259522)</f>
        <v>3259522</v>
      </c>
      <c r="D770" s="45"/>
      <c r="E770" s="45" t="str">
        <f ca="1">IFERROR(__xludf.DUMMYFUNCTION("""COMPUTED_VALUE"""),"CFS")</f>
        <v>CFS</v>
      </c>
      <c r="F770" s="45" t="str">
        <f ca="1">IFERROR(__xludf.DUMMYFUNCTION("""COMPUTED_VALUE"""),"Inqube Global (PVT) Ltd")</f>
        <v>Inqube Global (PVT) Ltd</v>
      </c>
      <c r="G770" s="45" t="str">
        <f ca="1">IFERROR(__xludf.DUMMYFUNCTION("""COMPUTED_VALUE"""),"BRANDIX APPAREL SOLUTION LTD - GIRITALE")</f>
        <v>BRANDIX APPAREL SOLUTION LTD - GIRITALE</v>
      </c>
      <c r="H770" s="43">
        <f ca="1">IFERROR(__xludf.DUMMYFUNCTION("""COMPUTED_VALUE"""),456039031853)</f>
        <v>456039031853</v>
      </c>
      <c r="I770" s="45">
        <f ca="1">IFERROR(__xludf.DUMMYFUNCTION("""COMPUTED_VALUE"""),19807136)</f>
        <v>19807136</v>
      </c>
      <c r="J770" s="45" t="str">
        <f ca="1">IFERROR(__xludf.DUMMYFUNCTION("""COMPUTED_VALUE"""),"LM5AXAS")</f>
        <v>LM5AXAS</v>
      </c>
      <c r="K770" s="45" t="str">
        <f ca="1">IFERROR(__xludf.DUMMYFUNCTION("""COMPUTED_VALUE"""),"LM5AXAS-070108")</f>
        <v>LM5AXAS-070108</v>
      </c>
      <c r="L770" s="45">
        <f ca="1">IFERROR(__xludf.DUMMYFUNCTION("""COMPUTED_VALUE"""),4)</f>
        <v>4</v>
      </c>
      <c r="M770" s="45">
        <f ca="1">IFERROR(__xludf.DUMMYFUNCTION("""COMPUTED_VALUE"""),91)</f>
        <v>91</v>
      </c>
      <c r="N770" s="45">
        <f ca="1">IFERROR(__xludf.DUMMYFUNCTION("""COMPUTED_VALUE"""),43.13)</f>
        <v>43.13</v>
      </c>
      <c r="O770" s="45">
        <f ca="1">IFERROR(__xludf.DUMMYFUNCTION("""COMPUTED_VALUE"""),0.21)</f>
        <v>0.21</v>
      </c>
      <c r="P770" s="45" t="str">
        <f ca="1">IFERROR(__xludf.DUMMYFUNCTION("""COMPUTED_VALUE"""),"Colombo, LK")</f>
        <v>Colombo, LK</v>
      </c>
      <c r="Q770" s="45" t="str">
        <f ca="1">IFERROR(__xludf.DUMMYFUNCTION("""COMPUTED_VALUE"""),"Felixstowe, GB")</f>
        <v>Felixstowe, GB</v>
      </c>
      <c r="R770" s="44">
        <f ca="1">IFERROR(__xludf.DUMMYFUNCTION("""COMPUTED_VALUE"""),45838)</f>
        <v>45838</v>
      </c>
      <c r="S770" s="44">
        <f ca="1">IFERROR(__xludf.DUMMYFUNCTION("""COMPUTED_VALUE"""),45897)</f>
        <v>45897</v>
      </c>
      <c r="T770" s="45" t="str">
        <f ca="1">IFERROR(__xludf.DUMMYFUNCTION("""COMPUTED_VALUE"""),"Birmingham, GB")</f>
        <v>Birmingham, GB</v>
      </c>
      <c r="U770" s="45"/>
      <c r="V770" s="45"/>
      <c r="W770" s="45"/>
      <c r="X770" s="45"/>
      <c r="Y770" s="46">
        <f ca="1">IFERROR(__xludf.DUMMYFUNCTION("""COMPUTED_VALUE"""),45845)</f>
        <v>45845</v>
      </c>
      <c r="Z770" s="46">
        <f ca="1">IFERROR(__xludf.DUMMYFUNCTION("""COMPUTED_VALUE"""),45866)</f>
        <v>45866</v>
      </c>
      <c r="AA770" s="46">
        <f ca="1">IFERROR(__xludf.DUMMYFUNCTION("""COMPUTED_VALUE"""),45866)</f>
        <v>45866</v>
      </c>
      <c r="AB770" s="45" t="str">
        <f ca="1">IFERROR(__xludf.DUMMYFUNCTION("""COMPUTED_VALUE"""),"10A Faraday Ave")</f>
        <v>10A Faraday Ave</v>
      </c>
      <c r="AC770" s="45"/>
      <c r="AD770" s="45" t="str">
        <f ca="1">IFERROR(__xludf.DUMMYFUNCTION("""COMPUTED_VALUE"""),"OCEAN")</f>
        <v>OCEAN</v>
      </c>
      <c r="AE770" s="45" t="str">
        <f ca="1">IFERROR(__xludf.DUMMYFUNCTION("""COMPUTED_VALUE"""),"N")</f>
        <v>N</v>
      </c>
      <c r="AF770" s="45" t="str">
        <f ca="1">IFERROR(__xludf.DUMMYFUNCTION("""COMPUTED_VALUE"""),"New Booking")</f>
        <v>New Booking</v>
      </c>
      <c r="AG770" s="49" t="str">
        <f ca="1">IFERROR(__xludf.DUMMYFUNCTION("IFNA(vlookup(H770,IMPORTRANGE(""1vUGwO1n0QQGx9kKbO0_M5gmuhXZ6-LaxQxgrmJnzgP0"",""'TP# look up'!A:C""),3,0),"""")"),"")</f>
        <v/>
      </c>
      <c r="AH770" s="49" t="str">
        <f t="shared" ref="AH770:AH833" ca="1" si="12">LEFT(J770,2)</f>
        <v>LM</v>
      </c>
    </row>
    <row r="771" spans="1:34" ht="12.75">
      <c r="A771" s="45" t="str">
        <f ca="1">IFERROR(__xludf.DUMMYFUNCTION("""COMPUTED_VALUE"""),"Colombo")</f>
        <v>Colombo</v>
      </c>
      <c r="B771" s="45"/>
      <c r="C771" s="45">
        <f ca="1">IFERROR(__xludf.DUMMYFUNCTION("""COMPUTED_VALUE"""),3259522)</f>
        <v>3259522</v>
      </c>
      <c r="D771" s="45"/>
      <c r="E771" s="45" t="str">
        <f ca="1">IFERROR(__xludf.DUMMYFUNCTION("""COMPUTED_VALUE"""),"CFS")</f>
        <v>CFS</v>
      </c>
      <c r="F771" s="45" t="str">
        <f ca="1">IFERROR(__xludf.DUMMYFUNCTION("""COMPUTED_VALUE"""),"Inqube Global (PVT) Ltd")</f>
        <v>Inqube Global (PVT) Ltd</v>
      </c>
      <c r="G771" s="45" t="str">
        <f ca="1">IFERROR(__xludf.DUMMYFUNCTION("""COMPUTED_VALUE"""),"BRANDIX APPAREL SOLUTION LTD - GIRITALE")</f>
        <v>BRANDIX APPAREL SOLUTION LTD - GIRITALE</v>
      </c>
      <c r="H771" s="43">
        <f ca="1">IFERROR(__xludf.DUMMYFUNCTION("""COMPUTED_VALUE"""),456039931435)</f>
        <v>456039931435</v>
      </c>
      <c r="I771" s="45">
        <f ca="1">IFERROR(__xludf.DUMMYFUNCTION("""COMPUTED_VALUE"""),19807138)</f>
        <v>19807138</v>
      </c>
      <c r="J771" s="45" t="str">
        <f ca="1">IFERROR(__xludf.DUMMYFUNCTION("""COMPUTED_VALUE"""),"LM5AXAS")</f>
        <v>LM5AXAS</v>
      </c>
      <c r="K771" s="45" t="str">
        <f ca="1">IFERROR(__xludf.DUMMYFUNCTION("""COMPUTED_VALUE"""),"LM5AXAS-070108")</f>
        <v>LM5AXAS-070108</v>
      </c>
      <c r="L771" s="45">
        <f ca="1">IFERROR(__xludf.DUMMYFUNCTION("""COMPUTED_VALUE"""),3)</f>
        <v>3</v>
      </c>
      <c r="M771" s="45">
        <f ca="1">IFERROR(__xludf.DUMMYFUNCTION("""COMPUTED_VALUE"""),40)</f>
        <v>40</v>
      </c>
      <c r="N771" s="45">
        <f ca="1">IFERROR(__xludf.DUMMYFUNCTION("""COMPUTED_VALUE"""),19.8)</f>
        <v>19.8</v>
      </c>
      <c r="O771" s="45">
        <f ca="1">IFERROR(__xludf.DUMMYFUNCTION("""COMPUTED_VALUE"""),0.168)</f>
        <v>0.16800000000000001</v>
      </c>
      <c r="P771" s="45" t="str">
        <f ca="1">IFERROR(__xludf.DUMMYFUNCTION("""COMPUTED_VALUE"""),"Colombo, LK")</f>
        <v>Colombo, LK</v>
      </c>
      <c r="Q771" s="45" t="str">
        <f ca="1">IFERROR(__xludf.DUMMYFUNCTION("""COMPUTED_VALUE"""),"Felixstowe, GB")</f>
        <v>Felixstowe, GB</v>
      </c>
      <c r="R771" s="44">
        <f ca="1">IFERROR(__xludf.DUMMYFUNCTION("""COMPUTED_VALUE"""),45838)</f>
        <v>45838</v>
      </c>
      <c r="S771" s="44">
        <f ca="1">IFERROR(__xludf.DUMMYFUNCTION("""COMPUTED_VALUE"""),45897)</f>
        <v>45897</v>
      </c>
      <c r="T771" s="45" t="str">
        <f ca="1">IFERROR(__xludf.DUMMYFUNCTION("""COMPUTED_VALUE"""),"Birmingham, GB")</f>
        <v>Birmingham, GB</v>
      </c>
      <c r="U771" s="45"/>
      <c r="V771" s="45"/>
      <c r="W771" s="45"/>
      <c r="X771" s="45"/>
      <c r="Y771" s="46">
        <f ca="1">IFERROR(__xludf.DUMMYFUNCTION("""COMPUTED_VALUE"""),45845)</f>
        <v>45845</v>
      </c>
      <c r="Z771" s="46">
        <f ca="1">IFERROR(__xludf.DUMMYFUNCTION("""COMPUTED_VALUE"""),45866)</f>
        <v>45866</v>
      </c>
      <c r="AA771" s="46">
        <f ca="1">IFERROR(__xludf.DUMMYFUNCTION("""COMPUTED_VALUE"""),45866)</f>
        <v>45866</v>
      </c>
      <c r="AB771" s="45" t="str">
        <f ca="1">IFERROR(__xludf.DUMMYFUNCTION("""COMPUTED_VALUE"""),"10A Faraday Ave")</f>
        <v>10A Faraday Ave</v>
      </c>
      <c r="AC771" s="45"/>
      <c r="AD771" s="45" t="str">
        <f ca="1">IFERROR(__xludf.DUMMYFUNCTION("""COMPUTED_VALUE"""),"OCEAN")</f>
        <v>OCEAN</v>
      </c>
      <c r="AE771" s="45" t="str">
        <f ca="1">IFERROR(__xludf.DUMMYFUNCTION("""COMPUTED_VALUE"""),"N")</f>
        <v>N</v>
      </c>
      <c r="AF771" s="45" t="str">
        <f ca="1">IFERROR(__xludf.DUMMYFUNCTION("""COMPUTED_VALUE"""),"New Booking")</f>
        <v>New Booking</v>
      </c>
      <c r="AG771" s="49" t="str">
        <f ca="1">IFERROR(__xludf.DUMMYFUNCTION("IFNA(vlookup(H771,IMPORTRANGE(""1vUGwO1n0QQGx9kKbO0_M5gmuhXZ6-LaxQxgrmJnzgP0"",""'TP# look up'!A:C""),3,0),"""")"),"")</f>
        <v/>
      </c>
      <c r="AH771" s="49" t="str">
        <f t="shared" ca="1" si="12"/>
        <v>LM</v>
      </c>
    </row>
    <row r="772" spans="1:34" ht="12.75">
      <c r="A772" s="45" t="str">
        <f ca="1">IFERROR(__xludf.DUMMYFUNCTION("""COMPUTED_VALUE"""),"Colombo")</f>
        <v>Colombo</v>
      </c>
      <c r="B772" s="45"/>
      <c r="C772" s="45">
        <f ca="1">IFERROR(__xludf.DUMMYFUNCTION("""COMPUTED_VALUE"""),3259522)</f>
        <v>3259522</v>
      </c>
      <c r="D772" s="45"/>
      <c r="E772" s="45" t="str">
        <f ca="1">IFERROR(__xludf.DUMMYFUNCTION("""COMPUTED_VALUE"""),"CFS")</f>
        <v>CFS</v>
      </c>
      <c r="F772" s="45" t="str">
        <f ca="1">IFERROR(__xludf.DUMMYFUNCTION("""COMPUTED_VALUE"""),"Inqube Global (PVT) Ltd")</f>
        <v>Inqube Global (PVT) Ltd</v>
      </c>
      <c r="G772" s="45" t="str">
        <f ca="1">IFERROR(__xludf.DUMMYFUNCTION("""COMPUTED_VALUE"""),"BRANDIX APPAREL SOLUTION LTD - GIRITALE")</f>
        <v>BRANDIX APPAREL SOLUTION LTD - GIRITALE</v>
      </c>
      <c r="H772" s="43">
        <f ca="1">IFERROR(__xludf.DUMMYFUNCTION("""COMPUTED_VALUE"""),456040511785)</f>
        <v>456040511785</v>
      </c>
      <c r="I772" s="45">
        <f ca="1">IFERROR(__xludf.DUMMYFUNCTION("""COMPUTED_VALUE"""),19807146)</f>
        <v>19807146</v>
      </c>
      <c r="J772" s="45" t="str">
        <f ca="1">IFERROR(__xludf.DUMMYFUNCTION("""COMPUTED_VALUE"""),"LM5BKOS")</f>
        <v>LM5BKOS</v>
      </c>
      <c r="K772" s="45" t="str">
        <f ca="1">IFERROR(__xludf.DUMMYFUNCTION("""COMPUTED_VALUE"""),"LM5BKOS-031382")</f>
        <v>LM5BKOS-031382</v>
      </c>
      <c r="L772" s="45">
        <f ca="1">IFERROR(__xludf.DUMMYFUNCTION("""COMPUTED_VALUE"""),5)</f>
        <v>5</v>
      </c>
      <c r="M772" s="45">
        <f ca="1">IFERROR(__xludf.DUMMYFUNCTION("""COMPUTED_VALUE"""),162)</f>
        <v>162</v>
      </c>
      <c r="N772" s="45">
        <f ca="1">IFERROR(__xludf.DUMMYFUNCTION("""COMPUTED_VALUE"""),65.15)</f>
        <v>65.150000000000006</v>
      </c>
      <c r="O772" s="45">
        <f ca="1">IFERROR(__xludf.DUMMYFUNCTION("""COMPUTED_VALUE"""),0.413)</f>
        <v>0.41299999999999998</v>
      </c>
      <c r="P772" s="45" t="str">
        <f ca="1">IFERROR(__xludf.DUMMYFUNCTION("""COMPUTED_VALUE"""),"Colombo, LK")</f>
        <v>Colombo, LK</v>
      </c>
      <c r="Q772" s="45" t="str">
        <f ca="1">IFERROR(__xludf.DUMMYFUNCTION("""COMPUTED_VALUE"""),"Felixstowe, GB")</f>
        <v>Felixstowe, GB</v>
      </c>
      <c r="R772" s="44">
        <f ca="1">IFERROR(__xludf.DUMMYFUNCTION("""COMPUTED_VALUE"""),45838)</f>
        <v>45838</v>
      </c>
      <c r="S772" s="44">
        <f ca="1">IFERROR(__xludf.DUMMYFUNCTION("""COMPUTED_VALUE"""),45897)</f>
        <v>45897</v>
      </c>
      <c r="T772" s="45" t="str">
        <f ca="1">IFERROR(__xludf.DUMMYFUNCTION("""COMPUTED_VALUE"""),"Birmingham, GB")</f>
        <v>Birmingham, GB</v>
      </c>
      <c r="U772" s="45"/>
      <c r="V772" s="45"/>
      <c r="W772" s="45"/>
      <c r="X772" s="45"/>
      <c r="Y772" s="46">
        <f ca="1">IFERROR(__xludf.DUMMYFUNCTION("""COMPUTED_VALUE"""),45845)</f>
        <v>45845</v>
      </c>
      <c r="Z772" s="46">
        <f ca="1">IFERROR(__xludf.DUMMYFUNCTION("""COMPUTED_VALUE"""),45866)</f>
        <v>45866</v>
      </c>
      <c r="AA772" s="46">
        <f ca="1">IFERROR(__xludf.DUMMYFUNCTION("""COMPUTED_VALUE"""),45866)</f>
        <v>45866</v>
      </c>
      <c r="AB772" s="45" t="str">
        <f ca="1">IFERROR(__xludf.DUMMYFUNCTION("""COMPUTED_VALUE"""),"10A Faraday Ave")</f>
        <v>10A Faraday Ave</v>
      </c>
      <c r="AC772" s="45"/>
      <c r="AD772" s="45" t="str">
        <f ca="1">IFERROR(__xludf.DUMMYFUNCTION("""COMPUTED_VALUE"""),"OCEAN")</f>
        <v>OCEAN</v>
      </c>
      <c r="AE772" s="45" t="str">
        <f ca="1">IFERROR(__xludf.DUMMYFUNCTION("""COMPUTED_VALUE"""),"N")</f>
        <v>N</v>
      </c>
      <c r="AF772" s="45" t="str">
        <f ca="1">IFERROR(__xludf.DUMMYFUNCTION("""COMPUTED_VALUE"""),"New Booking")</f>
        <v>New Booking</v>
      </c>
      <c r="AG772" s="49" t="str">
        <f ca="1">IFERROR(__xludf.DUMMYFUNCTION("IFNA(vlookup(H772,IMPORTRANGE(""1vUGwO1n0QQGx9kKbO0_M5gmuhXZ6-LaxQxgrmJnzgP0"",""'TP# look up'!A:C""),3,0),"""")"),"")</f>
        <v/>
      </c>
      <c r="AH772" s="49" t="str">
        <f t="shared" ca="1" si="12"/>
        <v>LM</v>
      </c>
    </row>
    <row r="773" spans="1:34" ht="12.75">
      <c r="A773" s="45" t="str">
        <f ca="1">IFERROR(__xludf.DUMMYFUNCTION("""COMPUTED_VALUE"""),"Colombo")</f>
        <v>Colombo</v>
      </c>
      <c r="B773" s="45"/>
      <c r="C773" s="45">
        <f ca="1">IFERROR(__xludf.DUMMYFUNCTION("""COMPUTED_VALUE"""),3259522)</f>
        <v>3259522</v>
      </c>
      <c r="D773" s="45"/>
      <c r="E773" s="45" t="str">
        <f ca="1">IFERROR(__xludf.DUMMYFUNCTION("""COMPUTED_VALUE"""),"CFS")</f>
        <v>CFS</v>
      </c>
      <c r="F773" s="45" t="str">
        <f ca="1">IFERROR(__xludf.DUMMYFUNCTION("""COMPUTED_VALUE"""),"Bodyline Trading (Private) Limited")</f>
        <v>Bodyline Trading (Private) Limited</v>
      </c>
      <c r="G773" s="45" t="str">
        <f ca="1">IFERROR(__xludf.DUMMYFUNCTION("""COMPUTED_VALUE"""),"Bodyline (Private) Limited")</f>
        <v>Bodyline (Private) Limited</v>
      </c>
      <c r="H773" s="43">
        <f ca="1">IFERROR(__xludf.DUMMYFUNCTION("""COMPUTED_VALUE"""),456445105801)</f>
        <v>456445105801</v>
      </c>
      <c r="I773" s="45">
        <f ca="1">IFERROR(__xludf.DUMMYFUNCTION("""COMPUTED_VALUE"""),19820611)</f>
        <v>19820611</v>
      </c>
      <c r="J773" s="45" t="str">
        <f ca="1">IFERROR(__xludf.DUMMYFUNCTION("""COMPUTED_VALUE"""),"LW1FM7S")</f>
        <v>LW1FM7S</v>
      </c>
      <c r="K773" s="45" t="str">
        <f ca="1">IFERROR(__xludf.DUMMYFUNCTION("""COMPUTED_VALUE"""),"LW1FM7S-033454")</f>
        <v>LW1FM7S-033454</v>
      </c>
      <c r="L773" s="45">
        <f ca="1">IFERROR(__xludf.DUMMYFUNCTION("""COMPUTED_VALUE"""),3)</f>
        <v>3</v>
      </c>
      <c r="M773" s="45">
        <f ca="1">IFERROR(__xludf.DUMMYFUNCTION("""COMPUTED_VALUE"""),90)</f>
        <v>90</v>
      </c>
      <c r="N773" s="45">
        <f ca="1">IFERROR(__xludf.DUMMYFUNCTION("""COMPUTED_VALUE"""),10.081)</f>
        <v>10.081</v>
      </c>
      <c r="O773" s="45">
        <f ca="1">IFERROR(__xludf.DUMMYFUNCTION("""COMPUTED_VALUE"""),0.132)</f>
        <v>0.13200000000000001</v>
      </c>
      <c r="P773" s="45" t="str">
        <f ca="1">IFERROR(__xludf.DUMMYFUNCTION("""COMPUTED_VALUE"""),"Colombo, LK")</f>
        <v>Colombo, LK</v>
      </c>
      <c r="Q773" s="45" t="str">
        <f ca="1">IFERROR(__xludf.DUMMYFUNCTION("""COMPUTED_VALUE"""),"Felixstowe, GB")</f>
        <v>Felixstowe, GB</v>
      </c>
      <c r="R773" s="44">
        <f ca="1">IFERROR(__xludf.DUMMYFUNCTION("""COMPUTED_VALUE"""),45838)</f>
        <v>45838</v>
      </c>
      <c r="S773" s="44">
        <f ca="1">IFERROR(__xludf.DUMMYFUNCTION("""COMPUTED_VALUE"""),45897)</f>
        <v>45897</v>
      </c>
      <c r="T773" s="45" t="str">
        <f ca="1">IFERROR(__xludf.DUMMYFUNCTION("""COMPUTED_VALUE"""),"Birmingham, GB")</f>
        <v>Birmingham, GB</v>
      </c>
      <c r="U773" s="45"/>
      <c r="V773" s="45"/>
      <c r="W773" s="45"/>
      <c r="X773" s="45"/>
      <c r="Y773" s="46">
        <f ca="1">IFERROR(__xludf.DUMMYFUNCTION("""COMPUTED_VALUE"""),45845)</f>
        <v>45845</v>
      </c>
      <c r="Z773" s="46">
        <f ca="1">IFERROR(__xludf.DUMMYFUNCTION("""COMPUTED_VALUE"""),45866)</f>
        <v>45866</v>
      </c>
      <c r="AA773" s="46">
        <f ca="1">IFERROR(__xludf.DUMMYFUNCTION("""COMPUTED_VALUE"""),45866)</f>
        <v>45866</v>
      </c>
      <c r="AB773" s="45" t="str">
        <f ca="1">IFERROR(__xludf.DUMMYFUNCTION("""COMPUTED_VALUE"""),"10A Faraday Ave")</f>
        <v>10A Faraday Ave</v>
      </c>
      <c r="AC773" s="45"/>
      <c r="AD773" s="45" t="str">
        <f ca="1">IFERROR(__xludf.DUMMYFUNCTION("""COMPUTED_VALUE"""),"OCEAN")</f>
        <v>OCEAN</v>
      </c>
      <c r="AE773" s="45" t="str">
        <f ca="1">IFERROR(__xludf.DUMMYFUNCTION("""COMPUTED_VALUE"""),"N")</f>
        <v>N</v>
      </c>
      <c r="AF773" s="45" t="str">
        <f ca="1">IFERROR(__xludf.DUMMYFUNCTION("""COMPUTED_VALUE"""),"New Booking")</f>
        <v>New Booking</v>
      </c>
      <c r="AG773" s="49" t="str">
        <f ca="1">IFERROR(__xludf.DUMMYFUNCTION("IFNA(vlookup(H773,IMPORTRANGE(""1vUGwO1n0QQGx9kKbO0_M5gmuhXZ6-LaxQxgrmJnzgP0"",""'TP# look up'!A:C""),3,0),"""")"),"")</f>
        <v/>
      </c>
      <c r="AH773" s="49" t="str">
        <f t="shared" ca="1" si="12"/>
        <v>LW</v>
      </c>
    </row>
    <row r="774" spans="1:34" ht="12.75">
      <c r="A774" s="45" t="str">
        <f ca="1">IFERROR(__xludf.DUMMYFUNCTION("""COMPUTED_VALUE"""),"Colombo")</f>
        <v>Colombo</v>
      </c>
      <c r="B774" s="45"/>
      <c r="C774" s="45">
        <f ca="1">IFERROR(__xludf.DUMMYFUNCTION("""COMPUTED_VALUE"""),3259522)</f>
        <v>3259522</v>
      </c>
      <c r="D774" s="45"/>
      <c r="E774" s="45" t="str">
        <f ca="1">IFERROR(__xludf.DUMMYFUNCTION("""COMPUTED_VALUE"""),"CFS")</f>
        <v>CFS</v>
      </c>
      <c r="F774" s="45" t="str">
        <f ca="1">IFERROR(__xludf.DUMMYFUNCTION("""COMPUTED_VALUE"""),"Bodyline Trading (Private) Limited")</f>
        <v>Bodyline Trading (Private) Limited</v>
      </c>
      <c r="G774" s="45" t="str">
        <f ca="1">IFERROR(__xludf.DUMMYFUNCTION("""COMPUTED_VALUE"""),"Bodyline (Private) Limited")</f>
        <v>Bodyline (Private) Limited</v>
      </c>
      <c r="H774" s="43">
        <f ca="1">IFERROR(__xludf.DUMMYFUNCTION("""COMPUTED_VALUE"""),456451822350)</f>
        <v>456451822350</v>
      </c>
      <c r="I774" s="45">
        <f ca="1">IFERROR(__xludf.DUMMYFUNCTION("""COMPUTED_VALUE"""),19828606)</f>
        <v>19828606</v>
      </c>
      <c r="J774" s="45" t="str">
        <f ca="1">IFERROR(__xludf.DUMMYFUNCTION("""COMPUTED_VALUE"""),"LW2EB8S")</f>
        <v>LW2EB8S</v>
      </c>
      <c r="K774" s="45" t="str">
        <f ca="1">IFERROR(__xludf.DUMMYFUNCTION("""COMPUTED_VALUE"""),"LW2EB8S-0001")</f>
        <v>LW2EB8S-0001</v>
      </c>
      <c r="L774" s="45">
        <f ca="1">IFERROR(__xludf.DUMMYFUNCTION("""COMPUTED_VALUE"""),8)</f>
        <v>8</v>
      </c>
      <c r="M774" s="45">
        <f ca="1">IFERROR(__xludf.DUMMYFUNCTION("""COMPUTED_VALUE"""),454)</f>
        <v>454</v>
      </c>
      <c r="N774" s="45">
        <f ca="1">IFERROR(__xludf.DUMMYFUNCTION("""COMPUTED_VALUE"""),66.703)</f>
        <v>66.703000000000003</v>
      </c>
      <c r="O774" s="45">
        <f ca="1">IFERROR(__xludf.DUMMYFUNCTION("""COMPUTED_VALUE"""),0.644)</f>
        <v>0.64400000000000002</v>
      </c>
      <c r="P774" s="45" t="str">
        <f ca="1">IFERROR(__xludf.DUMMYFUNCTION("""COMPUTED_VALUE"""),"Colombo, LK")</f>
        <v>Colombo, LK</v>
      </c>
      <c r="Q774" s="45" t="str">
        <f ca="1">IFERROR(__xludf.DUMMYFUNCTION("""COMPUTED_VALUE"""),"Felixstowe, GB")</f>
        <v>Felixstowe, GB</v>
      </c>
      <c r="R774" s="44">
        <f ca="1">IFERROR(__xludf.DUMMYFUNCTION("""COMPUTED_VALUE"""),45838)</f>
        <v>45838</v>
      </c>
      <c r="S774" s="44">
        <f ca="1">IFERROR(__xludf.DUMMYFUNCTION("""COMPUTED_VALUE"""),45897)</f>
        <v>45897</v>
      </c>
      <c r="T774" s="45" t="str">
        <f ca="1">IFERROR(__xludf.DUMMYFUNCTION("""COMPUTED_VALUE"""),"Birmingham, GB")</f>
        <v>Birmingham, GB</v>
      </c>
      <c r="U774" s="45"/>
      <c r="V774" s="45"/>
      <c r="W774" s="45"/>
      <c r="X774" s="45"/>
      <c r="Y774" s="46">
        <f ca="1">IFERROR(__xludf.DUMMYFUNCTION("""COMPUTED_VALUE"""),45845)</f>
        <v>45845</v>
      </c>
      <c r="Z774" s="46">
        <f ca="1">IFERROR(__xludf.DUMMYFUNCTION("""COMPUTED_VALUE"""),45866)</f>
        <v>45866</v>
      </c>
      <c r="AA774" s="46">
        <f ca="1">IFERROR(__xludf.DUMMYFUNCTION("""COMPUTED_VALUE"""),45866)</f>
        <v>45866</v>
      </c>
      <c r="AB774" s="45" t="str">
        <f ca="1">IFERROR(__xludf.DUMMYFUNCTION("""COMPUTED_VALUE"""),"10A Faraday Ave")</f>
        <v>10A Faraday Ave</v>
      </c>
      <c r="AC774" s="45"/>
      <c r="AD774" s="45" t="str">
        <f ca="1">IFERROR(__xludf.DUMMYFUNCTION("""COMPUTED_VALUE"""),"OCEAN")</f>
        <v>OCEAN</v>
      </c>
      <c r="AE774" s="45" t="str">
        <f ca="1">IFERROR(__xludf.DUMMYFUNCTION("""COMPUTED_VALUE"""),"N")</f>
        <v>N</v>
      </c>
      <c r="AF774" s="45" t="str">
        <f ca="1">IFERROR(__xludf.DUMMYFUNCTION("""COMPUTED_VALUE"""),"New Booking")</f>
        <v>New Booking</v>
      </c>
      <c r="AG774" s="49" t="str">
        <f ca="1">IFERROR(__xludf.DUMMYFUNCTION("IFNA(vlookup(H774,IMPORTRANGE(""1vUGwO1n0QQGx9kKbO0_M5gmuhXZ6-LaxQxgrmJnzgP0"",""'TP# look up'!A:C""),3,0),"""")"),"")</f>
        <v/>
      </c>
      <c r="AH774" s="49" t="str">
        <f t="shared" ca="1" si="12"/>
        <v>LW</v>
      </c>
    </row>
    <row r="775" spans="1:34" ht="12.75">
      <c r="A775" s="45" t="str">
        <f ca="1">IFERROR(__xludf.DUMMYFUNCTION("""COMPUTED_VALUE"""),"Colombo")</f>
        <v>Colombo</v>
      </c>
      <c r="B775" s="45"/>
      <c r="C775" s="45">
        <f ca="1">IFERROR(__xludf.DUMMYFUNCTION("""COMPUTED_VALUE"""),3259522)</f>
        <v>3259522</v>
      </c>
      <c r="D775" s="45"/>
      <c r="E775" s="45" t="str">
        <f ca="1">IFERROR(__xludf.DUMMYFUNCTION("""COMPUTED_VALUE"""),"CFS")</f>
        <v>CFS</v>
      </c>
      <c r="F775" s="45" t="str">
        <f ca="1">IFERROR(__xludf.DUMMYFUNCTION("""COMPUTED_VALUE"""),"Bodyline Trading (Private) Limited")</f>
        <v>Bodyline Trading (Private) Limited</v>
      </c>
      <c r="G775" s="45" t="str">
        <f ca="1">IFERROR(__xludf.DUMMYFUNCTION("""COMPUTED_VALUE"""),"Bodyline (Private) Limited")</f>
        <v>Bodyline (Private) Limited</v>
      </c>
      <c r="H775" s="43">
        <f ca="1">IFERROR(__xludf.DUMMYFUNCTION("""COMPUTED_VALUE"""),456451844410)</f>
        <v>456451844410</v>
      </c>
      <c r="I775" s="45">
        <f ca="1">IFERROR(__xludf.DUMMYFUNCTION("""COMPUTED_VALUE"""),19828666)</f>
        <v>19828666</v>
      </c>
      <c r="J775" s="45" t="str">
        <f ca="1">IFERROR(__xludf.DUMMYFUNCTION("""COMPUTED_VALUE"""),"LW2EB8S")</f>
        <v>LW2EB8S</v>
      </c>
      <c r="K775" s="45" t="str">
        <f ca="1">IFERROR(__xludf.DUMMYFUNCTION("""COMPUTED_VALUE"""),"LW2EB8S-031382")</f>
        <v>LW2EB8S-031382</v>
      </c>
      <c r="L775" s="45">
        <f ca="1">IFERROR(__xludf.DUMMYFUNCTION("""COMPUTED_VALUE"""),8)</f>
        <v>8</v>
      </c>
      <c r="M775" s="45">
        <f ca="1">IFERROR(__xludf.DUMMYFUNCTION("""COMPUTED_VALUE"""),434)</f>
        <v>434</v>
      </c>
      <c r="N775" s="45">
        <f ca="1">IFERROR(__xludf.DUMMYFUNCTION("""COMPUTED_VALUE"""),63.953)</f>
        <v>63.953000000000003</v>
      </c>
      <c r="O775" s="45">
        <f ca="1">IFERROR(__xludf.DUMMYFUNCTION("""COMPUTED_VALUE"""),0.608)</f>
        <v>0.60799999999999998</v>
      </c>
      <c r="P775" s="45" t="str">
        <f ca="1">IFERROR(__xludf.DUMMYFUNCTION("""COMPUTED_VALUE"""),"Colombo, LK")</f>
        <v>Colombo, LK</v>
      </c>
      <c r="Q775" s="45" t="str">
        <f ca="1">IFERROR(__xludf.DUMMYFUNCTION("""COMPUTED_VALUE"""),"Felixstowe, GB")</f>
        <v>Felixstowe, GB</v>
      </c>
      <c r="R775" s="44">
        <f ca="1">IFERROR(__xludf.DUMMYFUNCTION("""COMPUTED_VALUE"""),45838)</f>
        <v>45838</v>
      </c>
      <c r="S775" s="44">
        <f ca="1">IFERROR(__xludf.DUMMYFUNCTION("""COMPUTED_VALUE"""),45897)</f>
        <v>45897</v>
      </c>
      <c r="T775" s="45" t="str">
        <f ca="1">IFERROR(__xludf.DUMMYFUNCTION("""COMPUTED_VALUE"""),"Birmingham, GB")</f>
        <v>Birmingham, GB</v>
      </c>
      <c r="U775" s="45"/>
      <c r="V775" s="45"/>
      <c r="W775" s="45"/>
      <c r="X775" s="45"/>
      <c r="Y775" s="46">
        <f ca="1">IFERROR(__xludf.DUMMYFUNCTION("""COMPUTED_VALUE"""),45845)</f>
        <v>45845</v>
      </c>
      <c r="Z775" s="46">
        <f ca="1">IFERROR(__xludf.DUMMYFUNCTION("""COMPUTED_VALUE"""),45866)</f>
        <v>45866</v>
      </c>
      <c r="AA775" s="46">
        <f ca="1">IFERROR(__xludf.DUMMYFUNCTION("""COMPUTED_VALUE"""),45866)</f>
        <v>45866</v>
      </c>
      <c r="AB775" s="45" t="str">
        <f ca="1">IFERROR(__xludf.DUMMYFUNCTION("""COMPUTED_VALUE"""),"10A Faraday Ave")</f>
        <v>10A Faraday Ave</v>
      </c>
      <c r="AC775" s="45"/>
      <c r="AD775" s="45" t="str">
        <f ca="1">IFERROR(__xludf.DUMMYFUNCTION("""COMPUTED_VALUE"""),"OCEAN")</f>
        <v>OCEAN</v>
      </c>
      <c r="AE775" s="45" t="str">
        <f ca="1">IFERROR(__xludf.DUMMYFUNCTION("""COMPUTED_VALUE"""),"N")</f>
        <v>N</v>
      </c>
      <c r="AF775" s="45" t="str">
        <f ca="1">IFERROR(__xludf.DUMMYFUNCTION("""COMPUTED_VALUE"""),"New Booking")</f>
        <v>New Booking</v>
      </c>
      <c r="AG775" s="49" t="str">
        <f ca="1">IFERROR(__xludf.DUMMYFUNCTION("IFNA(vlookup(H775,IMPORTRANGE(""1vUGwO1n0QQGx9kKbO0_M5gmuhXZ6-LaxQxgrmJnzgP0"",""'TP# look up'!A:C""),3,0),"""")"),"")</f>
        <v/>
      </c>
      <c r="AH775" s="49" t="str">
        <f t="shared" ca="1" si="12"/>
        <v>LW</v>
      </c>
    </row>
    <row r="776" spans="1:34" ht="12.75">
      <c r="A776" s="45" t="str">
        <f ca="1">IFERROR(__xludf.DUMMYFUNCTION("""COMPUTED_VALUE"""),"Colombo")</f>
        <v>Colombo</v>
      </c>
      <c r="B776" s="45"/>
      <c r="C776" s="45">
        <f ca="1">IFERROR(__xludf.DUMMYFUNCTION("""COMPUTED_VALUE"""),3259522)</f>
        <v>3259522</v>
      </c>
      <c r="D776" s="45"/>
      <c r="E776" s="45" t="str">
        <f ca="1">IFERROR(__xludf.DUMMYFUNCTION("""COMPUTED_VALUE"""),"CFS")</f>
        <v>CFS</v>
      </c>
      <c r="F776" s="45" t="str">
        <f ca="1">IFERROR(__xludf.DUMMYFUNCTION("""COMPUTED_VALUE"""),"Bodyline Trading (Private) Limited")</f>
        <v>Bodyline Trading (Private) Limited</v>
      </c>
      <c r="G776" s="45" t="str">
        <f ca="1">IFERROR(__xludf.DUMMYFUNCTION("""COMPUTED_VALUE"""),"Bodyline (Private) Limited")</f>
        <v>Bodyline (Private) Limited</v>
      </c>
      <c r="H776" s="43">
        <f ca="1">IFERROR(__xludf.DUMMYFUNCTION("""COMPUTED_VALUE"""),456452156893)</f>
        <v>456452156893</v>
      </c>
      <c r="I776" s="45">
        <f ca="1">IFERROR(__xludf.DUMMYFUNCTION("""COMPUTED_VALUE"""),19828682)</f>
        <v>19828682</v>
      </c>
      <c r="J776" s="45" t="str">
        <f ca="1">IFERROR(__xludf.DUMMYFUNCTION("""COMPUTED_VALUE"""),"LW2EB8S")</f>
        <v>LW2EB8S</v>
      </c>
      <c r="K776" s="45" t="str">
        <f ca="1">IFERROR(__xludf.DUMMYFUNCTION("""COMPUTED_VALUE"""),"LW2EB8S-035487")</f>
        <v>LW2EB8S-035487</v>
      </c>
      <c r="L776" s="45">
        <f ca="1">IFERROR(__xludf.DUMMYFUNCTION("""COMPUTED_VALUE"""),2)</f>
        <v>2</v>
      </c>
      <c r="M776" s="45">
        <f ca="1">IFERROR(__xludf.DUMMYFUNCTION("""COMPUTED_VALUE"""),64)</f>
        <v>64</v>
      </c>
      <c r="N776" s="45">
        <f ca="1">IFERROR(__xludf.DUMMYFUNCTION("""COMPUTED_VALUE"""),10.231)</f>
        <v>10.231</v>
      </c>
      <c r="O776" s="45">
        <f ca="1">IFERROR(__xludf.DUMMYFUNCTION("""COMPUTED_VALUE"""),0.124)</f>
        <v>0.124</v>
      </c>
      <c r="P776" s="45" t="str">
        <f ca="1">IFERROR(__xludf.DUMMYFUNCTION("""COMPUTED_VALUE"""),"Colombo, LK")</f>
        <v>Colombo, LK</v>
      </c>
      <c r="Q776" s="45" t="str">
        <f ca="1">IFERROR(__xludf.DUMMYFUNCTION("""COMPUTED_VALUE"""),"Felixstowe, GB")</f>
        <v>Felixstowe, GB</v>
      </c>
      <c r="R776" s="44">
        <f ca="1">IFERROR(__xludf.DUMMYFUNCTION("""COMPUTED_VALUE"""),45838)</f>
        <v>45838</v>
      </c>
      <c r="S776" s="44">
        <f ca="1">IFERROR(__xludf.DUMMYFUNCTION("""COMPUTED_VALUE"""),45897)</f>
        <v>45897</v>
      </c>
      <c r="T776" s="45" t="str">
        <f ca="1">IFERROR(__xludf.DUMMYFUNCTION("""COMPUTED_VALUE"""),"Birmingham, GB")</f>
        <v>Birmingham, GB</v>
      </c>
      <c r="U776" s="45"/>
      <c r="V776" s="45"/>
      <c r="W776" s="45"/>
      <c r="X776" s="45"/>
      <c r="Y776" s="46">
        <f ca="1">IFERROR(__xludf.DUMMYFUNCTION("""COMPUTED_VALUE"""),45845)</f>
        <v>45845</v>
      </c>
      <c r="Z776" s="46">
        <f ca="1">IFERROR(__xludf.DUMMYFUNCTION("""COMPUTED_VALUE"""),45866)</f>
        <v>45866</v>
      </c>
      <c r="AA776" s="46">
        <f ca="1">IFERROR(__xludf.DUMMYFUNCTION("""COMPUTED_VALUE"""),45866)</f>
        <v>45866</v>
      </c>
      <c r="AB776" s="45" t="str">
        <f ca="1">IFERROR(__xludf.DUMMYFUNCTION("""COMPUTED_VALUE"""),"10A Faraday Ave")</f>
        <v>10A Faraday Ave</v>
      </c>
      <c r="AC776" s="45"/>
      <c r="AD776" s="45" t="str">
        <f ca="1">IFERROR(__xludf.DUMMYFUNCTION("""COMPUTED_VALUE"""),"OCEAN")</f>
        <v>OCEAN</v>
      </c>
      <c r="AE776" s="45" t="str">
        <f ca="1">IFERROR(__xludf.DUMMYFUNCTION("""COMPUTED_VALUE"""),"N")</f>
        <v>N</v>
      </c>
      <c r="AF776" s="45" t="str">
        <f ca="1">IFERROR(__xludf.DUMMYFUNCTION("""COMPUTED_VALUE"""),"New Booking")</f>
        <v>New Booking</v>
      </c>
      <c r="AG776" s="49" t="str">
        <f ca="1">IFERROR(__xludf.DUMMYFUNCTION("IFNA(vlookup(H776,IMPORTRANGE(""1vUGwO1n0QQGx9kKbO0_M5gmuhXZ6-LaxQxgrmJnzgP0"",""'TP# look up'!A:C""),3,0),"""")"),"")</f>
        <v/>
      </c>
      <c r="AH776" s="49" t="str">
        <f t="shared" ca="1" si="12"/>
        <v>LW</v>
      </c>
    </row>
    <row r="777" spans="1:34" ht="12.75">
      <c r="A777" s="45" t="str">
        <f ca="1">IFERROR(__xludf.DUMMYFUNCTION("""COMPUTED_VALUE"""),"Colombo")</f>
        <v>Colombo</v>
      </c>
      <c r="B777" s="45"/>
      <c r="C777" s="45">
        <f ca="1">IFERROR(__xludf.DUMMYFUNCTION("""COMPUTED_VALUE"""),3259522)</f>
        <v>3259522</v>
      </c>
      <c r="D777" s="45"/>
      <c r="E777" s="45" t="str">
        <f ca="1">IFERROR(__xludf.DUMMYFUNCTION("""COMPUTED_VALUE"""),"CFS")</f>
        <v>CFS</v>
      </c>
      <c r="F777" s="45" t="str">
        <f ca="1">IFERROR(__xludf.DUMMYFUNCTION("""COMPUTED_VALUE"""),"Bodyline Trading (Private) Limited")</f>
        <v>Bodyline Trading (Private) Limited</v>
      </c>
      <c r="G777" s="45" t="str">
        <f ca="1">IFERROR(__xludf.DUMMYFUNCTION("""COMPUTED_VALUE"""),"Bodyline (Private) Limited")</f>
        <v>Bodyline (Private) Limited</v>
      </c>
      <c r="H777" s="43">
        <f ca="1">IFERROR(__xludf.DUMMYFUNCTION("""COMPUTED_VALUE"""),456452160005)</f>
        <v>456452160005</v>
      </c>
      <c r="I777" s="45">
        <f ca="1">IFERROR(__xludf.DUMMYFUNCTION("""COMPUTED_VALUE"""),19828725)</f>
        <v>19828725</v>
      </c>
      <c r="J777" s="45" t="str">
        <f ca="1">IFERROR(__xludf.DUMMYFUNCTION("""COMPUTED_VALUE"""),"LW2EB9S")</f>
        <v>LW2EB9S</v>
      </c>
      <c r="K777" s="45" t="str">
        <f ca="1">IFERROR(__xludf.DUMMYFUNCTION("""COMPUTED_VALUE"""),"LW2EB9S-035486")</f>
        <v>LW2EB9S-035486</v>
      </c>
      <c r="L777" s="45">
        <f ca="1">IFERROR(__xludf.DUMMYFUNCTION("""COMPUTED_VALUE"""),11)</f>
        <v>11</v>
      </c>
      <c r="M777" s="45">
        <f ca="1">IFERROR(__xludf.DUMMYFUNCTION("""COMPUTED_VALUE"""),624)</f>
        <v>624</v>
      </c>
      <c r="N777" s="45">
        <f ca="1">IFERROR(__xludf.DUMMYFUNCTION("""COMPUTED_VALUE"""),95.46)</f>
        <v>95.46</v>
      </c>
      <c r="O777" s="45">
        <f ca="1">IFERROR(__xludf.DUMMYFUNCTION("""COMPUTED_VALUE"""),0.849)</f>
        <v>0.84899999999999998</v>
      </c>
      <c r="P777" s="45" t="str">
        <f ca="1">IFERROR(__xludf.DUMMYFUNCTION("""COMPUTED_VALUE"""),"Colombo, LK")</f>
        <v>Colombo, LK</v>
      </c>
      <c r="Q777" s="45" t="str">
        <f ca="1">IFERROR(__xludf.DUMMYFUNCTION("""COMPUTED_VALUE"""),"Felixstowe, GB")</f>
        <v>Felixstowe, GB</v>
      </c>
      <c r="R777" s="44">
        <f ca="1">IFERROR(__xludf.DUMMYFUNCTION("""COMPUTED_VALUE"""),45838)</f>
        <v>45838</v>
      </c>
      <c r="S777" s="44">
        <f ca="1">IFERROR(__xludf.DUMMYFUNCTION("""COMPUTED_VALUE"""),45897)</f>
        <v>45897</v>
      </c>
      <c r="T777" s="45" t="str">
        <f ca="1">IFERROR(__xludf.DUMMYFUNCTION("""COMPUTED_VALUE"""),"Birmingham, GB")</f>
        <v>Birmingham, GB</v>
      </c>
      <c r="U777" s="45"/>
      <c r="V777" s="45"/>
      <c r="W777" s="45"/>
      <c r="X777" s="45"/>
      <c r="Y777" s="46">
        <f ca="1">IFERROR(__xludf.DUMMYFUNCTION("""COMPUTED_VALUE"""),45845)</f>
        <v>45845</v>
      </c>
      <c r="Z777" s="46">
        <f ca="1">IFERROR(__xludf.DUMMYFUNCTION("""COMPUTED_VALUE"""),45866)</f>
        <v>45866</v>
      </c>
      <c r="AA777" s="46">
        <f ca="1">IFERROR(__xludf.DUMMYFUNCTION("""COMPUTED_VALUE"""),45866)</f>
        <v>45866</v>
      </c>
      <c r="AB777" s="45" t="str">
        <f ca="1">IFERROR(__xludf.DUMMYFUNCTION("""COMPUTED_VALUE"""),"10A Faraday Ave")</f>
        <v>10A Faraday Ave</v>
      </c>
      <c r="AC777" s="45"/>
      <c r="AD777" s="45" t="str">
        <f ca="1">IFERROR(__xludf.DUMMYFUNCTION("""COMPUTED_VALUE"""),"OCEAN")</f>
        <v>OCEAN</v>
      </c>
      <c r="AE777" s="45" t="str">
        <f ca="1">IFERROR(__xludf.DUMMYFUNCTION("""COMPUTED_VALUE"""),"N")</f>
        <v>N</v>
      </c>
      <c r="AF777" s="45" t="str">
        <f ca="1">IFERROR(__xludf.DUMMYFUNCTION("""COMPUTED_VALUE"""),"New Booking")</f>
        <v>New Booking</v>
      </c>
      <c r="AG777" s="49" t="str">
        <f ca="1">IFERROR(__xludf.DUMMYFUNCTION("IFNA(vlookup(H777,IMPORTRANGE(""1vUGwO1n0QQGx9kKbO0_M5gmuhXZ6-LaxQxgrmJnzgP0"",""'TP# look up'!A:C""),3,0),"""")"),"")</f>
        <v/>
      </c>
      <c r="AH777" s="49" t="str">
        <f t="shared" ca="1" si="12"/>
        <v>LW</v>
      </c>
    </row>
    <row r="778" spans="1:34" ht="12.75">
      <c r="A778" s="45" t="str">
        <f ca="1">IFERROR(__xludf.DUMMYFUNCTION("""COMPUTED_VALUE"""),"Colombo")</f>
        <v>Colombo</v>
      </c>
      <c r="B778" s="45"/>
      <c r="C778" s="45">
        <f ca="1">IFERROR(__xludf.DUMMYFUNCTION("""COMPUTED_VALUE"""),3259522)</f>
        <v>3259522</v>
      </c>
      <c r="D778" s="45"/>
      <c r="E778" s="45" t="str">
        <f ca="1">IFERROR(__xludf.DUMMYFUNCTION("""COMPUTED_VALUE"""),"CFS")</f>
        <v>CFS</v>
      </c>
      <c r="F778" s="45" t="str">
        <f ca="1">IFERROR(__xludf.DUMMYFUNCTION("""COMPUTED_VALUE"""),"Bodyline Trading (Private) Limited")</f>
        <v>Bodyline Trading (Private) Limited</v>
      </c>
      <c r="G778" s="45" t="str">
        <f ca="1">IFERROR(__xludf.DUMMYFUNCTION("""COMPUTED_VALUE"""),"Bodyline (Private) Limited")</f>
        <v>Bodyline (Private) Limited</v>
      </c>
      <c r="H778" s="43">
        <f ca="1">IFERROR(__xludf.DUMMYFUNCTION("""COMPUTED_VALUE"""),456464867283)</f>
        <v>456464867283</v>
      </c>
      <c r="I778" s="45">
        <f ca="1">IFERROR(__xludf.DUMMYFUNCTION("""COMPUTED_VALUE"""),19828468)</f>
        <v>19828468</v>
      </c>
      <c r="J778" s="45" t="str">
        <f ca="1">IFERROR(__xludf.DUMMYFUNCTION("""COMPUTED_VALUE"""),"LW2DQ0S")</f>
        <v>LW2DQ0S</v>
      </c>
      <c r="K778" s="45" t="str">
        <f ca="1">IFERROR(__xludf.DUMMYFUNCTION("""COMPUTED_VALUE"""),"LW2DQ0S-0001")</f>
        <v>LW2DQ0S-0001</v>
      </c>
      <c r="L778" s="45">
        <f ca="1">IFERROR(__xludf.DUMMYFUNCTION("""COMPUTED_VALUE"""),6)</f>
        <v>6</v>
      </c>
      <c r="M778" s="45">
        <f ca="1">IFERROR(__xludf.DUMMYFUNCTION("""COMPUTED_VALUE"""),311)</f>
        <v>311</v>
      </c>
      <c r="N778" s="45">
        <f ca="1">IFERROR(__xludf.DUMMYFUNCTION("""COMPUTED_VALUE"""),36.981)</f>
        <v>36.981000000000002</v>
      </c>
      <c r="O778" s="45">
        <f ca="1">IFERROR(__xludf.DUMMYFUNCTION("""COMPUTED_VALUE"""),0.447)</f>
        <v>0.44700000000000001</v>
      </c>
      <c r="P778" s="45" t="str">
        <f ca="1">IFERROR(__xludf.DUMMYFUNCTION("""COMPUTED_VALUE"""),"Colombo, LK")</f>
        <v>Colombo, LK</v>
      </c>
      <c r="Q778" s="45" t="str">
        <f ca="1">IFERROR(__xludf.DUMMYFUNCTION("""COMPUTED_VALUE"""),"Felixstowe, GB")</f>
        <v>Felixstowe, GB</v>
      </c>
      <c r="R778" s="44">
        <f ca="1">IFERROR(__xludf.DUMMYFUNCTION("""COMPUTED_VALUE"""),45838)</f>
        <v>45838</v>
      </c>
      <c r="S778" s="44">
        <f ca="1">IFERROR(__xludf.DUMMYFUNCTION("""COMPUTED_VALUE"""),45897)</f>
        <v>45897</v>
      </c>
      <c r="T778" s="45" t="str">
        <f ca="1">IFERROR(__xludf.DUMMYFUNCTION("""COMPUTED_VALUE"""),"Birmingham, GB")</f>
        <v>Birmingham, GB</v>
      </c>
      <c r="U778" s="45"/>
      <c r="V778" s="45"/>
      <c r="W778" s="45"/>
      <c r="X778" s="45"/>
      <c r="Y778" s="46">
        <f ca="1">IFERROR(__xludf.DUMMYFUNCTION("""COMPUTED_VALUE"""),45845)</f>
        <v>45845</v>
      </c>
      <c r="Z778" s="46">
        <f ca="1">IFERROR(__xludf.DUMMYFUNCTION("""COMPUTED_VALUE"""),45866)</f>
        <v>45866</v>
      </c>
      <c r="AA778" s="46">
        <f ca="1">IFERROR(__xludf.DUMMYFUNCTION("""COMPUTED_VALUE"""),45866)</f>
        <v>45866</v>
      </c>
      <c r="AB778" s="45" t="str">
        <f ca="1">IFERROR(__xludf.DUMMYFUNCTION("""COMPUTED_VALUE"""),"10A Faraday Ave")</f>
        <v>10A Faraday Ave</v>
      </c>
      <c r="AC778" s="45"/>
      <c r="AD778" s="45" t="str">
        <f ca="1">IFERROR(__xludf.DUMMYFUNCTION("""COMPUTED_VALUE"""),"OCEAN")</f>
        <v>OCEAN</v>
      </c>
      <c r="AE778" s="45" t="str">
        <f ca="1">IFERROR(__xludf.DUMMYFUNCTION("""COMPUTED_VALUE"""),"N")</f>
        <v>N</v>
      </c>
      <c r="AF778" s="45" t="str">
        <f ca="1">IFERROR(__xludf.DUMMYFUNCTION("""COMPUTED_VALUE"""),"New Booking")</f>
        <v>New Booking</v>
      </c>
      <c r="AG778" s="49" t="str">
        <f ca="1">IFERROR(__xludf.DUMMYFUNCTION("IFNA(vlookup(H778,IMPORTRANGE(""1vUGwO1n0QQGx9kKbO0_M5gmuhXZ6-LaxQxgrmJnzgP0"",""'TP# look up'!A:C""),3,0),"""")"),"")</f>
        <v/>
      </c>
      <c r="AH778" s="49" t="str">
        <f t="shared" ca="1" si="12"/>
        <v>LW</v>
      </c>
    </row>
    <row r="779" spans="1:34" ht="12.75">
      <c r="A779" s="45" t="str">
        <f ca="1">IFERROR(__xludf.DUMMYFUNCTION("""COMPUTED_VALUE"""),"Colombo")</f>
        <v>Colombo</v>
      </c>
      <c r="B779" s="45"/>
      <c r="C779" s="45">
        <f ca="1">IFERROR(__xludf.DUMMYFUNCTION("""COMPUTED_VALUE"""),3259522)</f>
        <v>3259522</v>
      </c>
      <c r="D779" s="45"/>
      <c r="E779" s="45" t="str">
        <f ca="1">IFERROR(__xludf.DUMMYFUNCTION("""COMPUTED_VALUE"""),"CFS")</f>
        <v>CFS</v>
      </c>
      <c r="F779" s="45" t="str">
        <f ca="1">IFERROR(__xludf.DUMMYFUNCTION("""COMPUTED_VALUE"""),"Bodyline Trading (Private) Limited")</f>
        <v>Bodyline Trading (Private) Limited</v>
      </c>
      <c r="G779" s="45" t="str">
        <f ca="1">IFERROR(__xludf.DUMMYFUNCTION("""COMPUTED_VALUE"""),"Bodyline (Private) Limited")</f>
        <v>Bodyline (Private) Limited</v>
      </c>
      <c r="H779" s="43">
        <f ca="1">IFERROR(__xludf.DUMMYFUNCTION("""COMPUTED_VALUE"""),456465540937)</f>
        <v>456465540937</v>
      </c>
      <c r="I779" s="45">
        <f ca="1">IFERROR(__xludf.DUMMYFUNCTION("""COMPUTED_VALUE"""),19820599)</f>
        <v>19820599</v>
      </c>
      <c r="J779" s="45" t="str">
        <f ca="1">IFERROR(__xludf.DUMMYFUNCTION("""COMPUTED_VALUE"""),"LW1FM7S")</f>
        <v>LW1FM7S</v>
      </c>
      <c r="K779" s="45" t="str">
        <f ca="1">IFERROR(__xludf.DUMMYFUNCTION("""COMPUTED_VALUE"""),"LW1FM7S-0001")</f>
        <v>LW1FM7S-0001</v>
      </c>
      <c r="L779" s="45">
        <f ca="1">IFERROR(__xludf.DUMMYFUNCTION("""COMPUTED_VALUE"""),3)</f>
        <v>3</v>
      </c>
      <c r="M779" s="45">
        <f ca="1">IFERROR(__xludf.DUMMYFUNCTION("""COMPUTED_VALUE"""),145)</f>
        <v>145</v>
      </c>
      <c r="N779" s="45">
        <f ca="1">IFERROR(__xludf.DUMMYFUNCTION("""COMPUTED_VALUE"""),14.55)</f>
        <v>14.55</v>
      </c>
      <c r="O779" s="45">
        <f ca="1">IFERROR(__xludf.DUMMYFUNCTION("""COMPUTED_VALUE"""),0.132)</f>
        <v>0.13200000000000001</v>
      </c>
      <c r="P779" s="45" t="str">
        <f ca="1">IFERROR(__xludf.DUMMYFUNCTION("""COMPUTED_VALUE"""),"Colombo, LK")</f>
        <v>Colombo, LK</v>
      </c>
      <c r="Q779" s="45" t="str">
        <f ca="1">IFERROR(__xludf.DUMMYFUNCTION("""COMPUTED_VALUE"""),"Felixstowe, GB")</f>
        <v>Felixstowe, GB</v>
      </c>
      <c r="R779" s="44">
        <f ca="1">IFERROR(__xludf.DUMMYFUNCTION("""COMPUTED_VALUE"""),45838)</f>
        <v>45838</v>
      </c>
      <c r="S779" s="44">
        <f ca="1">IFERROR(__xludf.DUMMYFUNCTION("""COMPUTED_VALUE"""),45897)</f>
        <v>45897</v>
      </c>
      <c r="T779" s="45" t="str">
        <f ca="1">IFERROR(__xludf.DUMMYFUNCTION("""COMPUTED_VALUE"""),"Birmingham, GB")</f>
        <v>Birmingham, GB</v>
      </c>
      <c r="U779" s="45"/>
      <c r="V779" s="45"/>
      <c r="W779" s="45"/>
      <c r="X779" s="45"/>
      <c r="Y779" s="46">
        <f ca="1">IFERROR(__xludf.DUMMYFUNCTION("""COMPUTED_VALUE"""),45845)</f>
        <v>45845</v>
      </c>
      <c r="Z779" s="46">
        <f ca="1">IFERROR(__xludf.DUMMYFUNCTION("""COMPUTED_VALUE"""),45866)</f>
        <v>45866</v>
      </c>
      <c r="AA779" s="46">
        <f ca="1">IFERROR(__xludf.DUMMYFUNCTION("""COMPUTED_VALUE"""),45866)</f>
        <v>45866</v>
      </c>
      <c r="AB779" s="45" t="str">
        <f ca="1">IFERROR(__xludf.DUMMYFUNCTION("""COMPUTED_VALUE"""),"10A Faraday Ave")</f>
        <v>10A Faraday Ave</v>
      </c>
      <c r="AC779" s="45"/>
      <c r="AD779" s="45" t="str">
        <f ca="1">IFERROR(__xludf.DUMMYFUNCTION("""COMPUTED_VALUE"""),"OCEAN")</f>
        <v>OCEAN</v>
      </c>
      <c r="AE779" s="45" t="str">
        <f ca="1">IFERROR(__xludf.DUMMYFUNCTION("""COMPUTED_VALUE"""),"N")</f>
        <v>N</v>
      </c>
      <c r="AF779" s="45" t="str">
        <f ca="1">IFERROR(__xludf.DUMMYFUNCTION("""COMPUTED_VALUE"""),"New Booking")</f>
        <v>New Booking</v>
      </c>
      <c r="AG779" s="49" t="str">
        <f ca="1">IFERROR(__xludf.DUMMYFUNCTION("IFNA(vlookup(H779,IMPORTRANGE(""1vUGwO1n0QQGx9kKbO0_M5gmuhXZ6-LaxQxgrmJnzgP0"",""'TP# look up'!A:C""),3,0),"""")"),"")</f>
        <v/>
      </c>
      <c r="AH779" s="49" t="str">
        <f t="shared" ca="1" si="12"/>
        <v>LW</v>
      </c>
    </row>
    <row r="780" spans="1:34" ht="12.75">
      <c r="A780" s="45" t="str">
        <f ca="1">IFERROR(__xludf.DUMMYFUNCTION("""COMPUTED_VALUE"""),"Colombo")</f>
        <v>Colombo</v>
      </c>
      <c r="B780" s="45"/>
      <c r="C780" s="45">
        <f ca="1">IFERROR(__xludf.DUMMYFUNCTION("""COMPUTED_VALUE"""),3259522)</f>
        <v>3259522</v>
      </c>
      <c r="D780" s="45"/>
      <c r="E780" s="45" t="str">
        <f ca="1">IFERROR(__xludf.DUMMYFUNCTION("""COMPUTED_VALUE"""),"CFS")</f>
        <v>CFS</v>
      </c>
      <c r="F780" s="45" t="str">
        <f ca="1">IFERROR(__xludf.DUMMYFUNCTION("""COMPUTED_VALUE"""),"Bodyline Trading (Private) Limited")</f>
        <v>Bodyline Trading (Private) Limited</v>
      </c>
      <c r="G780" s="45" t="str">
        <f ca="1">IFERROR(__xludf.DUMMYFUNCTION("""COMPUTED_VALUE"""),"Bodyline (Private) Limited")</f>
        <v>Bodyline (Private) Limited</v>
      </c>
      <c r="H780" s="43">
        <f ca="1">IFERROR(__xludf.DUMMYFUNCTION("""COMPUTED_VALUE"""),456466315322)</f>
        <v>456466315322</v>
      </c>
      <c r="I780" s="45">
        <f ca="1">IFERROR(__xludf.DUMMYFUNCTION("""COMPUTED_VALUE"""),19828432)</f>
        <v>19828432</v>
      </c>
      <c r="J780" s="45" t="str">
        <f ca="1">IFERROR(__xludf.DUMMYFUNCTION("""COMPUTED_VALUE"""),"LW2DPOS")</f>
        <v>LW2DPOS</v>
      </c>
      <c r="K780" s="45" t="str">
        <f ca="1">IFERROR(__xludf.DUMMYFUNCTION("""COMPUTED_VALUE"""),"LW2DPOS-0001")</f>
        <v>LW2DPOS-0001</v>
      </c>
      <c r="L780" s="45">
        <f ca="1">IFERROR(__xludf.DUMMYFUNCTION("""COMPUTED_VALUE"""),4)</f>
        <v>4</v>
      </c>
      <c r="M780" s="45">
        <f ca="1">IFERROR(__xludf.DUMMYFUNCTION("""COMPUTED_VALUE"""),205)</f>
        <v>205</v>
      </c>
      <c r="N780" s="45">
        <f ca="1">IFERROR(__xludf.DUMMYFUNCTION("""COMPUTED_VALUE"""),29.943)</f>
        <v>29.943000000000001</v>
      </c>
      <c r="O780" s="45">
        <f ca="1">IFERROR(__xludf.DUMMYFUNCTION("""COMPUTED_VALUE"""),0.322)</f>
        <v>0.32200000000000001</v>
      </c>
      <c r="P780" s="45" t="str">
        <f ca="1">IFERROR(__xludf.DUMMYFUNCTION("""COMPUTED_VALUE"""),"Colombo, LK")</f>
        <v>Colombo, LK</v>
      </c>
      <c r="Q780" s="45" t="str">
        <f ca="1">IFERROR(__xludf.DUMMYFUNCTION("""COMPUTED_VALUE"""),"Felixstowe, GB")</f>
        <v>Felixstowe, GB</v>
      </c>
      <c r="R780" s="44">
        <f ca="1">IFERROR(__xludf.DUMMYFUNCTION("""COMPUTED_VALUE"""),45838)</f>
        <v>45838</v>
      </c>
      <c r="S780" s="44">
        <f ca="1">IFERROR(__xludf.DUMMYFUNCTION("""COMPUTED_VALUE"""),45897)</f>
        <v>45897</v>
      </c>
      <c r="T780" s="45" t="str">
        <f ca="1">IFERROR(__xludf.DUMMYFUNCTION("""COMPUTED_VALUE"""),"Birmingham, GB")</f>
        <v>Birmingham, GB</v>
      </c>
      <c r="U780" s="45"/>
      <c r="V780" s="45"/>
      <c r="W780" s="45"/>
      <c r="X780" s="45"/>
      <c r="Y780" s="46">
        <f ca="1">IFERROR(__xludf.DUMMYFUNCTION("""COMPUTED_VALUE"""),45845)</f>
        <v>45845</v>
      </c>
      <c r="Z780" s="46">
        <f ca="1">IFERROR(__xludf.DUMMYFUNCTION("""COMPUTED_VALUE"""),45866)</f>
        <v>45866</v>
      </c>
      <c r="AA780" s="46">
        <f ca="1">IFERROR(__xludf.DUMMYFUNCTION("""COMPUTED_VALUE"""),45866)</f>
        <v>45866</v>
      </c>
      <c r="AB780" s="45" t="str">
        <f ca="1">IFERROR(__xludf.DUMMYFUNCTION("""COMPUTED_VALUE"""),"10A Faraday Ave")</f>
        <v>10A Faraday Ave</v>
      </c>
      <c r="AC780" s="45"/>
      <c r="AD780" s="45" t="str">
        <f ca="1">IFERROR(__xludf.DUMMYFUNCTION("""COMPUTED_VALUE"""),"OCEAN")</f>
        <v>OCEAN</v>
      </c>
      <c r="AE780" s="45" t="str">
        <f ca="1">IFERROR(__xludf.DUMMYFUNCTION("""COMPUTED_VALUE"""),"N")</f>
        <v>N</v>
      </c>
      <c r="AF780" s="45" t="str">
        <f ca="1">IFERROR(__xludf.DUMMYFUNCTION("""COMPUTED_VALUE"""),"New Booking")</f>
        <v>New Booking</v>
      </c>
      <c r="AG780" s="49" t="str">
        <f ca="1">IFERROR(__xludf.DUMMYFUNCTION("IFNA(vlookup(H780,IMPORTRANGE(""1vUGwO1n0QQGx9kKbO0_M5gmuhXZ6-LaxQxgrmJnzgP0"",""'TP# look up'!A:C""),3,0),"""")"),"")</f>
        <v/>
      </c>
      <c r="AH780" s="49" t="str">
        <f t="shared" ca="1" si="12"/>
        <v>LW</v>
      </c>
    </row>
    <row r="781" spans="1:34" ht="12.75">
      <c r="A781" s="45" t="str">
        <f ca="1">IFERROR(__xludf.DUMMYFUNCTION("""COMPUTED_VALUE"""),"Colombo")</f>
        <v>Colombo</v>
      </c>
      <c r="B781" s="45"/>
      <c r="C781" s="45">
        <f ca="1">IFERROR(__xludf.DUMMYFUNCTION("""COMPUTED_VALUE"""),3259522)</f>
        <v>3259522</v>
      </c>
      <c r="D781" s="45"/>
      <c r="E781" s="45" t="str">
        <f ca="1">IFERROR(__xludf.DUMMYFUNCTION("""COMPUTED_VALUE"""),"CFS")</f>
        <v>CFS</v>
      </c>
      <c r="F781" s="45" t="str">
        <f ca="1">IFERROR(__xludf.DUMMYFUNCTION("""COMPUTED_VALUE"""),"Bodyline Trading (Private) Limited")</f>
        <v>Bodyline Trading (Private) Limited</v>
      </c>
      <c r="G781" s="45" t="str">
        <f ca="1">IFERROR(__xludf.DUMMYFUNCTION("""COMPUTED_VALUE"""),"Bodyline (Private) Limited")</f>
        <v>Bodyline (Private) Limited</v>
      </c>
      <c r="H781" s="43">
        <f ca="1">IFERROR(__xludf.DUMMYFUNCTION("""COMPUTED_VALUE"""),456469198551)</f>
        <v>456469198551</v>
      </c>
      <c r="I781" s="45">
        <f ca="1">IFERROR(__xludf.DUMMYFUNCTION("""COMPUTED_VALUE"""),19828285)</f>
        <v>19828285</v>
      </c>
      <c r="J781" s="45" t="str">
        <f ca="1">IFERROR(__xludf.DUMMYFUNCTION("""COMPUTED_VALUE"""),"LW9DEOS")</f>
        <v>LW9DEOS</v>
      </c>
      <c r="K781" s="45" t="str">
        <f ca="1">IFERROR(__xludf.DUMMYFUNCTION("""COMPUTED_VALUE"""),"LW9DEOS-070623")</f>
        <v>LW9DEOS-070623</v>
      </c>
      <c r="L781" s="45">
        <f ca="1">IFERROR(__xludf.DUMMYFUNCTION("""COMPUTED_VALUE"""),8)</f>
        <v>8</v>
      </c>
      <c r="M781" s="45">
        <f ca="1">IFERROR(__xludf.DUMMYFUNCTION("""COMPUTED_VALUE"""),244)</f>
        <v>244</v>
      </c>
      <c r="N781" s="45">
        <f ca="1">IFERROR(__xludf.DUMMYFUNCTION("""COMPUTED_VALUE"""),38.858)</f>
        <v>38.857999999999997</v>
      </c>
      <c r="O781" s="45">
        <f ca="1">IFERROR(__xludf.DUMMYFUNCTION("""COMPUTED_VALUE"""),0.351)</f>
        <v>0.35099999999999998</v>
      </c>
      <c r="P781" s="45" t="str">
        <f ca="1">IFERROR(__xludf.DUMMYFUNCTION("""COMPUTED_VALUE"""),"Colombo, LK")</f>
        <v>Colombo, LK</v>
      </c>
      <c r="Q781" s="45" t="str">
        <f ca="1">IFERROR(__xludf.DUMMYFUNCTION("""COMPUTED_VALUE"""),"Felixstowe, GB")</f>
        <v>Felixstowe, GB</v>
      </c>
      <c r="R781" s="44">
        <f ca="1">IFERROR(__xludf.DUMMYFUNCTION("""COMPUTED_VALUE"""),45838)</f>
        <v>45838</v>
      </c>
      <c r="S781" s="44">
        <f ca="1">IFERROR(__xludf.DUMMYFUNCTION("""COMPUTED_VALUE"""),45897)</f>
        <v>45897</v>
      </c>
      <c r="T781" s="45" t="str">
        <f ca="1">IFERROR(__xludf.DUMMYFUNCTION("""COMPUTED_VALUE"""),"Birmingham, GB")</f>
        <v>Birmingham, GB</v>
      </c>
      <c r="U781" s="45"/>
      <c r="V781" s="45"/>
      <c r="W781" s="45"/>
      <c r="X781" s="45"/>
      <c r="Y781" s="46">
        <f ca="1">IFERROR(__xludf.DUMMYFUNCTION("""COMPUTED_VALUE"""),45845)</f>
        <v>45845</v>
      </c>
      <c r="Z781" s="46">
        <f ca="1">IFERROR(__xludf.DUMMYFUNCTION("""COMPUTED_VALUE"""),45866)</f>
        <v>45866</v>
      </c>
      <c r="AA781" s="46">
        <f ca="1">IFERROR(__xludf.DUMMYFUNCTION("""COMPUTED_VALUE"""),45866)</f>
        <v>45866</v>
      </c>
      <c r="AB781" s="45" t="str">
        <f ca="1">IFERROR(__xludf.DUMMYFUNCTION("""COMPUTED_VALUE"""),"10A Faraday Ave")</f>
        <v>10A Faraday Ave</v>
      </c>
      <c r="AC781" s="45"/>
      <c r="AD781" s="45" t="str">
        <f ca="1">IFERROR(__xludf.DUMMYFUNCTION("""COMPUTED_VALUE"""),"OCEAN")</f>
        <v>OCEAN</v>
      </c>
      <c r="AE781" s="45" t="str">
        <f ca="1">IFERROR(__xludf.DUMMYFUNCTION("""COMPUTED_VALUE"""),"N")</f>
        <v>N</v>
      </c>
      <c r="AF781" s="45" t="str">
        <f ca="1">IFERROR(__xludf.DUMMYFUNCTION("""COMPUTED_VALUE"""),"New Booking")</f>
        <v>New Booking</v>
      </c>
      <c r="AG781" s="49" t="str">
        <f ca="1">IFERROR(__xludf.DUMMYFUNCTION("IFNA(vlookup(H781,IMPORTRANGE(""1vUGwO1n0QQGx9kKbO0_M5gmuhXZ6-LaxQxgrmJnzgP0"",""'TP# look up'!A:C""),3,0),"""")"),"")</f>
        <v/>
      </c>
      <c r="AH781" s="49" t="str">
        <f t="shared" ca="1" si="12"/>
        <v>LW</v>
      </c>
    </row>
    <row r="782" spans="1:34" ht="12.75">
      <c r="A782" s="45" t="str">
        <f ca="1">IFERROR(__xludf.DUMMYFUNCTION("""COMPUTED_VALUE"""),"Colombo")</f>
        <v>Colombo</v>
      </c>
      <c r="B782" s="45"/>
      <c r="C782" s="45">
        <f ca="1">IFERROR(__xludf.DUMMYFUNCTION("""COMPUTED_VALUE"""),3259522)</f>
        <v>3259522</v>
      </c>
      <c r="D782" s="45"/>
      <c r="E782" s="45" t="str">
        <f ca="1">IFERROR(__xludf.DUMMYFUNCTION("""COMPUTED_VALUE"""),"CFS")</f>
        <v>CFS</v>
      </c>
      <c r="F782" s="45" t="str">
        <f ca="1">IFERROR(__xludf.DUMMYFUNCTION("""COMPUTED_VALUE"""),"Inqube Global (PVT) Ltd")</f>
        <v>Inqube Global (PVT) Ltd</v>
      </c>
      <c r="G782" s="45" t="str">
        <f ca="1">IFERROR(__xludf.DUMMYFUNCTION("""COMPUTED_VALUE"""),"Brandix Apparel Solutions Limited - Minuwangoda")</f>
        <v>Brandix Apparel Solutions Limited - Minuwangoda</v>
      </c>
      <c r="H782" s="43">
        <f ca="1">IFERROR(__xludf.DUMMYFUNCTION("""COMPUTED_VALUE"""),456592402304)</f>
        <v>456592402304</v>
      </c>
      <c r="I782" s="45">
        <f ca="1">IFERROR(__xludf.DUMMYFUNCTION("""COMPUTED_VALUE"""),19854958)</f>
        <v>19854958</v>
      </c>
      <c r="J782" s="45" t="str">
        <f ca="1">IFERROR(__xludf.DUMMYFUNCTION("""COMPUTED_VALUE"""),"LW3IQZS")</f>
        <v>LW3IQZS</v>
      </c>
      <c r="K782" s="45" t="str">
        <f ca="1">IFERROR(__xludf.DUMMYFUNCTION("""COMPUTED_VALUE"""),"LW3IQZS-0002")</f>
        <v>LW3IQZS-0002</v>
      </c>
      <c r="L782" s="45">
        <f ca="1">IFERROR(__xludf.DUMMYFUNCTION("""COMPUTED_VALUE"""),22)</f>
        <v>22</v>
      </c>
      <c r="M782" s="45">
        <f ca="1">IFERROR(__xludf.DUMMYFUNCTION("""COMPUTED_VALUE"""),507)</f>
        <v>507</v>
      </c>
      <c r="N782" s="45">
        <f ca="1">IFERROR(__xludf.DUMMYFUNCTION("""COMPUTED_VALUE"""),240.69)</f>
        <v>240.69</v>
      </c>
      <c r="O782" s="45">
        <f ca="1">IFERROR(__xludf.DUMMYFUNCTION("""COMPUTED_VALUE"""),1.727)</f>
        <v>1.7270000000000001</v>
      </c>
      <c r="P782" s="45" t="str">
        <f ca="1">IFERROR(__xludf.DUMMYFUNCTION("""COMPUTED_VALUE"""),"Colombo, LK")</f>
        <v>Colombo, LK</v>
      </c>
      <c r="Q782" s="45" t="str">
        <f ca="1">IFERROR(__xludf.DUMMYFUNCTION("""COMPUTED_VALUE"""),"Felixstowe, GB")</f>
        <v>Felixstowe, GB</v>
      </c>
      <c r="R782" s="44">
        <f ca="1">IFERROR(__xludf.DUMMYFUNCTION("""COMPUTED_VALUE"""),45838)</f>
        <v>45838</v>
      </c>
      <c r="S782" s="44">
        <f ca="1">IFERROR(__xludf.DUMMYFUNCTION("""COMPUTED_VALUE"""),45897)</f>
        <v>45897</v>
      </c>
      <c r="T782" s="45" t="str">
        <f ca="1">IFERROR(__xludf.DUMMYFUNCTION("""COMPUTED_VALUE"""),"Birmingham, GB")</f>
        <v>Birmingham, GB</v>
      </c>
      <c r="U782" s="45"/>
      <c r="V782" s="45"/>
      <c r="W782" s="45"/>
      <c r="X782" s="45"/>
      <c r="Y782" s="46">
        <f ca="1">IFERROR(__xludf.DUMMYFUNCTION("""COMPUTED_VALUE"""),45845)</f>
        <v>45845</v>
      </c>
      <c r="Z782" s="46">
        <f ca="1">IFERROR(__xludf.DUMMYFUNCTION("""COMPUTED_VALUE"""),45866)</f>
        <v>45866</v>
      </c>
      <c r="AA782" s="46">
        <f ca="1">IFERROR(__xludf.DUMMYFUNCTION("""COMPUTED_VALUE"""),45866)</f>
        <v>45866</v>
      </c>
      <c r="AB782" s="45" t="str">
        <f ca="1">IFERROR(__xludf.DUMMYFUNCTION("""COMPUTED_VALUE"""),"10A Faraday Ave")</f>
        <v>10A Faraday Ave</v>
      </c>
      <c r="AC782" s="45"/>
      <c r="AD782" s="45" t="str">
        <f ca="1">IFERROR(__xludf.DUMMYFUNCTION("""COMPUTED_VALUE"""),"OCEAN")</f>
        <v>OCEAN</v>
      </c>
      <c r="AE782" s="45" t="str">
        <f ca="1">IFERROR(__xludf.DUMMYFUNCTION("""COMPUTED_VALUE"""),"N")</f>
        <v>N</v>
      </c>
      <c r="AF782" s="45" t="str">
        <f ca="1">IFERROR(__xludf.DUMMYFUNCTION("""COMPUTED_VALUE"""),"New Booking")</f>
        <v>New Booking</v>
      </c>
      <c r="AG782" s="49" t="str">
        <f ca="1">IFERROR(__xludf.DUMMYFUNCTION("IFNA(vlookup(H782,IMPORTRANGE(""1vUGwO1n0QQGx9kKbO0_M5gmuhXZ6-LaxQxgrmJnzgP0"",""'TP# look up'!A:C""),3,0),"""")"),"")</f>
        <v/>
      </c>
      <c r="AH782" s="49" t="str">
        <f t="shared" ca="1" si="12"/>
        <v>LW</v>
      </c>
    </row>
    <row r="783" spans="1:34" ht="12.75">
      <c r="A783" s="45" t="str">
        <f ca="1">IFERROR(__xludf.DUMMYFUNCTION("""COMPUTED_VALUE"""),"Colombo")</f>
        <v>Colombo</v>
      </c>
      <c r="B783" s="45"/>
      <c r="C783" s="45">
        <f ca="1">IFERROR(__xludf.DUMMYFUNCTION("""COMPUTED_VALUE"""),3259522)</f>
        <v>3259522</v>
      </c>
      <c r="D783" s="45"/>
      <c r="E783" s="45" t="str">
        <f ca="1">IFERROR(__xludf.DUMMYFUNCTION("""COMPUTED_VALUE"""),"CFS")</f>
        <v>CFS</v>
      </c>
      <c r="F783" s="45" t="str">
        <f ca="1">IFERROR(__xludf.DUMMYFUNCTION("""COMPUTED_VALUE"""),"Inqube Global (PVT) Ltd")</f>
        <v>Inqube Global (PVT) Ltd</v>
      </c>
      <c r="G783" s="45" t="str">
        <f ca="1">IFERROR(__xludf.DUMMYFUNCTION("""COMPUTED_VALUE"""),"Brandix Apparel Solutions Limited - Minuwangoda")</f>
        <v>Brandix Apparel Solutions Limited - Minuwangoda</v>
      </c>
      <c r="H783" s="43">
        <f ca="1">IFERROR(__xludf.DUMMYFUNCTION("""COMPUTED_VALUE"""),456602263918)</f>
        <v>456602263918</v>
      </c>
      <c r="I783" s="45">
        <f ca="1">IFERROR(__xludf.DUMMYFUNCTION("""COMPUTED_VALUE"""),19854992)</f>
        <v>19854992</v>
      </c>
      <c r="J783" s="45" t="str">
        <f ca="1">IFERROR(__xludf.DUMMYFUNCTION("""COMPUTED_VALUE"""),"LW5GLNS")</f>
        <v>LW5GLNS</v>
      </c>
      <c r="K783" s="45" t="str">
        <f ca="1">IFERROR(__xludf.DUMMYFUNCTION("""COMPUTED_VALUE"""),"LW5GLNS-071150")</f>
        <v>LW5GLNS-071150</v>
      </c>
      <c r="L783" s="45">
        <f ca="1">IFERROR(__xludf.DUMMYFUNCTION("""COMPUTED_VALUE"""),4)</f>
        <v>4</v>
      </c>
      <c r="M783" s="45">
        <f ca="1">IFERROR(__xludf.DUMMYFUNCTION("""COMPUTED_VALUE"""),59)</f>
        <v>59</v>
      </c>
      <c r="N783" s="45">
        <f ca="1">IFERROR(__xludf.DUMMYFUNCTION("""COMPUTED_VALUE"""),31.44)</f>
        <v>31.44</v>
      </c>
      <c r="O783" s="45">
        <f ca="1">IFERROR(__xludf.DUMMYFUNCTION("""COMPUTED_VALUE"""),0.314)</f>
        <v>0.314</v>
      </c>
      <c r="P783" s="45" t="str">
        <f ca="1">IFERROR(__xludf.DUMMYFUNCTION("""COMPUTED_VALUE"""),"Colombo, LK")</f>
        <v>Colombo, LK</v>
      </c>
      <c r="Q783" s="45" t="str">
        <f ca="1">IFERROR(__xludf.DUMMYFUNCTION("""COMPUTED_VALUE"""),"Felixstowe, GB")</f>
        <v>Felixstowe, GB</v>
      </c>
      <c r="R783" s="44">
        <f ca="1">IFERROR(__xludf.DUMMYFUNCTION("""COMPUTED_VALUE"""),45838)</f>
        <v>45838</v>
      </c>
      <c r="S783" s="44">
        <f ca="1">IFERROR(__xludf.DUMMYFUNCTION("""COMPUTED_VALUE"""),45897)</f>
        <v>45897</v>
      </c>
      <c r="T783" s="45" t="str">
        <f ca="1">IFERROR(__xludf.DUMMYFUNCTION("""COMPUTED_VALUE"""),"Birmingham, GB")</f>
        <v>Birmingham, GB</v>
      </c>
      <c r="U783" s="45"/>
      <c r="V783" s="45"/>
      <c r="W783" s="45"/>
      <c r="X783" s="45"/>
      <c r="Y783" s="46">
        <f ca="1">IFERROR(__xludf.DUMMYFUNCTION("""COMPUTED_VALUE"""),45845)</f>
        <v>45845</v>
      </c>
      <c r="Z783" s="46">
        <f ca="1">IFERROR(__xludf.DUMMYFUNCTION("""COMPUTED_VALUE"""),45866)</f>
        <v>45866</v>
      </c>
      <c r="AA783" s="46">
        <f ca="1">IFERROR(__xludf.DUMMYFUNCTION("""COMPUTED_VALUE"""),45866)</f>
        <v>45866</v>
      </c>
      <c r="AB783" s="45" t="str">
        <f ca="1">IFERROR(__xludf.DUMMYFUNCTION("""COMPUTED_VALUE"""),"10A Faraday Ave")</f>
        <v>10A Faraday Ave</v>
      </c>
      <c r="AC783" s="45"/>
      <c r="AD783" s="45" t="str">
        <f ca="1">IFERROR(__xludf.DUMMYFUNCTION("""COMPUTED_VALUE"""),"OCEAN")</f>
        <v>OCEAN</v>
      </c>
      <c r="AE783" s="45" t="str">
        <f ca="1">IFERROR(__xludf.DUMMYFUNCTION("""COMPUTED_VALUE"""),"N")</f>
        <v>N</v>
      </c>
      <c r="AF783" s="45" t="str">
        <f ca="1">IFERROR(__xludf.DUMMYFUNCTION("""COMPUTED_VALUE"""),"New Booking")</f>
        <v>New Booking</v>
      </c>
      <c r="AG783" s="49" t="str">
        <f ca="1">IFERROR(__xludf.DUMMYFUNCTION("IFNA(vlookup(H783,IMPORTRANGE(""1vUGwO1n0QQGx9kKbO0_M5gmuhXZ6-LaxQxgrmJnzgP0"",""'TP# look up'!A:C""),3,0),"""")"),"")</f>
        <v/>
      </c>
      <c r="AH783" s="49" t="str">
        <f t="shared" ca="1" si="12"/>
        <v>LW</v>
      </c>
    </row>
    <row r="784" spans="1:34" ht="12.75">
      <c r="A784" s="45" t="str">
        <f ca="1">IFERROR(__xludf.DUMMYFUNCTION("""COMPUTED_VALUE"""),"Colombo")</f>
        <v>Colombo</v>
      </c>
      <c r="B784" s="45"/>
      <c r="C784" s="45">
        <f ca="1">IFERROR(__xludf.DUMMYFUNCTION("""COMPUTED_VALUE"""),3259522)</f>
        <v>3259522</v>
      </c>
      <c r="D784" s="45"/>
      <c r="E784" s="45" t="str">
        <f ca="1">IFERROR(__xludf.DUMMYFUNCTION("""COMPUTED_VALUE"""),"CFS")</f>
        <v>CFS</v>
      </c>
      <c r="F784" s="45" t="str">
        <f ca="1">IFERROR(__xludf.DUMMYFUNCTION("""COMPUTED_VALUE"""),"Inqube Global (PVT) Ltd")</f>
        <v>Inqube Global (PVT) Ltd</v>
      </c>
      <c r="G784" s="45" t="str">
        <f ca="1">IFERROR(__xludf.DUMMYFUNCTION("""COMPUTED_VALUE"""),"Brandix Apparel Solutions Limited - Minuwangoda")</f>
        <v>Brandix Apparel Solutions Limited - Minuwangoda</v>
      </c>
      <c r="H784" s="43">
        <f ca="1">IFERROR(__xludf.DUMMYFUNCTION("""COMPUTED_VALUE"""),456874860316)</f>
        <v>456874860316</v>
      </c>
      <c r="I784" s="45">
        <f ca="1">IFERROR(__xludf.DUMMYFUNCTION("""COMPUTED_VALUE"""),19854961)</f>
        <v>19854961</v>
      </c>
      <c r="J784" s="45" t="str">
        <f ca="1">IFERROR(__xludf.DUMMYFUNCTION("""COMPUTED_VALUE"""),"LW3ISMS")</f>
        <v>LW3ISMS</v>
      </c>
      <c r="K784" s="45" t="str">
        <f ca="1">IFERROR(__xludf.DUMMYFUNCTION("""COMPUTED_VALUE"""),"LW3ISMS-020392")</f>
        <v>LW3ISMS-020392</v>
      </c>
      <c r="L784" s="45">
        <f ca="1">IFERROR(__xludf.DUMMYFUNCTION("""COMPUTED_VALUE"""),6)</f>
        <v>6</v>
      </c>
      <c r="M784" s="45">
        <f ca="1">IFERROR(__xludf.DUMMYFUNCTION("""COMPUTED_VALUE"""),83)</f>
        <v>83</v>
      </c>
      <c r="N784" s="45">
        <f ca="1">IFERROR(__xludf.DUMMYFUNCTION("""COMPUTED_VALUE"""),26.515)</f>
        <v>26.515000000000001</v>
      </c>
      <c r="O784" s="45">
        <f ca="1">IFERROR(__xludf.DUMMYFUNCTION("""COMPUTED_VALUE"""),0.471)</f>
        <v>0.47099999999999997</v>
      </c>
      <c r="P784" s="45" t="str">
        <f ca="1">IFERROR(__xludf.DUMMYFUNCTION("""COMPUTED_VALUE"""),"Colombo, LK")</f>
        <v>Colombo, LK</v>
      </c>
      <c r="Q784" s="45" t="str">
        <f ca="1">IFERROR(__xludf.DUMMYFUNCTION("""COMPUTED_VALUE"""),"Felixstowe, GB")</f>
        <v>Felixstowe, GB</v>
      </c>
      <c r="R784" s="44">
        <f ca="1">IFERROR(__xludf.DUMMYFUNCTION("""COMPUTED_VALUE"""),45838)</f>
        <v>45838</v>
      </c>
      <c r="S784" s="44">
        <f ca="1">IFERROR(__xludf.DUMMYFUNCTION("""COMPUTED_VALUE"""),45897)</f>
        <v>45897</v>
      </c>
      <c r="T784" s="45" t="str">
        <f ca="1">IFERROR(__xludf.DUMMYFUNCTION("""COMPUTED_VALUE"""),"Birmingham, GB")</f>
        <v>Birmingham, GB</v>
      </c>
      <c r="U784" s="45"/>
      <c r="V784" s="45"/>
      <c r="W784" s="45"/>
      <c r="X784" s="45"/>
      <c r="Y784" s="46">
        <f ca="1">IFERROR(__xludf.DUMMYFUNCTION("""COMPUTED_VALUE"""),45845)</f>
        <v>45845</v>
      </c>
      <c r="Z784" s="46">
        <f ca="1">IFERROR(__xludf.DUMMYFUNCTION("""COMPUTED_VALUE"""),45866)</f>
        <v>45866</v>
      </c>
      <c r="AA784" s="46">
        <f ca="1">IFERROR(__xludf.DUMMYFUNCTION("""COMPUTED_VALUE"""),45866)</f>
        <v>45866</v>
      </c>
      <c r="AB784" s="45" t="str">
        <f ca="1">IFERROR(__xludf.DUMMYFUNCTION("""COMPUTED_VALUE"""),"10A Faraday Ave")</f>
        <v>10A Faraday Ave</v>
      </c>
      <c r="AC784" s="45"/>
      <c r="AD784" s="45" t="str">
        <f ca="1">IFERROR(__xludf.DUMMYFUNCTION("""COMPUTED_VALUE"""),"OCEAN")</f>
        <v>OCEAN</v>
      </c>
      <c r="AE784" s="45" t="str">
        <f ca="1">IFERROR(__xludf.DUMMYFUNCTION("""COMPUTED_VALUE"""),"N")</f>
        <v>N</v>
      </c>
      <c r="AF784" s="45" t="str">
        <f ca="1">IFERROR(__xludf.DUMMYFUNCTION("""COMPUTED_VALUE"""),"New Booking")</f>
        <v>New Booking</v>
      </c>
      <c r="AG784" s="49" t="str">
        <f ca="1">IFERROR(__xludf.DUMMYFUNCTION("IFNA(vlookup(H784,IMPORTRANGE(""1vUGwO1n0QQGx9kKbO0_M5gmuhXZ6-LaxQxgrmJnzgP0"",""'TP# look up'!A:C""),3,0),"""")"),"")</f>
        <v/>
      </c>
      <c r="AH784" s="49" t="str">
        <f t="shared" ca="1" si="12"/>
        <v>LW</v>
      </c>
    </row>
    <row r="785" spans="1:34" ht="12.75">
      <c r="A785" s="45" t="str">
        <f ca="1">IFERROR(__xludf.DUMMYFUNCTION("""COMPUTED_VALUE"""),"Colombo")</f>
        <v>Colombo</v>
      </c>
      <c r="B785" s="45"/>
      <c r="C785" s="45">
        <f ca="1">IFERROR(__xludf.DUMMYFUNCTION("""COMPUTED_VALUE"""),3259522)</f>
        <v>3259522</v>
      </c>
      <c r="D785" s="45"/>
      <c r="E785" s="45" t="str">
        <f ca="1">IFERROR(__xludf.DUMMYFUNCTION("""COMPUTED_VALUE"""),"CFS")</f>
        <v>CFS</v>
      </c>
      <c r="F785" s="45" t="str">
        <f ca="1">IFERROR(__xludf.DUMMYFUNCTION("""COMPUTED_VALUE"""),"Inqube Global (PVT) Ltd")</f>
        <v>Inqube Global (PVT) Ltd</v>
      </c>
      <c r="G785" s="45" t="str">
        <f ca="1">IFERROR(__xludf.DUMMYFUNCTION("""COMPUTED_VALUE"""),"Brandix Apparel Solutions Limited - Minuwangoda")</f>
        <v>Brandix Apparel Solutions Limited - Minuwangoda</v>
      </c>
      <c r="H785" s="43">
        <f ca="1">IFERROR(__xludf.DUMMYFUNCTION("""COMPUTED_VALUE"""),456881601600)</f>
        <v>456881601600</v>
      </c>
      <c r="I785" s="45">
        <f ca="1">IFERROR(__xludf.DUMMYFUNCTION("""COMPUTED_VALUE"""),19854959)</f>
        <v>19854959</v>
      </c>
      <c r="J785" s="45" t="str">
        <f ca="1">IFERROR(__xludf.DUMMYFUNCTION("""COMPUTED_VALUE"""),"LW3ISMS")</f>
        <v>LW3ISMS</v>
      </c>
      <c r="K785" s="45" t="str">
        <f ca="1">IFERROR(__xludf.DUMMYFUNCTION("""COMPUTED_VALUE"""),"LW3ISMS-020392")</f>
        <v>LW3ISMS-020392</v>
      </c>
      <c r="L785" s="45">
        <f ca="1">IFERROR(__xludf.DUMMYFUNCTION("""COMPUTED_VALUE"""),3)</f>
        <v>3</v>
      </c>
      <c r="M785" s="45">
        <f ca="1">IFERROR(__xludf.DUMMYFUNCTION("""COMPUTED_VALUE"""),24)</f>
        <v>24</v>
      </c>
      <c r="N785" s="45">
        <f ca="1">IFERROR(__xludf.DUMMYFUNCTION("""COMPUTED_VALUE"""),9.03)</f>
        <v>9.0299999999999994</v>
      </c>
      <c r="O785" s="45">
        <f ca="1">IFERROR(__xludf.DUMMYFUNCTION("""COMPUTED_VALUE"""),0.236)</f>
        <v>0.23599999999999999</v>
      </c>
      <c r="P785" s="45" t="str">
        <f ca="1">IFERROR(__xludf.DUMMYFUNCTION("""COMPUTED_VALUE"""),"Colombo, LK")</f>
        <v>Colombo, LK</v>
      </c>
      <c r="Q785" s="45" t="str">
        <f ca="1">IFERROR(__xludf.DUMMYFUNCTION("""COMPUTED_VALUE"""),"Felixstowe, GB")</f>
        <v>Felixstowe, GB</v>
      </c>
      <c r="R785" s="44">
        <f ca="1">IFERROR(__xludf.DUMMYFUNCTION("""COMPUTED_VALUE"""),45838)</f>
        <v>45838</v>
      </c>
      <c r="S785" s="44">
        <f ca="1">IFERROR(__xludf.DUMMYFUNCTION("""COMPUTED_VALUE"""),45897)</f>
        <v>45897</v>
      </c>
      <c r="T785" s="45" t="str">
        <f ca="1">IFERROR(__xludf.DUMMYFUNCTION("""COMPUTED_VALUE"""),"Birmingham, GB")</f>
        <v>Birmingham, GB</v>
      </c>
      <c r="U785" s="45"/>
      <c r="V785" s="45"/>
      <c r="W785" s="45"/>
      <c r="X785" s="45"/>
      <c r="Y785" s="46">
        <f ca="1">IFERROR(__xludf.DUMMYFUNCTION("""COMPUTED_VALUE"""),45845)</f>
        <v>45845</v>
      </c>
      <c r="Z785" s="46">
        <f ca="1">IFERROR(__xludf.DUMMYFUNCTION("""COMPUTED_VALUE"""),45866)</f>
        <v>45866</v>
      </c>
      <c r="AA785" s="46">
        <f ca="1">IFERROR(__xludf.DUMMYFUNCTION("""COMPUTED_VALUE"""),45866)</f>
        <v>45866</v>
      </c>
      <c r="AB785" s="45" t="str">
        <f ca="1">IFERROR(__xludf.DUMMYFUNCTION("""COMPUTED_VALUE"""),"10A Faraday Ave")</f>
        <v>10A Faraday Ave</v>
      </c>
      <c r="AC785" s="45"/>
      <c r="AD785" s="45" t="str">
        <f ca="1">IFERROR(__xludf.DUMMYFUNCTION("""COMPUTED_VALUE"""),"OCEAN")</f>
        <v>OCEAN</v>
      </c>
      <c r="AE785" s="45" t="str">
        <f ca="1">IFERROR(__xludf.DUMMYFUNCTION("""COMPUTED_VALUE"""),"N")</f>
        <v>N</v>
      </c>
      <c r="AF785" s="45" t="str">
        <f ca="1">IFERROR(__xludf.DUMMYFUNCTION("""COMPUTED_VALUE"""),"New Booking")</f>
        <v>New Booking</v>
      </c>
      <c r="AG785" s="49" t="str">
        <f ca="1">IFERROR(__xludf.DUMMYFUNCTION("IFNA(vlookup(H785,IMPORTRANGE(""1vUGwO1n0QQGx9kKbO0_M5gmuhXZ6-LaxQxgrmJnzgP0"",""'TP# look up'!A:C""),3,0),"""")"),"")</f>
        <v/>
      </c>
      <c r="AH785" s="49" t="str">
        <f t="shared" ca="1" si="12"/>
        <v>LW</v>
      </c>
    </row>
    <row r="786" spans="1:34" ht="12.75">
      <c r="A786" s="45" t="str">
        <f ca="1">IFERROR(__xludf.DUMMYFUNCTION("""COMPUTED_VALUE"""),"Colombo")</f>
        <v>Colombo</v>
      </c>
      <c r="B786" s="45"/>
      <c r="C786" s="45">
        <f ca="1">IFERROR(__xludf.DUMMYFUNCTION("""COMPUTED_VALUE"""),3259522)</f>
        <v>3259522</v>
      </c>
      <c r="D786" s="45"/>
      <c r="E786" s="45" t="str">
        <f ca="1">IFERROR(__xludf.DUMMYFUNCTION("""COMPUTED_VALUE"""),"CFS")</f>
        <v>CFS</v>
      </c>
      <c r="F786" s="45" t="str">
        <f ca="1">IFERROR(__xludf.DUMMYFUNCTION("""COMPUTED_VALUE"""),"Inqube Global (PVT) Ltd")</f>
        <v>Inqube Global (PVT) Ltd</v>
      </c>
      <c r="G786" s="45" t="str">
        <f ca="1">IFERROR(__xludf.DUMMYFUNCTION("""COMPUTED_VALUE"""),"BRANDIX APPAREL SOLUTION LTD - GIRITALE")</f>
        <v>BRANDIX APPAREL SOLUTION LTD - GIRITALE</v>
      </c>
      <c r="H786" s="43">
        <f ca="1">IFERROR(__xludf.DUMMYFUNCTION("""COMPUTED_VALUE"""),455637745125)</f>
        <v>455637745125</v>
      </c>
      <c r="I786" s="45">
        <f ca="1">IFERROR(__xludf.DUMMYFUNCTION("""COMPUTED_VALUE"""),19807130)</f>
        <v>19807130</v>
      </c>
      <c r="J786" s="45" t="str">
        <f ca="1">IFERROR(__xludf.DUMMYFUNCTION("""COMPUTED_VALUE"""),"LM5AXAS")</f>
        <v>LM5AXAS</v>
      </c>
      <c r="K786" s="45" t="str">
        <f ca="1">IFERROR(__xludf.DUMMYFUNCTION("""COMPUTED_VALUE"""),"LM5AXAS-031382")</f>
        <v>LM5AXAS-031382</v>
      </c>
      <c r="L786" s="45">
        <f ca="1">IFERROR(__xludf.DUMMYFUNCTION("""COMPUTED_VALUE"""),5)</f>
        <v>5</v>
      </c>
      <c r="M786" s="45">
        <f ca="1">IFERROR(__xludf.DUMMYFUNCTION("""COMPUTED_VALUE"""),159)</f>
        <v>159</v>
      </c>
      <c r="N786" s="45">
        <f ca="1">IFERROR(__xludf.DUMMYFUNCTION("""COMPUTED_VALUE"""),62.01)</f>
        <v>62.01</v>
      </c>
      <c r="O786" s="45">
        <f ca="1">IFERROR(__xludf.DUMMYFUNCTION("""COMPUTED_VALUE"""),0.413)</f>
        <v>0.41299999999999998</v>
      </c>
      <c r="P786" s="45" t="str">
        <f ca="1">IFERROR(__xludf.DUMMYFUNCTION("""COMPUTED_VALUE"""),"Colombo, LK")</f>
        <v>Colombo, LK</v>
      </c>
      <c r="Q786" s="45" t="str">
        <f ca="1">IFERROR(__xludf.DUMMYFUNCTION("""COMPUTED_VALUE"""),"Felixstowe, GB")</f>
        <v>Felixstowe, GB</v>
      </c>
      <c r="R786" s="44">
        <f ca="1">IFERROR(__xludf.DUMMYFUNCTION("""COMPUTED_VALUE"""),45838)</f>
        <v>45838</v>
      </c>
      <c r="S786" s="44">
        <f ca="1">IFERROR(__xludf.DUMMYFUNCTION("""COMPUTED_VALUE"""),45897)</f>
        <v>45897</v>
      </c>
      <c r="T786" s="45" t="str">
        <f ca="1">IFERROR(__xludf.DUMMYFUNCTION("""COMPUTED_VALUE"""),"Birmingham, GB")</f>
        <v>Birmingham, GB</v>
      </c>
      <c r="U786" s="45"/>
      <c r="V786" s="45"/>
      <c r="W786" s="45"/>
      <c r="X786" s="45"/>
      <c r="Y786" s="46">
        <f ca="1">IFERROR(__xludf.DUMMYFUNCTION("""COMPUTED_VALUE"""),45845)</f>
        <v>45845</v>
      </c>
      <c r="Z786" s="46">
        <f ca="1">IFERROR(__xludf.DUMMYFUNCTION("""COMPUTED_VALUE"""),45866)</f>
        <v>45866</v>
      </c>
      <c r="AA786" s="46">
        <f ca="1">IFERROR(__xludf.DUMMYFUNCTION("""COMPUTED_VALUE"""),45866)</f>
        <v>45866</v>
      </c>
      <c r="AB786" s="45" t="str">
        <f ca="1">IFERROR(__xludf.DUMMYFUNCTION("""COMPUTED_VALUE"""),"10A Faraday Ave")</f>
        <v>10A Faraday Ave</v>
      </c>
      <c r="AC786" s="45" t="str">
        <f ca="1">IFERROR(__xludf.DUMMYFUNCTION("""COMPUTED_VALUE"""),"Coleshill")</f>
        <v>Coleshill</v>
      </c>
      <c r="AD786" s="45" t="str">
        <f ca="1">IFERROR(__xludf.DUMMYFUNCTION("""COMPUTED_VALUE"""),"OCEAN")</f>
        <v>OCEAN</v>
      </c>
      <c r="AE786" s="45" t="str">
        <f ca="1">IFERROR(__xludf.DUMMYFUNCTION("""COMPUTED_VALUE"""),"N")</f>
        <v>N</v>
      </c>
      <c r="AF786" s="45" t="str">
        <f ca="1">IFERROR(__xludf.DUMMYFUNCTION("""COMPUTED_VALUE"""),"New Booking")</f>
        <v>New Booking</v>
      </c>
      <c r="AG786" s="49" t="str">
        <f ca="1">IFERROR(__xludf.DUMMYFUNCTION("IFNA(vlookup(H786,IMPORTRANGE(""1vUGwO1n0QQGx9kKbO0_M5gmuhXZ6-LaxQxgrmJnzgP0"",""'TP# look up'!A:C""),3,0),"""")"),"")</f>
        <v/>
      </c>
      <c r="AH786" s="49" t="str">
        <f t="shared" ca="1" si="12"/>
        <v>LM</v>
      </c>
    </row>
    <row r="787" spans="1:34" ht="12.75">
      <c r="A787" s="45" t="str">
        <f ca="1">IFERROR(__xludf.DUMMYFUNCTION("""COMPUTED_VALUE"""),"Colombo")</f>
        <v>Colombo</v>
      </c>
      <c r="B787" s="45"/>
      <c r="C787" s="45">
        <f ca="1">IFERROR(__xludf.DUMMYFUNCTION("""COMPUTED_VALUE"""),3259526)</f>
        <v>3259526</v>
      </c>
      <c r="D787" s="45"/>
      <c r="E787" s="45" t="str">
        <f ca="1">IFERROR(__xludf.DUMMYFUNCTION("""COMPUTED_VALUE"""),"CFS")</f>
        <v>CFS</v>
      </c>
      <c r="F787" s="45" t="str">
        <f ca="1">IFERROR(__xludf.DUMMYFUNCTION("""COMPUTED_VALUE"""),"Inqube Global (PVT) Ltd")</f>
        <v>Inqube Global (PVT) Ltd</v>
      </c>
      <c r="G787" s="45" t="str">
        <f ca="1">IFERROR(__xludf.DUMMYFUNCTION("""COMPUTED_VALUE"""),"BRANDIX APPAREL SOLUTION LTD - GIRITALE")</f>
        <v>BRANDIX APPAREL SOLUTION LTD - GIRITALE</v>
      </c>
      <c r="H787" s="43">
        <f ca="1">IFERROR(__xludf.DUMMYFUNCTION("""COMPUTED_VALUE"""),455637636012)</f>
        <v>455637636012</v>
      </c>
      <c r="I787" s="45">
        <f ca="1">IFERROR(__xludf.DUMMYFUNCTION("""COMPUTED_VALUE"""),19807100)</f>
        <v>19807100</v>
      </c>
      <c r="J787" s="45" t="str">
        <f ca="1">IFERROR(__xludf.DUMMYFUNCTION("""COMPUTED_VALUE"""),"LM5AO4S")</f>
        <v>LM5AO4S</v>
      </c>
      <c r="K787" s="45" t="str">
        <f ca="1">IFERROR(__xludf.DUMMYFUNCTION("""COMPUTED_VALUE"""),"LM5AO4S-019222")</f>
        <v>LM5AO4S-019222</v>
      </c>
      <c r="L787" s="45">
        <f ca="1">IFERROR(__xludf.DUMMYFUNCTION("""COMPUTED_VALUE"""),9)</f>
        <v>9</v>
      </c>
      <c r="M787" s="45">
        <f ca="1">IFERROR(__xludf.DUMMYFUNCTION("""COMPUTED_VALUE"""),355)</f>
        <v>355</v>
      </c>
      <c r="N787" s="45">
        <f ca="1">IFERROR(__xludf.DUMMYFUNCTION("""COMPUTED_VALUE"""),155.93)</f>
        <v>155.93</v>
      </c>
      <c r="O787" s="45">
        <f ca="1">IFERROR(__xludf.DUMMYFUNCTION("""COMPUTED_VALUE"""),0.743)</f>
        <v>0.74299999999999999</v>
      </c>
      <c r="P787" s="45" t="str">
        <f ca="1">IFERROR(__xludf.DUMMYFUNCTION("""COMPUTED_VALUE"""),"Colombo, LK")</f>
        <v>Colombo, LK</v>
      </c>
      <c r="Q787" s="45" t="str">
        <f ca="1">IFERROR(__xludf.DUMMYFUNCTION("""COMPUTED_VALUE"""),"Rotterdam, NL")</f>
        <v>Rotterdam, NL</v>
      </c>
      <c r="R787" s="44">
        <f ca="1">IFERROR(__xludf.DUMMYFUNCTION("""COMPUTED_VALUE"""),45838)</f>
        <v>45838</v>
      </c>
      <c r="S787" s="44">
        <f ca="1">IFERROR(__xludf.DUMMYFUNCTION("""COMPUTED_VALUE"""),45892)</f>
        <v>45892</v>
      </c>
      <c r="T787" s="45" t="str">
        <f ca="1">IFERROR(__xludf.DUMMYFUNCTION("""COMPUTED_VALUE"""),"Rotterdam, NL")</f>
        <v>Rotterdam, NL</v>
      </c>
      <c r="U787" s="45"/>
      <c r="V787" s="45"/>
      <c r="W787" s="45"/>
      <c r="X787" s="45"/>
      <c r="Y787" s="46">
        <f ca="1">IFERROR(__xludf.DUMMYFUNCTION("""COMPUTED_VALUE"""),45845)</f>
        <v>45845</v>
      </c>
      <c r="Z787" s="46">
        <f ca="1">IFERROR(__xludf.DUMMYFUNCTION("""COMPUTED_VALUE"""),45866)</f>
        <v>45866</v>
      </c>
      <c r="AA787" s="46">
        <f ca="1">IFERROR(__xludf.DUMMYFUNCTION("""COMPUTED_VALUE"""),45866)</f>
        <v>45866</v>
      </c>
      <c r="AB787" s="45" t="str">
        <f ca="1">IFERROR(__xludf.DUMMYFUNCTION("""COMPUTED_VALUE"""),"Conradweg 26")</f>
        <v>Conradweg 26</v>
      </c>
      <c r="AC787" s="45"/>
      <c r="AD787" s="45" t="str">
        <f ca="1">IFERROR(__xludf.DUMMYFUNCTION("""COMPUTED_VALUE"""),"OCEAN")</f>
        <v>OCEAN</v>
      </c>
      <c r="AE787" s="45" t="str">
        <f ca="1">IFERROR(__xludf.DUMMYFUNCTION("""COMPUTED_VALUE"""),"N")</f>
        <v>N</v>
      </c>
      <c r="AF787" s="45" t="str">
        <f ca="1">IFERROR(__xludf.DUMMYFUNCTION("""COMPUTED_VALUE"""),"New Booking")</f>
        <v>New Booking</v>
      </c>
      <c r="AG787" s="49" t="str">
        <f ca="1">IFERROR(__xludf.DUMMYFUNCTION("IFNA(vlookup(H787,IMPORTRANGE(""1vUGwO1n0QQGx9kKbO0_M5gmuhXZ6-LaxQxgrmJnzgP0"",""'TP# look up'!A:C""),3,0),"""")"),"")</f>
        <v/>
      </c>
      <c r="AH787" s="49" t="str">
        <f t="shared" ca="1" si="12"/>
        <v>LM</v>
      </c>
    </row>
    <row r="788" spans="1:34" ht="12.75">
      <c r="A788" s="45" t="str">
        <f ca="1">IFERROR(__xludf.DUMMYFUNCTION("""COMPUTED_VALUE"""),"Colombo")</f>
        <v>Colombo</v>
      </c>
      <c r="B788" s="45"/>
      <c r="C788" s="45">
        <f ca="1">IFERROR(__xludf.DUMMYFUNCTION("""COMPUTED_VALUE"""),3259526)</f>
        <v>3259526</v>
      </c>
      <c r="D788" s="45"/>
      <c r="E788" s="45" t="str">
        <f ca="1">IFERROR(__xludf.DUMMYFUNCTION("""COMPUTED_VALUE"""),"CFS")</f>
        <v>CFS</v>
      </c>
      <c r="F788" s="45" t="str">
        <f ca="1">IFERROR(__xludf.DUMMYFUNCTION("""COMPUTED_VALUE"""),"Inqube Global (PVT) Ltd")</f>
        <v>Inqube Global (PVT) Ltd</v>
      </c>
      <c r="G788" s="45" t="str">
        <f ca="1">IFERROR(__xludf.DUMMYFUNCTION("""COMPUTED_VALUE"""),"BRANDIX APPAREL SOLUTION LTD - GIRITALE")</f>
        <v>BRANDIX APPAREL SOLUTION LTD - GIRITALE</v>
      </c>
      <c r="H788" s="43">
        <f ca="1">IFERROR(__xludf.DUMMYFUNCTION("""COMPUTED_VALUE"""),455638478310)</f>
        <v>455638478310</v>
      </c>
      <c r="I788" s="45">
        <f ca="1">IFERROR(__xludf.DUMMYFUNCTION("""COMPUTED_VALUE"""),19807131)</f>
        <v>19807131</v>
      </c>
      <c r="J788" s="45" t="str">
        <f ca="1">IFERROR(__xludf.DUMMYFUNCTION("""COMPUTED_VALUE"""),"LM5AXAS")</f>
        <v>LM5AXAS</v>
      </c>
      <c r="K788" s="45" t="str">
        <f ca="1">IFERROR(__xludf.DUMMYFUNCTION("""COMPUTED_VALUE"""),"LM5AXAS-031382")</f>
        <v>LM5AXAS-031382</v>
      </c>
      <c r="L788" s="45">
        <f ca="1">IFERROR(__xludf.DUMMYFUNCTION("""COMPUTED_VALUE"""),3)</f>
        <v>3</v>
      </c>
      <c r="M788" s="45">
        <f ca="1">IFERROR(__xludf.DUMMYFUNCTION("""COMPUTED_VALUE"""),56)</f>
        <v>56</v>
      </c>
      <c r="N788" s="45">
        <f ca="1">IFERROR(__xludf.DUMMYFUNCTION("""COMPUTED_VALUE"""),26.39)</f>
        <v>26.39</v>
      </c>
      <c r="O788" s="45">
        <f ca="1">IFERROR(__xludf.DUMMYFUNCTION("""COMPUTED_VALUE"""),0.168)</f>
        <v>0.16800000000000001</v>
      </c>
      <c r="P788" s="45" t="str">
        <f ca="1">IFERROR(__xludf.DUMMYFUNCTION("""COMPUTED_VALUE"""),"Colombo, LK")</f>
        <v>Colombo, LK</v>
      </c>
      <c r="Q788" s="45" t="str">
        <f ca="1">IFERROR(__xludf.DUMMYFUNCTION("""COMPUTED_VALUE"""),"Rotterdam, NL")</f>
        <v>Rotterdam, NL</v>
      </c>
      <c r="R788" s="44">
        <f ca="1">IFERROR(__xludf.DUMMYFUNCTION("""COMPUTED_VALUE"""),45838)</f>
        <v>45838</v>
      </c>
      <c r="S788" s="44">
        <f ca="1">IFERROR(__xludf.DUMMYFUNCTION("""COMPUTED_VALUE"""),45892)</f>
        <v>45892</v>
      </c>
      <c r="T788" s="45" t="str">
        <f ca="1">IFERROR(__xludf.DUMMYFUNCTION("""COMPUTED_VALUE"""),"Rotterdam, NL")</f>
        <v>Rotterdam, NL</v>
      </c>
      <c r="U788" s="45"/>
      <c r="V788" s="45"/>
      <c r="W788" s="45"/>
      <c r="X788" s="45"/>
      <c r="Y788" s="46">
        <f ca="1">IFERROR(__xludf.DUMMYFUNCTION("""COMPUTED_VALUE"""),45845)</f>
        <v>45845</v>
      </c>
      <c r="Z788" s="46">
        <f ca="1">IFERROR(__xludf.DUMMYFUNCTION("""COMPUTED_VALUE"""),45866)</f>
        <v>45866</v>
      </c>
      <c r="AA788" s="46">
        <f ca="1">IFERROR(__xludf.DUMMYFUNCTION("""COMPUTED_VALUE"""),45866)</f>
        <v>45866</v>
      </c>
      <c r="AB788" s="45" t="str">
        <f ca="1">IFERROR(__xludf.DUMMYFUNCTION("""COMPUTED_VALUE"""),"Conradweg 26")</f>
        <v>Conradweg 26</v>
      </c>
      <c r="AC788" s="45"/>
      <c r="AD788" s="45" t="str">
        <f ca="1">IFERROR(__xludf.DUMMYFUNCTION("""COMPUTED_VALUE"""),"OCEAN")</f>
        <v>OCEAN</v>
      </c>
      <c r="AE788" s="45" t="str">
        <f ca="1">IFERROR(__xludf.DUMMYFUNCTION("""COMPUTED_VALUE"""),"N")</f>
        <v>N</v>
      </c>
      <c r="AF788" s="45" t="str">
        <f ca="1">IFERROR(__xludf.DUMMYFUNCTION("""COMPUTED_VALUE"""),"New Booking")</f>
        <v>New Booking</v>
      </c>
      <c r="AG788" s="49" t="str">
        <f ca="1">IFERROR(__xludf.DUMMYFUNCTION("IFNA(vlookup(H788,IMPORTRANGE(""1vUGwO1n0QQGx9kKbO0_M5gmuhXZ6-LaxQxgrmJnzgP0"",""'TP# look up'!A:C""),3,0),"""")"),"")</f>
        <v/>
      </c>
      <c r="AH788" s="49" t="str">
        <f t="shared" ca="1" si="12"/>
        <v>LM</v>
      </c>
    </row>
    <row r="789" spans="1:34" ht="12.75">
      <c r="A789" s="45" t="str">
        <f ca="1">IFERROR(__xludf.DUMMYFUNCTION("""COMPUTED_VALUE"""),"Colombo")</f>
        <v>Colombo</v>
      </c>
      <c r="B789" s="45"/>
      <c r="C789" s="45">
        <f ca="1">IFERROR(__xludf.DUMMYFUNCTION("""COMPUTED_VALUE"""),3259526)</f>
        <v>3259526</v>
      </c>
      <c r="D789" s="45"/>
      <c r="E789" s="45" t="str">
        <f ca="1">IFERROR(__xludf.DUMMYFUNCTION("""COMPUTED_VALUE"""),"CFS")</f>
        <v>CFS</v>
      </c>
      <c r="F789" s="45" t="str">
        <f ca="1">IFERROR(__xludf.DUMMYFUNCTION("""COMPUTED_VALUE"""),"Inqube Global (PVT) Ltd")</f>
        <v>Inqube Global (PVT) Ltd</v>
      </c>
      <c r="G789" s="45" t="str">
        <f ca="1">IFERROR(__xludf.DUMMYFUNCTION("""COMPUTED_VALUE"""),"BRANDIX APPAREL SOLUTION LTD - GIRITALE")</f>
        <v>BRANDIX APPAREL SOLUTION LTD - GIRITALE</v>
      </c>
      <c r="H789" s="43">
        <f ca="1">IFERROR(__xludf.DUMMYFUNCTION("""COMPUTED_VALUE"""),455638790916)</f>
        <v>455638790916</v>
      </c>
      <c r="I789" s="45">
        <f ca="1">IFERROR(__xludf.DUMMYFUNCTION("""COMPUTED_VALUE"""),19807129)</f>
        <v>19807129</v>
      </c>
      <c r="J789" s="45" t="str">
        <f ca="1">IFERROR(__xludf.DUMMYFUNCTION("""COMPUTED_VALUE"""),"LM5AXAS")</f>
        <v>LM5AXAS</v>
      </c>
      <c r="K789" s="45" t="str">
        <f ca="1">IFERROR(__xludf.DUMMYFUNCTION("""COMPUTED_VALUE"""),"LM5AXAS-031382")</f>
        <v>LM5AXAS-031382</v>
      </c>
      <c r="L789" s="45">
        <f ca="1">IFERROR(__xludf.DUMMYFUNCTION("""COMPUTED_VALUE"""),6)</f>
        <v>6</v>
      </c>
      <c r="M789" s="45">
        <f ca="1">IFERROR(__xludf.DUMMYFUNCTION("""COMPUTED_VALUE"""),205)</f>
        <v>205</v>
      </c>
      <c r="N789" s="45">
        <f ca="1">IFERROR(__xludf.DUMMYFUNCTION("""COMPUTED_VALUE"""),79.17)</f>
        <v>79.17</v>
      </c>
      <c r="O789" s="45">
        <f ca="1">IFERROR(__xludf.DUMMYFUNCTION("""COMPUTED_VALUE"""),0.455)</f>
        <v>0.45500000000000002</v>
      </c>
      <c r="P789" s="45" t="str">
        <f ca="1">IFERROR(__xludf.DUMMYFUNCTION("""COMPUTED_VALUE"""),"Colombo, LK")</f>
        <v>Colombo, LK</v>
      </c>
      <c r="Q789" s="45" t="str">
        <f ca="1">IFERROR(__xludf.DUMMYFUNCTION("""COMPUTED_VALUE"""),"Rotterdam, NL")</f>
        <v>Rotterdam, NL</v>
      </c>
      <c r="R789" s="44">
        <f ca="1">IFERROR(__xludf.DUMMYFUNCTION("""COMPUTED_VALUE"""),45838)</f>
        <v>45838</v>
      </c>
      <c r="S789" s="44">
        <f ca="1">IFERROR(__xludf.DUMMYFUNCTION("""COMPUTED_VALUE"""),45892)</f>
        <v>45892</v>
      </c>
      <c r="T789" s="45" t="str">
        <f ca="1">IFERROR(__xludf.DUMMYFUNCTION("""COMPUTED_VALUE"""),"Rotterdam, NL")</f>
        <v>Rotterdam, NL</v>
      </c>
      <c r="U789" s="45"/>
      <c r="V789" s="45"/>
      <c r="W789" s="45"/>
      <c r="X789" s="45"/>
      <c r="Y789" s="46">
        <f ca="1">IFERROR(__xludf.DUMMYFUNCTION("""COMPUTED_VALUE"""),45845)</f>
        <v>45845</v>
      </c>
      <c r="Z789" s="46">
        <f ca="1">IFERROR(__xludf.DUMMYFUNCTION("""COMPUTED_VALUE"""),45866)</f>
        <v>45866</v>
      </c>
      <c r="AA789" s="46">
        <f ca="1">IFERROR(__xludf.DUMMYFUNCTION("""COMPUTED_VALUE"""),45866)</f>
        <v>45866</v>
      </c>
      <c r="AB789" s="45" t="str">
        <f ca="1">IFERROR(__xludf.DUMMYFUNCTION("""COMPUTED_VALUE"""),"Conradweg 26")</f>
        <v>Conradweg 26</v>
      </c>
      <c r="AC789" s="45"/>
      <c r="AD789" s="45" t="str">
        <f ca="1">IFERROR(__xludf.DUMMYFUNCTION("""COMPUTED_VALUE"""),"OCEAN")</f>
        <v>OCEAN</v>
      </c>
      <c r="AE789" s="45" t="str">
        <f ca="1">IFERROR(__xludf.DUMMYFUNCTION("""COMPUTED_VALUE"""),"N")</f>
        <v>N</v>
      </c>
      <c r="AF789" s="45" t="str">
        <f ca="1">IFERROR(__xludf.DUMMYFUNCTION("""COMPUTED_VALUE"""),"New Booking")</f>
        <v>New Booking</v>
      </c>
      <c r="AG789" s="49" t="str">
        <f ca="1">IFERROR(__xludf.DUMMYFUNCTION("IFNA(vlookup(H789,IMPORTRANGE(""1vUGwO1n0QQGx9kKbO0_M5gmuhXZ6-LaxQxgrmJnzgP0"",""'TP# look up'!A:C""),3,0),"""")"),"")</f>
        <v/>
      </c>
      <c r="AH789" s="49" t="str">
        <f t="shared" ca="1" si="12"/>
        <v>LM</v>
      </c>
    </row>
    <row r="790" spans="1:34" ht="12.75">
      <c r="A790" s="45" t="str">
        <f ca="1">IFERROR(__xludf.DUMMYFUNCTION("""COMPUTED_VALUE"""),"Colombo")</f>
        <v>Colombo</v>
      </c>
      <c r="B790" s="45"/>
      <c r="C790" s="45">
        <f ca="1">IFERROR(__xludf.DUMMYFUNCTION("""COMPUTED_VALUE"""),3259526)</f>
        <v>3259526</v>
      </c>
      <c r="D790" s="45"/>
      <c r="E790" s="45" t="str">
        <f ca="1">IFERROR(__xludf.DUMMYFUNCTION("""COMPUTED_VALUE"""),"CFS")</f>
        <v>CFS</v>
      </c>
      <c r="F790" s="45" t="str">
        <f ca="1">IFERROR(__xludf.DUMMYFUNCTION("""COMPUTED_VALUE"""),"Inqube Global (PVT) Ltd")</f>
        <v>Inqube Global (PVT) Ltd</v>
      </c>
      <c r="G790" s="45" t="str">
        <f ca="1">IFERROR(__xludf.DUMMYFUNCTION("""COMPUTED_VALUE"""),"BRANDIX APPAREL SOLUTION LTD - GIRITALE")</f>
        <v>BRANDIX APPAREL SOLUTION LTD - GIRITALE</v>
      </c>
      <c r="H790" s="43">
        <f ca="1">IFERROR(__xludf.DUMMYFUNCTION("""COMPUTED_VALUE"""),456037815407)</f>
        <v>456037815407</v>
      </c>
      <c r="I790" s="45">
        <f ca="1">IFERROR(__xludf.DUMMYFUNCTION("""COMPUTED_VALUE"""),19807133)</f>
        <v>19807133</v>
      </c>
      <c r="J790" s="45" t="str">
        <f ca="1">IFERROR(__xludf.DUMMYFUNCTION("""COMPUTED_VALUE"""),"LM5AXAS")</f>
        <v>LM5AXAS</v>
      </c>
      <c r="K790" s="45" t="str">
        <f ca="1">IFERROR(__xludf.DUMMYFUNCTION("""COMPUTED_VALUE"""),"LM5AXAS-019222")</f>
        <v>LM5AXAS-019222</v>
      </c>
      <c r="L790" s="45">
        <f ca="1">IFERROR(__xludf.DUMMYFUNCTION("""COMPUTED_VALUE"""),2)</f>
        <v>2</v>
      </c>
      <c r="M790" s="45">
        <f ca="1">IFERROR(__xludf.DUMMYFUNCTION("""COMPUTED_VALUE"""),44)</f>
        <v>44</v>
      </c>
      <c r="N790" s="45">
        <f ca="1">IFERROR(__xludf.DUMMYFUNCTION("""COMPUTED_VALUE"""),20.49)</f>
        <v>20.49</v>
      </c>
      <c r="O790" s="45">
        <f ca="1">IFERROR(__xludf.DUMMYFUNCTION("""COMPUTED_VALUE"""),0.125)</f>
        <v>0.125</v>
      </c>
      <c r="P790" s="45" t="str">
        <f ca="1">IFERROR(__xludf.DUMMYFUNCTION("""COMPUTED_VALUE"""),"Colombo, LK")</f>
        <v>Colombo, LK</v>
      </c>
      <c r="Q790" s="45" t="str">
        <f ca="1">IFERROR(__xludf.DUMMYFUNCTION("""COMPUTED_VALUE"""),"Rotterdam, NL")</f>
        <v>Rotterdam, NL</v>
      </c>
      <c r="R790" s="44">
        <f ca="1">IFERROR(__xludf.DUMMYFUNCTION("""COMPUTED_VALUE"""),45838)</f>
        <v>45838</v>
      </c>
      <c r="S790" s="44">
        <f ca="1">IFERROR(__xludf.DUMMYFUNCTION("""COMPUTED_VALUE"""),45892)</f>
        <v>45892</v>
      </c>
      <c r="T790" s="45" t="str">
        <f ca="1">IFERROR(__xludf.DUMMYFUNCTION("""COMPUTED_VALUE"""),"Rotterdam, NL")</f>
        <v>Rotterdam, NL</v>
      </c>
      <c r="U790" s="45"/>
      <c r="V790" s="45"/>
      <c r="W790" s="45"/>
      <c r="X790" s="45"/>
      <c r="Y790" s="46">
        <f ca="1">IFERROR(__xludf.DUMMYFUNCTION("""COMPUTED_VALUE"""),45845)</f>
        <v>45845</v>
      </c>
      <c r="Z790" s="46">
        <f ca="1">IFERROR(__xludf.DUMMYFUNCTION("""COMPUTED_VALUE"""),45866)</f>
        <v>45866</v>
      </c>
      <c r="AA790" s="46">
        <f ca="1">IFERROR(__xludf.DUMMYFUNCTION("""COMPUTED_VALUE"""),45866)</f>
        <v>45866</v>
      </c>
      <c r="AB790" s="45" t="str">
        <f ca="1">IFERROR(__xludf.DUMMYFUNCTION("""COMPUTED_VALUE"""),"Conradweg 26")</f>
        <v>Conradweg 26</v>
      </c>
      <c r="AC790" s="45"/>
      <c r="AD790" s="45" t="str">
        <f ca="1">IFERROR(__xludf.DUMMYFUNCTION("""COMPUTED_VALUE"""),"OCEAN")</f>
        <v>OCEAN</v>
      </c>
      <c r="AE790" s="45" t="str">
        <f ca="1">IFERROR(__xludf.DUMMYFUNCTION("""COMPUTED_VALUE"""),"N")</f>
        <v>N</v>
      </c>
      <c r="AF790" s="45" t="str">
        <f ca="1">IFERROR(__xludf.DUMMYFUNCTION("""COMPUTED_VALUE"""),"New Booking")</f>
        <v>New Booking</v>
      </c>
      <c r="AG790" s="49" t="str">
        <f ca="1">IFERROR(__xludf.DUMMYFUNCTION("IFNA(vlookup(H790,IMPORTRANGE(""1vUGwO1n0QQGx9kKbO0_M5gmuhXZ6-LaxQxgrmJnzgP0"",""'TP# look up'!A:C""),3,0),"""")"),"")</f>
        <v/>
      </c>
      <c r="AH790" s="49" t="str">
        <f t="shared" ca="1" si="12"/>
        <v>LM</v>
      </c>
    </row>
    <row r="791" spans="1:34" ht="12.75">
      <c r="A791" s="45" t="str">
        <f ca="1">IFERROR(__xludf.DUMMYFUNCTION("""COMPUTED_VALUE"""),"Colombo")</f>
        <v>Colombo</v>
      </c>
      <c r="B791" s="45"/>
      <c r="C791" s="45">
        <f ca="1">IFERROR(__xludf.DUMMYFUNCTION("""COMPUTED_VALUE"""),3259526)</f>
        <v>3259526</v>
      </c>
      <c r="D791" s="45"/>
      <c r="E791" s="45" t="str">
        <f ca="1">IFERROR(__xludf.DUMMYFUNCTION("""COMPUTED_VALUE"""),"CFS")</f>
        <v>CFS</v>
      </c>
      <c r="F791" s="45" t="str">
        <f ca="1">IFERROR(__xludf.DUMMYFUNCTION("""COMPUTED_VALUE"""),"Inqube Global (PVT) Ltd")</f>
        <v>Inqube Global (PVT) Ltd</v>
      </c>
      <c r="G791" s="45" t="str">
        <f ca="1">IFERROR(__xludf.DUMMYFUNCTION("""COMPUTED_VALUE"""),"BRANDIX APPAREL SOLUTION LTD - GIRITALE")</f>
        <v>BRANDIX APPAREL SOLUTION LTD - GIRITALE</v>
      </c>
      <c r="H791" s="43">
        <f ca="1">IFERROR(__xludf.DUMMYFUNCTION("""COMPUTED_VALUE"""),456040039721)</f>
        <v>456040039721</v>
      </c>
      <c r="I791" s="45">
        <f ca="1">IFERROR(__xludf.DUMMYFUNCTION("""COMPUTED_VALUE"""),19807137)</f>
        <v>19807137</v>
      </c>
      <c r="J791" s="45" t="str">
        <f ca="1">IFERROR(__xludf.DUMMYFUNCTION("""COMPUTED_VALUE"""),"LM5AXAS")</f>
        <v>LM5AXAS</v>
      </c>
      <c r="K791" s="45" t="str">
        <f ca="1">IFERROR(__xludf.DUMMYFUNCTION("""COMPUTED_VALUE"""),"LM5AXAS-070108")</f>
        <v>LM5AXAS-070108</v>
      </c>
      <c r="L791" s="45">
        <f ca="1">IFERROR(__xludf.DUMMYFUNCTION("""COMPUTED_VALUE"""),1)</f>
        <v>1</v>
      </c>
      <c r="M791" s="45">
        <f ca="1">IFERROR(__xludf.DUMMYFUNCTION("""COMPUTED_VALUE"""),31)</f>
        <v>31</v>
      </c>
      <c r="N791" s="45">
        <f ca="1">IFERROR(__xludf.DUMMYFUNCTION("""COMPUTED_VALUE"""),14.19)</f>
        <v>14.19</v>
      </c>
      <c r="O791" s="45">
        <f ca="1">IFERROR(__xludf.DUMMYFUNCTION("""COMPUTED_VALUE"""),0.083)</f>
        <v>8.3000000000000004E-2</v>
      </c>
      <c r="P791" s="45" t="str">
        <f ca="1">IFERROR(__xludf.DUMMYFUNCTION("""COMPUTED_VALUE"""),"Colombo, LK")</f>
        <v>Colombo, LK</v>
      </c>
      <c r="Q791" s="45" t="str">
        <f ca="1">IFERROR(__xludf.DUMMYFUNCTION("""COMPUTED_VALUE"""),"Rotterdam, NL")</f>
        <v>Rotterdam, NL</v>
      </c>
      <c r="R791" s="44">
        <f ca="1">IFERROR(__xludf.DUMMYFUNCTION("""COMPUTED_VALUE"""),45838)</f>
        <v>45838</v>
      </c>
      <c r="S791" s="44">
        <f ca="1">IFERROR(__xludf.DUMMYFUNCTION("""COMPUTED_VALUE"""),45892)</f>
        <v>45892</v>
      </c>
      <c r="T791" s="45" t="str">
        <f ca="1">IFERROR(__xludf.DUMMYFUNCTION("""COMPUTED_VALUE"""),"Rotterdam, NL")</f>
        <v>Rotterdam, NL</v>
      </c>
      <c r="U791" s="45"/>
      <c r="V791" s="45"/>
      <c r="W791" s="45"/>
      <c r="X791" s="45"/>
      <c r="Y791" s="46">
        <f ca="1">IFERROR(__xludf.DUMMYFUNCTION("""COMPUTED_VALUE"""),45845)</f>
        <v>45845</v>
      </c>
      <c r="Z791" s="46">
        <f ca="1">IFERROR(__xludf.DUMMYFUNCTION("""COMPUTED_VALUE"""),45866)</f>
        <v>45866</v>
      </c>
      <c r="AA791" s="46">
        <f ca="1">IFERROR(__xludf.DUMMYFUNCTION("""COMPUTED_VALUE"""),45866)</f>
        <v>45866</v>
      </c>
      <c r="AB791" s="45" t="str">
        <f ca="1">IFERROR(__xludf.DUMMYFUNCTION("""COMPUTED_VALUE"""),"Conradweg 26")</f>
        <v>Conradweg 26</v>
      </c>
      <c r="AC791" s="45"/>
      <c r="AD791" s="45" t="str">
        <f ca="1">IFERROR(__xludf.DUMMYFUNCTION("""COMPUTED_VALUE"""),"OCEAN")</f>
        <v>OCEAN</v>
      </c>
      <c r="AE791" s="45" t="str">
        <f ca="1">IFERROR(__xludf.DUMMYFUNCTION("""COMPUTED_VALUE"""),"N")</f>
        <v>N</v>
      </c>
      <c r="AF791" s="45" t="str">
        <f ca="1">IFERROR(__xludf.DUMMYFUNCTION("""COMPUTED_VALUE"""),"New Booking")</f>
        <v>New Booking</v>
      </c>
      <c r="AG791" s="49" t="str">
        <f ca="1">IFERROR(__xludf.DUMMYFUNCTION("IFNA(vlookup(H791,IMPORTRANGE(""1vUGwO1n0QQGx9kKbO0_M5gmuhXZ6-LaxQxgrmJnzgP0"",""'TP# look up'!A:C""),3,0),"""")"),"")</f>
        <v/>
      </c>
      <c r="AH791" s="49" t="str">
        <f t="shared" ca="1" si="12"/>
        <v>LM</v>
      </c>
    </row>
    <row r="792" spans="1:34" ht="12.75">
      <c r="A792" s="45" t="str">
        <f ca="1">IFERROR(__xludf.DUMMYFUNCTION("""COMPUTED_VALUE"""),"Colombo")</f>
        <v>Colombo</v>
      </c>
      <c r="B792" s="45"/>
      <c r="C792" s="45">
        <f ca="1">IFERROR(__xludf.DUMMYFUNCTION("""COMPUTED_VALUE"""),3259526)</f>
        <v>3259526</v>
      </c>
      <c r="D792" s="45"/>
      <c r="E792" s="45" t="str">
        <f ca="1">IFERROR(__xludf.DUMMYFUNCTION("""COMPUTED_VALUE"""),"CFS")</f>
        <v>CFS</v>
      </c>
      <c r="F792" s="45" t="str">
        <f ca="1">IFERROR(__xludf.DUMMYFUNCTION("""COMPUTED_VALUE"""),"Inqube Global (PVT) Ltd")</f>
        <v>Inqube Global (PVT) Ltd</v>
      </c>
      <c r="G792" s="45" t="str">
        <f ca="1">IFERROR(__xludf.DUMMYFUNCTION("""COMPUTED_VALUE"""),"BRANDIX APPAREL SOLUTION LTD - GIRITALE")</f>
        <v>BRANDIX APPAREL SOLUTION LTD - GIRITALE</v>
      </c>
      <c r="H792" s="43">
        <f ca="1">IFERROR(__xludf.DUMMYFUNCTION("""COMPUTED_VALUE"""),456041080650)</f>
        <v>456041080650</v>
      </c>
      <c r="I792" s="45">
        <f ca="1">IFERROR(__xludf.DUMMYFUNCTION("""COMPUTED_VALUE"""),19807144)</f>
        <v>19807144</v>
      </c>
      <c r="J792" s="45" t="str">
        <f ca="1">IFERROR(__xludf.DUMMYFUNCTION("""COMPUTED_VALUE"""),"LM5BKOS")</f>
        <v>LM5BKOS</v>
      </c>
      <c r="K792" s="45" t="str">
        <f ca="1">IFERROR(__xludf.DUMMYFUNCTION("""COMPUTED_VALUE"""),"LM5BKOS-031382")</f>
        <v>LM5BKOS-031382</v>
      </c>
      <c r="L792" s="45">
        <f ca="1">IFERROR(__xludf.DUMMYFUNCTION("""COMPUTED_VALUE"""),6)</f>
        <v>6</v>
      </c>
      <c r="M792" s="45">
        <f ca="1">IFERROR(__xludf.DUMMYFUNCTION("""COMPUTED_VALUE"""),205)</f>
        <v>205</v>
      </c>
      <c r="N792" s="45">
        <f ca="1">IFERROR(__xludf.DUMMYFUNCTION("""COMPUTED_VALUE"""),81.79)</f>
        <v>81.790000000000006</v>
      </c>
      <c r="O792" s="45">
        <f ca="1">IFERROR(__xludf.DUMMYFUNCTION("""COMPUTED_VALUE"""),0.455)</f>
        <v>0.45500000000000002</v>
      </c>
      <c r="P792" s="45" t="str">
        <f ca="1">IFERROR(__xludf.DUMMYFUNCTION("""COMPUTED_VALUE"""),"Colombo, LK")</f>
        <v>Colombo, LK</v>
      </c>
      <c r="Q792" s="45" t="str">
        <f ca="1">IFERROR(__xludf.DUMMYFUNCTION("""COMPUTED_VALUE"""),"Rotterdam, NL")</f>
        <v>Rotterdam, NL</v>
      </c>
      <c r="R792" s="44">
        <f ca="1">IFERROR(__xludf.DUMMYFUNCTION("""COMPUTED_VALUE"""),45838)</f>
        <v>45838</v>
      </c>
      <c r="S792" s="44">
        <f ca="1">IFERROR(__xludf.DUMMYFUNCTION("""COMPUTED_VALUE"""),45892)</f>
        <v>45892</v>
      </c>
      <c r="T792" s="45" t="str">
        <f ca="1">IFERROR(__xludf.DUMMYFUNCTION("""COMPUTED_VALUE"""),"Rotterdam, NL")</f>
        <v>Rotterdam, NL</v>
      </c>
      <c r="U792" s="45"/>
      <c r="V792" s="45"/>
      <c r="W792" s="45"/>
      <c r="X792" s="45"/>
      <c r="Y792" s="46">
        <f ca="1">IFERROR(__xludf.DUMMYFUNCTION("""COMPUTED_VALUE"""),45845)</f>
        <v>45845</v>
      </c>
      <c r="Z792" s="46">
        <f ca="1">IFERROR(__xludf.DUMMYFUNCTION("""COMPUTED_VALUE"""),45866)</f>
        <v>45866</v>
      </c>
      <c r="AA792" s="46">
        <f ca="1">IFERROR(__xludf.DUMMYFUNCTION("""COMPUTED_VALUE"""),45866)</f>
        <v>45866</v>
      </c>
      <c r="AB792" s="45" t="str">
        <f ca="1">IFERROR(__xludf.DUMMYFUNCTION("""COMPUTED_VALUE"""),"Conradweg 26")</f>
        <v>Conradweg 26</v>
      </c>
      <c r="AC792" s="45"/>
      <c r="AD792" s="45" t="str">
        <f ca="1">IFERROR(__xludf.DUMMYFUNCTION("""COMPUTED_VALUE"""),"OCEAN")</f>
        <v>OCEAN</v>
      </c>
      <c r="AE792" s="45" t="str">
        <f ca="1">IFERROR(__xludf.DUMMYFUNCTION("""COMPUTED_VALUE"""),"N")</f>
        <v>N</v>
      </c>
      <c r="AF792" s="45" t="str">
        <f ca="1">IFERROR(__xludf.DUMMYFUNCTION("""COMPUTED_VALUE"""),"New Booking")</f>
        <v>New Booking</v>
      </c>
      <c r="AG792" s="49" t="str">
        <f ca="1">IFERROR(__xludf.DUMMYFUNCTION("IFNA(vlookup(H792,IMPORTRANGE(""1vUGwO1n0QQGx9kKbO0_M5gmuhXZ6-LaxQxgrmJnzgP0"",""'TP# look up'!A:C""),3,0),"""")"),"")</f>
        <v/>
      </c>
      <c r="AH792" s="49" t="str">
        <f t="shared" ca="1" si="12"/>
        <v>LM</v>
      </c>
    </row>
    <row r="793" spans="1:34" ht="12.75">
      <c r="A793" s="45" t="str">
        <f ca="1">IFERROR(__xludf.DUMMYFUNCTION("""COMPUTED_VALUE"""),"Colombo")</f>
        <v>Colombo</v>
      </c>
      <c r="B793" s="45"/>
      <c r="C793" s="45">
        <f ca="1">IFERROR(__xludf.DUMMYFUNCTION("""COMPUTED_VALUE"""),3259526)</f>
        <v>3259526</v>
      </c>
      <c r="D793" s="45"/>
      <c r="E793" s="45" t="str">
        <f ca="1">IFERROR(__xludf.DUMMYFUNCTION("""COMPUTED_VALUE"""),"CFS")</f>
        <v>CFS</v>
      </c>
      <c r="F793" s="45" t="str">
        <f ca="1">IFERROR(__xludf.DUMMYFUNCTION("""COMPUTED_VALUE"""),"Inqube Global (PVT) Ltd")</f>
        <v>Inqube Global (PVT) Ltd</v>
      </c>
      <c r="G793" s="45" t="str">
        <f ca="1">IFERROR(__xludf.DUMMYFUNCTION("""COMPUTED_VALUE"""),"Brandix Apparel Solutions Limited - Minuwangoda")</f>
        <v>Brandix Apparel Solutions Limited - Minuwangoda</v>
      </c>
      <c r="H793" s="43">
        <f ca="1">IFERROR(__xludf.DUMMYFUNCTION("""COMPUTED_VALUE"""),456006286093)</f>
        <v>456006286093</v>
      </c>
      <c r="I793" s="45">
        <f ca="1">IFERROR(__xludf.DUMMYFUNCTION("""COMPUTED_VALUE"""),19854989)</f>
        <v>19854989</v>
      </c>
      <c r="J793" s="45" t="str">
        <f ca="1">IFERROR(__xludf.DUMMYFUNCTION("""COMPUTED_VALUE"""),"LW5GLNS")</f>
        <v>LW5GLNS</v>
      </c>
      <c r="K793" s="45" t="str">
        <f ca="1">IFERROR(__xludf.DUMMYFUNCTION("""COMPUTED_VALUE"""),"LW5GLNS-071150")</f>
        <v>LW5GLNS-071150</v>
      </c>
      <c r="L793" s="45">
        <f ca="1">IFERROR(__xludf.DUMMYFUNCTION("""COMPUTED_VALUE"""),15)</f>
        <v>15</v>
      </c>
      <c r="M793" s="45">
        <f ca="1">IFERROR(__xludf.DUMMYFUNCTION("""COMPUTED_VALUE"""),314)</f>
        <v>314</v>
      </c>
      <c r="N793" s="45">
        <f ca="1">IFERROR(__xludf.DUMMYFUNCTION("""COMPUTED_VALUE"""),163.73)</f>
        <v>163.72999999999999</v>
      </c>
      <c r="O793" s="45">
        <f ca="1">IFERROR(__xludf.DUMMYFUNCTION("""COMPUTED_VALUE"""),1.178)</f>
        <v>1.1779999999999999</v>
      </c>
      <c r="P793" s="45" t="str">
        <f ca="1">IFERROR(__xludf.DUMMYFUNCTION("""COMPUTED_VALUE"""),"Colombo, LK")</f>
        <v>Colombo, LK</v>
      </c>
      <c r="Q793" s="45" t="str">
        <f ca="1">IFERROR(__xludf.DUMMYFUNCTION("""COMPUTED_VALUE"""),"Rotterdam, NL")</f>
        <v>Rotterdam, NL</v>
      </c>
      <c r="R793" s="44">
        <f ca="1">IFERROR(__xludf.DUMMYFUNCTION("""COMPUTED_VALUE"""),45838)</f>
        <v>45838</v>
      </c>
      <c r="S793" s="44">
        <f ca="1">IFERROR(__xludf.DUMMYFUNCTION("""COMPUTED_VALUE"""),45892)</f>
        <v>45892</v>
      </c>
      <c r="T793" s="45" t="str">
        <f ca="1">IFERROR(__xludf.DUMMYFUNCTION("""COMPUTED_VALUE"""),"Rotterdam, NL")</f>
        <v>Rotterdam, NL</v>
      </c>
      <c r="U793" s="45"/>
      <c r="V793" s="45"/>
      <c r="W793" s="45"/>
      <c r="X793" s="45"/>
      <c r="Y793" s="46">
        <f ca="1">IFERROR(__xludf.DUMMYFUNCTION("""COMPUTED_VALUE"""),45845)</f>
        <v>45845</v>
      </c>
      <c r="Z793" s="46">
        <f ca="1">IFERROR(__xludf.DUMMYFUNCTION("""COMPUTED_VALUE"""),45866)</f>
        <v>45866</v>
      </c>
      <c r="AA793" s="46">
        <f ca="1">IFERROR(__xludf.DUMMYFUNCTION("""COMPUTED_VALUE"""),45866)</f>
        <v>45866</v>
      </c>
      <c r="AB793" s="45" t="str">
        <f ca="1">IFERROR(__xludf.DUMMYFUNCTION("""COMPUTED_VALUE"""),"Conradweg 26")</f>
        <v>Conradweg 26</v>
      </c>
      <c r="AC793" s="45"/>
      <c r="AD793" s="45" t="str">
        <f ca="1">IFERROR(__xludf.DUMMYFUNCTION("""COMPUTED_VALUE"""),"OCEAN")</f>
        <v>OCEAN</v>
      </c>
      <c r="AE793" s="45" t="str">
        <f ca="1">IFERROR(__xludf.DUMMYFUNCTION("""COMPUTED_VALUE"""),"N")</f>
        <v>N</v>
      </c>
      <c r="AF793" s="45" t="str">
        <f ca="1">IFERROR(__xludf.DUMMYFUNCTION("""COMPUTED_VALUE"""),"New Booking")</f>
        <v>New Booking</v>
      </c>
      <c r="AG793" s="49" t="str">
        <f ca="1">IFERROR(__xludf.DUMMYFUNCTION("IFNA(vlookup(H793,IMPORTRANGE(""1vUGwO1n0QQGx9kKbO0_M5gmuhXZ6-LaxQxgrmJnzgP0"",""'TP# look up'!A:C""),3,0),"""")"),"")</f>
        <v/>
      </c>
      <c r="AH793" s="49" t="str">
        <f t="shared" ca="1" si="12"/>
        <v>LW</v>
      </c>
    </row>
    <row r="794" spans="1:34" ht="12.75">
      <c r="A794" s="45" t="str">
        <f ca="1">IFERROR(__xludf.DUMMYFUNCTION("""COMPUTED_VALUE"""),"Colombo")</f>
        <v>Colombo</v>
      </c>
      <c r="B794" s="45"/>
      <c r="C794" s="45">
        <f ca="1">IFERROR(__xludf.DUMMYFUNCTION("""COMPUTED_VALUE"""),3259526)</f>
        <v>3259526</v>
      </c>
      <c r="D794" s="45"/>
      <c r="E794" s="45" t="str">
        <f ca="1">IFERROR(__xludf.DUMMYFUNCTION("""COMPUTED_VALUE"""),"CFS")</f>
        <v>CFS</v>
      </c>
      <c r="F794" s="45" t="str">
        <f ca="1">IFERROR(__xludf.DUMMYFUNCTION("""COMPUTED_VALUE"""),"Bodyline Trading (Private) Limited")</f>
        <v>Bodyline Trading (Private) Limited</v>
      </c>
      <c r="G794" s="45" t="str">
        <f ca="1">IFERROR(__xludf.DUMMYFUNCTION("""COMPUTED_VALUE"""),"Bodyline (Private) Limited")</f>
        <v>Bodyline (Private) Limited</v>
      </c>
      <c r="H794" s="43">
        <f ca="1">IFERROR(__xludf.DUMMYFUNCTION("""COMPUTED_VALUE"""),456406206252)</f>
        <v>456406206252</v>
      </c>
      <c r="I794" s="45">
        <f ca="1">IFERROR(__xludf.DUMMYFUNCTION("""COMPUTED_VALUE"""),19820609)</f>
        <v>19820609</v>
      </c>
      <c r="J794" s="45" t="str">
        <f ca="1">IFERROR(__xludf.DUMMYFUNCTION("""COMPUTED_VALUE"""),"LW1FM7S")</f>
        <v>LW1FM7S</v>
      </c>
      <c r="K794" s="45" t="str">
        <f ca="1">IFERROR(__xludf.DUMMYFUNCTION("""COMPUTED_VALUE"""),"LW1FM7S-033454")</f>
        <v>LW1FM7S-033454</v>
      </c>
      <c r="L794" s="45">
        <f ca="1">IFERROR(__xludf.DUMMYFUNCTION("""COMPUTED_VALUE"""),3)</f>
        <v>3</v>
      </c>
      <c r="M794" s="45">
        <f ca="1">IFERROR(__xludf.DUMMYFUNCTION("""COMPUTED_VALUE"""),124)</f>
        <v>124</v>
      </c>
      <c r="N794" s="45">
        <f ca="1">IFERROR(__xludf.DUMMYFUNCTION("""COMPUTED_VALUE"""),12.846)</f>
        <v>12.846</v>
      </c>
      <c r="O794" s="45">
        <f ca="1">IFERROR(__xludf.DUMMYFUNCTION("""COMPUTED_VALUE"""),0.132)</f>
        <v>0.13200000000000001</v>
      </c>
      <c r="P794" s="45" t="str">
        <f ca="1">IFERROR(__xludf.DUMMYFUNCTION("""COMPUTED_VALUE"""),"Colombo, LK")</f>
        <v>Colombo, LK</v>
      </c>
      <c r="Q794" s="45" t="str">
        <f ca="1">IFERROR(__xludf.DUMMYFUNCTION("""COMPUTED_VALUE"""),"Rotterdam, NL")</f>
        <v>Rotterdam, NL</v>
      </c>
      <c r="R794" s="44">
        <f ca="1">IFERROR(__xludf.DUMMYFUNCTION("""COMPUTED_VALUE"""),45838)</f>
        <v>45838</v>
      </c>
      <c r="S794" s="44">
        <f ca="1">IFERROR(__xludf.DUMMYFUNCTION("""COMPUTED_VALUE"""),45892)</f>
        <v>45892</v>
      </c>
      <c r="T794" s="45" t="str">
        <f ca="1">IFERROR(__xludf.DUMMYFUNCTION("""COMPUTED_VALUE"""),"Rotterdam, NL")</f>
        <v>Rotterdam, NL</v>
      </c>
      <c r="U794" s="45"/>
      <c r="V794" s="45"/>
      <c r="W794" s="45"/>
      <c r="X794" s="45"/>
      <c r="Y794" s="46">
        <f ca="1">IFERROR(__xludf.DUMMYFUNCTION("""COMPUTED_VALUE"""),45845)</f>
        <v>45845</v>
      </c>
      <c r="Z794" s="46">
        <f ca="1">IFERROR(__xludf.DUMMYFUNCTION("""COMPUTED_VALUE"""),45866)</f>
        <v>45866</v>
      </c>
      <c r="AA794" s="46">
        <f ca="1">IFERROR(__xludf.DUMMYFUNCTION("""COMPUTED_VALUE"""),45866)</f>
        <v>45866</v>
      </c>
      <c r="AB794" s="45" t="str">
        <f ca="1">IFERROR(__xludf.DUMMYFUNCTION("""COMPUTED_VALUE"""),"Conradweg 26")</f>
        <v>Conradweg 26</v>
      </c>
      <c r="AC794" s="45"/>
      <c r="AD794" s="45" t="str">
        <f ca="1">IFERROR(__xludf.DUMMYFUNCTION("""COMPUTED_VALUE"""),"OCEAN")</f>
        <v>OCEAN</v>
      </c>
      <c r="AE794" s="45" t="str">
        <f ca="1">IFERROR(__xludf.DUMMYFUNCTION("""COMPUTED_VALUE"""),"N")</f>
        <v>N</v>
      </c>
      <c r="AF794" s="45" t="str">
        <f ca="1">IFERROR(__xludf.DUMMYFUNCTION("""COMPUTED_VALUE"""),"New Booking")</f>
        <v>New Booking</v>
      </c>
      <c r="AG794" s="49" t="str">
        <f ca="1">IFERROR(__xludf.DUMMYFUNCTION("IFNA(vlookup(H794,IMPORTRANGE(""1vUGwO1n0QQGx9kKbO0_M5gmuhXZ6-LaxQxgrmJnzgP0"",""'TP# look up'!A:C""),3,0),"""")"),"")</f>
        <v/>
      </c>
      <c r="AH794" s="49" t="str">
        <f t="shared" ca="1" si="12"/>
        <v>LW</v>
      </c>
    </row>
    <row r="795" spans="1:34" ht="12.75">
      <c r="A795" s="45" t="str">
        <f ca="1">IFERROR(__xludf.DUMMYFUNCTION("""COMPUTED_VALUE"""),"Colombo")</f>
        <v>Colombo</v>
      </c>
      <c r="B795" s="45"/>
      <c r="C795" s="45">
        <f ca="1">IFERROR(__xludf.DUMMYFUNCTION("""COMPUTED_VALUE"""),3259526)</f>
        <v>3259526</v>
      </c>
      <c r="D795" s="45"/>
      <c r="E795" s="45" t="str">
        <f ca="1">IFERROR(__xludf.DUMMYFUNCTION("""COMPUTED_VALUE"""),"CFS")</f>
        <v>CFS</v>
      </c>
      <c r="F795" s="45" t="str">
        <f ca="1">IFERROR(__xludf.DUMMYFUNCTION("""COMPUTED_VALUE"""),"Bodyline Trading (Private) Limited")</f>
        <v>Bodyline Trading (Private) Limited</v>
      </c>
      <c r="G795" s="45" t="str">
        <f ca="1">IFERROR(__xludf.DUMMYFUNCTION("""COMPUTED_VALUE"""),"Bodyline (Private) Limited")</f>
        <v>Bodyline (Private) Limited</v>
      </c>
      <c r="H795" s="43">
        <f ca="1">IFERROR(__xludf.DUMMYFUNCTION("""COMPUTED_VALUE"""),456422457217)</f>
        <v>456422457217</v>
      </c>
      <c r="I795" s="45">
        <f ca="1">IFERROR(__xludf.DUMMYFUNCTION("""COMPUTED_VALUE"""),19828604)</f>
        <v>19828604</v>
      </c>
      <c r="J795" s="45" t="str">
        <f ca="1">IFERROR(__xludf.DUMMYFUNCTION("""COMPUTED_VALUE"""),"LW2EB8S")</f>
        <v>LW2EB8S</v>
      </c>
      <c r="K795" s="45" t="str">
        <f ca="1">IFERROR(__xludf.DUMMYFUNCTION("""COMPUTED_VALUE"""),"LW2EB8S-0001")</f>
        <v>LW2EB8S-0001</v>
      </c>
      <c r="L795" s="45">
        <f ca="1">IFERROR(__xludf.DUMMYFUNCTION("""COMPUTED_VALUE"""),10)</f>
        <v>10</v>
      </c>
      <c r="M795" s="45">
        <f ca="1">IFERROR(__xludf.DUMMYFUNCTION("""COMPUTED_VALUE"""),563)</f>
        <v>563</v>
      </c>
      <c r="N795" s="45">
        <f ca="1">IFERROR(__xludf.DUMMYFUNCTION("""COMPUTED_VALUE"""),82.6)</f>
        <v>82.6</v>
      </c>
      <c r="O795" s="45">
        <f ca="1">IFERROR(__xludf.DUMMYFUNCTION("""COMPUTED_VALUE"""),0.769)</f>
        <v>0.76900000000000002</v>
      </c>
      <c r="P795" s="45" t="str">
        <f ca="1">IFERROR(__xludf.DUMMYFUNCTION("""COMPUTED_VALUE"""),"Colombo, LK")</f>
        <v>Colombo, LK</v>
      </c>
      <c r="Q795" s="45" t="str">
        <f ca="1">IFERROR(__xludf.DUMMYFUNCTION("""COMPUTED_VALUE"""),"Rotterdam, NL")</f>
        <v>Rotterdam, NL</v>
      </c>
      <c r="R795" s="44">
        <f ca="1">IFERROR(__xludf.DUMMYFUNCTION("""COMPUTED_VALUE"""),45838)</f>
        <v>45838</v>
      </c>
      <c r="S795" s="44">
        <f ca="1">IFERROR(__xludf.DUMMYFUNCTION("""COMPUTED_VALUE"""),45892)</f>
        <v>45892</v>
      </c>
      <c r="T795" s="45" t="str">
        <f ca="1">IFERROR(__xludf.DUMMYFUNCTION("""COMPUTED_VALUE"""),"Rotterdam, NL")</f>
        <v>Rotterdam, NL</v>
      </c>
      <c r="U795" s="45"/>
      <c r="V795" s="45"/>
      <c r="W795" s="45"/>
      <c r="X795" s="45"/>
      <c r="Y795" s="46">
        <f ca="1">IFERROR(__xludf.DUMMYFUNCTION("""COMPUTED_VALUE"""),45845)</f>
        <v>45845</v>
      </c>
      <c r="Z795" s="46">
        <f ca="1">IFERROR(__xludf.DUMMYFUNCTION("""COMPUTED_VALUE"""),45866)</f>
        <v>45866</v>
      </c>
      <c r="AA795" s="46">
        <f ca="1">IFERROR(__xludf.DUMMYFUNCTION("""COMPUTED_VALUE"""),45866)</f>
        <v>45866</v>
      </c>
      <c r="AB795" s="45" t="str">
        <f ca="1">IFERROR(__xludf.DUMMYFUNCTION("""COMPUTED_VALUE"""),"Conradweg 26")</f>
        <v>Conradweg 26</v>
      </c>
      <c r="AC795" s="45"/>
      <c r="AD795" s="45" t="str">
        <f ca="1">IFERROR(__xludf.DUMMYFUNCTION("""COMPUTED_VALUE"""),"OCEAN")</f>
        <v>OCEAN</v>
      </c>
      <c r="AE795" s="45" t="str">
        <f ca="1">IFERROR(__xludf.DUMMYFUNCTION("""COMPUTED_VALUE"""),"N")</f>
        <v>N</v>
      </c>
      <c r="AF795" s="45" t="str">
        <f ca="1">IFERROR(__xludf.DUMMYFUNCTION("""COMPUTED_VALUE"""),"New Booking")</f>
        <v>New Booking</v>
      </c>
      <c r="AG795" s="49" t="str">
        <f ca="1">IFERROR(__xludf.DUMMYFUNCTION("IFNA(vlookup(H795,IMPORTRANGE(""1vUGwO1n0QQGx9kKbO0_M5gmuhXZ6-LaxQxgrmJnzgP0"",""'TP# look up'!A:C""),3,0),"""")"),"")</f>
        <v/>
      </c>
      <c r="AH795" s="49" t="str">
        <f t="shared" ca="1" si="12"/>
        <v>LW</v>
      </c>
    </row>
    <row r="796" spans="1:34" ht="12.75">
      <c r="A796" s="45" t="str">
        <f ca="1">IFERROR(__xludf.DUMMYFUNCTION("""COMPUTED_VALUE"""),"Colombo")</f>
        <v>Colombo</v>
      </c>
      <c r="B796" s="45"/>
      <c r="C796" s="45">
        <f ca="1">IFERROR(__xludf.DUMMYFUNCTION("""COMPUTED_VALUE"""),3259526)</f>
        <v>3259526</v>
      </c>
      <c r="D796" s="45"/>
      <c r="E796" s="45" t="str">
        <f ca="1">IFERROR(__xludf.DUMMYFUNCTION("""COMPUTED_VALUE"""),"CFS")</f>
        <v>CFS</v>
      </c>
      <c r="F796" s="45" t="str">
        <f ca="1">IFERROR(__xludf.DUMMYFUNCTION("""COMPUTED_VALUE"""),"Bodyline Trading (Private) Limited")</f>
        <v>Bodyline Trading (Private) Limited</v>
      </c>
      <c r="G796" s="45" t="str">
        <f ca="1">IFERROR(__xludf.DUMMYFUNCTION("""COMPUTED_VALUE"""),"Bodyline (Private) Limited")</f>
        <v>Bodyline (Private) Limited</v>
      </c>
      <c r="H796" s="43">
        <f ca="1">IFERROR(__xludf.DUMMYFUNCTION("""COMPUTED_VALUE"""),456422510251)</f>
        <v>456422510251</v>
      </c>
      <c r="I796" s="45">
        <f ca="1">IFERROR(__xludf.DUMMYFUNCTION("""COMPUTED_VALUE"""),19828642)</f>
        <v>19828642</v>
      </c>
      <c r="J796" s="45" t="str">
        <f ca="1">IFERROR(__xludf.DUMMYFUNCTION("""COMPUTED_VALUE"""),"LW2EB8S")</f>
        <v>LW2EB8S</v>
      </c>
      <c r="K796" s="45" t="str">
        <f ca="1">IFERROR(__xludf.DUMMYFUNCTION("""COMPUTED_VALUE"""),"LW2EB8S-019746")</f>
        <v>LW2EB8S-019746</v>
      </c>
      <c r="L796" s="45">
        <f ca="1">IFERROR(__xludf.DUMMYFUNCTION("""COMPUTED_VALUE"""),12)</f>
        <v>12</v>
      </c>
      <c r="M796" s="45">
        <f ca="1">IFERROR(__xludf.DUMMYFUNCTION("""COMPUTED_VALUE"""),699)</f>
        <v>699</v>
      </c>
      <c r="N796" s="45">
        <f ca="1">IFERROR(__xludf.DUMMYFUNCTION("""COMPUTED_VALUE"""),102.317)</f>
        <v>102.31699999999999</v>
      </c>
      <c r="O796" s="45">
        <f ca="1">IFERROR(__xludf.DUMMYFUNCTION("""COMPUTED_VALUE"""),0.966)</f>
        <v>0.96599999999999997</v>
      </c>
      <c r="P796" s="45" t="str">
        <f ca="1">IFERROR(__xludf.DUMMYFUNCTION("""COMPUTED_VALUE"""),"Colombo, LK")</f>
        <v>Colombo, LK</v>
      </c>
      <c r="Q796" s="45" t="str">
        <f ca="1">IFERROR(__xludf.DUMMYFUNCTION("""COMPUTED_VALUE"""),"Rotterdam, NL")</f>
        <v>Rotterdam, NL</v>
      </c>
      <c r="R796" s="44">
        <f ca="1">IFERROR(__xludf.DUMMYFUNCTION("""COMPUTED_VALUE"""),45838)</f>
        <v>45838</v>
      </c>
      <c r="S796" s="44">
        <f ca="1">IFERROR(__xludf.DUMMYFUNCTION("""COMPUTED_VALUE"""),45892)</f>
        <v>45892</v>
      </c>
      <c r="T796" s="45" t="str">
        <f ca="1">IFERROR(__xludf.DUMMYFUNCTION("""COMPUTED_VALUE"""),"Rotterdam, NL")</f>
        <v>Rotterdam, NL</v>
      </c>
      <c r="U796" s="45"/>
      <c r="V796" s="45"/>
      <c r="W796" s="45"/>
      <c r="X796" s="45"/>
      <c r="Y796" s="46">
        <f ca="1">IFERROR(__xludf.DUMMYFUNCTION("""COMPUTED_VALUE"""),45845)</f>
        <v>45845</v>
      </c>
      <c r="Z796" s="46">
        <f ca="1">IFERROR(__xludf.DUMMYFUNCTION("""COMPUTED_VALUE"""),45866)</f>
        <v>45866</v>
      </c>
      <c r="AA796" s="46">
        <f ca="1">IFERROR(__xludf.DUMMYFUNCTION("""COMPUTED_VALUE"""),45866)</f>
        <v>45866</v>
      </c>
      <c r="AB796" s="45" t="str">
        <f ca="1">IFERROR(__xludf.DUMMYFUNCTION("""COMPUTED_VALUE"""),"Conradweg 26")</f>
        <v>Conradweg 26</v>
      </c>
      <c r="AC796" s="45"/>
      <c r="AD796" s="45" t="str">
        <f ca="1">IFERROR(__xludf.DUMMYFUNCTION("""COMPUTED_VALUE"""),"OCEAN")</f>
        <v>OCEAN</v>
      </c>
      <c r="AE796" s="45" t="str">
        <f ca="1">IFERROR(__xludf.DUMMYFUNCTION("""COMPUTED_VALUE"""),"N")</f>
        <v>N</v>
      </c>
      <c r="AF796" s="45" t="str">
        <f ca="1">IFERROR(__xludf.DUMMYFUNCTION("""COMPUTED_VALUE"""),"New Booking")</f>
        <v>New Booking</v>
      </c>
      <c r="AG796" s="49" t="str">
        <f ca="1">IFERROR(__xludf.DUMMYFUNCTION("IFNA(vlookup(H796,IMPORTRANGE(""1vUGwO1n0QQGx9kKbO0_M5gmuhXZ6-LaxQxgrmJnzgP0"",""'TP# look up'!A:C""),3,0),"""")"),"")</f>
        <v/>
      </c>
      <c r="AH796" s="49" t="str">
        <f t="shared" ca="1" si="12"/>
        <v>LW</v>
      </c>
    </row>
    <row r="797" spans="1:34" ht="12.75">
      <c r="A797" s="45" t="str">
        <f ca="1">IFERROR(__xludf.DUMMYFUNCTION("""COMPUTED_VALUE"""),"Colombo")</f>
        <v>Colombo</v>
      </c>
      <c r="B797" s="45"/>
      <c r="C797" s="45">
        <f ca="1">IFERROR(__xludf.DUMMYFUNCTION("""COMPUTED_VALUE"""),3259526)</f>
        <v>3259526</v>
      </c>
      <c r="D797" s="45"/>
      <c r="E797" s="45" t="str">
        <f ca="1">IFERROR(__xludf.DUMMYFUNCTION("""COMPUTED_VALUE"""),"CFS")</f>
        <v>CFS</v>
      </c>
      <c r="F797" s="45" t="str">
        <f ca="1">IFERROR(__xludf.DUMMYFUNCTION("""COMPUTED_VALUE"""),"Bodyline Trading (Private) Limited")</f>
        <v>Bodyline Trading (Private) Limited</v>
      </c>
      <c r="G797" s="45" t="str">
        <f ca="1">IFERROR(__xludf.DUMMYFUNCTION("""COMPUTED_VALUE"""),"Bodyline (Private) Limited")</f>
        <v>Bodyline (Private) Limited</v>
      </c>
      <c r="H797" s="43">
        <f ca="1">IFERROR(__xludf.DUMMYFUNCTION("""COMPUTED_VALUE"""),456422991906)</f>
        <v>456422991906</v>
      </c>
      <c r="I797" s="45">
        <f ca="1">IFERROR(__xludf.DUMMYFUNCTION("""COMPUTED_VALUE"""),19828664)</f>
        <v>19828664</v>
      </c>
      <c r="J797" s="45" t="str">
        <f ca="1">IFERROR(__xludf.DUMMYFUNCTION("""COMPUTED_VALUE"""),"LW2EB8S")</f>
        <v>LW2EB8S</v>
      </c>
      <c r="K797" s="45" t="str">
        <f ca="1">IFERROR(__xludf.DUMMYFUNCTION("""COMPUTED_VALUE"""),"LW2EB8S-031382")</f>
        <v>LW2EB8S-031382</v>
      </c>
      <c r="L797" s="45">
        <f ca="1">IFERROR(__xludf.DUMMYFUNCTION("""COMPUTED_VALUE"""),10)</f>
        <v>10</v>
      </c>
      <c r="M797" s="45">
        <f ca="1">IFERROR(__xludf.DUMMYFUNCTION("""COMPUTED_VALUE"""),583)</f>
        <v>583</v>
      </c>
      <c r="N797" s="45">
        <f ca="1">IFERROR(__xludf.DUMMYFUNCTION("""COMPUTED_VALUE"""),85.15)</f>
        <v>85.15</v>
      </c>
      <c r="O797" s="45">
        <f ca="1">IFERROR(__xludf.DUMMYFUNCTION("""COMPUTED_VALUE"""),0.769)</f>
        <v>0.76900000000000002</v>
      </c>
      <c r="P797" s="45" t="str">
        <f ca="1">IFERROR(__xludf.DUMMYFUNCTION("""COMPUTED_VALUE"""),"Colombo, LK")</f>
        <v>Colombo, LK</v>
      </c>
      <c r="Q797" s="45" t="str">
        <f ca="1">IFERROR(__xludf.DUMMYFUNCTION("""COMPUTED_VALUE"""),"Rotterdam, NL")</f>
        <v>Rotterdam, NL</v>
      </c>
      <c r="R797" s="44">
        <f ca="1">IFERROR(__xludf.DUMMYFUNCTION("""COMPUTED_VALUE"""),45838)</f>
        <v>45838</v>
      </c>
      <c r="S797" s="44">
        <f ca="1">IFERROR(__xludf.DUMMYFUNCTION("""COMPUTED_VALUE"""),45892)</f>
        <v>45892</v>
      </c>
      <c r="T797" s="45" t="str">
        <f ca="1">IFERROR(__xludf.DUMMYFUNCTION("""COMPUTED_VALUE"""),"Rotterdam, NL")</f>
        <v>Rotterdam, NL</v>
      </c>
      <c r="U797" s="45"/>
      <c r="V797" s="45"/>
      <c r="W797" s="45"/>
      <c r="X797" s="45"/>
      <c r="Y797" s="46">
        <f ca="1">IFERROR(__xludf.DUMMYFUNCTION("""COMPUTED_VALUE"""),45845)</f>
        <v>45845</v>
      </c>
      <c r="Z797" s="46">
        <f ca="1">IFERROR(__xludf.DUMMYFUNCTION("""COMPUTED_VALUE"""),45866)</f>
        <v>45866</v>
      </c>
      <c r="AA797" s="46">
        <f ca="1">IFERROR(__xludf.DUMMYFUNCTION("""COMPUTED_VALUE"""),45866)</f>
        <v>45866</v>
      </c>
      <c r="AB797" s="45" t="str">
        <f ca="1">IFERROR(__xludf.DUMMYFUNCTION("""COMPUTED_VALUE"""),"Conradweg 26")</f>
        <v>Conradweg 26</v>
      </c>
      <c r="AC797" s="45"/>
      <c r="AD797" s="45" t="str">
        <f ca="1">IFERROR(__xludf.DUMMYFUNCTION("""COMPUTED_VALUE"""),"OCEAN")</f>
        <v>OCEAN</v>
      </c>
      <c r="AE797" s="45" t="str">
        <f ca="1">IFERROR(__xludf.DUMMYFUNCTION("""COMPUTED_VALUE"""),"N")</f>
        <v>N</v>
      </c>
      <c r="AF797" s="45" t="str">
        <f ca="1">IFERROR(__xludf.DUMMYFUNCTION("""COMPUTED_VALUE"""),"New Booking")</f>
        <v>New Booking</v>
      </c>
      <c r="AG797" s="49" t="str">
        <f ca="1">IFERROR(__xludf.DUMMYFUNCTION("IFNA(vlookup(H797,IMPORTRANGE(""1vUGwO1n0QQGx9kKbO0_M5gmuhXZ6-LaxQxgrmJnzgP0"",""'TP# look up'!A:C""),3,0),"""")"),"")</f>
        <v/>
      </c>
      <c r="AH797" s="49" t="str">
        <f t="shared" ca="1" si="12"/>
        <v>LW</v>
      </c>
    </row>
    <row r="798" spans="1:34" ht="12.75">
      <c r="A798" s="45" t="str">
        <f ca="1">IFERROR(__xludf.DUMMYFUNCTION("""COMPUTED_VALUE"""),"Colombo")</f>
        <v>Colombo</v>
      </c>
      <c r="B798" s="45"/>
      <c r="C798" s="45">
        <f ca="1">IFERROR(__xludf.DUMMYFUNCTION("""COMPUTED_VALUE"""),3259526)</f>
        <v>3259526</v>
      </c>
      <c r="D798" s="45"/>
      <c r="E798" s="45" t="str">
        <f ca="1">IFERROR(__xludf.DUMMYFUNCTION("""COMPUTED_VALUE"""),"CFS")</f>
        <v>CFS</v>
      </c>
      <c r="F798" s="45" t="str">
        <f ca="1">IFERROR(__xludf.DUMMYFUNCTION("""COMPUTED_VALUE"""),"Bodyline Trading (Private) Limited")</f>
        <v>Bodyline Trading (Private) Limited</v>
      </c>
      <c r="G798" s="45" t="str">
        <f ca="1">IFERROR(__xludf.DUMMYFUNCTION("""COMPUTED_VALUE"""),"Bodyline (Private) Limited")</f>
        <v>Bodyline (Private) Limited</v>
      </c>
      <c r="H798" s="43">
        <f ca="1">IFERROR(__xludf.DUMMYFUNCTION("""COMPUTED_VALUE"""),456423429936)</f>
        <v>456423429936</v>
      </c>
      <c r="I798" s="45">
        <f ca="1">IFERROR(__xludf.DUMMYFUNCTION("""COMPUTED_VALUE"""),19828681)</f>
        <v>19828681</v>
      </c>
      <c r="J798" s="45" t="str">
        <f ca="1">IFERROR(__xludf.DUMMYFUNCTION("""COMPUTED_VALUE"""),"LW2EB8S")</f>
        <v>LW2EB8S</v>
      </c>
      <c r="K798" s="45" t="str">
        <f ca="1">IFERROR(__xludf.DUMMYFUNCTION("""COMPUTED_VALUE"""),"LW2EB8S-035487")</f>
        <v>LW2EB8S-035487</v>
      </c>
      <c r="L798" s="45">
        <f ca="1">IFERROR(__xludf.DUMMYFUNCTION("""COMPUTED_VALUE"""),3)</f>
        <v>3</v>
      </c>
      <c r="M798" s="45">
        <f ca="1">IFERROR(__xludf.DUMMYFUNCTION("""COMPUTED_VALUE"""),100)</f>
        <v>100</v>
      </c>
      <c r="N798" s="45">
        <f ca="1">IFERROR(__xludf.DUMMYFUNCTION("""COMPUTED_VALUE"""),15.916)</f>
        <v>15.916</v>
      </c>
      <c r="O798" s="45">
        <f ca="1">IFERROR(__xludf.DUMMYFUNCTION("""COMPUTED_VALUE"""),0.205)</f>
        <v>0.20499999999999999</v>
      </c>
      <c r="P798" s="45" t="str">
        <f ca="1">IFERROR(__xludf.DUMMYFUNCTION("""COMPUTED_VALUE"""),"Colombo, LK")</f>
        <v>Colombo, LK</v>
      </c>
      <c r="Q798" s="45" t="str">
        <f ca="1">IFERROR(__xludf.DUMMYFUNCTION("""COMPUTED_VALUE"""),"Rotterdam, NL")</f>
        <v>Rotterdam, NL</v>
      </c>
      <c r="R798" s="44">
        <f ca="1">IFERROR(__xludf.DUMMYFUNCTION("""COMPUTED_VALUE"""),45838)</f>
        <v>45838</v>
      </c>
      <c r="S798" s="44">
        <f ca="1">IFERROR(__xludf.DUMMYFUNCTION("""COMPUTED_VALUE"""),45892)</f>
        <v>45892</v>
      </c>
      <c r="T798" s="45" t="str">
        <f ca="1">IFERROR(__xludf.DUMMYFUNCTION("""COMPUTED_VALUE"""),"Rotterdam, NL")</f>
        <v>Rotterdam, NL</v>
      </c>
      <c r="U798" s="45"/>
      <c r="V798" s="45"/>
      <c r="W798" s="45"/>
      <c r="X798" s="45"/>
      <c r="Y798" s="46">
        <f ca="1">IFERROR(__xludf.DUMMYFUNCTION("""COMPUTED_VALUE"""),45845)</f>
        <v>45845</v>
      </c>
      <c r="Z798" s="46">
        <f ca="1">IFERROR(__xludf.DUMMYFUNCTION("""COMPUTED_VALUE"""),45866)</f>
        <v>45866</v>
      </c>
      <c r="AA798" s="46">
        <f ca="1">IFERROR(__xludf.DUMMYFUNCTION("""COMPUTED_VALUE"""),45866)</f>
        <v>45866</v>
      </c>
      <c r="AB798" s="45" t="str">
        <f ca="1">IFERROR(__xludf.DUMMYFUNCTION("""COMPUTED_VALUE"""),"Conradweg 26")</f>
        <v>Conradweg 26</v>
      </c>
      <c r="AC798" s="45"/>
      <c r="AD798" s="45" t="str">
        <f ca="1">IFERROR(__xludf.DUMMYFUNCTION("""COMPUTED_VALUE"""),"OCEAN")</f>
        <v>OCEAN</v>
      </c>
      <c r="AE798" s="45" t="str">
        <f ca="1">IFERROR(__xludf.DUMMYFUNCTION("""COMPUTED_VALUE"""),"N")</f>
        <v>N</v>
      </c>
      <c r="AF798" s="45" t="str">
        <f ca="1">IFERROR(__xludf.DUMMYFUNCTION("""COMPUTED_VALUE"""),"New Booking")</f>
        <v>New Booking</v>
      </c>
      <c r="AG798" s="49" t="str">
        <f ca="1">IFERROR(__xludf.DUMMYFUNCTION("IFNA(vlookup(H798,IMPORTRANGE(""1vUGwO1n0QQGx9kKbO0_M5gmuhXZ6-LaxQxgrmJnzgP0"",""'TP# look up'!A:C""),3,0),"""")"),"")</f>
        <v/>
      </c>
      <c r="AH798" s="49" t="str">
        <f t="shared" ca="1" si="12"/>
        <v>LW</v>
      </c>
    </row>
    <row r="799" spans="1:34" ht="12.75">
      <c r="A799" s="45" t="str">
        <f ca="1">IFERROR(__xludf.DUMMYFUNCTION("""COMPUTED_VALUE"""),"Colombo")</f>
        <v>Colombo</v>
      </c>
      <c r="B799" s="45"/>
      <c r="C799" s="45">
        <f ca="1">IFERROR(__xludf.DUMMYFUNCTION("""COMPUTED_VALUE"""),3259526)</f>
        <v>3259526</v>
      </c>
      <c r="D799" s="45"/>
      <c r="E799" s="45" t="str">
        <f ca="1">IFERROR(__xludf.DUMMYFUNCTION("""COMPUTED_VALUE"""),"CFS")</f>
        <v>CFS</v>
      </c>
      <c r="F799" s="45" t="str">
        <f ca="1">IFERROR(__xludf.DUMMYFUNCTION("""COMPUTED_VALUE"""),"Bodyline Trading (Private) Limited")</f>
        <v>Bodyline Trading (Private) Limited</v>
      </c>
      <c r="G799" s="45" t="str">
        <f ca="1">IFERROR(__xludf.DUMMYFUNCTION("""COMPUTED_VALUE"""),"Bodyline (Private) Limited")</f>
        <v>Bodyline (Private) Limited</v>
      </c>
      <c r="H799" s="43">
        <f ca="1">IFERROR(__xludf.DUMMYFUNCTION("""COMPUTED_VALUE"""),456424350006)</f>
        <v>456424350006</v>
      </c>
      <c r="I799" s="45">
        <f ca="1">IFERROR(__xludf.DUMMYFUNCTION("""COMPUTED_VALUE"""),19828723)</f>
        <v>19828723</v>
      </c>
      <c r="J799" s="45" t="str">
        <f ca="1">IFERROR(__xludf.DUMMYFUNCTION("""COMPUTED_VALUE"""),"LW2EB9S")</f>
        <v>LW2EB9S</v>
      </c>
      <c r="K799" s="45" t="str">
        <f ca="1">IFERROR(__xludf.DUMMYFUNCTION("""COMPUTED_VALUE"""),"LW2EB9S-035486")</f>
        <v>LW2EB9S-035486</v>
      </c>
      <c r="L799" s="45">
        <f ca="1">IFERROR(__xludf.DUMMYFUNCTION("""COMPUTED_VALUE"""),14)</f>
        <v>14</v>
      </c>
      <c r="M799" s="45">
        <f ca="1">IFERROR(__xludf.DUMMYFUNCTION("""COMPUTED_VALUE"""),781)</f>
        <v>781</v>
      </c>
      <c r="N799" s="45">
        <f ca="1">IFERROR(__xludf.DUMMYFUNCTION("""COMPUTED_VALUE"""),111.758)</f>
        <v>111.758</v>
      </c>
      <c r="O799" s="45">
        <f ca="1">IFERROR(__xludf.DUMMYFUNCTION("""COMPUTED_VALUE"""),1.091)</f>
        <v>1.091</v>
      </c>
      <c r="P799" s="45" t="str">
        <f ca="1">IFERROR(__xludf.DUMMYFUNCTION("""COMPUTED_VALUE"""),"Colombo, LK")</f>
        <v>Colombo, LK</v>
      </c>
      <c r="Q799" s="45" t="str">
        <f ca="1">IFERROR(__xludf.DUMMYFUNCTION("""COMPUTED_VALUE"""),"Rotterdam, NL")</f>
        <v>Rotterdam, NL</v>
      </c>
      <c r="R799" s="44">
        <f ca="1">IFERROR(__xludf.DUMMYFUNCTION("""COMPUTED_VALUE"""),45838)</f>
        <v>45838</v>
      </c>
      <c r="S799" s="44">
        <f ca="1">IFERROR(__xludf.DUMMYFUNCTION("""COMPUTED_VALUE"""),45892)</f>
        <v>45892</v>
      </c>
      <c r="T799" s="45" t="str">
        <f ca="1">IFERROR(__xludf.DUMMYFUNCTION("""COMPUTED_VALUE"""),"Rotterdam, NL")</f>
        <v>Rotterdam, NL</v>
      </c>
      <c r="U799" s="45"/>
      <c r="V799" s="45"/>
      <c r="W799" s="45"/>
      <c r="X799" s="45"/>
      <c r="Y799" s="46">
        <f ca="1">IFERROR(__xludf.DUMMYFUNCTION("""COMPUTED_VALUE"""),45845)</f>
        <v>45845</v>
      </c>
      <c r="Z799" s="46">
        <f ca="1">IFERROR(__xludf.DUMMYFUNCTION("""COMPUTED_VALUE"""),45866)</f>
        <v>45866</v>
      </c>
      <c r="AA799" s="46">
        <f ca="1">IFERROR(__xludf.DUMMYFUNCTION("""COMPUTED_VALUE"""),45866)</f>
        <v>45866</v>
      </c>
      <c r="AB799" s="45" t="str">
        <f ca="1">IFERROR(__xludf.DUMMYFUNCTION("""COMPUTED_VALUE"""),"Conradweg 26")</f>
        <v>Conradweg 26</v>
      </c>
      <c r="AC799" s="45"/>
      <c r="AD799" s="45" t="str">
        <f ca="1">IFERROR(__xludf.DUMMYFUNCTION("""COMPUTED_VALUE"""),"OCEAN")</f>
        <v>OCEAN</v>
      </c>
      <c r="AE799" s="45" t="str">
        <f ca="1">IFERROR(__xludf.DUMMYFUNCTION("""COMPUTED_VALUE"""),"N")</f>
        <v>N</v>
      </c>
      <c r="AF799" s="45" t="str">
        <f ca="1">IFERROR(__xludf.DUMMYFUNCTION("""COMPUTED_VALUE"""),"New Booking")</f>
        <v>New Booking</v>
      </c>
      <c r="AG799" s="49" t="str">
        <f ca="1">IFERROR(__xludf.DUMMYFUNCTION("IFNA(vlookup(H799,IMPORTRANGE(""1vUGwO1n0QQGx9kKbO0_M5gmuhXZ6-LaxQxgrmJnzgP0"",""'TP# look up'!A:C""),3,0),"""")"),"")</f>
        <v/>
      </c>
      <c r="AH799" s="49" t="str">
        <f t="shared" ca="1" si="12"/>
        <v>LW</v>
      </c>
    </row>
    <row r="800" spans="1:34" ht="12.75">
      <c r="A800" s="45" t="str">
        <f ca="1">IFERROR(__xludf.DUMMYFUNCTION("""COMPUTED_VALUE"""),"Colombo")</f>
        <v>Colombo</v>
      </c>
      <c r="B800" s="45"/>
      <c r="C800" s="45">
        <f ca="1">IFERROR(__xludf.DUMMYFUNCTION("""COMPUTED_VALUE"""),3259526)</f>
        <v>3259526</v>
      </c>
      <c r="D800" s="45"/>
      <c r="E800" s="45" t="str">
        <f ca="1">IFERROR(__xludf.DUMMYFUNCTION("""COMPUTED_VALUE"""),"CFS")</f>
        <v>CFS</v>
      </c>
      <c r="F800" s="45" t="str">
        <f ca="1">IFERROR(__xludf.DUMMYFUNCTION("""COMPUTED_VALUE"""),"Bodyline Trading (Private) Limited")</f>
        <v>Bodyline Trading (Private) Limited</v>
      </c>
      <c r="G800" s="45" t="str">
        <f ca="1">IFERROR(__xludf.DUMMYFUNCTION("""COMPUTED_VALUE"""),"Bodyline (Private) Limited")</f>
        <v>Bodyline (Private) Limited</v>
      </c>
      <c r="H800" s="43">
        <f ca="1">IFERROR(__xludf.DUMMYFUNCTION("""COMPUTED_VALUE"""),456440352843)</f>
        <v>456440352843</v>
      </c>
      <c r="I800" s="45">
        <f ca="1">IFERROR(__xludf.DUMMYFUNCTION("""COMPUTED_VALUE"""),19820597)</f>
        <v>19820597</v>
      </c>
      <c r="J800" s="45" t="str">
        <f ca="1">IFERROR(__xludf.DUMMYFUNCTION("""COMPUTED_VALUE"""),"LW1FM7S")</f>
        <v>LW1FM7S</v>
      </c>
      <c r="K800" s="45" t="str">
        <f ca="1">IFERROR(__xludf.DUMMYFUNCTION("""COMPUTED_VALUE"""),"LW1FM7S-0001")</f>
        <v>LW1FM7S-0001</v>
      </c>
      <c r="L800" s="45">
        <f ca="1">IFERROR(__xludf.DUMMYFUNCTION("""COMPUTED_VALUE"""),4)</f>
        <v>4</v>
      </c>
      <c r="M800" s="45">
        <f ca="1">IFERROR(__xludf.DUMMYFUNCTION("""COMPUTED_VALUE"""),200)</f>
        <v>200</v>
      </c>
      <c r="N800" s="45">
        <f ca="1">IFERROR(__xludf.DUMMYFUNCTION("""COMPUTED_VALUE"""),19.978)</f>
        <v>19.978000000000002</v>
      </c>
      <c r="O800" s="45">
        <f ca="1">IFERROR(__xludf.DUMMYFUNCTION("""COMPUTED_VALUE"""),0.176)</f>
        <v>0.17599999999999999</v>
      </c>
      <c r="P800" s="45" t="str">
        <f ca="1">IFERROR(__xludf.DUMMYFUNCTION("""COMPUTED_VALUE"""),"Colombo, LK")</f>
        <v>Colombo, LK</v>
      </c>
      <c r="Q800" s="45" t="str">
        <f ca="1">IFERROR(__xludf.DUMMYFUNCTION("""COMPUTED_VALUE"""),"Rotterdam, NL")</f>
        <v>Rotterdam, NL</v>
      </c>
      <c r="R800" s="44">
        <f ca="1">IFERROR(__xludf.DUMMYFUNCTION("""COMPUTED_VALUE"""),45838)</f>
        <v>45838</v>
      </c>
      <c r="S800" s="44">
        <f ca="1">IFERROR(__xludf.DUMMYFUNCTION("""COMPUTED_VALUE"""),45892)</f>
        <v>45892</v>
      </c>
      <c r="T800" s="45" t="str">
        <f ca="1">IFERROR(__xludf.DUMMYFUNCTION("""COMPUTED_VALUE"""),"Rotterdam, NL")</f>
        <v>Rotterdam, NL</v>
      </c>
      <c r="U800" s="45"/>
      <c r="V800" s="45"/>
      <c r="W800" s="45"/>
      <c r="X800" s="45"/>
      <c r="Y800" s="46">
        <f ca="1">IFERROR(__xludf.DUMMYFUNCTION("""COMPUTED_VALUE"""),45845)</f>
        <v>45845</v>
      </c>
      <c r="Z800" s="46">
        <f ca="1">IFERROR(__xludf.DUMMYFUNCTION("""COMPUTED_VALUE"""),45866)</f>
        <v>45866</v>
      </c>
      <c r="AA800" s="46">
        <f ca="1">IFERROR(__xludf.DUMMYFUNCTION("""COMPUTED_VALUE"""),45866)</f>
        <v>45866</v>
      </c>
      <c r="AB800" s="45" t="str">
        <f ca="1">IFERROR(__xludf.DUMMYFUNCTION("""COMPUTED_VALUE"""),"Conradweg 26")</f>
        <v>Conradweg 26</v>
      </c>
      <c r="AC800" s="45"/>
      <c r="AD800" s="45" t="str">
        <f ca="1">IFERROR(__xludf.DUMMYFUNCTION("""COMPUTED_VALUE"""),"OCEAN")</f>
        <v>OCEAN</v>
      </c>
      <c r="AE800" s="45" t="str">
        <f ca="1">IFERROR(__xludf.DUMMYFUNCTION("""COMPUTED_VALUE"""),"N")</f>
        <v>N</v>
      </c>
      <c r="AF800" s="45" t="str">
        <f ca="1">IFERROR(__xludf.DUMMYFUNCTION("""COMPUTED_VALUE"""),"New Booking")</f>
        <v>New Booking</v>
      </c>
      <c r="AG800" s="49" t="str">
        <f ca="1">IFERROR(__xludf.DUMMYFUNCTION("IFNA(vlookup(H800,IMPORTRANGE(""1vUGwO1n0QQGx9kKbO0_M5gmuhXZ6-LaxQxgrmJnzgP0"",""'TP# look up'!A:C""),3,0),"""")"),"")</f>
        <v/>
      </c>
      <c r="AH800" s="49" t="str">
        <f t="shared" ca="1" si="12"/>
        <v>LW</v>
      </c>
    </row>
    <row r="801" spans="1:34" ht="12.75">
      <c r="A801" s="45" t="str">
        <f ca="1">IFERROR(__xludf.DUMMYFUNCTION("""COMPUTED_VALUE"""),"Colombo")</f>
        <v>Colombo</v>
      </c>
      <c r="B801" s="45"/>
      <c r="C801" s="45">
        <f ca="1">IFERROR(__xludf.DUMMYFUNCTION("""COMPUTED_VALUE"""),3259526)</f>
        <v>3259526</v>
      </c>
      <c r="D801" s="45"/>
      <c r="E801" s="45" t="str">
        <f ca="1">IFERROR(__xludf.DUMMYFUNCTION("""COMPUTED_VALUE"""),"CFS")</f>
        <v>CFS</v>
      </c>
      <c r="F801" s="45" t="str">
        <f ca="1">IFERROR(__xludf.DUMMYFUNCTION("""COMPUTED_VALUE"""),"Bodyline Trading (Private) Limited")</f>
        <v>Bodyline Trading (Private) Limited</v>
      </c>
      <c r="G801" s="45" t="str">
        <f ca="1">IFERROR(__xludf.DUMMYFUNCTION("""COMPUTED_VALUE"""),"Bodyline (Private) Limited")</f>
        <v>Bodyline (Private) Limited</v>
      </c>
      <c r="H801" s="43">
        <f ca="1">IFERROR(__xludf.DUMMYFUNCTION("""COMPUTED_VALUE"""),456440500796)</f>
        <v>456440500796</v>
      </c>
      <c r="I801" s="45">
        <f ca="1">IFERROR(__xludf.DUMMYFUNCTION("""COMPUTED_VALUE"""),19828466)</f>
        <v>19828466</v>
      </c>
      <c r="J801" s="45" t="str">
        <f ca="1">IFERROR(__xludf.DUMMYFUNCTION("""COMPUTED_VALUE"""),"LW2DQ0S")</f>
        <v>LW2DQ0S</v>
      </c>
      <c r="K801" s="45" t="str">
        <f ca="1">IFERROR(__xludf.DUMMYFUNCTION("""COMPUTED_VALUE"""),"LW2DQ0S-0001")</f>
        <v>LW2DQ0S-0001</v>
      </c>
      <c r="L801" s="45">
        <f ca="1">IFERROR(__xludf.DUMMYFUNCTION("""COMPUTED_VALUE"""),8)</f>
        <v>8</v>
      </c>
      <c r="M801" s="45">
        <f ca="1">IFERROR(__xludf.DUMMYFUNCTION("""COMPUTED_VALUE"""),421)</f>
        <v>421</v>
      </c>
      <c r="N801" s="45">
        <f ca="1">IFERROR(__xludf.DUMMYFUNCTION("""COMPUTED_VALUE"""),50.204)</f>
        <v>50.204000000000001</v>
      </c>
      <c r="O801" s="45">
        <f ca="1">IFERROR(__xludf.DUMMYFUNCTION("""COMPUTED_VALUE"""),0.644)</f>
        <v>0.64400000000000002</v>
      </c>
      <c r="P801" s="45" t="str">
        <f ca="1">IFERROR(__xludf.DUMMYFUNCTION("""COMPUTED_VALUE"""),"Colombo, LK")</f>
        <v>Colombo, LK</v>
      </c>
      <c r="Q801" s="45" t="str">
        <f ca="1">IFERROR(__xludf.DUMMYFUNCTION("""COMPUTED_VALUE"""),"Rotterdam, NL")</f>
        <v>Rotterdam, NL</v>
      </c>
      <c r="R801" s="44">
        <f ca="1">IFERROR(__xludf.DUMMYFUNCTION("""COMPUTED_VALUE"""),45838)</f>
        <v>45838</v>
      </c>
      <c r="S801" s="44">
        <f ca="1">IFERROR(__xludf.DUMMYFUNCTION("""COMPUTED_VALUE"""),45892)</f>
        <v>45892</v>
      </c>
      <c r="T801" s="45" t="str">
        <f ca="1">IFERROR(__xludf.DUMMYFUNCTION("""COMPUTED_VALUE"""),"Rotterdam, NL")</f>
        <v>Rotterdam, NL</v>
      </c>
      <c r="U801" s="45"/>
      <c r="V801" s="45"/>
      <c r="W801" s="45"/>
      <c r="X801" s="45"/>
      <c r="Y801" s="46">
        <f ca="1">IFERROR(__xludf.DUMMYFUNCTION("""COMPUTED_VALUE"""),45845)</f>
        <v>45845</v>
      </c>
      <c r="Z801" s="46">
        <f ca="1">IFERROR(__xludf.DUMMYFUNCTION("""COMPUTED_VALUE"""),45866)</f>
        <v>45866</v>
      </c>
      <c r="AA801" s="46">
        <f ca="1">IFERROR(__xludf.DUMMYFUNCTION("""COMPUTED_VALUE"""),45866)</f>
        <v>45866</v>
      </c>
      <c r="AB801" s="45" t="str">
        <f ca="1">IFERROR(__xludf.DUMMYFUNCTION("""COMPUTED_VALUE"""),"Conradweg 26")</f>
        <v>Conradweg 26</v>
      </c>
      <c r="AC801" s="45"/>
      <c r="AD801" s="45" t="str">
        <f ca="1">IFERROR(__xludf.DUMMYFUNCTION("""COMPUTED_VALUE"""),"OCEAN")</f>
        <v>OCEAN</v>
      </c>
      <c r="AE801" s="45" t="str">
        <f ca="1">IFERROR(__xludf.DUMMYFUNCTION("""COMPUTED_VALUE"""),"N")</f>
        <v>N</v>
      </c>
      <c r="AF801" s="45" t="str">
        <f ca="1">IFERROR(__xludf.DUMMYFUNCTION("""COMPUTED_VALUE"""),"New Booking")</f>
        <v>New Booking</v>
      </c>
      <c r="AG801" s="49" t="str">
        <f ca="1">IFERROR(__xludf.DUMMYFUNCTION("IFNA(vlookup(H801,IMPORTRANGE(""1vUGwO1n0QQGx9kKbO0_M5gmuhXZ6-LaxQxgrmJnzgP0"",""'TP# look up'!A:C""),3,0),"""")"),"")</f>
        <v/>
      </c>
      <c r="AH801" s="49" t="str">
        <f t="shared" ca="1" si="12"/>
        <v>LW</v>
      </c>
    </row>
    <row r="802" spans="1:34" ht="12.75">
      <c r="A802" s="45" t="str">
        <f ca="1">IFERROR(__xludf.DUMMYFUNCTION("""COMPUTED_VALUE"""),"Colombo")</f>
        <v>Colombo</v>
      </c>
      <c r="B802" s="45"/>
      <c r="C802" s="45">
        <f ca="1">IFERROR(__xludf.DUMMYFUNCTION("""COMPUTED_VALUE"""),3259526)</f>
        <v>3259526</v>
      </c>
      <c r="D802" s="45"/>
      <c r="E802" s="45" t="str">
        <f ca="1">IFERROR(__xludf.DUMMYFUNCTION("""COMPUTED_VALUE"""),"CFS")</f>
        <v>CFS</v>
      </c>
      <c r="F802" s="45" t="str">
        <f ca="1">IFERROR(__xludf.DUMMYFUNCTION("""COMPUTED_VALUE"""),"Bodyline Trading (Private) Limited")</f>
        <v>Bodyline Trading (Private) Limited</v>
      </c>
      <c r="G802" s="45" t="str">
        <f ca="1">IFERROR(__xludf.DUMMYFUNCTION("""COMPUTED_VALUE"""),"Bodyline (Private) Limited")</f>
        <v>Bodyline (Private) Limited</v>
      </c>
      <c r="H802" s="43">
        <f ca="1">IFERROR(__xludf.DUMMYFUNCTION("""COMPUTED_VALUE"""),456441153333)</f>
        <v>456441153333</v>
      </c>
      <c r="I802" s="45">
        <f ca="1">IFERROR(__xludf.DUMMYFUNCTION("""COMPUTED_VALUE"""),19828430)</f>
        <v>19828430</v>
      </c>
      <c r="J802" s="45" t="str">
        <f ca="1">IFERROR(__xludf.DUMMYFUNCTION("""COMPUTED_VALUE"""),"LW2DPOS")</f>
        <v>LW2DPOS</v>
      </c>
      <c r="K802" s="45" t="str">
        <f ca="1">IFERROR(__xludf.DUMMYFUNCTION("""COMPUTED_VALUE"""),"LW2DPOS-0001")</f>
        <v>LW2DPOS-0001</v>
      </c>
      <c r="L802" s="45">
        <f ca="1">IFERROR(__xludf.DUMMYFUNCTION("""COMPUTED_VALUE"""),7)</f>
        <v>7</v>
      </c>
      <c r="M802" s="45">
        <f ca="1">IFERROR(__xludf.DUMMYFUNCTION("""COMPUTED_VALUE"""),337)</f>
        <v>337</v>
      </c>
      <c r="N802" s="45">
        <f ca="1">IFERROR(__xludf.DUMMYFUNCTION("""COMPUTED_VALUE"""),49.477)</f>
        <v>49.476999999999997</v>
      </c>
      <c r="O802" s="45">
        <f ca="1">IFERROR(__xludf.DUMMYFUNCTION("""COMPUTED_VALUE"""),0.527)</f>
        <v>0.52700000000000002</v>
      </c>
      <c r="P802" s="45" t="str">
        <f ca="1">IFERROR(__xludf.DUMMYFUNCTION("""COMPUTED_VALUE"""),"Colombo, LK")</f>
        <v>Colombo, LK</v>
      </c>
      <c r="Q802" s="45" t="str">
        <f ca="1">IFERROR(__xludf.DUMMYFUNCTION("""COMPUTED_VALUE"""),"Rotterdam, NL")</f>
        <v>Rotterdam, NL</v>
      </c>
      <c r="R802" s="44">
        <f ca="1">IFERROR(__xludf.DUMMYFUNCTION("""COMPUTED_VALUE"""),45838)</f>
        <v>45838</v>
      </c>
      <c r="S802" s="44">
        <f ca="1">IFERROR(__xludf.DUMMYFUNCTION("""COMPUTED_VALUE"""),45892)</f>
        <v>45892</v>
      </c>
      <c r="T802" s="45" t="str">
        <f ca="1">IFERROR(__xludf.DUMMYFUNCTION("""COMPUTED_VALUE"""),"Rotterdam, NL")</f>
        <v>Rotterdam, NL</v>
      </c>
      <c r="U802" s="45"/>
      <c r="V802" s="45"/>
      <c r="W802" s="45"/>
      <c r="X802" s="45"/>
      <c r="Y802" s="46">
        <f ca="1">IFERROR(__xludf.DUMMYFUNCTION("""COMPUTED_VALUE"""),45845)</f>
        <v>45845</v>
      </c>
      <c r="Z802" s="46">
        <f ca="1">IFERROR(__xludf.DUMMYFUNCTION("""COMPUTED_VALUE"""),45866)</f>
        <v>45866</v>
      </c>
      <c r="AA802" s="46">
        <f ca="1">IFERROR(__xludf.DUMMYFUNCTION("""COMPUTED_VALUE"""),45866)</f>
        <v>45866</v>
      </c>
      <c r="AB802" s="45" t="str">
        <f ca="1">IFERROR(__xludf.DUMMYFUNCTION("""COMPUTED_VALUE"""),"Conradweg 26")</f>
        <v>Conradweg 26</v>
      </c>
      <c r="AC802" s="45"/>
      <c r="AD802" s="45" t="str">
        <f ca="1">IFERROR(__xludf.DUMMYFUNCTION("""COMPUTED_VALUE"""),"OCEAN")</f>
        <v>OCEAN</v>
      </c>
      <c r="AE802" s="45" t="str">
        <f ca="1">IFERROR(__xludf.DUMMYFUNCTION("""COMPUTED_VALUE"""),"N")</f>
        <v>N</v>
      </c>
      <c r="AF802" s="45" t="str">
        <f ca="1">IFERROR(__xludf.DUMMYFUNCTION("""COMPUTED_VALUE"""),"New Booking")</f>
        <v>New Booking</v>
      </c>
      <c r="AG802" s="49" t="str">
        <f ca="1">IFERROR(__xludf.DUMMYFUNCTION("IFNA(vlookup(H802,IMPORTRANGE(""1vUGwO1n0QQGx9kKbO0_M5gmuhXZ6-LaxQxgrmJnzgP0"",""'TP# look up'!A:C""),3,0),"""")"),"")</f>
        <v/>
      </c>
      <c r="AH802" s="49" t="str">
        <f t="shared" ca="1" si="12"/>
        <v>LW</v>
      </c>
    </row>
    <row r="803" spans="1:34" ht="12.75">
      <c r="A803" s="45" t="str">
        <f ca="1">IFERROR(__xludf.DUMMYFUNCTION("""COMPUTED_VALUE"""),"Colombo")</f>
        <v>Colombo</v>
      </c>
      <c r="B803" s="45"/>
      <c r="C803" s="45">
        <f ca="1">IFERROR(__xludf.DUMMYFUNCTION("""COMPUTED_VALUE"""),3259526)</f>
        <v>3259526</v>
      </c>
      <c r="D803" s="45"/>
      <c r="E803" s="45" t="str">
        <f ca="1">IFERROR(__xludf.DUMMYFUNCTION("""COMPUTED_VALUE"""),"CFS")</f>
        <v>CFS</v>
      </c>
      <c r="F803" s="45" t="str">
        <f ca="1">IFERROR(__xludf.DUMMYFUNCTION("""COMPUTED_VALUE"""),"Bodyline Trading (Private) Limited")</f>
        <v>Bodyline Trading (Private) Limited</v>
      </c>
      <c r="G803" s="45" t="str">
        <f ca="1">IFERROR(__xludf.DUMMYFUNCTION("""COMPUTED_VALUE"""),"Bodyline (Private) Limited")</f>
        <v>Bodyline (Private) Limited</v>
      </c>
      <c r="H803" s="43">
        <f ca="1">IFERROR(__xludf.DUMMYFUNCTION("""COMPUTED_VALUE"""),456443342677)</f>
        <v>456443342677</v>
      </c>
      <c r="I803" s="45">
        <f ca="1">IFERROR(__xludf.DUMMYFUNCTION("""COMPUTED_VALUE"""),19828283)</f>
        <v>19828283</v>
      </c>
      <c r="J803" s="45" t="str">
        <f ca="1">IFERROR(__xludf.DUMMYFUNCTION("""COMPUTED_VALUE"""),"LW9DEOS")</f>
        <v>LW9DEOS</v>
      </c>
      <c r="K803" s="45" t="str">
        <f ca="1">IFERROR(__xludf.DUMMYFUNCTION("""COMPUTED_VALUE"""),"LW9DEOS-070623")</f>
        <v>LW9DEOS-070623</v>
      </c>
      <c r="L803" s="45">
        <f ca="1">IFERROR(__xludf.DUMMYFUNCTION("""COMPUTED_VALUE"""),11)</f>
        <v>11</v>
      </c>
      <c r="M803" s="45">
        <f ca="1">IFERROR(__xludf.DUMMYFUNCTION("""COMPUTED_VALUE"""),317)</f>
        <v>317</v>
      </c>
      <c r="N803" s="45">
        <f ca="1">IFERROR(__xludf.DUMMYFUNCTION("""COMPUTED_VALUE"""),51.179)</f>
        <v>51.179000000000002</v>
      </c>
      <c r="O803" s="45">
        <f ca="1">IFERROR(__xludf.DUMMYFUNCTION("""COMPUTED_VALUE"""),0.483)</f>
        <v>0.48299999999999998</v>
      </c>
      <c r="P803" s="45" t="str">
        <f ca="1">IFERROR(__xludf.DUMMYFUNCTION("""COMPUTED_VALUE"""),"Colombo, LK")</f>
        <v>Colombo, LK</v>
      </c>
      <c r="Q803" s="45" t="str">
        <f ca="1">IFERROR(__xludf.DUMMYFUNCTION("""COMPUTED_VALUE"""),"Rotterdam, NL")</f>
        <v>Rotterdam, NL</v>
      </c>
      <c r="R803" s="44">
        <f ca="1">IFERROR(__xludf.DUMMYFUNCTION("""COMPUTED_VALUE"""),45838)</f>
        <v>45838</v>
      </c>
      <c r="S803" s="44">
        <f ca="1">IFERROR(__xludf.DUMMYFUNCTION("""COMPUTED_VALUE"""),45892)</f>
        <v>45892</v>
      </c>
      <c r="T803" s="45" t="str">
        <f ca="1">IFERROR(__xludf.DUMMYFUNCTION("""COMPUTED_VALUE"""),"Rotterdam, NL")</f>
        <v>Rotterdam, NL</v>
      </c>
      <c r="U803" s="45"/>
      <c r="V803" s="45"/>
      <c r="W803" s="45"/>
      <c r="X803" s="45"/>
      <c r="Y803" s="46">
        <f ca="1">IFERROR(__xludf.DUMMYFUNCTION("""COMPUTED_VALUE"""),45845)</f>
        <v>45845</v>
      </c>
      <c r="Z803" s="46">
        <f ca="1">IFERROR(__xludf.DUMMYFUNCTION("""COMPUTED_VALUE"""),45866)</f>
        <v>45866</v>
      </c>
      <c r="AA803" s="46">
        <f ca="1">IFERROR(__xludf.DUMMYFUNCTION("""COMPUTED_VALUE"""),45866)</f>
        <v>45866</v>
      </c>
      <c r="AB803" s="45" t="str">
        <f ca="1">IFERROR(__xludf.DUMMYFUNCTION("""COMPUTED_VALUE"""),"Conradweg 26")</f>
        <v>Conradweg 26</v>
      </c>
      <c r="AC803" s="45"/>
      <c r="AD803" s="45" t="str">
        <f ca="1">IFERROR(__xludf.DUMMYFUNCTION("""COMPUTED_VALUE"""),"OCEAN")</f>
        <v>OCEAN</v>
      </c>
      <c r="AE803" s="45" t="str">
        <f ca="1">IFERROR(__xludf.DUMMYFUNCTION("""COMPUTED_VALUE"""),"N")</f>
        <v>N</v>
      </c>
      <c r="AF803" s="45" t="str">
        <f ca="1">IFERROR(__xludf.DUMMYFUNCTION("""COMPUTED_VALUE"""),"New Booking")</f>
        <v>New Booking</v>
      </c>
      <c r="AG803" s="49" t="str">
        <f ca="1">IFERROR(__xludf.DUMMYFUNCTION("IFNA(vlookup(H803,IMPORTRANGE(""1vUGwO1n0QQGx9kKbO0_M5gmuhXZ6-LaxQxgrmJnzgP0"",""'TP# look up'!A:C""),3,0),"""")"),"")</f>
        <v/>
      </c>
      <c r="AH803" s="49" t="str">
        <f t="shared" ca="1" si="12"/>
        <v>LW</v>
      </c>
    </row>
    <row r="804" spans="1:34" ht="12.75">
      <c r="A804" s="45" t="str">
        <f ca="1">IFERROR(__xludf.DUMMYFUNCTION("""COMPUTED_VALUE"""),"Colombo")</f>
        <v>Colombo</v>
      </c>
      <c r="B804" s="45"/>
      <c r="C804" s="45">
        <f ca="1">IFERROR(__xludf.DUMMYFUNCTION("""COMPUTED_VALUE"""),3259526)</f>
        <v>3259526</v>
      </c>
      <c r="D804" s="45"/>
      <c r="E804" s="45" t="str">
        <f ca="1">IFERROR(__xludf.DUMMYFUNCTION("""COMPUTED_VALUE"""),"CFS")</f>
        <v>CFS</v>
      </c>
      <c r="F804" s="45" t="str">
        <f ca="1">IFERROR(__xludf.DUMMYFUNCTION("""COMPUTED_VALUE"""),"Bodyline Trading (Private) Limited")</f>
        <v>Bodyline Trading (Private) Limited</v>
      </c>
      <c r="G804" s="45" t="str">
        <f ca="1">IFERROR(__xludf.DUMMYFUNCTION("""COMPUTED_VALUE"""),"Bodyline (Private) Limited")</f>
        <v>Bodyline (Private) Limited</v>
      </c>
      <c r="H804" s="43">
        <f ca="1">IFERROR(__xludf.DUMMYFUNCTION("""COMPUTED_VALUE"""),456513125090)</f>
        <v>456513125090</v>
      </c>
      <c r="I804" s="45">
        <f ca="1">IFERROR(__xludf.DUMMYFUNCTION("""COMPUTED_VALUE"""),19828508)</f>
        <v>19828508</v>
      </c>
      <c r="J804" s="45" t="str">
        <f ca="1">IFERROR(__xludf.DUMMYFUNCTION("""COMPUTED_VALUE"""),"LW2DQ0S")</f>
        <v>LW2DQ0S</v>
      </c>
      <c r="K804" s="45" t="str">
        <f ca="1">IFERROR(__xludf.DUMMYFUNCTION("""COMPUTED_VALUE"""),"LW2DQ0S-068585")</f>
        <v>LW2DQ0S-068585</v>
      </c>
      <c r="L804" s="45">
        <f ca="1">IFERROR(__xludf.DUMMYFUNCTION("""COMPUTED_VALUE"""),1)</f>
        <v>1</v>
      </c>
      <c r="M804" s="45">
        <f ca="1">IFERROR(__xludf.DUMMYFUNCTION("""COMPUTED_VALUE"""),46)</f>
        <v>46</v>
      </c>
      <c r="N804" s="45">
        <f ca="1">IFERROR(__xludf.DUMMYFUNCTION("""COMPUTED_VALUE"""),5.666)</f>
        <v>5.6660000000000004</v>
      </c>
      <c r="O804" s="45">
        <f ca="1">IFERROR(__xludf.DUMMYFUNCTION("""COMPUTED_VALUE"""),0.081)</f>
        <v>8.1000000000000003E-2</v>
      </c>
      <c r="P804" s="45" t="str">
        <f ca="1">IFERROR(__xludf.DUMMYFUNCTION("""COMPUTED_VALUE"""),"Colombo, LK")</f>
        <v>Colombo, LK</v>
      </c>
      <c r="Q804" s="45" t="str">
        <f ca="1">IFERROR(__xludf.DUMMYFUNCTION("""COMPUTED_VALUE"""),"Rotterdam, NL")</f>
        <v>Rotterdam, NL</v>
      </c>
      <c r="R804" s="44">
        <f ca="1">IFERROR(__xludf.DUMMYFUNCTION("""COMPUTED_VALUE"""),45838)</f>
        <v>45838</v>
      </c>
      <c r="S804" s="44">
        <f ca="1">IFERROR(__xludf.DUMMYFUNCTION("""COMPUTED_VALUE"""),45892)</f>
        <v>45892</v>
      </c>
      <c r="T804" s="45" t="str">
        <f ca="1">IFERROR(__xludf.DUMMYFUNCTION("""COMPUTED_VALUE"""),"Rotterdam, NL")</f>
        <v>Rotterdam, NL</v>
      </c>
      <c r="U804" s="45"/>
      <c r="V804" s="45"/>
      <c r="W804" s="45"/>
      <c r="X804" s="45"/>
      <c r="Y804" s="46">
        <f ca="1">IFERROR(__xludf.DUMMYFUNCTION("""COMPUTED_VALUE"""),45845)</f>
        <v>45845</v>
      </c>
      <c r="Z804" s="46">
        <f ca="1">IFERROR(__xludf.DUMMYFUNCTION("""COMPUTED_VALUE"""),45866)</f>
        <v>45866</v>
      </c>
      <c r="AA804" s="46">
        <f ca="1">IFERROR(__xludf.DUMMYFUNCTION("""COMPUTED_VALUE"""),45866)</f>
        <v>45866</v>
      </c>
      <c r="AB804" s="45" t="str">
        <f ca="1">IFERROR(__xludf.DUMMYFUNCTION("""COMPUTED_VALUE"""),"Conradweg 26")</f>
        <v>Conradweg 26</v>
      </c>
      <c r="AC804" s="45"/>
      <c r="AD804" s="45" t="str">
        <f ca="1">IFERROR(__xludf.DUMMYFUNCTION("""COMPUTED_VALUE"""),"OCEAN")</f>
        <v>OCEAN</v>
      </c>
      <c r="AE804" s="45" t="str">
        <f ca="1">IFERROR(__xludf.DUMMYFUNCTION("""COMPUTED_VALUE"""),"N")</f>
        <v>N</v>
      </c>
      <c r="AF804" s="45" t="str">
        <f ca="1">IFERROR(__xludf.DUMMYFUNCTION("""COMPUTED_VALUE"""),"New Booking")</f>
        <v>New Booking</v>
      </c>
      <c r="AG804" s="49" t="str">
        <f ca="1">IFERROR(__xludf.DUMMYFUNCTION("IFNA(vlookup(H804,IMPORTRANGE(""1vUGwO1n0QQGx9kKbO0_M5gmuhXZ6-LaxQxgrmJnzgP0"",""'TP# look up'!A:C""),3,0),"""")"),"")</f>
        <v/>
      </c>
      <c r="AH804" s="49" t="str">
        <f t="shared" ca="1" si="12"/>
        <v>LW</v>
      </c>
    </row>
    <row r="805" spans="1:34" ht="12.75">
      <c r="A805" s="45" t="str">
        <f ca="1">IFERROR(__xludf.DUMMYFUNCTION("""COMPUTED_VALUE"""),"Colombo")</f>
        <v>Colombo</v>
      </c>
      <c r="B805" s="45"/>
      <c r="C805" s="45">
        <f ca="1">IFERROR(__xludf.DUMMYFUNCTION("""COMPUTED_VALUE"""),3259526)</f>
        <v>3259526</v>
      </c>
      <c r="D805" s="45"/>
      <c r="E805" s="45" t="str">
        <f ca="1">IFERROR(__xludf.DUMMYFUNCTION("""COMPUTED_VALUE"""),"CFS")</f>
        <v>CFS</v>
      </c>
      <c r="F805" s="45" t="str">
        <f ca="1">IFERROR(__xludf.DUMMYFUNCTION("""COMPUTED_VALUE"""),"Bodyline Trading (Private) Limited")</f>
        <v>Bodyline Trading (Private) Limited</v>
      </c>
      <c r="G805" s="45" t="str">
        <f ca="1">IFERROR(__xludf.DUMMYFUNCTION("""COMPUTED_VALUE"""),"Bodyline (Private) Limited")</f>
        <v>Bodyline (Private) Limited</v>
      </c>
      <c r="H805" s="43">
        <f ca="1">IFERROR(__xludf.DUMMYFUNCTION("""COMPUTED_VALUE"""),456514360626)</f>
        <v>456514360626</v>
      </c>
      <c r="I805" s="45">
        <f ca="1">IFERROR(__xludf.DUMMYFUNCTION("""COMPUTED_VALUE"""),19828503)</f>
        <v>19828503</v>
      </c>
      <c r="J805" s="45" t="str">
        <f ca="1">IFERROR(__xludf.DUMMYFUNCTION("""COMPUTED_VALUE"""),"LW2DQ0S")</f>
        <v>LW2DQ0S</v>
      </c>
      <c r="K805" s="45" t="str">
        <f ca="1">IFERROR(__xludf.DUMMYFUNCTION("""COMPUTED_VALUE"""),"LW2DQ0S-068585")</f>
        <v>LW2DQ0S-068585</v>
      </c>
      <c r="L805" s="45">
        <f ca="1">IFERROR(__xludf.DUMMYFUNCTION("""COMPUTED_VALUE"""),8)</f>
        <v>8</v>
      </c>
      <c r="M805" s="45">
        <f ca="1">IFERROR(__xludf.DUMMYFUNCTION("""COMPUTED_VALUE"""),409)</f>
        <v>409</v>
      </c>
      <c r="N805" s="45">
        <f ca="1">IFERROR(__xludf.DUMMYFUNCTION("""COMPUTED_VALUE"""),49.286)</f>
        <v>49.286000000000001</v>
      </c>
      <c r="O805" s="45">
        <f ca="1">IFERROR(__xludf.DUMMYFUNCTION("""COMPUTED_VALUE"""),0.608)</f>
        <v>0.60799999999999998</v>
      </c>
      <c r="P805" s="45" t="str">
        <f ca="1">IFERROR(__xludf.DUMMYFUNCTION("""COMPUTED_VALUE"""),"Colombo, LK")</f>
        <v>Colombo, LK</v>
      </c>
      <c r="Q805" s="45" t="str">
        <f ca="1">IFERROR(__xludf.DUMMYFUNCTION("""COMPUTED_VALUE"""),"Rotterdam, NL")</f>
        <v>Rotterdam, NL</v>
      </c>
      <c r="R805" s="44">
        <f ca="1">IFERROR(__xludf.DUMMYFUNCTION("""COMPUTED_VALUE"""),45838)</f>
        <v>45838</v>
      </c>
      <c r="S805" s="44">
        <f ca="1">IFERROR(__xludf.DUMMYFUNCTION("""COMPUTED_VALUE"""),45892)</f>
        <v>45892</v>
      </c>
      <c r="T805" s="45" t="str">
        <f ca="1">IFERROR(__xludf.DUMMYFUNCTION("""COMPUTED_VALUE"""),"Rotterdam, NL")</f>
        <v>Rotterdam, NL</v>
      </c>
      <c r="U805" s="45"/>
      <c r="V805" s="45"/>
      <c r="W805" s="45"/>
      <c r="X805" s="45"/>
      <c r="Y805" s="46">
        <f ca="1">IFERROR(__xludf.DUMMYFUNCTION("""COMPUTED_VALUE"""),45845)</f>
        <v>45845</v>
      </c>
      <c r="Z805" s="46">
        <f ca="1">IFERROR(__xludf.DUMMYFUNCTION("""COMPUTED_VALUE"""),45866)</f>
        <v>45866</v>
      </c>
      <c r="AA805" s="46">
        <f ca="1">IFERROR(__xludf.DUMMYFUNCTION("""COMPUTED_VALUE"""),45866)</f>
        <v>45866</v>
      </c>
      <c r="AB805" s="45" t="str">
        <f ca="1">IFERROR(__xludf.DUMMYFUNCTION("""COMPUTED_VALUE"""),"Conradweg 26")</f>
        <v>Conradweg 26</v>
      </c>
      <c r="AC805" s="45"/>
      <c r="AD805" s="45" t="str">
        <f ca="1">IFERROR(__xludf.DUMMYFUNCTION("""COMPUTED_VALUE"""),"OCEAN")</f>
        <v>OCEAN</v>
      </c>
      <c r="AE805" s="45" t="str">
        <f ca="1">IFERROR(__xludf.DUMMYFUNCTION("""COMPUTED_VALUE"""),"N")</f>
        <v>N</v>
      </c>
      <c r="AF805" s="45" t="str">
        <f ca="1">IFERROR(__xludf.DUMMYFUNCTION("""COMPUTED_VALUE"""),"New Booking")</f>
        <v>New Booking</v>
      </c>
      <c r="AG805" s="49" t="str">
        <f ca="1">IFERROR(__xludf.DUMMYFUNCTION("IFNA(vlookup(H805,IMPORTRANGE(""1vUGwO1n0QQGx9kKbO0_M5gmuhXZ6-LaxQxgrmJnzgP0"",""'TP# look up'!A:C""),3,0),"""")"),"")</f>
        <v/>
      </c>
      <c r="AH805" s="49" t="str">
        <f t="shared" ca="1" si="12"/>
        <v>LW</v>
      </c>
    </row>
    <row r="806" spans="1:34" ht="12.75">
      <c r="A806" s="45" t="str">
        <f ca="1">IFERROR(__xludf.DUMMYFUNCTION("""COMPUTED_VALUE"""),"Colombo")</f>
        <v>Colombo</v>
      </c>
      <c r="B806" s="45"/>
      <c r="C806" s="45">
        <f ca="1">IFERROR(__xludf.DUMMYFUNCTION("""COMPUTED_VALUE"""),3259526)</f>
        <v>3259526</v>
      </c>
      <c r="D806" s="45"/>
      <c r="E806" s="45" t="str">
        <f ca="1">IFERROR(__xludf.DUMMYFUNCTION("""COMPUTED_VALUE"""),"CFS")</f>
        <v>CFS</v>
      </c>
      <c r="F806" s="45" t="str">
        <f ca="1">IFERROR(__xludf.DUMMYFUNCTION("""COMPUTED_VALUE"""),"Inqube Global (PVT) Ltd")</f>
        <v>Inqube Global (PVT) Ltd</v>
      </c>
      <c r="G806" s="45" t="str">
        <f ca="1">IFERROR(__xludf.DUMMYFUNCTION("""COMPUTED_VALUE"""),"Brandix Apparel Solutions Limited - Minuwangoda")</f>
        <v>Brandix Apparel Solutions Limited - Minuwangoda</v>
      </c>
      <c r="H806" s="43">
        <f ca="1">IFERROR(__xludf.DUMMYFUNCTION("""COMPUTED_VALUE"""),456604545124)</f>
        <v>456604545124</v>
      </c>
      <c r="I806" s="45">
        <f ca="1">IFERROR(__xludf.DUMMYFUNCTION("""COMPUTED_VALUE"""),19854991)</f>
        <v>19854991</v>
      </c>
      <c r="J806" s="45" t="str">
        <f ca="1">IFERROR(__xludf.DUMMYFUNCTION("""COMPUTED_VALUE"""),"LW5GLNS")</f>
        <v>LW5GLNS</v>
      </c>
      <c r="K806" s="45" t="str">
        <f ca="1">IFERROR(__xludf.DUMMYFUNCTION("""COMPUTED_VALUE"""),"LW5GLNS-071150")</f>
        <v>LW5GLNS-071150</v>
      </c>
      <c r="L806" s="45">
        <f ca="1">IFERROR(__xludf.DUMMYFUNCTION("""COMPUTED_VALUE"""),6)</f>
        <v>6</v>
      </c>
      <c r="M806" s="45">
        <f ca="1">IFERROR(__xludf.DUMMYFUNCTION("""COMPUTED_VALUE"""),95)</f>
        <v>95</v>
      </c>
      <c r="N806" s="45">
        <f ca="1">IFERROR(__xludf.DUMMYFUNCTION("""COMPUTED_VALUE"""),50.4)</f>
        <v>50.4</v>
      </c>
      <c r="O806" s="45">
        <f ca="1">IFERROR(__xludf.DUMMYFUNCTION("""COMPUTED_VALUE"""),0.471)</f>
        <v>0.47099999999999997</v>
      </c>
      <c r="P806" s="45" t="str">
        <f ca="1">IFERROR(__xludf.DUMMYFUNCTION("""COMPUTED_VALUE"""),"Colombo, LK")</f>
        <v>Colombo, LK</v>
      </c>
      <c r="Q806" s="45" t="str">
        <f ca="1">IFERROR(__xludf.DUMMYFUNCTION("""COMPUTED_VALUE"""),"Rotterdam, NL")</f>
        <v>Rotterdam, NL</v>
      </c>
      <c r="R806" s="44">
        <f ca="1">IFERROR(__xludf.DUMMYFUNCTION("""COMPUTED_VALUE"""),45838)</f>
        <v>45838</v>
      </c>
      <c r="S806" s="44">
        <f ca="1">IFERROR(__xludf.DUMMYFUNCTION("""COMPUTED_VALUE"""),45892)</f>
        <v>45892</v>
      </c>
      <c r="T806" s="45" t="str">
        <f ca="1">IFERROR(__xludf.DUMMYFUNCTION("""COMPUTED_VALUE"""),"Rotterdam, NL")</f>
        <v>Rotterdam, NL</v>
      </c>
      <c r="U806" s="45"/>
      <c r="V806" s="45"/>
      <c r="W806" s="45"/>
      <c r="X806" s="45"/>
      <c r="Y806" s="46">
        <f ca="1">IFERROR(__xludf.DUMMYFUNCTION("""COMPUTED_VALUE"""),45845)</f>
        <v>45845</v>
      </c>
      <c r="Z806" s="46">
        <f ca="1">IFERROR(__xludf.DUMMYFUNCTION("""COMPUTED_VALUE"""),45866)</f>
        <v>45866</v>
      </c>
      <c r="AA806" s="46">
        <f ca="1">IFERROR(__xludf.DUMMYFUNCTION("""COMPUTED_VALUE"""),45866)</f>
        <v>45866</v>
      </c>
      <c r="AB806" s="45" t="str">
        <f ca="1">IFERROR(__xludf.DUMMYFUNCTION("""COMPUTED_VALUE"""),"Conradweg 26")</f>
        <v>Conradweg 26</v>
      </c>
      <c r="AC806" s="45"/>
      <c r="AD806" s="45" t="str">
        <f ca="1">IFERROR(__xludf.DUMMYFUNCTION("""COMPUTED_VALUE"""),"OCEAN")</f>
        <v>OCEAN</v>
      </c>
      <c r="AE806" s="45" t="str">
        <f ca="1">IFERROR(__xludf.DUMMYFUNCTION("""COMPUTED_VALUE"""),"N")</f>
        <v>N</v>
      </c>
      <c r="AF806" s="45" t="str">
        <f ca="1">IFERROR(__xludf.DUMMYFUNCTION("""COMPUTED_VALUE"""),"New Booking")</f>
        <v>New Booking</v>
      </c>
      <c r="AG806" s="49" t="str">
        <f ca="1">IFERROR(__xludf.DUMMYFUNCTION("IFNA(vlookup(H806,IMPORTRANGE(""1vUGwO1n0QQGx9kKbO0_M5gmuhXZ6-LaxQxgrmJnzgP0"",""'TP# look up'!A:C""),3,0),"""")"),"")</f>
        <v/>
      </c>
      <c r="AH806" s="49" t="str">
        <f t="shared" ca="1" si="12"/>
        <v>LW</v>
      </c>
    </row>
    <row r="807" spans="1:34" ht="12.75">
      <c r="A807" s="45" t="str">
        <f ca="1">IFERROR(__xludf.DUMMYFUNCTION("""COMPUTED_VALUE"""),"Colombo")</f>
        <v>Colombo</v>
      </c>
      <c r="B807" s="45"/>
      <c r="C807" s="45">
        <f ca="1">IFERROR(__xludf.DUMMYFUNCTION("""COMPUTED_VALUE"""),3259526)</f>
        <v>3259526</v>
      </c>
      <c r="D807" s="45"/>
      <c r="E807" s="45" t="str">
        <f ca="1">IFERROR(__xludf.DUMMYFUNCTION("""COMPUTED_VALUE"""),"CFS")</f>
        <v>CFS</v>
      </c>
      <c r="F807" s="45" t="str">
        <f ca="1">IFERROR(__xludf.DUMMYFUNCTION("""COMPUTED_VALUE"""),"Inqube Global (PVT) Ltd")</f>
        <v>Inqube Global (PVT) Ltd</v>
      </c>
      <c r="G807" s="45" t="str">
        <f ca="1">IFERROR(__xludf.DUMMYFUNCTION("""COMPUTED_VALUE"""),"Brandix Apparel Solutions Limited - Minuwangoda")</f>
        <v>Brandix Apparel Solutions Limited - Minuwangoda</v>
      </c>
      <c r="H807" s="43">
        <f ca="1">IFERROR(__xludf.DUMMYFUNCTION("""COMPUTED_VALUE"""),456881601911)</f>
        <v>456881601911</v>
      </c>
      <c r="I807" s="45">
        <f ca="1">IFERROR(__xludf.DUMMYFUNCTION("""COMPUTED_VALUE"""),19854960)</f>
        <v>19854960</v>
      </c>
      <c r="J807" s="45" t="str">
        <f ca="1">IFERROR(__xludf.DUMMYFUNCTION("""COMPUTED_VALUE"""),"LW3ISMS")</f>
        <v>LW3ISMS</v>
      </c>
      <c r="K807" s="45" t="str">
        <f ca="1">IFERROR(__xludf.DUMMYFUNCTION("""COMPUTED_VALUE"""),"LW3ISMS-020392")</f>
        <v>LW3ISMS-020392</v>
      </c>
      <c r="L807" s="45">
        <f ca="1">IFERROR(__xludf.DUMMYFUNCTION("""COMPUTED_VALUE"""),7)</f>
        <v>7</v>
      </c>
      <c r="M807" s="45">
        <f ca="1">IFERROR(__xludf.DUMMYFUNCTION("""COMPUTED_VALUE"""),104)</f>
        <v>104</v>
      </c>
      <c r="N807" s="45">
        <f ca="1">IFERROR(__xludf.DUMMYFUNCTION("""COMPUTED_VALUE"""),32.645)</f>
        <v>32.645000000000003</v>
      </c>
      <c r="O807" s="45">
        <f ca="1">IFERROR(__xludf.DUMMYFUNCTION("""COMPUTED_VALUE"""),0.55)</f>
        <v>0.55000000000000004</v>
      </c>
      <c r="P807" s="45" t="str">
        <f ca="1">IFERROR(__xludf.DUMMYFUNCTION("""COMPUTED_VALUE"""),"Colombo, LK")</f>
        <v>Colombo, LK</v>
      </c>
      <c r="Q807" s="45" t="str">
        <f ca="1">IFERROR(__xludf.DUMMYFUNCTION("""COMPUTED_VALUE"""),"Rotterdam, NL")</f>
        <v>Rotterdam, NL</v>
      </c>
      <c r="R807" s="44">
        <f ca="1">IFERROR(__xludf.DUMMYFUNCTION("""COMPUTED_VALUE"""),45838)</f>
        <v>45838</v>
      </c>
      <c r="S807" s="44">
        <f ca="1">IFERROR(__xludf.DUMMYFUNCTION("""COMPUTED_VALUE"""),45892)</f>
        <v>45892</v>
      </c>
      <c r="T807" s="45" t="str">
        <f ca="1">IFERROR(__xludf.DUMMYFUNCTION("""COMPUTED_VALUE"""),"Rotterdam, NL")</f>
        <v>Rotterdam, NL</v>
      </c>
      <c r="U807" s="45"/>
      <c r="V807" s="45"/>
      <c r="W807" s="45"/>
      <c r="X807" s="45"/>
      <c r="Y807" s="46">
        <f ca="1">IFERROR(__xludf.DUMMYFUNCTION("""COMPUTED_VALUE"""),45845)</f>
        <v>45845</v>
      </c>
      <c r="Z807" s="46">
        <f ca="1">IFERROR(__xludf.DUMMYFUNCTION("""COMPUTED_VALUE"""),45866)</f>
        <v>45866</v>
      </c>
      <c r="AA807" s="46">
        <f ca="1">IFERROR(__xludf.DUMMYFUNCTION("""COMPUTED_VALUE"""),45866)</f>
        <v>45866</v>
      </c>
      <c r="AB807" s="45" t="str">
        <f ca="1">IFERROR(__xludf.DUMMYFUNCTION("""COMPUTED_VALUE"""),"Conradweg 26")</f>
        <v>Conradweg 26</v>
      </c>
      <c r="AC807" s="45"/>
      <c r="AD807" s="45" t="str">
        <f ca="1">IFERROR(__xludf.DUMMYFUNCTION("""COMPUTED_VALUE"""),"OCEAN")</f>
        <v>OCEAN</v>
      </c>
      <c r="AE807" s="45" t="str">
        <f ca="1">IFERROR(__xludf.DUMMYFUNCTION("""COMPUTED_VALUE"""),"N")</f>
        <v>N</v>
      </c>
      <c r="AF807"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07" s="49" t="str">
        <f ca="1">IFERROR(__xludf.DUMMYFUNCTION("IFNA(vlookup(H807,IMPORTRANGE(""1vUGwO1n0QQGx9kKbO0_M5gmuhXZ6-LaxQxgrmJnzgP0"",""'TP# look up'!A:C""),3,0),"""")"),"")</f>
        <v/>
      </c>
      <c r="AH807" s="49" t="str">
        <f t="shared" ca="1" si="12"/>
        <v>LW</v>
      </c>
    </row>
    <row r="808" spans="1:34" ht="12.75">
      <c r="A808" s="45" t="str">
        <f ca="1">IFERROR(__xludf.DUMMYFUNCTION("""COMPUTED_VALUE"""),"Colombo")</f>
        <v>Colombo</v>
      </c>
      <c r="B808" s="45"/>
      <c r="C808" s="45">
        <f ca="1">IFERROR(__xludf.DUMMYFUNCTION("""COMPUTED_VALUE"""),3259526)</f>
        <v>3259526</v>
      </c>
      <c r="D808" s="45"/>
      <c r="E808" s="45" t="str">
        <f ca="1">IFERROR(__xludf.DUMMYFUNCTION("""COMPUTED_VALUE"""),"CFS")</f>
        <v>CFS</v>
      </c>
      <c r="F808" s="45" t="str">
        <f ca="1">IFERROR(__xludf.DUMMYFUNCTION("""COMPUTED_VALUE"""),"Inqube Global (PVT) Ltd")</f>
        <v>Inqube Global (PVT) Ltd</v>
      </c>
      <c r="G808" s="45" t="str">
        <f ca="1">IFERROR(__xludf.DUMMYFUNCTION("""COMPUTED_VALUE"""),"BRANDIX APPAREL SOLUTION LTD - GIRITALE")</f>
        <v>BRANDIX APPAREL SOLUTION LTD - GIRITALE</v>
      </c>
      <c r="H808" s="43">
        <f ca="1">IFERROR(__xludf.DUMMYFUNCTION("""COMPUTED_VALUE"""),455639587806)</f>
        <v>455639587806</v>
      </c>
      <c r="I808" s="45">
        <f ca="1">IFERROR(__xludf.DUMMYFUNCTION("""COMPUTED_VALUE"""),19807135)</f>
        <v>19807135</v>
      </c>
      <c r="J808" s="45" t="str">
        <f ca="1">IFERROR(__xludf.DUMMYFUNCTION("""COMPUTED_VALUE"""),"LM5AXAS")</f>
        <v>LM5AXAS</v>
      </c>
      <c r="K808" s="45" t="str">
        <f ca="1">IFERROR(__xludf.DUMMYFUNCTION("""COMPUTED_VALUE"""),"LM5AXAS-070108")</f>
        <v>LM5AXAS-070108</v>
      </c>
      <c r="L808" s="45">
        <f ca="1">IFERROR(__xludf.DUMMYFUNCTION("""COMPUTED_VALUE"""),5)</f>
        <v>5</v>
      </c>
      <c r="M808" s="45">
        <f ca="1">IFERROR(__xludf.DUMMYFUNCTION("""COMPUTED_VALUE"""),119)</f>
        <v>119</v>
      </c>
      <c r="N808" s="45">
        <f ca="1">IFERROR(__xludf.DUMMYFUNCTION("""COMPUTED_VALUE"""),47.67)</f>
        <v>47.67</v>
      </c>
      <c r="O808" s="45">
        <f ca="1">IFERROR(__xludf.DUMMYFUNCTION("""COMPUTED_VALUE"""),0.413)</f>
        <v>0.41299999999999998</v>
      </c>
      <c r="P808" s="45" t="str">
        <f ca="1">IFERROR(__xludf.DUMMYFUNCTION("""COMPUTED_VALUE"""),"Colombo, LK")</f>
        <v>Colombo, LK</v>
      </c>
      <c r="Q808" s="45" t="str">
        <f ca="1">IFERROR(__xludf.DUMMYFUNCTION("""COMPUTED_VALUE"""),"Rotterdam, NL")</f>
        <v>Rotterdam, NL</v>
      </c>
      <c r="R808" s="44">
        <f ca="1">IFERROR(__xludf.DUMMYFUNCTION("""COMPUTED_VALUE"""),45838)</f>
        <v>45838</v>
      </c>
      <c r="S808" s="44">
        <f ca="1">IFERROR(__xludf.DUMMYFUNCTION("""COMPUTED_VALUE"""),45892)</f>
        <v>45892</v>
      </c>
      <c r="T808" s="45" t="str">
        <f ca="1">IFERROR(__xludf.DUMMYFUNCTION("""COMPUTED_VALUE"""),"Rotterdam, NL")</f>
        <v>Rotterdam, NL</v>
      </c>
      <c r="U808" s="45"/>
      <c r="V808" s="45"/>
      <c r="W808" s="45"/>
      <c r="X808" s="45"/>
      <c r="Y808" s="46">
        <f ca="1">IFERROR(__xludf.DUMMYFUNCTION("""COMPUTED_VALUE"""),45845)</f>
        <v>45845</v>
      </c>
      <c r="Z808" s="46">
        <f ca="1">IFERROR(__xludf.DUMMYFUNCTION("""COMPUTED_VALUE"""),45866)</f>
        <v>45866</v>
      </c>
      <c r="AA808" s="46">
        <f ca="1">IFERROR(__xludf.DUMMYFUNCTION("""COMPUTED_VALUE"""),45866)</f>
        <v>45866</v>
      </c>
      <c r="AB808" s="45" t="str">
        <f ca="1">IFERROR(__xludf.DUMMYFUNCTION("""COMPUTED_VALUE"""),"Conradweg 26")</f>
        <v>Conradweg 26</v>
      </c>
      <c r="AC808" s="45"/>
      <c r="AD808" s="45" t="str">
        <f ca="1">IFERROR(__xludf.DUMMYFUNCTION("""COMPUTED_VALUE"""),"OCEAN")</f>
        <v>OCEAN</v>
      </c>
      <c r="AE808" s="45" t="str">
        <f ca="1">IFERROR(__xludf.DUMMYFUNCTION("""COMPUTED_VALUE"""),"N")</f>
        <v>N</v>
      </c>
      <c r="AF808" s="45" t="str">
        <f ca="1">IFERROR(__xludf.DUMMYFUNCTION("""COMPUTED_VALUE"""),"New Booking")</f>
        <v>New Booking</v>
      </c>
      <c r="AG808" s="49" t="str">
        <f ca="1">IFERROR(__xludf.DUMMYFUNCTION("IFNA(vlookup(H808,IMPORTRANGE(""1vUGwO1n0QQGx9kKbO0_M5gmuhXZ6-LaxQxgrmJnzgP0"",""'TP# look up'!A:C""),3,0),"""")"),"")</f>
        <v/>
      </c>
      <c r="AH808" s="49" t="str">
        <f t="shared" ca="1" si="12"/>
        <v>LM</v>
      </c>
    </row>
    <row r="809" spans="1:34" ht="12.75">
      <c r="A809" s="45" t="str">
        <f ca="1">IFERROR(__xludf.DUMMYFUNCTION("""COMPUTED_VALUE"""),"Colombo")</f>
        <v>Colombo</v>
      </c>
      <c r="B809" s="45"/>
      <c r="C809" s="45">
        <f ca="1">IFERROR(__xludf.DUMMYFUNCTION("""COMPUTED_VALUE"""),3259528)</f>
        <v>3259528</v>
      </c>
      <c r="D809" s="45"/>
      <c r="E809" s="45" t="str">
        <f ca="1">IFERROR(__xludf.DUMMYFUNCTION("""COMPUTED_VALUE"""),"CFS")</f>
        <v>CFS</v>
      </c>
      <c r="F809" s="45" t="str">
        <f ca="1">IFERROR(__xludf.DUMMYFUNCTION("""COMPUTED_VALUE"""),"Inqube Global (PVT) Ltd")</f>
        <v>Inqube Global (PVT) Ltd</v>
      </c>
      <c r="G809" s="45" t="str">
        <f ca="1">IFERROR(__xludf.DUMMYFUNCTION("""COMPUTED_VALUE"""),"BRANDIX APPAREL SOLUTION LTD - GIRITALE")</f>
        <v>BRANDIX APPAREL SOLUTION LTD - GIRITALE</v>
      </c>
      <c r="H809" s="43">
        <f ca="1">IFERROR(__xludf.DUMMYFUNCTION("""COMPUTED_VALUE"""),455641464651)</f>
        <v>455641464651</v>
      </c>
      <c r="I809" s="45">
        <f ca="1">IFERROR(__xludf.DUMMYFUNCTION("""COMPUTED_VALUE"""),19855610)</f>
        <v>19855610</v>
      </c>
      <c r="J809" s="45" t="str">
        <f ca="1">IFERROR(__xludf.DUMMYFUNCTION("""COMPUTED_VALUE"""),"LM5AO4S")</f>
        <v>LM5AO4S</v>
      </c>
      <c r="K809" s="45" t="str">
        <f ca="1">IFERROR(__xludf.DUMMYFUNCTION("""COMPUTED_VALUE"""),"LM5AO4S-018615")</f>
        <v>LM5AO4S-018615</v>
      </c>
      <c r="L809" s="45">
        <f ca="1">IFERROR(__xludf.DUMMYFUNCTION("""COMPUTED_VALUE"""),1)</f>
        <v>1</v>
      </c>
      <c r="M809" s="45">
        <f ca="1">IFERROR(__xludf.DUMMYFUNCTION("""COMPUTED_VALUE"""),41)</f>
        <v>41</v>
      </c>
      <c r="N809" s="45">
        <f ca="1">IFERROR(__xludf.DUMMYFUNCTION("""COMPUTED_VALUE"""),18.35)</f>
        <v>18.350000000000001</v>
      </c>
      <c r="O809" s="45">
        <f ca="1">IFERROR(__xludf.DUMMYFUNCTION("""COMPUTED_VALUE"""),0.083)</f>
        <v>8.3000000000000004E-2</v>
      </c>
      <c r="P809" s="45" t="str">
        <f ca="1">IFERROR(__xludf.DUMMYFUNCTION("""COMPUTED_VALUE"""),"Colombo, LK")</f>
        <v>Colombo, LK</v>
      </c>
      <c r="Q809" s="45" t="str">
        <f ca="1">IFERROR(__xludf.DUMMYFUNCTION("""COMPUTED_VALUE"""),"New York, NY, US")</f>
        <v>New York, NY, US</v>
      </c>
      <c r="R809" s="44">
        <f ca="1">IFERROR(__xludf.DUMMYFUNCTION("""COMPUTED_VALUE"""),45838)</f>
        <v>45838</v>
      </c>
      <c r="S809" s="44">
        <f ca="1">IFERROR(__xludf.DUMMYFUNCTION("""COMPUTED_VALUE"""),45897)</f>
        <v>45897</v>
      </c>
      <c r="T809" s="45" t="str">
        <f ca="1">IFERROR(__xludf.DUMMYFUNCTION("""COMPUTED_VALUE"""),"Mississauga, ON, CA")</f>
        <v>Mississauga, ON, CA</v>
      </c>
      <c r="U809" s="45"/>
      <c r="V809" s="45"/>
      <c r="W809" s="45"/>
      <c r="X809" s="45"/>
      <c r="Y809" s="46">
        <f ca="1">IFERROR(__xludf.DUMMYFUNCTION("""COMPUTED_VALUE"""),45845)</f>
        <v>45845</v>
      </c>
      <c r="Z809" s="46">
        <f ca="1">IFERROR(__xludf.DUMMYFUNCTION("""COMPUTED_VALUE"""),45866)</f>
        <v>45866</v>
      </c>
      <c r="AA809" s="46">
        <f ca="1">IFERROR(__xludf.DUMMYFUNCTION("""COMPUTED_VALUE"""),45866)</f>
        <v>45866</v>
      </c>
      <c r="AB809" s="45" t="str">
        <f ca="1">IFERROR(__xludf.DUMMYFUNCTION("""COMPUTED_VALUE"""),"3500 Argentia Road")</f>
        <v>3500 Argentia Road</v>
      </c>
      <c r="AC809" s="45"/>
      <c r="AD809" s="45" t="str">
        <f ca="1">IFERROR(__xludf.DUMMYFUNCTION("""COMPUTED_VALUE"""),"OCEAN")</f>
        <v>OCEAN</v>
      </c>
      <c r="AE809" s="45" t="str">
        <f ca="1">IFERROR(__xludf.DUMMYFUNCTION("""COMPUTED_VALUE"""),"N")</f>
        <v>N</v>
      </c>
      <c r="AF809" s="45" t="str">
        <f ca="1">IFERROR(__xludf.DUMMYFUNCTION("""COMPUTED_VALUE"""),"New Booking")</f>
        <v>New Booking</v>
      </c>
      <c r="AG809" s="49" t="str">
        <f ca="1">IFERROR(__xludf.DUMMYFUNCTION("IFNA(vlookup(H809,IMPORTRANGE(""1vUGwO1n0QQGx9kKbO0_M5gmuhXZ6-LaxQxgrmJnzgP0"",""'TP# look up'!A:C""),3,0),"""")"),"")</f>
        <v/>
      </c>
      <c r="AH809" s="49" t="str">
        <f t="shared" ca="1" si="12"/>
        <v>LM</v>
      </c>
    </row>
    <row r="810" spans="1:34" ht="12.75">
      <c r="A810" s="45" t="str">
        <f ca="1">IFERROR(__xludf.DUMMYFUNCTION("""COMPUTED_VALUE"""),"Colombo")</f>
        <v>Colombo</v>
      </c>
      <c r="B810" s="45"/>
      <c r="C810" s="45">
        <f ca="1">IFERROR(__xludf.DUMMYFUNCTION("""COMPUTED_VALUE"""),3259528)</f>
        <v>3259528</v>
      </c>
      <c r="D810" s="45"/>
      <c r="E810" s="45" t="str">
        <f ca="1">IFERROR(__xludf.DUMMYFUNCTION("""COMPUTED_VALUE"""),"CFS")</f>
        <v>CFS</v>
      </c>
      <c r="F810" s="45" t="str">
        <f ca="1">IFERROR(__xludf.DUMMYFUNCTION("""COMPUTED_VALUE"""),"Inqube Global (PVT) Ltd")</f>
        <v>Inqube Global (PVT) Ltd</v>
      </c>
      <c r="G810" s="45" t="str">
        <f ca="1">IFERROR(__xludf.DUMMYFUNCTION("""COMPUTED_VALUE"""),"BRANDIX APPAREL SOLUTION LTD - GIRITALE")</f>
        <v>BRANDIX APPAREL SOLUTION LTD - GIRITALE</v>
      </c>
      <c r="H810" s="43">
        <f ca="1">IFERROR(__xludf.DUMMYFUNCTION("""COMPUTED_VALUE"""),455641955223)</f>
        <v>455641955223</v>
      </c>
      <c r="I810" s="45">
        <f ca="1">IFERROR(__xludf.DUMMYFUNCTION("""COMPUTED_VALUE"""),19855609)</f>
        <v>19855609</v>
      </c>
      <c r="J810" s="45" t="str">
        <f ca="1">IFERROR(__xludf.DUMMYFUNCTION("""COMPUTED_VALUE"""),"LM5AO4S")</f>
        <v>LM5AO4S</v>
      </c>
      <c r="K810" s="45" t="str">
        <f ca="1">IFERROR(__xludf.DUMMYFUNCTION("""COMPUTED_VALUE"""),"LM5AO4S-018615")</f>
        <v>LM5AO4S-018615</v>
      </c>
      <c r="L810" s="45">
        <f ca="1">IFERROR(__xludf.DUMMYFUNCTION("""COMPUTED_VALUE"""),6)</f>
        <v>6</v>
      </c>
      <c r="M810" s="45">
        <f ca="1">IFERROR(__xludf.DUMMYFUNCTION("""COMPUTED_VALUE"""),111)</f>
        <v>111</v>
      </c>
      <c r="N810" s="45">
        <f ca="1">IFERROR(__xludf.DUMMYFUNCTION("""COMPUTED_VALUE"""),52.39)</f>
        <v>52.39</v>
      </c>
      <c r="O810" s="45">
        <f ca="1">IFERROR(__xludf.DUMMYFUNCTION("""COMPUTED_VALUE"""),0.295)</f>
        <v>0.29499999999999998</v>
      </c>
      <c r="P810" s="45" t="str">
        <f ca="1">IFERROR(__xludf.DUMMYFUNCTION("""COMPUTED_VALUE"""),"Colombo, LK")</f>
        <v>Colombo, LK</v>
      </c>
      <c r="Q810" s="45" t="str">
        <f ca="1">IFERROR(__xludf.DUMMYFUNCTION("""COMPUTED_VALUE"""),"New York, NY, US")</f>
        <v>New York, NY, US</v>
      </c>
      <c r="R810" s="44">
        <f ca="1">IFERROR(__xludf.DUMMYFUNCTION("""COMPUTED_VALUE"""),45838)</f>
        <v>45838</v>
      </c>
      <c r="S810" s="44">
        <f ca="1">IFERROR(__xludf.DUMMYFUNCTION("""COMPUTED_VALUE"""),45897)</f>
        <v>45897</v>
      </c>
      <c r="T810" s="45" t="str">
        <f ca="1">IFERROR(__xludf.DUMMYFUNCTION("""COMPUTED_VALUE"""),"Mississauga, ON, CA")</f>
        <v>Mississauga, ON, CA</v>
      </c>
      <c r="U810" s="45"/>
      <c r="V810" s="45"/>
      <c r="W810" s="45"/>
      <c r="X810" s="45"/>
      <c r="Y810" s="46">
        <f ca="1">IFERROR(__xludf.DUMMYFUNCTION("""COMPUTED_VALUE"""),45845)</f>
        <v>45845</v>
      </c>
      <c r="Z810" s="46">
        <f ca="1">IFERROR(__xludf.DUMMYFUNCTION("""COMPUTED_VALUE"""),45866)</f>
        <v>45866</v>
      </c>
      <c r="AA810" s="46">
        <f ca="1">IFERROR(__xludf.DUMMYFUNCTION("""COMPUTED_VALUE"""),45866)</f>
        <v>45866</v>
      </c>
      <c r="AB810" s="45" t="str">
        <f ca="1">IFERROR(__xludf.DUMMYFUNCTION("""COMPUTED_VALUE"""),"3500 Argentia Road")</f>
        <v>3500 Argentia Road</v>
      </c>
      <c r="AC810" s="45"/>
      <c r="AD810" s="45" t="str">
        <f ca="1">IFERROR(__xludf.DUMMYFUNCTION("""COMPUTED_VALUE"""),"OCEAN")</f>
        <v>OCEAN</v>
      </c>
      <c r="AE810" s="45" t="str">
        <f ca="1">IFERROR(__xludf.DUMMYFUNCTION("""COMPUTED_VALUE"""),"N")</f>
        <v>N</v>
      </c>
      <c r="AF810" s="45" t="str">
        <f ca="1">IFERROR(__xludf.DUMMYFUNCTION("""COMPUTED_VALUE"""),"New Booking")</f>
        <v>New Booking</v>
      </c>
      <c r="AG810" s="49" t="str">
        <f ca="1">IFERROR(__xludf.DUMMYFUNCTION("IFNA(vlookup(H810,IMPORTRANGE(""1vUGwO1n0QQGx9kKbO0_M5gmuhXZ6-LaxQxgrmJnzgP0"",""'TP# look up'!A:C""),3,0),"""")"),"")</f>
        <v/>
      </c>
      <c r="AH810" s="49" t="str">
        <f t="shared" ca="1" si="12"/>
        <v>LM</v>
      </c>
    </row>
    <row r="811" spans="1:34" ht="12.75">
      <c r="A811" s="45" t="str">
        <f ca="1">IFERROR(__xludf.DUMMYFUNCTION("""COMPUTED_VALUE"""),"Colombo")</f>
        <v>Colombo</v>
      </c>
      <c r="B811" s="45"/>
      <c r="C811" s="45">
        <f ca="1">IFERROR(__xludf.DUMMYFUNCTION("""COMPUTED_VALUE"""),3259528)</f>
        <v>3259528</v>
      </c>
      <c r="D811" s="45"/>
      <c r="E811" s="45" t="str">
        <f ca="1">IFERROR(__xludf.DUMMYFUNCTION("""COMPUTED_VALUE"""),"CFS")</f>
        <v>CFS</v>
      </c>
      <c r="F811" s="45" t="str">
        <f ca="1">IFERROR(__xludf.DUMMYFUNCTION("""COMPUTED_VALUE"""),"Inqube Global (PVT) Ltd")</f>
        <v>Inqube Global (PVT) Ltd</v>
      </c>
      <c r="G811" s="45" t="str">
        <f ca="1">IFERROR(__xludf.DUMMYFUNCTION("""COMPUTED_VALUE"""),"BRANDIX APPAREL SOLUTION LTD - GIRITALE")</f>
        <v>BRANDIX APPAREL SOLUTION LTD - GIRITALE</v>
      </c>
      <c r="H811" s="43">
        <f ca="1">IFERROR(__xludf.DUMMYFUNCTION("""COMPUTED_VALUE"""),455644205150)</f>
        <v>455644205150</v>
      </c>
      <c r="I811" s="45">
        <f ca="1">IFERROR(__xludf.DUMMYFUNCTION("""COMPUTED_VALUE"""),19855887)</f>
        <v>19855887</v>
      </c>
      <c r="J811" s="45" t="str">
        <f ca="1">IFERROR(__xludf.DUMMYFUNCTION("""COMPUTED_VALUE"""),"LM5AO4S")</f>
        <v>LM5AO4S</v>
      </c>
      <c r="K811" s="45" t="str">
        <f ca="1">IFERROR(__xludf.DUMMYFUNCTION("""COMPUTED_VALUE"""),"LM5AO4S-018615")</f>
        <v>LM5AO4S-018615</v>
      </c>
      <c r="L811" s="45">
        <f ca="1">IFERROR(__xludf.DUMMYFUNCTION("""COMPUTED_VALUE"""),9)</f>
        <v>9</v>
      </c>
      <c r="M811" s="45">
        <f ca="1">IFERROR(__xludf.DUMMYFUNCTION("""COMPUTED_VALUE"""),248)</f>
        <v>248</v>
      </c>
      <c r="N811" s="45">
        <f ca="1">IFERROR(__xludf.DUMMYFUNCTION("""COMPUTED_VALUE"""),114.46)</f>
        <v>114.46</v>
      </c>
      <c r="O811" s="45">
        <f ca="1">IFERROR(__xludf.DUMMYFUNCTION("""COMPUTED_VALUE"""),0.623)</f>
        <v>0.623</v>
      </c>
      <c r="P811" s="45" t="str">
        <f ca="1">IFERROR(__xludf.DUMMYFUNCTION("""COMPUTED_VALUE"""),"Colombo, LK")</f>
        <v>Colombo, LK</v>
      </c>
      <c r="Q811" s="45" t="str">
        <f ca="1">IFERROR(__xludf.DUMMYFUNCTION("""COMPUTED_VALUE"""),"New York, NY, US")</f>
        <v>New York, NY, US</v>
      </c>
      <c r="R811" s="44">
        <f ca="1">IFERROR(__xludf.DUMMYFUNCTION("""COMPUTED_VALUE"""),45838)</f>
        <v>45838</v>
      </c>
      <c r="S811" s="44">
        <f ca="1">IFERROR(__xludf.DUMMYFUNCTION("""COMPUTED_VALUE"""),45897)</f>
        <v>45897</v>
      </c>
      <c r="T811" s="45" t="str">
        <f ca="1">IFERROR(__xludf.DUMMYFUNCTION("""COMPUTED_VALUE"""),"Mississauga, ON, CA")</f>
        <v>Mississauga, ON, CA</v>
      </c>
      <c r="U811" s="45"/>
      <c r="V811" s="45"/>
      <c r="W811" s="45"/>
      <c r="X811" s="45"/>
      <c r="Y811" s="46">
        <f ca="1">IFERROR(__xludf.DUMMYFUNCTION("""COMPUTED_VALUE"""),45845)</f>
        <v>45845</v>
      </c>
      <c r="Z811" s="46">
        <f ca="1">IFERROR(__xludf.DUMMYFUNCTION("""COMPUTED_VALUE"""),45866)</f>
        <v>45866</v>
      </c>
      <c r="AA811" s="46">
        <f ca="1">IFERROR(__xludf.DUMMYFUNCTION("""COMPUTED_VALUE"""),45866)</f>
        <v>45866</v>
      </c>
      <c r="AB811" s="45" t="str">
        <f ca="1">IFERROR(__xludf.DUMMYFUNCTION("""COMPUTED_VALUE"""),"3500 Argentia Road")</f>
        <v>3500 Argentia Road</v>
      </c>
      <c r="AC811" s="45"/>
      <c r="AD811" s="45" t="str">
        <f ca="1">IFERROR(__xludf.DUMMYFUNCTION("""COMPUTED_VALUE"""),"OCEAN")</f>
        <v>OCEAN</v>
      </c>
      <c r="AE811" s="45" t="str">
        <f ca="1">IFERROR(__xludf.DUMMYFUNCTION("""COMPUTED_VALUE"""),"N")</f>
        <v>N</v>
      </c>
      <c r="AF811" s="45" t="str">
        <f ca="1">IFERROR(__xludf.DUMMYFUNCTION("""COMPUTED_VALUE"""),"New Booking")</f>
        <v>New Booking</v>
      </c>
      <c r="AG811" s="49" t="str">
        <f ca="1">IFERROR(__xludf.DUMMYFUNCTION("IFNA(vlookup(H811,IMPORTRANGE(""1vUGwO1n0QQGx9kKbO0_M5gmuhXZ6-LaxQxgrmJnzgP0"",""'TP# look up'!A:C""),3,0),"""")"),"")</f>
        <v/>
      </c>
      <c r="AH811" s="49" t="str">
        <f t="shared" ca="1" si="12"/>
        <v>LM</v>
      </c>
    </row>
    <row r="812" spans="1:34" ht="12.75">
      <c r="A812" s="45" t="str">
        <f ca="1">IFERROR(__xludf.DUMMYFUNCTION("""COMPUTED_VALUE"""),"Colombo")</f>
        <v>Colombo</v>
      </c>
      <c r="B812" s="45"/>
      <c r="C812" s="45">
        <f ca="1">IFERROR(__xludf.DUMMYFUNCTION("""COMPUTED_VALUE"""),3259528)</f>
        <v>3259528</v>
      </c>
      <c r="D812" s="45"/>
      <c r="E812" s="45" t="str">
        <f ca="1">IFERROR(__xludf.DUMMYFUNCTION("""COMPUTED_VALUE"""),"CFS")</f>
        <v>CFS</v>
      </c>
      <c r="F812" s="45" t="str">
        <f ca="1">IFERROR(__xludf.DUMMYFUNCTION("""COMPUTED_VALUE"""),"Inqube Global (PVT) Ltd")</f>
        <v>Inqube Global (PVT) Ltd</v>
      </c>
      <c r="G812" s="45" t="str">
        <f ca="1">IFERROR(__xludf.DUMMYFUNCTION("""COMPUTED_VALUE"""),"BRANDIX APPAREL SOLUTION LTD - GIRITALE")</f>
        <v>BRANDIX APPAREL SOLUTION LTD - GIRITALE</v>
      </c>
      <c r="H812" s="43">
        <f ca="1">IFERROR(__xludf.DUMMYFUNCTION("""COMPUTED_VALUE"""),455644207374)</f>
        <v>455644207374</v>
      </c>
      <c r="I812" s="45">
        <f ca="1">IFERROR(__xludf.DUMMYFUNCTION("""COMPUTED_VALUE"""),19855891)</f>
        <v>19855891</v>
      </c>
      <c r="J812" s="45" t="str">
        <f ca="1">IFERROR(__xludf.DUMMYFUNCTION("""COMPUTED_VALUE"""),"LM5AO4S")</f>
        <v>LM5AO4S</v>
      </c>
      <c r="K812" s="45" t="str">
        <f ca="1">IFERROR(__xludf.DUMMYFUNCTION("""COMPUTED_VALUE"""),"LM5AO4S-018615")</f>
        <v>LM5AO4S-018615</v>
      </c>
      <c r="L812" s="45">
        <f ca="1">IFERROR(__xludf.DUMMYFUNCTION("""COMPUTED_VALUE"""),7)</f>
        <v>7</v>
      </c>
      <c r="M812" s="45">
        <f ca="1">IFERROR(__xludf.DUMMYFUNCTION("""COMPUTED_VALUE"""),210)</f>
        <v>210</v>
      </c>
      <c r="N812" s="45">
        <f ca="1">IFERROR(__xludf.DUMMYFUNCTION("""COMPUTED_VALUE"""),95.81)</f>
        <v>95.81</v>
      </c>
      <c r="O812" s="45">
        <f ca="1">IFERROR(__xludf.DUMMYFUNCTION("""COMPUTED_VALUE"""),0.498)</f>
        <v>0.498</v>
      </c>
      <c r="P812" s="45" t="str">
        <f ca="1">IFERROR(__xludf.DUMMYFUNCTION("""COMPUTED_VALUE"""),"Colombo, LK")</f>
        <v>Colombo, LK</v>
      </c>
      <c r="Q812" s="45" t="str">
        <f ca="1">IFERROR(__xludf.DUMMYFUNCTION("""COMPUTED_VALUE"""),"New York, NY, US")</f>
        <v>New York, NY, US</v>
      </c>
      <c r="R812" s="44">
        <f ca="1">IFERROR(__xludf.DUMMYFUNCTION("""COMPUTED_VALUE"""),45838)</f>
        <v>45838</v>
      </c>
      <c r="S812" s="44">
        <f ca="1">IFERROR(__xludf.DUMMYFUNCTION("""COMPUTED_VALUE"""),45897)</f>
        <v>45897</v>
      </c>
      <c r="T812" s="45" t="str">
        <f ca="1">IFERROR(__xludf.DUMMYFUNCTION("""COMPUTED_VALUE"""),"Mississauga, ON, CA")</f>
        <v>Mississauga, ON, CA</v>
      </c>
      <c r="U812" s="45"/>
      <c r="V812" s="45"/>
      <c r="W812" s="45"/>
      <c r="X812" s="45"/>
      <c r="Y812" s="46">
        <f ca="1">IFERROR(__xludf.DUMMYFUNCTION("""COMPUTED_VALUE"""),45845)</f>
        <v>45845</v>
      </c>
      <c r="Z812" s="46">
        <f ca="1">IFERROR(__xludf.DUMMYFUNCTION("""COMPUTED_VALUE"""),45866)</f>
        <v>45866</v>
      </c>
      <c r="AA812" s="46">
        <f ca="1">IFERROR(__xludf.DUMMYFUNCTION("""COMPUTED_VALUE"""),45866)</f>
        <v>45866</v>
      </c>
      <c r="AB812" s="45" t="str">
        <f ca="1">IFERROR(__xludf.DUMMYFUNCTION("""COMPUTED_VALUE"""),"3500 Argentia Road")</f>
        <v>3500 Argentia Road</v>
      </c>
      <c r="AC812" s="45"/>
      <c r="AD812" s="45" t="str">
        <f ca="1">IFERROR(__xludf.DUMMYFUNCTION("""COMPUTED_VALUE"""),"OCEAN")</f>
        <v>OCEAN</v>
      </c>
      <c r="AE812" s="45" t="str">
        <f ca="1">IFERROR(__xludf.DUMMYFUNCTION("""COMPUTED_VALUE"""),"N")</f>
        <v>N</v>
      </c>
      <c r="AF812" s="45" t="str">
        <f ca="1">IFERROR(__xludf.DUMMYFUNCTION("""COMPUTED_VALUE"""),"New Booking")</f>
        <v>New Booking</v>
      </c>
      <c r="AG812" s="49" t="str">
        <f ca="1">IFERROR(__xludf.DUMMYFUNCTION("IFNA(vlookup(H812,IMPORTRANGE(""1vUGwO1n0QQGx9kKbO0_M5gmuhXZ6-LaxQxgrmJnzgP0"",""'TP# look up'!A:C""),3,0),"""")"),"")</f>
        <v/>
      </c>
      <c r="AH812" s="49" t="str">
        <f t="shared" ca="1" si="12"/>
        <v>LM</v>
      </c>
    </row>
    <row r="813" spans="1:34" ht="12.75">
      <c r="A813" s="45" t="str">
        <f ca="1">IFERROR(__xludf.DUMMYFUNCTION("""COMPUTED_VALUE"""),"Colombo")</f>
        <v>Colombo</v>
      </c>
      <c r="B813" s="45"/>
      <c r="C813" s="45">
        <f ca="1">IFERROR(__xludf.DUMMYFUNCTION("""COMPUTED_VALUE"""),3259528)</f>
        <v>3259528</v>
      </c>
      <c r="D813" s="45"/>
      <c r="E813" s="45" t="str">
        <f ca="1">IFERROR(__xludf.DUMMYFUNCTION("""COMPUTED_VALUE"""),"CFS")</f>
        <v>CFS</v>
      </c>
      <c r="F813" s="45" t="str">
        <f ca="1">IFERROR(__xludf.DUMMYFUNCTION("""COMPUTED_VALUE"""),"Inqube Global (PVT) Ltd")</f>
        <v>Inqube Global (PVT) Ltd</v>
      </c>
      <c r="G813" s="45" t="str">
        <f ca="1">IFERROR(__xludf.DUMMYFUNCTION("""COMPUTED_VALUE"""),"BRANDIX APPAREL SOLUTION LTD - GIRITALE")</f>
        <v>BRANDIX APPAREL SOLUTION LTD - GIRITALE</v>
      </c>
      <c r="H813" s="43">
        <f ca="1">IFERROR(__xludf.DUMMYFUNCTION("""COMPUTED_VALUE"""),455646927930)</f>
        <v>455646927930</v>
      </c>
      <c r="I813" s="45">
        <f ca="1">IFERROR(__xludf.DUMMYFUNCTION("""COMPUTED_VALUE"""),19855666)</f>
        <v>19855666</v>
      </c>
      <c r="J813" s="45" t="str">
        <f ca="1">IFERROR(__xludf.DUMMYFUNCTION("""COMPUTED_VALUE"""),"LM5AQXS")</f>
        <v>LM5AQXS</v>
      </c>
      <c r="K813" s="45" t="str">
        <f ca="1">IFERROR(__xludf.DUMMYFUNCTION("""COMPUTED_VALUE"""),"LM5AQXS-036763")</f>
        <v>LM5AQXS-036763</v>
      </c>
      <c r="L813" s="45">
        <f ca="1">IFERROR(__xludf.DUMMYFUNCTION("""COMPUTED_VALUE"""),4)</f>
        <v>4</v>
      </c>
      <c r="M813" s="45">
        <f ca="1">IFERROR(__xludf.DUMMYFUNCTION("""COMPUTED_VALUE"""),77)</f>
        <v>77</v>
      </c>
      <c r="N813" s="45">
        <f ca="1">IFERROR(__xludf.DUMMYFUNCTION("""COMPUTED_VALUE"""),31.61)</f>
        <v>31.61</v>
      </c>
      <c r="O813" s="45">
        <f ca="1">IFERROR(__xludf.DUMMYFUNCTION("""COMPUTED_VALUE"""),0.21)</f>
        <v>0.21</v>
      </c>
      <c r="P813" s="45" t="str">
        <f ca="1">IFERROR(__xludf.DUMMYFUNCTION("""COMPUTED_VALUE"""),"Colombo, LK")</f>
        <v>Colombo, LK</v>
      </c>
      <c r="Q813" s="45" t="str">
        <f ca="1">IFERROR(__xludf.DUMMYFUNCTION("""COMPUTED_VALUE"""),"New York, NY, US")</f>
        <v>New York, NY, US</v>
      </c>
      <c r="R813" s="44">
        <f ca="1">IFERROR(__xludf.DUMMYFUNCTION("""COMPUTED_VALUE"""),45838)</f>
        <v>45838</v>
      </c>
      <c r="S813" s="44">
        <f ca="1">IFERROR(__xludf.DUMMYFUNCTION("""COMPUTED_VALUE"""),45897)</f>
        <v>45897</v>
      </c>
      <c r="T813" s="45" t="str">
        <f ca="1">IFERROR(__xludf.DUMMYFUNCTION("""COMPUTED_VALUE"""),"Mississauga, ON, CA")</f>
        <v>Mississauga, ON, CA</v>
      </c>
      <c r="U813" s="45"/>
      <c r="V813" s="45"/>
      <c r="W813" s="45"/>
      <c r="X813" s="45"/>
      <c r="Y813" s="46">
        <f ca="1">IFERROR(__xludf.DUMMYFUNCTION("""COMPUTED_VALUE"""),45845)</f>
        <v>45845</v>
      </c>
      <c r="Z813" s="46">
        <f ca="1">IFERROR(__xludf.DUMMYFUNCTION("""COMPUTED_VALUE"""),45866)</f>
        <v>45866</v>
      </c>
      <c r="AA813" s="46">
        <f ca="1">IFERROR(__xludf.DUMMYFUNCTION("""COMPUTED_VALUE"""),45866)</f>
        <v>45866</v>
      </c>
      <c r="AB813" s="45" t="str">
        <f ca="1">IFERROR(__xludf.DUMMYFUNCTION("""COMPUTED_VALUE"""),"3500 Argentia Road")</f>
        <v>3500 Argentia Road</v>
      </c>
      <c r="AC813" s="45"/>
      <c r="AD813" s="45" t="str">
        <f ca="1">IFERROR(__xludf.DUMMYFUNCTION("""COMPUTED_VALUE"""),"OCEAN")</f>
        <v>OCEAN</v>
      </c>
      <c r="AE813" s="45" t="str">
        <f ca="1">IFERROR(__xludf.DUMMYFUNCTION("""COMPUTED_VALUE"""),"N")</f>
        <v>N</v>
      </c>
      <c r="AF813" s="45" t="str">
        <f ca="1">IFERROR(__xludf.DUMMYFUNCTION("""COMPUTED_VALUE"""),"New Booking")</f>
        <v>New Booking</v>
      </c>
      <c r="AG813" s="49" t="str">
        <f ca="1">IFERROR(__xludf.DUMMYFUNCTION("IFNA(vlookup(H813,IMPORTRANGE(""1vUGwO1n0QQGx9kKbO0_M5gmuhXZ6-LaxQxgrmJnzgP0"",""'TP# look up'!A:C""),3,0),"""")"),"")</f>
        <v/>
      </c>
      <c r="AH813" s="49" t="str">
        <f t="shared" ca="1" si="12"/>
        <v>LM</v>
      </c>
    </row>
    <row r="814" spans="1:34" ht="12.75">
      <c r="A814" s="45" t="str">
        <f ca="1">IFERROR(__xludf.DUMMYFUNCTION("""COMPUTED_VALUE"""),"Colombo")</f>
        <v>Colombo</v>
      </c>
      <c r="B814" s="45"/>
      <c r="C814" s="45">
        <f ca="1">IFERROR(__xludf.DUMMYFUNCTION("""COMPUTED_VALUE"""),3259528)</f>
        <v>3259528</v>
      </c>
      <c r="D814" s="45"/>
      <c r="E814" s="45" t="str">
        <f ca="1">IFERROR(__xludf.DUMMYFUNCTION("""COMPUTED_VALUE"""),"CFS")</f>
        <v>CFS</v>
      </c>
      <c r="F814" s="45" t="str">
        <f ca="1">IFERROR(__xludf.DUMMYFUNCTION("""COMPUTED_VALUE"""),"Inqube Global (PVT) Ltd")</f>
        <v>Inqube Global (PVT) Ltd</v>
      </c>
      <c r="G814" s="45" t="str">
        <f ca="1">IFERROR(__xludf.DUMMYFUNCTION("""COMPUTED_VALUE"""),"BRANDIX APPAREL SOLUTION LTD - GIRITALE")</f>
        <v>BRANDIX APPAREL SOLUTION LTD - GIRITALE</v>
      </c>
      <c r="H814" s="43">
        <f ca="1">IFERROR(__xludf.DUMMYFUNCTION("""COMPUTED_VALUE"""),455648854478)</f>
        <v>455648854478</v>
      </c>
      <c r="I814" s="45">
        <f ca="1">IFERROR(__xludf.DUMMYFUNCTION("""COMPUTED_VALUE"""),19856079)</f>
        <v>19856079</v>
      </c>
      <c r="J814" s="45" t="str">
        <f ca="1">IFERROR(__xludf.DUMMYFUNCTION("""COMPUTED_VALUE"""),"LM5AQXS")</f>
        <v>LM5AQXS</v>
      </c>
      <c r="K814" s="45" t="str">
        <f ca="1">IFERROR(__xludf.DUMMYFUNCTION("""COMPUTED_VALUE"""),"LM5AQXS-036763")</f>
        <v>LM5AQXS-036763</v>
      </c>
      <c r="L814" s="45">
        <f ca="1">IFERROR(__xludf.DUMMYFUNCTION("""COMPUTED_VALUE"""),7)</f>
        <v>7</v>
      </c>
      <c r="M814" s="45">
        <f ca="1">IFERROR(__xludf.DUMMYFUNCTION("""COMPUTED_VALUE"""),145)</f>
        <v>145</v>
      </c>
      <c r="N814" s="45">
        <f ca="1">IFERROR(__xludf.DUMMYFUNCTION("""COMPUTED_VALUE"""),59.14)</f>
        <v>59.14</v>
      </c>
      <c r="O814" s="45">
        <f ca="1">IFERROR(__xludf.DUMMYFUNCTION("""COMPUTED_VALUE"""),0.418)</f>
        <v>0.41799999999999998</v>
      </c>
      <c r="P814" s="45" t="str">
        <f ca="1">IFERROR(__xludf.DUMMYFUNCTION("""COMPUTED_VALUE"""),"Colombo, LK")</f>
        <v>Colombo, LK</v>
      </c>
      <c r="Q814" s="45" t="str">
        <f ca="1">IFERROR(__xludf.DUMMYFUNCTION("""COMPUTED_VALUE"""),"New York, NY, US")</f>
        <v>New York, NY, US</v>
      </c>
      <c r="R814" s="44">
        <f ca="1">IFERROR(__xludf.DUMMYFUNCTION("""COMPUTED_VALUE"""),45838)</f>
        <v>45838</v>
      </c>
      <c r="S814" s="44">
        <f ca="1">IFERROR(__xludf.DUMMYFUNCTION("""COMPUTED_VALUE"""),45897)</f>
        <v>45897</v>
      </c>
      <c r="T814" s="45" t="str">
        <f ca="1">IFERROR(__xludf.DUMMYFUNCTION("""COMPUTED_VALUE"""),"Mississauga, ON, CA")</f>
        <v>Mississauga, ON, CA</v>
      </c>
      <c r="U814" s="45"/>
      <c r="V814" s="45"/>
      <c r="W814" s="45"/>
      <c r="X814" s="45"/>
      <c r="Y814" s="46">
        <f ca="1">IFERROR(__xludf.DUMMYFUNCTION("""COMPUTED_VALUE"""),45845)</f>
        <v>45845</v>
      </c>
      <c r="Z814" s="46">
        <f ca="1">IFERROR(__xludf.DUMMYFUNCTION("""COMPUTED_VALUE"""),45866)</f>
        <v>45866</v>
      </c>
      <c r="AA814" s="46">
        <f ca="1">IFERROR(__xludf.DUMMYFUNCTION("""COMPUTED_VALUE"""),45866)</f>
        <v>45866</v>
      </c>
      <c r="AB814" s="45" t="str">
        <f ca="1">IFERROR(__xludf.DUMMYFUNCTION("""COMPUTED_VALUE"""),"3500 Argentia Road")</f>
        <v>3500 Argentia Road</v>
      </c>
      <c r="AC814" s="45"/>
      <c r="AD814" s="45" t="str">
        <f ca="1">IFERROR(__xludf.DUMMYFUNCTION("""COMPUTED_VALUE"""),"OCEAN")</f>
        <v>OCEAN</v>
      </c>
      <c r="AE814" s="45" t="str">
        <f ca="1">IFERROR(__xludf.DUMMYFUNCTION("""COMPUTED_VALUE"""),"N")</f>
        <v>N</v>
      </c>
      <c r="AF814" s="45" t="str">
        <f ca="1">IFERROR(__xludf.DUMMYFUNCTION("""COMPUTED_VALUE"""),"New Booking")</f>
        <v>New Booking</v>
      </c>
      <c r="AG814" s="49" t="str">
        <f ca="1">IFERROR(__xludf.DUMMYFUNCTION("IFNA(vlookup(H814,IMPORTRANGE(""1vUGwO1n0QQGx9kKbO0_M5gmuhXZ6-LaxQxgrmJnzgP0"",""'TP# look up'!A:C""),3,0),"""")"),"")</f>
        <v/>
      </c>
      <c r="AH814" s="49" t="str">
        <f t="shared" ca="1" si="12"/>
        <v>LM</v>
      </c>
    </row>
    <row r="815" spans="1:34" ht="12.75">
      <c r="A815" s="45" t="str">
        <f ca="1">IFERROR(__xludf.DUMMYFUNCTION("""COMPUTED_VALUE"""),"Colombo")</f>
        <v>Colombo</v>
      </c>
      <c r="B815" s="45"/>
      <c r="C815" s="45">
        <f ca="1">IFERROR(__xludf.DUMMYFUNCTION("""COMPUTED_VALUE"""),3259528)</f>
        <v>3259528</v>
      </c>
      <c r="D815" s="45"/>
      <c r="E815" s="45" t="str">
        <f ca="1">IFERROR(__xludf.DUMMYFUNCTION("""COMPUTED_VALUE"""),"CFS")</f>
        <v>CFS</v>
      </c>
      <c r="F815" s="45" t="str">
        <f ca="1">IFERROR(__xludf.DUMMYFUNCTION("""COMPUTED_VALUE"""),"Inqube Global (PVT) Ltd")</f>
        <v>Inqube Global (PVT) Ltd</v>
      </c>
      <c r="G815" s="45" t="str">
        <f ca="1">IFERROR(__xludf.DUMMYFUNCTION("""COMPUTED_VALUE"""),"BRANDIX APPAREL SOLUTION LTD - GIRITALE")</f>
        <v>BRANDIX APPAREL SOLUTION LTD - GIRITALE</v>
      </c>
      <c r="H815" s="43">
        <f ca="1">IFERROR(__xludf.DUMMYFUNCTION("""COMPUTED_VALUE"""),455649558288)</f>
        <v>455649558288</v>
      </c>
      <c r="I815" s="45">
        <f ca="1">IFERROR(__xludf.DUMMYFUNCTION("""COMPUTED_VALUE"""),19856083)</f>
        <v>19856083</v>
      </c>
      <c r="J815" s="45" t="str">
        <f ca="1">IFERROR(__xludf.DUMMYFUNCTION("""COMPUTED_VALUE"""),"LM5AQXS")</f>
        <v>LM5AQXS</v>
      </c>
      <c r="K815" s="45" t="str">
        <f ca="1">IFERROR(__xludf.DUMMYFUNCTION("""COMPUTED_VALUE"""),"LM5AQXS-036763")</f>
        <v>LM5AQXS-036763</v>
      </c>
      <c r="L815" s="45">
        <f ca="1">IFERROR(__xludf.DUMMYFUNCTION("""COMPUTED_VALUE"""),5)</f>
        <v>5</v>
      </c>
      <c r="M815" s="45">
        <f ca="1">IFERROR(__xludf.DUMMYFUNCTION("""COMPUTED_VALUE"""),90)</f>
        <v>90</v>
      </c>
      <c r="N815" s="45">
        <f ca="1">IFERROR(__xludf.DUMMYFUNCTION("""COMPUTED_VALUE"""),37.02)</f>
        <v>37.020000000000003</v>
      </c>
      <c r="O815" s="45">
        <f ca="1">IFERROR(__xludf.DUMMYFUNCTION("""COMPUTED_VALUE"""),0.253)</f>
        <v>0.253</v>
      </c>
      <c r="P815" s="45" t="str">
        <f ca="1">IFERROR(__xludf.DUMMYFUNCTION("""COMPUTED_VALUE"""),"Colombo, LK")</f>
        <v>Colombo, LK</v>
      </c>
      <c r="Q815" s="45" t="str">
        <f ca="1">IFERROR(__xludf.DUMMYFUNCTION("""COMPUTED_VALUE"""),"New York, NY, US")</f>
        <v>New York, NY, US</v>
      </c>
      <c r="R815" s="44">
        <f ca="1">IFERROR(__xludf.DUMMYFUNCTION("""COMPUTED_VALUE"""),45838)</f>
        <v>45838</v>
      </c>
      <c r="S815" s="44">
        <f ca="1">IFERROR(__xludf.DUMMYFUNCTION("""COMPUTED_VALUE"""),45897)</f>
        <v>45897</v>
      </c>
      <c r="T815" s="45" t="str">
        <f ca="1">IFERROR(__xludf.DUMMYFUNCTION("""COMPUTED_VALUE"""),"Mississauga, ON, CA")</f>
        <v>Mississauga, ON, CA</v>
      </c>
      <c r="U815" s="45"/>
      <c r="V815" s="45"/>
      <c r="W815" s="45"/>
      <c r="X815" s="45"/>
      <c r="Y815" s="46">
        <f ca="1">IFERROR(__xludf.DUMMYFUNCTION("""COMPUTED_VALUE"""),45845)</f>
        <v>45845</v>
      </c>
      <c r="Z815" s="46">
        <f ca="1">IFERROR(__xludf.DUMMYFUNCTION("""COMPUTED_VALUE"""),45866)</f>
        <v>45866</v>
      </c>
      <c r="AA815" s="46">
        <f ca="1">IFERROR(__xludf.DUMMYFUNCTION("""COMPUTED_VALUE"""),45866)</f>
        <v>45866</v>
      </c>
      <c r="AB815" s="45" t="str">
        <f ca="1">IFERROR(__xludf.DUMMYFUNCTION("""COMPUTED_VALUE"""),"3500 Argentia Road")</f>
        <v>3500 Argentia Road</v>
      </c>
      <c r="AC815" s="45"/>
      <c r="AD815" s="45" t="str">
        <f ca="1">IFERROR(__xludf.DUMMYFUNCTION("""COMPUTED_VALUE"""),"OCEAN")</f>
        <v>OCEAN</v>
      </c>
      <c r="AE815" s="45" t="str">
        <f ca="1">IFERROR(__xludf.DUMMYFUNCTION("""COMPUTED_VALUE"""),"N")</f>
        <v>N</v>
      </c>
      <c r="AF815" s="45" t="str">
        <f ca="1">IFERROR(__xludf.DUMMYFUNCTION("""COMPUTED_VALUE"""),"New Booking")</f>
        <v>New Booking</v>
      </c>
      <c r="AG815" s="49" t="str">
        <f ca="1">IFERROR(__xludf.DUMMYFUNCTION("IFNA(vlookup(H815,IMPORTRANGE(""1vUGwO1n0QQGx9kKbO0_M5gmuhXZ6-LaxQxgrmJnzgP0"",""'TP# look up'!A:C""),3,0),"""")"),"")</f>
        <v/>
      </c>
      <c r="AH815" s="49" t="str">
        <f t="shared" ca="1" si="12"/>
        <v>LM</v>
      </c>
    </row>
    <row r="816" spans="1:34" ht="12.75">
      <c r="A816" s="45" t="str">
        <f ca="1">IFERROR(__xludf.DUMMYFUNCTION("""COMPUTED_VALUE"""),"Colombo")</f>
        <v>Colombo</v>
      </c>
      <c r="B816" s="45"/>
      <c r="C816" s="45">
        <f ca="1">IFERROR(__xludf.DUMMYFUNCTION("""COMPUTED_VALUE"""),3259528)</f>
        <v>3259528</v>
      </c>
      <c r="D816" s="45"/>
      <c r="E816" s="45" t="str">
        <f ca="1">IFERROR(__xludf.DUMMYFUNCTION("""COMPUTED_VALUE"""),"CFS")</f>
        <v>CFS</v>
      </c>
      <c r="F816" s="45" t="str">
        <f ca="1">IFERROR(__xludf.DUMMYFUNCTION("""COMPUTED_VALUE"""),"Inqube Global (PVT) Ltd")</f>
        <v>Inqube Global (PVT) Ltd</v>
      </c>
      <c r="G816" s="45" t="str">
        <f ca="1">IFERROR(__xludf.DUMMYFUNCTION("""COMPUTED_VALUE"""),"BRANDIX APPAREL SOLUTION LTD - GIRITALE")</f>
        <v>BRANDIX APPAREL SOLUTION LTD - GIRITALE</v>
      </c>
      <c r="H816" s="43">
        <f ca="1">IFERROR(__xludf.DUMMYFUNCTION("""COMPUTED_VALUE"""),455653460249)</f>
        <v>455653460249</v>
      </c>
      <c r="I816" s="45">
        <f ca="1">IFERROR(__xludf.DUMMYFUNCTION("""COMPUTED_VALUE"""),19855681)</f>
        <v>19855681</v>
      </c>
      <c r="J816" s="45" t="str">
        <f ca="1">IFERROR(__xludf.DUMMYFUNCTION("""COMPUTED_VALUE"""),"LM5AQXS")</f>
        <v>LM5AQXS</v>
      </c>
      <c r="K816" s="45" t="str">
        <f ca="1">IFERROR(__xludf.DUMMYFUNCTION("""COMPUTED_VALUE"""),"LM5AQXS-070108")</f>
        <v>LM5AQXS-070108</v>
      </c>
      <c r="L816" s="45">
        <f ca="1">IFERROR(__xludf.DUMMYFUNCTION("""COMPUTED_VALUE"""),1)</f>
        <v>1</v>
      </c>
      <c r="M816" s="45">
        <f ca="1">IFERROR(__xludf.DUMMYFUNCTION("""COMPUTED_VALUE"""),20)</f>
        <v>20</v>
      </c>
      <c r="N816" s="45">
        <f ca="1">IFERROR(__xludf.DUMMYFUNCTION("""COMPUTED_VALUE"""),8.1)</f>
        <v>8.1</v>
      </c>
      <c r="O816" s="45">
        <f ca="1">IFERROR(__xludf.DUMMYFUNCTION("""COMPUTED_VALUE"""),0.043)</f>
        <v>4.2999999999999997E-2</v>
      </c>
      <c r="P816" s="45" t="str">
        <f ca="1">IFERROR(__xludf.DUMMYFUNCTION("""COMPUTED_VALUE"""),"Colombo, LK")</f>
        <v>Colombo, LK</v>
      </c>
      <c r="Q816" s="45" t="str">
        <f ca="1">IFERROR(__xludf.DUMMYFUNCTION("""COMPUTED_VALUE"""),"New York, NY, US")</f>
        <v>New York, NY, US</v>
      </c>
      <c r="R816" s="44">
        <f ca="1">IFERROR(__xludf.DUMMYFUNCTION("""COMPUTED_VALUE"""),45838)</f>
        <v>45838</v>
      </c>
      <c r="S816" s="44">
        <f ca="1">IFERROR(__xludf.DUMMYFUNCTION("""COMPUTED_VALUE"""),45897)</f>
        <v>45897</v>
      </c>
      <c r="T816" s="45" t="str">
        <f ca="1">IFERROR(__xludf.DUMMYFUNCTION("""COMPUTED_VALUE"""),"Mississauga, ON, CA")</f>
        <v>Mississauga, ON, CA</v>
      </c>
      <c r="U816" s="45"/>
      <c r="V816" s="45"/>
      <c r="W816" s="45"/>
      <c r="X816" s="45"/>
      <c r="Y816" s="46">
        <f ca="1">IFERROR(__xludf.DUMMYFUNCTION("""COMPUTED_VALUE"""),45845)</f>
        <v>45845</v>
      </c>
      <c r="Z816" s="46">
        <f ca="1">IFERROR(__xludf.DUMMYFUNCTION("""COMPUTED_VALUE"""),45866)</f>
        <v>45866</v>
      </c>
      <c r="AA816" s="46">
        <f ca="1">IFERROR(__xludf.DUMMYFUNCTION("""COMPUTED_VALUE"""),45866)</f>
        <v>45866</v>
      </c>
      <c r="AB816" s="45" t="str">
        <f ca="1">IFERROR(__xludf.DUMMYFUNCTION("""COMPUTED_VALUE"""),"3500 Argentia Road")</f>
        <v>3500 Argentia Road</v>
      </c>
      <c r="AC816" s="45"/>
      <c r="AD816" s="45" t="str">
        <f ca="1">IFERROR(__xludf.DUMMYFUNCTION("""COMPUTED_VALUE"""),"OCEAN")</f>
        <v>OCEAN</v>
      </c>
      <c r="AE816" s="45" t="str">
        <f ca="1">IFERROR(__xludf.DUMMYFUNCTION("""COMPUTED_VALUE"""),"N")</f>
        <v>N</v>
      </c>
      <c r="AF816" s="45" t="str">
        <f ca="1">IFERROR(__xludf.DUMMYFUNCTION("""COMPUTED_VALUE"""),"New Booking")</f>
        <v>New Booking</v>
      </c>
      <c r="AG816" s="49" t="str">
        <f ca="1">IFERROR(__xludf.DUMMYFUNCTION("IFNA(vlookup(H816,IMPORTRANGE(""1vUGwO1n0QQGx9kKbO0_M5gmuhXZ6-LaxQxgrmJnzgP0"",""'TP# look up'!A:C""),3,0),"""")"),"")</f>
        <v/>
      </c>
      <c r="AH816" s="49" t="str">
        <f t="shared" ca="1" si="12"/>
        <v>LM</v>
      </c>
    </row>
    <row r="817" spans="1:34" ht="12.75">
      <c r="A817" s="45" t="str">
        <f ca="1">IFERROR(__xludf.DUMMYFUNCTION("""COMPUTED_VALUE"""),"Colombo")</f>
        <v>Colombo</v>
      </c>
      <c r="B817" s="45"/>
      <c r="C817" s="45">
        <f ca="1">IFERROR(__xludf.DUMMYFUNCTION("""COMPUTED_VALUE"""),3259528)</f>
        <v>3259528</v>
      </c>
      <c r="D817" s="45"/>
      <c r="E817" s="45" t="str">
        <f ca="1">IFERROR(__xludf.DUMMYFUNCTION("""COMPUTED_VALUE"""),"CFS")</f>
        <v>CFS</v>
      </c>
      <c r="F817" s="45" t="str">
        <f ca="1">IFERROR(__xludf.DUMMYFUNCTION("""COMPUTED_VALUE"""),"Inqube Global (PVT) Ltd")</f>
        <v>Inqube Global (PVT) Ltd</v>
      </c>
      <c r="G817" s="45" t="str">
        <f ca="1">IFERROR(__xludf.DUMMYFUNCTION("""COMPUTED_VALUE"""),"BRANDIX APPAREL SOLUTION LTD - GIRITALE")</f>
        <v>BRANDIX APPAREL SOLUTION LTD - GIRITALE</v>
      </c>
      <c r="H817" s="43">
        <f ca="1">IFERROR(__xludf.DUMMYFUNCTION("""COMPUTED_VALUE"""),455659946937)</f>
        <v>455659946937</v>
      </c>
      <c r="I817" s="45">
        <f ca="1">IFERROR(__xludf.DUMMYFUNCTION("""COMPUTED_VALUE"""),19855715)</f>
        <v>19855715</v>
      </c>
      <c r="J817" s="45" t="str">
        <f ca="1">IFERROR(__xludf.DUMMYFUNCTION("""COMPUTED_VALUE"""),"LM5AQZS")</f>
        <v>LM5AQZS</v>
      </c>
      <c r="K817" s="45" t="str">
        <f ca="1">IFERROR(__xludf.DUMMYFUNCTION("""COMPUTED_VALUE"""),"LM5AQZS-019222")</f>
        <v>LM5AQZS-019222</v>
      </c>
      <c r="L817" s="45">
        <f ca="1">IFERROR(__xludf.DUMMYFUNCTION("""COMPUTED_VALUE"""),4)</f>
        <v>4</v>
      </c>
      <c r="M817" s="45">
        <f ca="1">IFERROR(__xludf.DUMMYFUNCTION("""COMPUTED_VALUE"""),81)</f>
        <v>81</v>
      </c>
      <c r="N817" s="45">
        <f ca="1">IFERROR(__xludf.DUMMYFUNCTION("""COMPUTED_VALUE"""),37.15)</f>
        <v>37.15</v>
      </c>
      <c r="O817" s="45">
        <f ca="1">IFERROR(__xludf.DUMMYFUNCTION("""COMPUTED_VALUE"""),0.21)</f>
        <v>0.21</v>
      </c>
      <c r="P817" s="45" t="str">
        <f ca="1">IFERROR(__xludf.DUMMYFUNCTION("""COMPUTED_VALUE"""),"Colombo, LK")</f>
        <v>Colombo, LK</v>
      </c>
      <c r="Q817" s="45" t="str">
        <f ca="1">IFERROR(__xludf.DUMMYFUNCTION("""COMPUTED_VALUE"""),"New York, NY, US")</f>
        <v>New York, NY, US</v>
      </c>
      <c r="R817" s="44">
        <f ca="1">IFERROR(__xludf.DUMMYFUNCTION("""COMPUTED_VALUE"""),45838)</f>
        <v>45838</v>
      </c>
      <c r="S817" s="44">
        <f ca="1">IFERROR(__xludf.DUMMYFUNCTION("""COMPUTED_VALUE"""),45897)</f>
        <v>45897</v>
      </c>
      <c r="T817" s="45" t="str">
        <f ca="1">IFERROR(__xludf.DUMMYFUNCTION("""COMPUTED_VALUE"""),"Mississauga, ON, CA")</f>
        <v>Mississauga, ON, CA</v>
      </c>
      <c r="U817" s="45"/>
      <c r="V817" s="45"/>
      <c r="W817" s="45"/>
      <c r="X817" s="45"/>
      <c r="Y817" s="46">
        <f ca="1">IFERROR(__xludf.DUMMYFUNCTION("""COMPUTED_VALUE"""),45845)</f>
        <v>45845</v>
      </c>
      <c r="Z817" s="46">
        <f ca="1">IFERROR(__xludf.DUMMYFUNCTION("""COMPUTED_VALUE"""),45866)</f>
        <v>45866</v>
      </c>
      <c r="AA817" s="46">
        <f ca="1">IFERROR(__xludf.DUMMYFUNCTION("""COMPUTED_VALUE"""),45866)</f>
        <v>45866</v>
      </c>
      <c r="AB817" s="45" t="str">
        <f ca="1">IFERROR(__xludf.DUMMYFUNCTION("""COMPUTED_VALUE"""),"3500 Argentia Road")</f>
        <v>3500 Argentia Road</v>
      </c>
      <c r="AC817" s="45"/>
      <c r="AD817" s="45" t="str">
        <f ca="1">IFERROR(__xludf.DUMMYFUNCTION("""COMPUTED_VALUE"""),"OCEAN")</f>
        <v>OCEAN</v>
      </c>
      <c r="AE817" s="45" t="str">
        <f ca="1">IFERROR(__xludf.DUMMYFUNCTION("""COMPUTED_VALUE"""),"N")</f>
        <v>N</v>
      </c>
      <c r="AF817" s="45" t="str">
        <f ca="1">IFERROR(__xludf.DUMMYFUNCTION("""COMPUTED_VALUE"""),"New Booking")</f>
        <v>New Booking</v>
      </c>
      <c r="AG817" s="49" t="str">
        <f ca="1">IFERROR(__xludf.DUMMYFUNCTION("IFNA(vlookup(H817,IMPORTRANGE(""1vUGwO1n0QQGx9kKbO0_M5gmuhXZ6-LaxQxgrmJnzgP0"",""'TP# look up'!A:C""),3,0),"""")"),"")</f>
        <v/>
      </c>
      <c r="AH817" s="49" t="str">
        <f t="shared" ca="1" si="12"/>
        <v>LM</v>
      </c>
    </row>
    <row r="818" spans="1:34" ht="12.75">
      <c r="A818" s="45" t="str">
        <f ca="1">IFERROR(__xludf.DUMMYFUNCTION("""COMPUTED_VALUE"""),"Colombo")</f>
        <v>Colombo</v>
      </c>
      <c r="B818" s="45"/>
      <c r="C818" s="45">
        <f ca="1">IFERROR(__xludf.DUMMYFUNCTION("""COMPUTED_VALUE"""),3259528)</f>
        <v>3259528</v>
      </c>
      <c r="D818" s="45"/>
      <c r="E818" s="45" t="str">
        <f ca="1">IFERROR(__xludf.DUMMYFUNCTION("""COMPUTED_VALUE"""),"CFS")</f>
        <v>CFS</v>
      </c>
      <c r="F818" s="45" t="str">
        <f ca="1">IFERROR(__xludf.DUMMYFUNCTION("""COMPUTED_VALUE"""),"Inqube Global (PVT) Ltd")</f>
        <v>Inqube Global (PVT) Ltd</v>
      </c>
      <c r="G818" s="45" t="str">
        <f ca="1">IFERROR(__xludf.DUMMYFUNCTION("""COMPUTED_VALUE"""),"BRANDIX APPAREL SOLUTION LTD - GIRITALE")</f>
        <v>BRANDIX APPAREL SOLUTION LTD - GIRITALE</v>
      </c>
      <c r="H818" s="43">
        <f ca="1">IFERROR(__xludf.DUMMYFUNCTION("""COMPUTED_VALUE"""),455660341258)</f>
        <v>455660341258</v>
      </c>
      <c r="I818" s="45">
        <f ca="1">IFERROR(__xludf.DUMMYFUNCTION("""COMPUTED_VALUE"""),19856219)</f>
        <v>19856219</v>
      </c>
      <c r="J818" s="45" t="str">
        <f ca="1">IFERROR(__xludf.DUMMYFUNCTION("""COMPUTED_VALUE"""),"LM5AQZS")</f>
        <v>LM5AQZS</v>
      </c>
      <c r="K818" s="45" t="str">
        <f ca="1">IFERROR(__xludf.DUMMYFUNCTION("""COMPUTED_VALUE"""),"LM5AQZS-019222")</f>
        <v>LM5AQZS-019222</v>
      </c>
      <c r="L818" s="45">
        <f ca="1">IFERROR(__xludf.DUMMYFUNCTION("""COMPUTED_VALUE"""),13)</f>
        <v>13</v>
      </c>
      <c r="M818" s="45">
        <f ca="1">IFERROR(__xludf.DUMMYFUNCTION("""COMPUTED_VALUE"""),394)</f>
        <v>394</v>
      </c>
      <c r="N818" s="45">
        <f ca="1">IFERROR(__xludf.DUMMYFUNCTION("""COMPUTED_VALUE"""),176.87)</f>
        <v>176.87</v>
      </c>
      <c r="O818" s="45">
        <f ca="1">IFERROR(__xludf.DUMMYFUNCTION("""COMPUTED_VALUE"""),0.913)</f>
        <v>0.91300000000000003</v>
      </c>
      <c r="P818" s="45" t="str">
        <f ca="1">IFERROR(__xludf.DUMMYFUNCTION("""COMPUTED_VALUE"""),"Colombo, LK")</f>
        <v>Colombo, LK</v>
      </c>
      <c r="Q818" s="45" t="str">
        <f ca="1">IFERROR(__xludf.DUMMYFUNCTION("""COMPUTED_VALUE"""),"New York, NY, US")</f>
        <v>New York, NY, US</v>
      </c>
      <c r="R818" s="44">
        <f ca="1">IFERROR(__xludf.DUMMYFUNCTION("""COMPUTED_VALUE"""),45838)</f>
        <v>45838</v>
      </c>
      <c r="S818" s="44">
        <f ca="1">IFERROR(__xludf.DUMMYFUNCTION("""COMPUTED_VALUE"""),45897)</f>
        <v>45897</v>
      </c>
      <c r="T818" s="45" t="str">
        <f ca="1">IFERROR(__xludf.DUMMYFUNCTION("""COMPUTED_VALUE"""),"Mississauga, ON, CA")</f>
        <v>Mississauga, ON, CA</v>
      </c>
      <c r="U818" s="45"/>
      <c r="V818" s="45"/>
      <c r="W818" s="45"/>
      <c r="X818" s="45"/>
      <c r="Y818" s="46">
        <f ca="1">IFERROR(__xludf.DUMMYFUNCTION("""COMPUTED_VALUE"""),45845)</f>
        <v>45845</v>
      </c>
      <c r="Z818" s="46">
        <f ca="1">IFERROR(__xludf.DUMMYFUNCTION("""COMPUTED_VALUE"""),45866)</f>
        <v>45866</v>
      </c>
      <c r="AA818" s="46">
        <f ca="1">IFERROR(__xludf.DUMMYFUNCTION("""COMPUTED_VALUE"""),45866)</f>
        <v>45866</v>
      </c>
      <c r="AB818" s="45" t="str">
        <f ca="1">IFERROR(__xludf.DUMMYFUNCTION("""COMPUTED_VALUE"""),"3500 Argentia Road")</f>
        <v>3500 Argentia Road</v>
      </c>
      <c r="AC818" s="45"/>
      <c r="AD818" s="45" t="str">
        <f ca="1">IFERROR(__xludf.DUMMYFUNCTION("""COMPUTED_VALUE"""),"OCEAN")</f>
        <v>OCEAN</v>
      </c>
      <c r="AE818" s="45" t="str">
        <f ca="1">IFERROR(__xludf.DUMMYFUNCTION("""COMPUTED_VALUE"""),"N")</f>
        <v>N</v>
      </c>
      <c r="AF818" s="45" t="str">
        <f ca="1">IFERROR(__xludf.DUMMYFUNCTION("""COMPUTED_VALUE"""),"New Booking")</f>
        <v>New Booking</v>
      </c>
      <c r="AG818" s="49" t="str">
        <f ca="1">IFERROR(__xludf.DUMMYFUNCTION("IFNA(vlookup(H818,IMPORTRANGE(""1vUGwO1n0QQGx9kKbO0_M5gmuhXZ6-LaxQxgrmJnzgP0"",""'TP# look up'!A:C""),3,0),"""")"),"")</f>
        <v/>
      </c>
      <c r="AH818" s="49" t="str">
        <f t="shared" ca="1" si="12"/>
        <v>LM</v>
      </c>
    </row>
    <row r="819" spans="1:34" ht="12.75">
      <c r="A819" s="45" t="str">
        <f ca="1">IFERROR(__xludf.DUMMYFUNCTION("""COMPUTED_VALUE"""),"Colombo")</f>
        <v>Colombo</v>
      </c>
      <c r="B819" s="45"/>
      <c r="C819" s="45">
        <f ca="1">IFERROR(__xludf.DUMMYFUNCTION("""COMPUTED_VALUE"""),3259528)</f>
        <v>3259528</v>
      </c>
      <c r="D819" s="45"/>
      <c r="E819" s="45" t="str">
        <f ca="1">IFERROR(__xludf.DUMMYFUNCTION("""COMPUTED_VALUE"""),"CFS")</f>
        <v>CFS</v>
      </c>
      <c r="F819" s="45" t="str">
        <f ca="1">IFERROR(__xludf.DUMMYFUNCTION("""COMPUTED_VALUE"""),"Inqube Global (PVT) Ltd")</f>
        <v>Inqube Global (PVT) Ltd</v>
      </c>
      <c r="G819" s="45" t="str">
        <f ca="1">IFERROR(__xludf.DUMMYFUNCTION("""COMPUTED_VALUE"""),"BRANDIX APPAREL SOLUTION LTD - GIRITALE")</f>
        <v>BRANDIX APPAREL SOLUTION LTD - GIRITALE</v>
      </c>
      <c r="H819" s="43">
        <f ca="1">IFERROR(__xludf.DUMMYFUNCTION("""COMPUTED_VALUE"""),455663683778)</f>
        <v>455663683778</v>
      </c>
      <c r="I819" s="45">
        <f ca="1">IFERROR(__xludf.DUMMYFUNCTION("""COMPUTED_VALUE"""),19855722)</f>
        <v>19855722</v>
      </c>
      <c r="J819" s="45" t="str">
        <f ca="1">IFERROR(__xludf.DUMMYFUNCTION("""COMPUTED_VALUE"""),"LM5AR0T")</f>
        <v>LM5AR0T</v>
      </c>
      <c r="K819" s="45" t="str">
        <f ca="1">IFERROR(__xludf.DUMMYFUNCTION("""COMPUTED_VALUE"""),"LM5AR0T-036763")</f>
        <v>LM5AR0T-036763</v>
      </c>
      <c r="L819" s="45">
        <f ca="1">IFERROR(__xludf.DUMMYFUNCTION("""COMPUTED_VALUE"""),4)</f>
        <v>4</v>
      </c>
      <c r="M819" s="45">
        <f ca="1">IFERROR(__xludf.DUMMYFUNCTION("""COMPUTED_VALUE"""),68)</f>
        <v>68</v>
      </c>
      <c r="N819" s="45">
        <f ca="1">IFERROR(__xludf.DUMMYFUNCTION("""COMPUTED_VALUE"""),34.81)</f>
        <v>34.81</v>
      </c>
      <c r="O819" s="45">
        <f ca="1">IFERROR(__xludf.DUMMYFUNCTION("""COMPUTED_VALUE"""),0.21)</f>
        <v>0.21</v>
      </c>
      <c r="P819" s="45" t="str">
        <f ca="1">IFERROR(__xludf.DUMMYFUNCTION("""COMPUTED_VALUE"""),"Colombo, LK")</f>
        <v>Colombo, LK</v>
      </c>
      <c r="Q819" s="45" t="str">
        <f ca="1">IFERROR(__xludf.DUMMYFUNCTION("""COMPUTED_VALUE"""),"New York, NY, US")</f>
        <v>New York, NY, US</v>
      </c>
      <c r="R819" s="44">
        <f ca="1">IFERROR(__xludf.DUMMYFUNCTION("""COMPUTED_VALUE"""),45838)</f>
        <v>45838</v>
      </c>
      <c r="S819" s="44">
        <f ca="1">IFERROR(__xludf.DUMMYFUNCTION("""COMPUTED_VALUE"""),45897)</f>
        <v>45897</v>
      </c>
      <c r="T819" s="45" t="str">
        <f ca="1">IFERROR(__xludf.DUMMYFUNCTION("""COMPUTED_VALUE"""),"Mississauga, ON, CA")</f>
        <v>Mississauga, ON, CA</v>
      </c>
      <c r="U819" s="45"/>
      <c r="V819" s="45"/>
      <c r="W819" s="45"/>
      <c r="X819" s="45"/>
      <c r="Y819" s="46">
        <f ca="1">IFERROR(__xludf.DUMMYFUNCTION("""COMPUTED_VALUE"""),45845)</f>
        <v>45845</v>
      </c>
      <c r="Z819" s="46">
        <f ca="1">IFERROR(__xludf.DUMMYFUNCTION("""COMPUTED_VALUE"""),45866)</f>
        <v>45866</v>
      </c>
      <c r="AA819" s="46">
        <f ca="1">IFERROR(__xludf.DUMMYFUNCTION("""COMPUTED_VALUE"""),45866)</f>
        <v>45866</v>
      </c>
      <c r="AB819" s="45" t="str">
        <f ca="1">IFERROR(__xludf.DUMMYFUNCTION("""COMPUTED_VALUE"""),"3500 Argentia Road")</f>
        <v>3500 Argentia Road</v>
      </c>
      <c r="AC819" s="45"/>
      <c r="AD819" s="45" t="str">
        <f ca="1">IFERROR(__xludf.DUMMYFUNCTION("""COMPUTED_VALUE"""),"OCEAN")</f>
        <v>OCEAN</v>
      </c>
      <c r="AE819" s="45" t="str">
        <f ca="1">IFERROR(__xludf.DUMMYFUNCTION("""COMPUTED_VALUE"""),"N")</f>
        <v>N</v>
      </c>
      <c r="AF819" s="45" t="str">
        <f ca="1">IFERROR(__xludf.DUMMYFUNCTION("""COMPUTED_VALUE"""),"New Booking")</f>
        <v>New Booking</v>
      </c>
      <c r="AG819" s="49" t="str">
        <f ca="1">IFERROR(__xludf.DUMMYFUNCTION("IFNA(vlookup(H819,IMPORTRANGE(""1vUGwO1n0QQGx9kKbO0_M5gmuhXZ6-LaxQxgrmJnzgP0"",""'TP# look up'!A:C""),3,0),"""")"),"")</f>
        <v/>
      </c>
      <c r="AH819" s="49" t="str">
        <f t="shared" ca="1" si="12"/>
        <v>LM</v>
      </c>
    </row>
    <row r="820" spans="1:34" ht="12.75">
      <c r="A820" s="45" t="str">
        <f ca="1">IFERROR(__xludf.DUMMYFUNCTION("""COMPUTED_VALUE"""),"Colombo")</f>
        <v>Colombo</v>
      </c>
      <c r="B820" s="45"/>
      <c r="C820" s="45">
        <f ca="1">IFERROR(__xludf.DUMMYFUNCTION("""COMPUTED_VALUE"""),3259528)</f>
        <v>3259528</v>
      </c>
      <c r="D820" s="45"/>
      <c r="E820" s="45" t="str">
        <f ca="1">IFERROR(__xludf.DUMMYFUNCTION("""COMPUTED_VALUE"""),"CFS")</f>
        <v>CFS</v>
      </c>
      <c r="F820" s="45" t="str">
        <f ca="1">IFERROR(__xludf.DUMMYFUNCTION("""COMPUTED_VALUE"""),"Inqube Global (PVT) Ltd")</f>
        <v>Inqube Global (PVT) Ltd</v>
      </c>
      <c r="G820" s="45" t="str">
        <f ca="1">IFERROR(__xludf.DUMMYFUNCTION("""COMPUTED_VALUE"""),"BRANDIX APPAREL SOLUTION LTD - GIRITALE")</f>
        <v>BRANDIX APPAREL SOLUTION LTD - GIRITALE</v>
      </c>
      <c r="H820" s="43">
        <f ca="1">IFERROR(__xludf.DUMMYFUNCTION("""COMPUTED_VALUE"""),455664115735)</f>
        <v>455664115735</v>
      </c>
      <c r="I820" s="45">
        <f ca="1">IFERROR(__xludf.DUMMYFUNCTION("""COMPUTED_VALUE"""),19856235)</f>
        <v>19856235</v>
      </c>
      <c r="J820" s="45" t="str">
        <f ca="1">IFERROR(__xludf.DUMMYFUNCTION("""COMPUTED_VALUE"""),"LM5AR0T")</f>
        <v>LM5AR0T</v>
      </c>
      <c r="K820" s="45" t="str">
        <f ca="1">IFERROR(__xludf.DUMMYFUNCTION("""COMPUTED_VALUE"""),"LM5AR0T-036763")</f>
        <v>LM5AR0T-036763</v>
      </c>
      <c r="L820" s="45">
        <f ca="1">IFERROR(__xludf.DUMMYFUNCTION("""COMPUTED_VALUE"""),8)</f>
        <v>8</v>
      </c>
      <c r="M820" s="45">
        <f ca="1">IFERROR(__xludf.DUMMYFUNCTION("""COMPUTED_VALUE"""),193)</f>
        <v>193</v>
      </c>
      <c r="N820" s="45">
        <f ca="1">IFERROR(__xludf.DUMMYFUNCTION("""COMPUTED_VALUE"""),96.79)</f>
        <v>96.79</v>
      </c>
      <c r="O820" s="45">
        <f ca="1">IFERROR(__xludf.DUMMYFUNCTION("""COMPUTED_VALUE"""),0.58)</f>
        <v>0.57999999999999996</v>
      </c>
      <c r="P820" s="45" t="str">
        <f ca="1">IFERROR(__xludf.DUMMYFUNCTION("""COMPUTED_VALUE"""),"Colombo, LK")</f>
        <v>Colombo, LK</v>
      </c>
      <c r="Q820" s="45" t="str">
        <f ca="1">IFERROR(__xludf.DUMMYFUNCTION("""COMPUTED_VALUE"""),"New York, NY, US")</f>
        <v>New York, NY, US</v>
      </c>
      <c r="R820" s="44">
        <f ca="1">IFERROR(__xludf.DUMMYFUNCTION("""COMPUTED_VALUE"""),45838)</f>
        <v>45838</v>
      </c>
      <c r="S820" s="44">
        <f ca="1">IFERROR(__xludf.DUMMYFUNCTION("""COMPUTED_VALUE"""),45897)</f>
        <v>45897</v>
      </c>
      <c r="T820" s="45" t="str">
        <f ca="1">IFERROR(__xludf.DUMMYFUNCTION("""COMPUTED_VALUE"""),"Mississauga, ON, CA")</f>
        <v>Mississauga, ON, CA</v>
      </c>
      <c r="U820" s="45"/>
      <c r="V820" s="45"/>
      <c r="W820" s="45"/>
      <c r="X820" s="45"/>
      <c r="Y820" s="46">
        <f ca="1">IFERROR(__xludf.DUMMYFUNCTION("""COMPUTED_VALUE"""),45845)</f>
        <v>45845</v>
      </c>
      <c r="Z820" s="46">
        <f ca="1">IFERROR(__xludf.DUMMYFUNCTION("""COMPUTED_VALUE"""),45866)</f>
        <v>45866</v>
      </c>
      <c r="AA820" s="46">
        <f ca="1">IFERROR(__xludf.DUMMYFUNCTION("""COMPUTED_VALUE"""),45866)</f>
        <v>45866</v>
      </c>
      <c r="AB820" s="45" t="str">
        <f ca="1">IFERROR(__xludf.DUMMYFUNCTION("""COMPUTED_VALUE"""),"3500 Argentia Road")</f>
        <v>3500 Argentia Road</v>
      </c>
      <c r="AC820" s="45"/>
      <c r="AD820" s="45" t="str">
        <f ca="1">IFERROR(__xludf.DUMMYFUNCTION("""COMPUTED_VALUE"""),"OCEAN")</f>
        <v>OCEAN</v>
      </c>
      <c r="AE820" s="45" t="str">
        <f ca="1">IFERROR(__xludf.DUMMYFUNCTION("""COMPUTED_VALUE"""),"N")</f>
        <v>N</v>
      </c>
      <c r="AF820" s="45" t="str">
        <f ca="1">IFERROR(__xludf.DUMMYFUNCTION("""COMPUTED_VALUE"""),"New Booking")</f>
        <v>New Booking</v>
      </c>
      <c r="AG820" s="49" t="str">
        <f ca="1">IFERROR(__xludf.DUMMYFUNCTION("IFNA(vlookup(H820,IMPORTRANGE(""1vUGwO1n0QQGx9kKbO0_M5gmuhXZ6-LaxQxgrmJnzgP0"",""'TP# look up'!A:C""),3,0),"""")"),"")</f>
        <v/>
      </c>
      <c r="AH820" s="49" t="str">
        <f t="shared" ca="1" si="12"/>
        <v>LM</v>
      </c>
    </row>
    <row r="821" spans="1:34" ht="12.75">
      <c r="A821" s="45" t="str">
        <f ca="1">IFERROR(__xludf.DUMMYFUNCTION("""COMPUTED_VALUE"""),"Colombo")</f>
        <v>Colombo</v>
      </c>
      <c r="B821" s="45"/>
      <c r="C821" s="45">
        <f ca="1">IFERROR(__xludf.DUMMYFUNCTION("""COMPUTED_VALUE"""),3259528)</f>
        <v>3259528</v>
      </c>
      <c r="D821" s="45"/>
      <c r="E821" s="45" t="str">
        <f ca="1">IFERROR(__xludf.DUMMYFUNCTION("""COMPUTED_VALUE"""),"CFS")</f>
        <v>CFS</v>
      </c>
      <c r="F821" s="45" t="str">
        <f ca="1">IFERROR(__xludf.DUMMYFUNCTION("""COMPUTED_VALUE"""),"Inqube Global (PVT) Ltd")</f>
        <v>Inqube Global (PVT) Ltd</v>
      </c>
      <c r="G821" s="45" t="str">
        <f ca="1">IFERROR(__xludf.DUMMYFUNCTION("""COMPUTED_VALUE"""),"BRANDIX APPAREL SOLUTION LTD - GIRITALE")</f>
        <v>BRANDIX APPAREL SOLUTION LTD - GIRITALE</v>
      </c>
      <c r="H821" s="43">
        <f ca="1">IFERROR(__xludf.DUMMYFUNCTION("""COMPUTED_VALUE"""),455666584155)</f>
        <v>455666584155</v>
      </c>
      <c r="I821" s="45">
        <f ca="1">IFERROR(__xludf.DUMMYFUNCTION("""COMPUTED_VALUE"""),19855735)</f>
        <v>19855735</v>
      </c>
      <c r="J821" s="45" t="str">
        <f ca="1">IFERROR(__xludf.DUMMYFUNCTION("""COMPUTED_VALUE"""),"LM5AR0T")</f>
        <v>LM5AR0T</v>
      </c>
      <c r="K821" s="45" t="str">
        <f ca="1">IFERROR(__xludf.DUMMYFUNCTION("""COMPUTED_VALUE"""),"LM5AR0T-070108")</f>
        <v>LM5AR0T-070108</v>
      </c>
      <c r="L821" s="45">
        <f ca="1">IFERROR(__xludf.DUMMYFUNCTION("""COMPUTED_VALUE"""),1)</f>
        <v>1</v>
      </c>
      <c r="M821" s="45">
        <f ca="1">IFERROR(__xludf.DUMMYFUNCTION("""COMPUTED_VALUE"""),12)</f>
        <v>12</v>
      </c>
      <c r="N821" s="45">
        <f ca="1">IFERROR(__xludf.DUMMYFUNCTION("""COMPUTED_VALUE"""),6.37)</f>
        <v>6.37</v>
      </c>
      <c r="O821" s="45">
        <f ca="1">IFERROR(__xludf.DUMMYFUNCTION("""COMPUTED_VALUE"""),0.043)</f>
        <v>4.2999999999999997E-2</v>
      </c>
      <c r="P821" s="45" t="str">
        <f ca="1">IFERROR(__xludf.DUMMYFUNCTION("""COMPUTED_VALUE"""),"Colombo, LK")</f>
        <v>Colombo, LK</v>
      </c>
      <c r="Q821" s="45" t="str">
        <f ca="1">IFERROR(__xludf.DUMMYFUNCTION("""COMPUTED_VALUE"""),"New York, NY, US")</f>
        <v>New York, NY, US</v>
      </c>
      <c r="R821" s="44">
        <f ca="1">IFERROR(__xludf.DUMMYFUNCTION("""COMPUTED_VALUE"""),45838)</f>
        <v>45838</v>
      </c>
      <c r="S821" s="44">
        <f ca="1">IFERROR(__xludf.DUMMYFUNCTION("""COMPUTED_VALUE"""),45897)</f>
        <v>45897</v>
      </c>
      <c r="T821" s="45" t="str">
        <f ca="1">IFERROR(__xludf.DUMMYFUNCTION("""COMPUTED_VALUE"""),"Mississauga, ON, CA")</f>
        <v>Mississauga, ON, CA</v>
      </c>
      <c r="U821" s="45"/>
      <c r="V821" s="45"/>
      <c r="W821" s="45"/>
      <c r="X821" s="45"/>
      <c r="Y821" s="46">
        <f ca="1">IFERROR(__xludf.DUMMYFUNCTION("""COMPUTED_VALUE"""),45845)</f>
        <v>45845</v>
      </c>
      <c r="Z821" s="46">
        <f ca="1">IFERROR(__xludf.DUMMYFUNCTION("""COMPUTED_VALUE"""),45866)</f>
        <v>45866</v>
      </c>
      <c r="AA821" s="46">
        <f ca="1">IFERROR(__xludf.DUMMYFUNCTION("""COMPUTED_VALUE"""),45866)</f>
        <v>45866</v>
      </c>
      <c r="AB821" s="45" t="str">
        <f ca="1">IFERROR(__xludf.DUMMYFUNCTION("""COMPUTED_VALUE"""),"3500 Argentia Road")</f>
        <v>3500 Argentia Road</v>
      </c>
      <c r="AC821" s="45"/>
      <c r="AD821" s="45" t="str">
        <f ca="1">IFERROR(__xludf.DUMMYFUNCTION("""COMPUTED_VALUE"""),"OCEAN")</f>
        <v>OCEAN</v>
      </c>
      <c r="AE821" s="45" t="str">
        <f ca="1">IFERROR(__xludf.DUMMYFUNCTION("""COMPUTED_VALUE"""),"N")</f>
        <v>N</v>
      </c>
      <c r="AF821" s="45" t="str">
        <f ca="1">IFERROR(__xludf.DUMMYFUNCTION("""COMPUTED_VALUE"""),"New Booking")</f>
        <v>New Booking</v>
      </c>
      <c r="AG821" s="49" t="str">
        <f ca="1">IFERROR(__xludf.DUMMYFUNCTION("IFNA(vlookup(H821,IMPORTRANGE(""1vUGwO1n0QQGx9kKbO0_M5gmuhXZ6-LaxQxgrmJnzgP0"",""'TP# look up'!A:C""),3,0),"""")"),"")</f>
        <v/>
      </c>
      <c r="AH821" s="49" t="str">
        <f t="shared" ca="1" si="12"/>
        <v>LM</v>
      </c>
    </row>
    <row r="822" spans="1:34" ht="12.75">
      <c r="A822" s="45" t="str">
        <f ca="1">IFERROR(__xludf.DUMMYFUNCTION("""COMPUTED_VALUE"""),"Colombo")</f>
        <v>Colombo</v>
      </c>
      <c r="B822" s="45"/>
      <c r="C822" s="45">
        <f ca="1">IFERROR(__xludf.DUMMYFUNCTION("""COMPUTED_VALUE"""),3259528)</f>
        <v>3259528</v>
      </c>
      <c r="D822" s="45"/>
      <c r="E822" s="45" t="str">
        <f ca="1">IFERROR(__xludf.DUMMYFUNCTION("""COMPUTED_VALUE"""),"CFS")</f>
        <v>CFS</v>
      </c>
      <c r="F822" s="45" t="str">
        <f ca="1">IFERROR(__xludf.DUMMYFUNCTION("""COMPUTED_VALUE"""),"Inqube Global (PVT) Ltd")</f>
        <v>Inqube Global (PVT) Ltd</v>
      </c>
      <c r="G822" s="45" t="str">
        <f ca="1">IFERROR(__xludf.DUMMYFUNCTION("""COMPUTED_VALUE"""),"BRANDIX APPAREL SOLUTION LTD - GIRITALE")</f>
        <v>BRANDIX APPAREL SOLUTION LTD - GIRITALE</v>
      </c>
      <c r="H822" s="43">
        <f ca="1">IFERROR(__xludf.DUMMYFUNCTION("""COMPUTED_VALUE"""),455702156091)</f>
        <v>455702156091</v>
      </c>
      <c r="I822" s="45">
        <f ca="1">IFERROR(__xludf.DUMMYFUNCTION("""COMPUTED_VALUE"""),19856291)</f>
        <v>19856291</v>
      </c>
      <c r="J822" s="45" t="str">
        <f ca="1">IFERROR(__xludf.DUMMYFUNCTION("""COMPUTED_VALUE"""),"LM5AR0T")</f>
        <v>LM5AR0T</v>
      </c>
      <c r="K822" s="45" t="str">
        <f ca="1">IFERROR(__xludf.DUMMYFUNCTION("""COMPUTED_VALUE"""),"LM5AR0T-070108")</f>
        <v>LM5AR0T-070108</v>
      </c>
      <c r="L822" s="45">
        <f ca="1">IFERROR(__xludf.DUMMYFUNCTION("""COMPUTED_VALUE"""),8)</f>
        <v>8</v>
      </c>
      <c r="M822" s="45">
        <f ca="1">IFERROR(__xludf.DUMMYFUNCTION("""COMPUTED_VALUE"""),208)</f>
        <v>208</v>
      </c>
      <c r="N822" s="45">
        <f ca="1">IFERROR(__xludf.DUMMYFUNCTION("""COMPUTED_VALUE"""),103.7)</f>
        <v>103.7</v>
      </c>
      <c r="O822" s="45">
        <f ca="1">IFERROR(__xludf.DUMMYFUNCTION("""COMPUTED_VALUE"""),0.58)</f>
        <v>0.57999999999999996</v>
      </c>
      <c r="P822" s="45" t="str">
        <f ca="1">IFERROR(__xludf.DUMMYFUNCTION("""COMPUTED_VALUE"""),"Colombo, LK")</f>
        <v>Colombo, LK</v>
      </c>
      <c r="Q822" s="45" t="str">
        <f ca="1">IFERROR(__xludf.DUMMYFUNCTION("""COMPUTED_VALUE"""),"New York, NY, US")</f>
        <v>New York, NY, US</v>
      </c>
      <c r="R822" s="44">
        <f ca="1">IFERROR(__xludf.DUMMYFUNCTION("""COMPUTED_VALUE"""),45838)</f>
        <v>45838</v>
      </c>
      <c r="S822" s="44">
        <f ca="1">IFERROR(__xludf.DUMMYFUNCTION("""COMPUTED_VALUE"""),45897)</f>
        <v>45897</v>
      </c>
      <c r="T822" s="45" t="str">
        <f ca="1">IFERROR(__xludf.DUMMYFUNCTION("""COMPUTED_VALUE"""),"Mississauga, ON, CA")</f>
        <v>Mississauga, ON, CA</v>
      </c>
      <c r="U822" s="45"/>
      <c r="V822" s="45"/>
      <c r="W822" s="45"/>
      <c r="X822" s="45"/>
      <c r="Y822" s="46">
        <f ca="1">IFERROR(__xludf.DUMMYFUNCTION("""COMPUTED_VALUE"""),45831)</f>
        <v>45831</v>
      </c>
      <c r="Z822" s="46">
        <f ca="1">IFERROR(__xludf.DUMMYFUNCTION("""COMPUTED_VALUE"""),45852)</f>
        <v>45852</v>
      </c>
      <c r="AA822" s="46">
        <f ca="1">IFERROR(__xludf.DUMMYFUNCTION("""COMPUTED_VALUE"""),45852)</f>
        <v>45852</v>
      </c>
      <c r="AB822" s="45" t="str">
        <f ca="1">IFERROR(__xludf.DUMMYFUNCTION("""COMPUTED_VALUE"""),"3500 Argentia Road")</f>
        <v>3500 Argentia Road</v>
      </c>
      <c r="AC822" s="45"/>
      <c r="AD822" s="45" t="str">
        <f ca="1">IFERROR(__xludf.DUMMYFUNCTION("""COMPUTED_VALUE"""),"OCEAN")</f>
        <v>OCEAN</v>
      </c>
      <c r="AE822" s="45" t="str">
        <f ca="1">IFERROR(__xludf.DUMMYFUNCTION("""COMPUTED_VALUE"""),"N")</f>
        <v>N</v>
      </c>
      <c r="AF822" s="45" t="str">
        <f ca="1">IFERROR(__xludf.DUMMYFUNCTION("""COMPUTED_VALUE"""),"New Booking")</f>
        <v>New Booking</v>
      </c>
      <c r="AG822" s="49" t="str">
        <f ca="1">IFERROR(__xludf.DUMMYFUNCTION("IFNA(vlookup(H822,IMPORTRANGE(""1vUGwO1n0QQGx9kKbO0_M5gmuhXZ6-LaxQxgrmJnzgP0"",""'TP# look up'!A:C""),3,0),"""")"),"")</f>
        <v/>
      </c>
      <c r="AH822" s="49" t="str">
        <f t="shared" ca="1" si="12"/>
        <v>LM</v>
      </c>
    </row>
    <row r="823" spans="1:34" ht="12.75">
      <c r="A823" s="45" t="str">
        <f ca="1">IFERROR(__xludf.DUMMYFUNCTION("""COMPUTED_VALUE"""),"Colombo")</f>
        <v>Colombo</v>
      </c>
      <c r="B823" s="45"/>
      <c r="C823" s="45">
        <f ca="1">IFERROR(__xludf.DUMMYFUNCTION("""COMPUTED_VALUE"""),3259528)</f>
        <v>3259528</v>
      </c>
      <c r="D823" s="45"/>
      <c r="E823" s="45" t="str">
        <f ca="1">IFERROR(__xludf.DUMMYFUNCTION("""COMPUTED_VALUE"""),"CFS")</f>
        <v>CFS</v>
      </c>
      <c r="F823" s="45" t="str">
        <f ca="1">IFERROR(__xludf.DUMMYFUNCTION("""COMPUTED_VALUE"""),"Inqube Global (PVT) Ltd")</f>
        <v>Inqube Global (PVT) Ltd</v>
      </c>
      <c r="G823" s="45" t="str">
        <f ca="1">IFERROR(__xludf.DUMMYFUNCTION("""COMPUTED_VALUE"""),"BRANDIX APPAREL SOLUTION LTD - GIRITALE")</f>
        <v>BRANDIX APPAREL SOLUTION LTD - GIRITALE</v>
      </c>
      <c r="H823" s="43">
        <f ca="1">IFERROR(__xludf.DUMMYFUNCTION("""COMPUTED_VALUE"""),455706896701)</f>
        <v>455706896701</v>
      </c>
      <c r="I823" s="45">
        <f ca="1">IFERROR(__xludf.DUMMYFUNCTION("""COMPUTED_VALUE"""),19855740)</f>
        <v>19855740</v>
      </c>
      <c r="J823" s="45" t="str">
        <f ca="1">IFERROR(__xludf.DUMMYFUNCTION("""COMPUTED_VALUE"""),"LM5AXAS")</f>
        <v>LM5AXAS</v>
      </c>
      <c r="K823" s="45" t="str">
        <f ca="1">IFERROR(__xludf.DUMMYFUNCTION("""COMPUTED_VALUE"""),"LM5AXAS-0001")</f>
        <v>LM5AXAS-0001</v>
      </c>
      <c r="L823" s="45">
        <f ca="1">IFERROR(__xludf.DUMMYFUNCTION("""COMPUTED_VALUE"""),6)</f>
        <v>6</v>
      </c>
      <c r="M823" s="45">
        <f ca="1">IFERROR(__xludf.DUMMYFUNCTION("""COMPUTED_VALUE"""),186)</f>
        <v>186</v>
      </c>
      <c r="N823" s="45">
        <f ca="1">IFERROR(__xludf.DUMMYFUNCTION("""COMPUTED_VALUE"""),72.63)</f>
        <v>72.63</v>
      </c>
      <c r="O823" s="45">
        <f ca="1">IFERROR(__xludf.DUMMYFUNCTION("""COMPUTED_VALUE"""),0.455)</f>
        <v>0.45500000000000002</v>
      </c>
      <c r="P823" s="45" t="str">
        <f ca="1">IFERROR(__xludf.DUMMYFUNCTION("""COMPUTED_VALUE"""),"Colombo, LK")</f>
        <v>Colombo, LK</v>
      </c>
      <c r="Q823" s="45" t="str">
        <f ca="1">IFERROR(__xludf.DUMMYFUNCTION("""COMPUTED_VALUE"""),"New York, NY, US")</f>
        <v>New York, NY, US</v>
      </c>
      <c r="R823" s="44">
        <f ca="1">IFERROR(__xludf.DUMMYFUNCTION("""COMPUTED_VALUE"""),45838)</f>
        <v>45838</v>
      </c>
      <c r="S823" s="44">
        <f ca="1">IFERROR(__xludf.DUMMYFUNCTION("""COMPUTED_VALUE"""),45897)</f>
        <v>45897</v>
      </c>
      <c r="T823" s="45" t="str">
        <f ca="1">IFERROR(__xludf.DUMMYFUNCTION("""COMPUTED_VALUE"""),"Mississauga, ON, CA")</f>
        <v>Mississauga, ON, CA</v>
      </c>
      <c r="U823" s="45"/>
      <c r="V823" s="45"/>
      <c r="W823" s="45"/>
      <c r="X823" s="45"/>
      <c r="Y823" s="46">
        <f ca="1">IFERROR(__xludf.DUMMYFUNCTION("""COMPUTED_VALUE"""),45831)</f>
        <v>45831</v>
      </c>
      <c r="Z823" s="46">
        <f ca="1">IFERROR(__xludf.DUMMYFUNCTION("""COMPUTED_VALUE"""),45852)</f>
        <v>45852</v>
      </c>
      <c r="AA823" s="46">
        <f ca="1">IFERROR(__xludf.DUMMYFUNCTION("""COMPUTED_VALUE"""),45852)</f>
        <v>45852</v>
      </c>
      <c r="AB823" s="45" t="str">
        <f ca="1">IFERROR(__xludf.DUMMYFUNCTION("""COMPUTED_VALUE"""),"3500 Argentia Road")</f>
        <v>3500 Argentia Road</v>
      </c>
      <c r="AC823" s="45"/>
      <c r="AD823" s="45" t="str">
        <f ca="1">IFERROR(__xludf.DUMMYFUNCTION("""COMPUTED_VALUE"""),"OCEAN")</f>
        <v>OCEAN</v>
      </c>
      <c r="AE823" s="45" t="str">
        <f ca="1">IFERROR(__xludf.DUMMYFUNCTION("""COMPUTED_VALUE"""),"N")</f>
        <v>N</v>
      </c>
      <c r="AF823" s="45" t="str">
        <f ca="1">IFERROR(__xludf.DUMMYFUNCTION("""COMPUTED_VALUE"""),"New Booking")</f>
        <v>New Booking</v>
      </c>
      <c r="AG823" s="49" t="str">
        <f ca="1">IFERROR(__xludf.DUMMYFUNCTION("IFNA(vlookup(H823,IMPORTRANGE(""1vUGwO1n0QQGx9kKbO0_M5gmuhXZ6-LaxQxgrmJnzgP0"",""'TP# look up'!A:C""),3,0),"""")"),"")</f>
        <v/>
      </c>
      <c r="AH823" s="49" t="str">
        <f t="shared" ca="1" si="12"/>
        <v>LM</v>
      </c>
    </row>
    <row r="824" spans="1:34" ht="12.75">
      <c r="A824" s="45" t="str">
        <f ca="1">IFERROR(__xludf.DUMMYFUNCTION("""COMPUTED_VALUE"""),"Colombo")</f>
        <v>Colombo</v>
      </c>
      <c r="B824" s="45"/>
      <c r="C824" s="45">
        <f ca="1">IFERROR(__xludf.DUMMYFUNCTION("""COMPUTED_VALUE"""),3259528)</f>
        <v>3259528</v>
      </c>
      <c r="D824" s="45"/>
      <c r="E824" s="45" t="str">
        <f ca="1">IFERROR(__xludf.DUMMYFUNCTION("""COMPUTED_VALUE"""),"CFS")</f>
        <v>CFS</v>
      </c>
      <c r="F824" s="45" t="str">
        <f ca="1">IFERROR(__xludf.DUMMYFUNCTION("""COMPUTED_VALUE"""),"Inqube Global (PVT) Ltd")</f>
        <v>Inqube Global (PVT) Ltd</v>
      </c>
      <c r="G824" s="45" t="str">
        <f ca="1">IFERROR(__xludf.DUMMYFUNCTION("""COMPUTED_VALUE"""),"BRANDIX APPAREL SOLUTION LTD - GIRITALE")</f>
        <v>BRANDIX APPAREL SOLUTION LTD - GIRITALE</v>
      </c>
      <c r="H824" s="43">
        <f ca="1">IFERROR(__xludf.DUMMYFUNCTION("""COMPUTED_VALUE"""),455708952650)</f>
        <v>455708952650</v>
      </c>
      <c r="I824" s="45">
        <f ca="1">IFERROR(__xludf.DUMMYFUNCTION("""COMPUTED_VALUE"""),19856307)</f>
        <v>19856307</v>
      </c>
      <c r="J824" s="45" t="str">
        <f ca="1">IFERROR(__xludf.DUMMYFUNCTION("""COMPUTED_VALUE"""),"LM5AXAS")</f>
        <v>LM5AXAS</v>
      </c>
      <c r="K824" s="45" t="str">
        <f ca="1">IFERROR(__xludf.DUMMYFUNCTION("""COMPUTED_VALUE"""),"LM5AXAS-0001")</f>
        <v>LM5AXAS-0001</v>
      </c>
      <c r="L824" s="45">
        <f ca="1">IFERROR(__xludf.DUMMYFUNCTION("""COMPUTED_VALUE"""),8)</f>
        <v>8</v>
      </c>
      <c r="M824" s="45">
        <f ca="1">IFERROR(__xludf.DUMMYFUNCTION("""COMPUTED_VALUE"""),209)</f>
        <v>209</v>
      </c>
      <c r="N824" s="45">
        <f ca="1">IFERROR(__xludf.DUMMYFUNCTION("""COMPUTED_VALUE"""),87.69)</f>
        <v>87.69</v>
      </c>
      <c r="O824" s="45">
        <f ca="1">IFERROR(__xludf.DUMMYFUNCTION("""COMPUTED_VALUE"""),0.54)</f>
        <v>0.54</v>
      </c>
      <c r="P824" s="45" t="str">
        <f ca="1">IFERROR(__xludf.DUMMYFUNCTION("""COMPUTED_VALUE"""),"Colombo, LK")</f>
        <v>Colombo, LK</v>
      </c>
      <c r="Q824" s="45" t="str">
        <f ca="1">IFERROR(__xludf.DUMMYFUNCTION("""COMPUTED_VALUE"""),"New York, NY, US")</f>
        <v>New York, NY, US</v>
      </c>
      <c r="R824" s="44">
        <f ca="1">IFERROR(__xludf.DUMMYFUNCTION("""COMPUTED_VALUE"""),45838)</f>
        <v>45838</v>
      </c>
      <c r="S824" s="44">
        <f ca="1">IFERROR(__xludf.DUMMYFUNCTION("""COMPUTED_VALUE"""),45897)</f>
        <v>45897</v>
      </c>
      <c r="T824" s="45" t="str">
        <f ca="1">IFERROR(__xludf.DUMMYFUNCTION("""COMPUTED_VALUE"""),"Mississauga, ON, CA")</f>
        <v>Mississauga, ON, CA</v>
      </c>
      <c r="U824" s="45"/>
      <c r="V824" s="45"/>
      <c r="W824" s="45"/>
      <c r="X824" s="45"/>
      <c r="Y824" s="46">
        <f ca="1">IFERROR(__xludf.DUMMYFUNCTION("""COMPUTED_VALUE"""),45845)</f>
        <v>45845</v>
      </c>
      <c r="Z824" s="46">
        <f ca="1">IFERROR(__xludf.DUMMYFUNCTION("""COMPUTED_VALUE"""),45866)</f>
        <v>45866</v>
      </c>
      <c r="AA824" s="46">
        <f ca="1">IFERROR(__xludf.DUMMYFUNCTION("""COMPUTED_VALUE"""),45866)</f>
        <v>45866</v>
      </c>
      <c r="AB824" s="45" t="str">
        <f ca="1">IFERROR(__xludf.DUMMYFUNCTION("""COMPUTED_VALUE"""),"3500 Argentia Road")</f>
        <v>3500 Argentia Road</v>
      </c>
      <c r="AC824" s="45"/>
      <c r="AD824" s="45" t="str">
        <f ca="1">IFERROR(__xludf.DUMMYFUNCTION("""COMPUTED_VALUE"""),"OCEAN")</f>
        <v>OCEAN</v>
      </c>
      <c r="AE824" s="45" t="str">
        <f ca="1">IFERROR(__xludf.DUMMYFUNCTION("""COMPUTED_VALUE"""),"N")</f>
        <v>N</v>
      </c>
      <c r="AF824"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4" s="49" t="str">
        <f ca="1">IFERROR(__xludf.DUMMYFUNCTION("IFNA(vlookup(H824,IMPORTRANGE(""1vUGwO1n0QQGx9kKbO0_M5gmuhXZ6-LaxQxgrmJnzgP0"",""'TP# look up'!A:C""),3,0),"""")"),"")</f>
        <v/>
      </c>
      <c r="AH824" s="49" t="str">
        <f t="shared" ca="1" si="12"/>
        <v>LM</v>
      </c>
    </row>
    <row r="825" spans="1:34" ht="12.75">
      <c r="A825" s="45" t="str">
        <f ca="1">IFERROR(__xludf.DUMMYFUNCTION("""COMPUTED_VALUE"""),"Colombo")</f>
        <v>Colombo</v>
      </c>
      <c r="B825" s="45"/>
      <c r="C825" s="45">
        <f ca="1">IFERROR(__xludf.DUMMYFUNCTION("""COMPUTED_VALUE"""),3259528)</f>
        <v>3259528</v>
      </c>
      <c r="D825" s="45"/>
      <c r="E825" s="45" t="str">
        <f ca="1">IFERROR(__xludf.DUMMYFUNCTION("""COMPUTED_VALUE"""),"CFS")</f>
        <v>CFS</v>
      </c>
      <c r="F825" s="45" t="str">
        <f ca="1">IFERROR(__xludf.DUMMYFUNCTION("""COMPUTED_VALUE"""),"Inqube Global (PVT) Ltd")</f>
        <v>Inqube Global (PVT) Ltd</v>
      </c>
      <c r="G825" s="45" t="str">
        <f ca="1">IFERROR(__xludf.DUMMYFUNCTION("""COMPUTED_VALUE"""),"BRANDIX APPAREL SOLUTION LTD - GIRITALE")</f>
        <v>BRANDIX APPAREL SOLUTION LTD - GIRITALE</v>
      </c>
      <c r="H825" s="43">
        <f ca="1">IFERROR(__xludf.DUMMYFUNCTION("""COMPUTED_VALUE"""),455728533514)</f>
        <v>455728533514</v>
      </c>
      <c r="I825" s="45">
        <f ca="1">IFERROR(__xludf.DUMMYFUNCTION("""COMPUTED_VALUE"""),19856308)</f>
        <v>19856308</v>
      </c>
      <c r="J825" s="45" t="str">
        <f ca="1">IFERROR(__xludf.DUMMYFUNCTION("""COMPUTED_VALUE"""),"LM5AXAS")</f>
        <v>LM5AXAS</v>
      </c>
      <c r="K825" s="45" t="str">
        <f ca="1">IFERROR(__xludf.DUMMYFUNCTION("""COMPUTED_VALUE"""),"LM5AXAS-0001")</f>
        <v>LM5AXAS-0001</v>
      </c>
      <c r="L825" s="45">
        <f ca="1">IFERROR(__xludf.DUMMYFUNCTION("""COMPUTED_VALUE"""),7)</f>
        <v>7</v>
      </c>
      <c r="M825" s="45">
        <f ca="1">IFERROR(__xludf.DUMMYFUNCTION("""COMPUTED_VALUE"""),194)</f>
        <v>194</v>
      </c>
      <c r="N825" s="45">
        <f ca="1">IFERROR(__xludf.DUMMYFUNCTION("""COMPUTED_VALUE"""),80.98)</f>
        <v>80.98</v>
      </c>
      <c r="O825" s="45">
        <f ca="1">IFERROR(__xludf.DUMMYFUNCTION("""COMPUTED_VALUE"""),0.458)</f>
        <v>0.45800000000000002</v>
      </c>
      <c r="P825" s="45" t="str">
        <f ca="1">IFERROR(__xludf.DUMMYFUNCTION("""COMPUTED_VALUE"""),"Colombo, LK")</f>
        <v>Colombo, LK</v>
      </c>
      <c r="Q825" s="45" t="str">
        <f ca="1">IFERROR(__xludf.DUMMYFUNCTION("""COMPUTED_VALUE"""),"New York, NY, US")</f>
        <v>New York, NY, US</v>
      </c>
      <c r="R825" s="44">
        <f ca="1">IFERROR(__xludf.DUMMYFUNCTION("""COMPUTED_VALUE"""),45838)</f>
        <v>45838</v>
      </c>
      <c r="S825" s="44">
        <f ca="1">IFERROR(__xludf.DUMMYFUNCTION("""COMPUTED_VALUE"""),45897)</f>
        <v>45897</v>
      </c>
      <c r="T825" s="45" t="str">
        <f ca="1">IFERROR(__xludf.DUMMYFUNCTION("""COMPUTED_VALUE"""),"Mississauga, ON, CA")</f>
        <v>Mississauga, ON, CA</v>
      </c>
      <c r="U825" s="45"/>
      <c r="V825" s="45"/>
      <c r="W825" s="45"/>
      <c r="X825" s="45"/>
      <c r="Y825" s="46">
        <f ca="1">IFERROR(__xludf.DUMMYFUNCTION("""COMPUTED_VALUE"""),45845)</f>
        <v>45845</v>
      </c>
      <c r="Z825" s="46">
        <f ca="1">IFERROR(__xludf.DUMMYFUNCTION("""COMPUTED_VALUE"""),45866)</f>
        <v>45866</v>
      </c>
      <c r="AA825" s="46">
        <f ca="1">IFERROR(__xludf.DUMMYFUNCTION("""COMPUTED_VALUE"""),45866)</f>
        <v>45866</v>
      </c>
      <c r="AB825" s="45" t="str">
        <f ca="1">IFERROR(__xludf.DUMMYFUNCTION("""COMPUTED_VALUE"""),"3500 Argentia Road")</f>
        <v>3500 Argentia Road</v>
      </c>
      <c r="AC825" s="45"/>
      <c r="AD825" s="45" t="str">
        <f ca="1">IFERROR(__xludf.DUMMYFUNCTION("""COMPUTED_VALUE"""),"OCEAN")</f>
        <v>OCEAN</v>
      </c>
      <c r="AE825" s="45" t="str">
        <f ca="1">IFERROR(__xludf.DUMMYFUNCTION("""COMPUTED_VALUE"""),"N")</f>
        <v>N</v>
      </c>
      <c r="AF825"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5" s="49" t="str">
        <f ca="1">IFERROR(__xludf.DUMMYFUNCTION("IFNA(vlookup(H825,IMPORTRANGE(""1vUGwO1n0QQGx9kKbO0_M5gmuhXZ6-LaxQxgrmJnzgP0"",""'TP# look up'!A:C""),3,0),"""")"),"")</f>
        <v/>
      </c>
      <c r="AH825" s="49" t="str">
        <f t="shared" ca="1" si="12"/>
        <v>LM</v>
      </c>
    </row>
    <row r="826" spans="1:34" ht="12.75">
      <c r="A826" s="45" t="str">
        <f ca="1">IFERROR(__xludf.DUMMYFUNCTION("""COMPUTED_VALUE"""),"Colombo")</f>
        <v>Colombo</v>
      </c>
      <c r="B826" s="45"/>
      <c r="C826" s="45">
        <f ca="1">IFERROR(__xludf.DUMMYFUNCTION("""COMPUTED_VALUE"""),3259528)</f>
        <v>3259528</v>
      </c>
      <c r="D826" s="45"/>
      <c r="E826" s="45" t="str">
        <f ca="1">IFERROR(__xludf.DUMMYFUNCTION("""COMPUTED_VALUE"""),"CFS")</f>
        <v>CFS</v>
      </c>
      <c r="F826" s="45" t="str">
        <f ca="1">IFERROR(__xludf.DUMMYFUNCTION("""COMPUTED_VALUE"""),"Inqube Global (PVT) Ltd")</f>
        <v>Inqube Global (PVT) Ltd</v>
      </c>
      <c r="G826" s="45" t="str">
        <f ca="1">IFERROR(__xludf.DUMMYFUNCTION("""COMPUTED_VALUE"""),"BRANDIX APPAREL SOLUTION LTD - GIRITALE")</f>
        <v>BRANDIX APPAREL SOLUTION LTD - GIRITALE</v>
      </c>
      <c r="H826" s="43">
        <f ca="1">IFERROR(__xludf.DUMMYFUNCTION("""COMPUTED_VALUE"""),455741616674)</f>
        <v>455741616674</v>
      </c>
      <c r="I826" s="45">
        <f ca="1">IFERROR(__xludf.DUMMYFUNCTION("""COMPUTED_VALUE"""),19856387)</f>
        <v>19856387</v>
      </c>
      <c r="J826" s="45" t="str">
        <f ca="1">IFERROR(__xludf.DUMMYFUNCTION("""COMPUTED_VALUE"""),"LM5AXAS")</f>
        <v>LM5AXAS</v>
      </c>
      <c r="K826" s="45" t="str">
        <f ca="1">IFERROR(__xludf.DUMMYFUNCTION("""COMPUTED_VALUE"""),"LM5AXAS-019222")</f>
        <v>LM5AXAS-019222</v>
      </c>
      <c r="L826" s="45">
        <f ca="1">IFERROR(__xludf.DUMMYFUNCTION("""COMPUTED_VALUE"""),9)</f>
        <v>9</v>
      </c>
      <c r="M826" s="45">
        <f ca="1">IFERROR(__xludf.DUMMYFUNCTION("""COMPUTED_VALUE"""),273)</f>
        <v>273</v>
      </c>
      <c r="N826" s="45">
        <f ca="1">IFERROR(__xludf.DUMMYFUNCTION("""COMPUTED_VALUE"""),109.48)</f>
        <v>109.48</v>
      </c>
      <c r="O826" s="45">
        <f ca="1">IFERROR(__xludf.DUMMYFUNCTION("""COMPUTED_VALUE"""),0.623)</f>
        <v>0.623</v>
      </c>
      <c r="P826" s="45" t="str">
        <f ca="1">IFERROR(__xludf.DUMMYFUNCTION("""COMPUTED_VALUE"""),"Colombo, LK")</f>
        <v>Colombo, LK</v>
      </c>
      <c r="Q826" s="45" t="str">
        <f ca="1">IFERROR(__xludf.DUMMYFUNCTION("""COMPUTED_VALUE"""),"New York, NY, US")</f>
        <v>New York, NY, US</v>
      </c>
      <c r="R826" s="44">
        <f ca="1">IFERROR(__xludf.DUMMYFUNCTION("""COMPUTED_VALUE"""),45838)</f>
        <v>45838</v>
      </c>
      <c r="S826" s="44">
        <f ca="1">IFERROR(__xludf.DUMMYFUNCTION("""COMPUTED_VALUE"""),45897)</f>
        <v>45897</v>
      </c>
      <c r="T826" s="45" t="str">
        <f ca="1">IFERROR(__xludf.DUMMYFUNCTION("""COMPUTED_VALUE"""),"Mississauga, ON, CA")</f>
        <v>Mississauga, ON, CA</v>
      </c>
      <c r="U826" s="45"/>
      <c r="V826" s="45"/>
      <c r="W826" s="45"/>
      <c r="X826" s="45"/>
      <c r="Y826" s="46">
        <f ca="1">IFERROR(__xludf.DUMMYFUNCTION("""COMPUTED_VALUE"""),45845)</f>
        <v>45845</v>
      </c>
      <c r="Z826" s="46">
        <f ca="1">IFERROR(__xludf.DUMMYFUNCTION("""COMPUTED_VALUE"""),45866)</f>
        <v>45866</v>
      </c>
      <c r="AA826" s="46">
        <f ca="1">IFERROR(__xludf.DUMMYFUNCTION("""COMPUTED_VALUE"""),45866)</f>
        <v>45866</v>
      </c>
      <c r="AB826" s="45" t="str">
        <f ca="1">IFERROR(__xludf.DUMMYFUNCTION("""COMPUTED_VALUE"""),"3500 Argentia Road")</f>
        <v>3500 Argentia Road</v>
      </c>
      <c r="AC826" s="45"/>
      <c r="AD826" s="45" t="str">
        <f ca="1">IFERROR(__xludf.DUMMYFUNCTION("""COMPUTED_VALUE"""),"OCEAN")</f>
        <v>OCEAN</v>
      </c>
      <c r="AE826" s="45" t="str">
        <f ca="1">IFERROR(__xludf.DUMMYFUNCTION("""COMPUTED_VALUE"""),"N")</f>
        <v>N</v>
      </c>
      <c r="AF826"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6" s="49" t="str">
        <f ca="1">IFERROR(__xludf.DUMMYFUNCTION("IFNA(vlookup(H826,IMPORTRANGE(""1vUGwO1n0QQGx9kKbO0_M5gmuhXZ6-LaxQxgrmJnzgP0"",""'TP# look up'!A:C""),3,0),"""")"),"")</f>
        <v/>
      </c>
      <c r="AH826" s="49" t="str">
        <f t="shared" ca="1" si="12"/>
        <v>LM</v>
      </c>
    </row>
    <row r="827" spans="1:34" ht="12.75">
      <c r="A827" s="45" t="str">
        <f ca="1">IFERROR(__xludf.DUMMYFUNCTION("""COMPUTED_VALUE"""),"Colombo")</f>
        <v>Colombo</v>
      </c>
      <c r="B827" s="45"/>
      <c r="C827" s="45">
        <f ca="1">IFERROR(__xludf.DUMMYFUNCTION("""COMPUTED_VALUE"""),3259528)</f>
        <v>3259528</v>
      </c>
      <c r="D827" s="45"/>
      <c r="E827" s="45" t="str">
        <f ca="1">IFERROR(__xludf.DUMMYFUNCTION("""COMPUTED_VALUE"""),"CFS")</f>
        <v>CFS</v>
      </c>
      <c r="F827" s="45" t="str">
        <f ca="1">IFERROR(__xludf.DUMMYFUNCTION("""COMPUTED_VALUE"""),"Inqube Global (PVT) Ltd")</f>
        <v>Inqube Global (PVT) Ltd</v>
      </c>
      <c r="G827" s="45" t="str">
        <f ca="1">IFERROR(__xludf.DUMMYFUNCTION("""COMPUTED_VALUE"""),"BRANDIX APPAREL SOLUTION LTD - GIRITALE")</f>
        <v>BRANDIX APPAREL SOLUTION LTD - GIRITALE</v>
      </c>
      <c r="H827" s="43">
        <f ca="1">IFERROR(__xludf.DUMMYFUNCTION("""COMPUTED_VALUE"""),455741917791)</f>
        <v>455741917791</v>
      </c>
      <c r="I827" s="45">
        <f ca="1">IFERROR(__xludf.DUMMYFUNCTION("""COMPUTED_VALUE"""),19856383)</f>
        <v>19856383</v>
      </c>
      <c r="J827" s="45" t="str">
        <f ca="1">IFERROR(__xludf.DUMMYFUNCTION("""COMPUTED_VALUE"""),"LM5AXAS")</f>
        <v>LM5AXAS</v>
      </c>
      <c r="K827" s="45" t="str">
        <f ca="1">IFERROR(__xludf.DUMMYFUNCTION("""COMPUTED_VALUE"""),"LM5AXAS-019222")</f>
        <v>LM5AXAS-019222</v>
      </c>
      <c r="L827" s="45">
        <f ca="1">IFERROR(__xludf.DUMMYFUNCTION("""COMPUTED_VALUE"""),12)</f>
        <v>12</v>
      </c>
      <c r="M827" s="45">
        <f ca="1">IFERROR(__xludf.DUMMYFUNCTION("""COMPUTED_VALUE"""),382)</f>
        <v>382</v>
      </c>
      <c r="N827" s="45">
        <f ca="1">IFERROR(__xludf.DUMMYFUNCTION("""COMPUTED_VALUE"""),153.59)</f>
        <v>153.59</v>
      </c>
      <c r="O827" s="45">
        <f ca="1">IFERROR(__xludf.DUMMYFUNCTION("""COMPUTED_VALUE"""),0.95)</f>
        <v>0.95</v>
      </c>
      <c r="P827" s="45" t="str">
        <f ca="1">IFERROR(__xludf.DUMMYFUNCTION("""COMPUTED_VALUE"""),"Colombo, LK")</f>
        <v>Colombo, LK</v>
      </c>
      <c r="Q827" s="45" t="str">
        <f ca="1">IFERROR(__xludf.DUMMYFUNCTION("""COMPUTED_VALUE"""),"New York, NY, US")</f>
        <v>New York, NY, US</v>
      </c>
      <c r="R827" s="44">
        <f ca="1">IFERROR(__xludf.DUMMYFUNCTION("""COMPUTED_VALUE"""),45838)</f>
        <v>45838</v>
      </c>
      <c r="S827" s="44">
        <f ca="1">IFERROR(__xludf.DUMMYFUNCTION("""COMPUTED_VALUE"""),45897)</f>
        <v>45897</v>
      </c>
      <c r="T827" s="45" t="str">
        <f ca="1">IFERROR(__xludf.DUMMYFUNCTION("""COMPUTED_VALUE"""),"Mississauga, ON, CA")</f>
        <v>Mississauga, ON, CA</v>
      </c>
      <c r="U827" s="45"/>
      <c r="V827" s="45"/>
      <c r="W827" s="45"/>
      <c r="X827" s="45"/>
      <c r="Y827" s="46">
        <f ca="1">IFERROR(__xludf.DUMMYFUNCTION("""COMPUTED_VALUE"""),45845)</f>
        <v>45845</v>
      </c>
      <c r="Z827" s="46">
        <f ca="1">IFERROR(__xludf.DUMMYFUNCTION("""COMPUTED_VALUE"""),45866)</f>
        <v>45866</v>
      </c>
      <c r="AA827" s="46">
        <f ca="1">IFERROR(__xludf.DUMMYFUNCTION("""COMPUTED_VALUE"""),45866)</f>
        <v>45866</v>
      </c>
      <c r="AB827" s="45" t="str">
        <f ca="1">IFERROR(__xludf.DUMMYFUNCTION("""COMPUTED_VALUE"""),"3500 Argentia Road")</f>
        <v>3500 Argentia Road</v>
      </c>
      <c r="AC827" s="45"/>
      <c r="AD827" s="45" t="str">
        <f ca="1">IFERROR(__xludf.DUMMYFUNCTION("""COMPUTED_VALUE"""),"OCEAN")</f>
        <v>OCEAN</v>
      </c>
      <c r="AE827" s="45" t="str">
        <f ca="1">IFERROR(__xludf.DUMMYFUNCTION("""COMPUTED_VALUE"""),"N")</f>
        <v>N</v>
      </c>
      <c r="AF827"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7" s="49" t="str">
        <f ca="1">IFERROR(__xludf.DUMMYFUNCTION("IFNA(vlookup(H827,IMPORTRANGE(""1vUGwO1n0QQGx9kKbO0_M5gmuhXZ6-LaxQxgrmJnzgP0"",""'TP# look up'!A:C""),3,0),"""")"),"")</f>
        <v/>
      </c>
      <c r="AH827" s="49" t="str">
        <f t="shared" ca="1" si="12"/>
        <v>LM</v>
      </c>
    </row>
    <row r="828" spans="1:34" ht="12.75">
      <c r="A828" s="45" t="str">
        <f ca="1">IFERROR(__xludf.DUMMYFUNCTION("""COMPUTED_VALUE"""),"Colombo")</f>
        <v>Colombo</v>
      </c>
      <c r="B828" s="45"/>
      <c r="C828" s="45">
        <f ca="1">IFERROR(__xludf.DUMMYFUNCTION("""COMPUTED_VALUE"""),3259528)</f>
        <v>3259528</v>
      </c>
      <c r="D828" s="45"/>
      <c r="E828" s="45" t="str">
        <f ca="1">IFERROR(__xludf.DUMMYFUNCTION("""COMPUTED_VALUE"""),"CFS")</f>
        <v>CFS</v>
      </c>
      <c r="F828" s="45" t="str">
        <f ca="1">IFERROR(__xludf.DUMMYFUNCTION("""COMPUTED_VALUE"""),"Inqube Global (PVT) Ltd")</f>
        <v>Inqube Global (PVT) Ltd</v>
      </c>
      <c r="G828" s="45" t="str">
        <f ca="1">IFERROR(__xludf.DUMMYFUNCTION("""COMPUTED_VALUE"""),"BRANDIX APPAREL SOLUTION LTD - GIRITALE")</f>
        <v>BRANDIX APPAREL SOLUTION LTD - GIRITALE</v>
      </c>
      <c r="H828" s="43">
        <f ca="1">IFERROR(__xludf.DUMMYFUNCTION("""COMPUTED_VALUE"""),455742905333)</f>
        <v>455742905333</v>
      </c>
      <c r="I828" s="45">
        <f ca="1">IFERROR(__xludf.DUMMYFUNCTION("""COMPUTED_VALUE"""),19855761)</f>
        <v>19855761</v>
      </c>
      <c r="J828" s="45" t="str">
        <f ca="1">IFERROR(__xludf.DUMMYFUNCTION("""COMPUTED_VALUE"""),"LM5AXAS")</f>
        <v>LM5AXAS</v>
      </c>
      <c r="K828" s="45" t="str">
        <f ca="1">IFERROR(__xludf.DUMMYFUNCTION("""COMPUTED_VALUE"""),"LM5AXAS-031382")</f>
        <v>LM5AXAS-031382</v>
      </c>
      <c r="L828" s="45">
        <f ca="1">IFERROR(__xludf.DUMMYFUNCTION("""COMPUTED_VALUE"""),3)</f>
        <v>3</v>
      </c>
      <c r="M828" s="45">
        <f ca="1">IFERROR(__xludf.DUMMYFUNCTION("""COMPUTED_VALUE"""),62)</f>
        <v>62</v>
      </c>
      <c r="N828" s="45">
        <f ca="1">IFERROR(__xludf.DUMMYFUNCTION("""COMPUTED_VALUE"""),25.21)</f>
        <v>25.21</v>
      </c>
      <c r="O828" s="45">
        <f ca="1">IFERROR(__xludf.DUMMYFUNCTION("""COMPUTED_VALUE"""),0.168)</f>
        <v>0.16800000000000001</v>
      </c>
      <c r="P828" s="45" t="str">
        <f ca="1">IFERROR(__xludf.DUMMYFUNCTION("""COMPUTED_VALUE"""),"Colombo, LK")</f>
        <v>Colombo, LK</v>
      </c>
      <c r="Q828" s="45" t="str">
        <f ca="1">IFERROR(__xludf.DUMMYFUNCTION("""COMPUTED_VALUE"""),"New York, NY, US")</f>
        <v>New York, NY, US</v>
      </c>
      <c r="R828" s="44">
        <f ca="1">IFERROR(__xludf.DUMMYFUNCTION("""COMPUTED_VALUE"""),45838)</f>
        <v>45838</v>
      </c>
      <c r="S828" s="44">
        <f ca="1">IFERROR(__xludf.DUMMYFUNCTION("""COMPUTED_VALUE"""),45897)</f>
        <v>45897</v>
      </c>
      <c r="T828" s="45" t="str">
        <f ca="1">IFERROR(__xludf.DUMMYFUNCTION("""COMPUTED_VALUE"""),"Mississauga, ON, CA")</f>
        <v>Mississauga, ON, CA</v>
      </c>
      <c r="U828" s="45"/>
      <c r="V828" s="45"/>
      <c r="W828" s="45"/>
      <c r="X828" s="45"/>
      <c r="Y828" s="46">
        <f ca="1">IFERROR(__xludf.DUMMYFUNCTION("""COMPUTED_VALUE"""),45845)</f>
        <v>45845</v>
      </c>
      <c r="Z828" s="46">
        <f ca="1">IFERROR(__xludf.DUMMYFUNCTION("""COMPUTED_VALUE"""),45866)</f>
        <v>45866</v>
      </c>
      <c r="AA828" s="46">
        <f ca="1">IFERROR(__xludf.DUMMYFUNCTION("""COMPUTED_VALUE"""),45866)</f>
        <v>45866</v>
      </c>
      <c r="AB828" s="45" t="str">
        <f ca="1">IFERROR(__xludf.DUMMYFUNCTION("""COMPUTED_VALUE"""),"3500 Argentia Road")</f>
        <v>3500 Argentia Road</v>
      </c>
      <c r="AC828" s="45"/>
      <c r="AD828" s="45" t="str">
        <f ca="1">IFERROR(__xludf.DUMMYFUNCTION("""COMPUTED_VALUE"""),"OCEAN")</f>
        <v>OCEAN</v>
      </c>
      <c r="AE828" s="45" t="str">
        <f ca="1">IFERROR(__xludf.DUMMYFUNCTION("""COMPUTED_VALUE"""),"N")</f>
        <v>N</v>
      </c>
      <c r="AF828"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28" s="49" t="str">
        <f ca="1">IFERROR(__xludf.DUMMYFUNCTION("IFNA(vlookup(H828,IMPORTRANGE(""1vUGwO1n0QQGx9kKbO0_M5gmuhXZ6-LaxQxgrmJnzgP0"",""'TP# look up'!A:C""),3,0),"""")"),"")</f>
        <v/>
      </c>
      <c r="AH828" s="49" t="str">
        <f t="shared" ca="1" si="12"/>
        <v>LM</v>
      </c>
    </row>
    <row r="829" spans="1:34" ht="12.75">
      <c r="A829" s="45" t="str">
        <f ca="1">IFERROR(__xludf.DUMMYFUNCTION("""COMPUTED_VALUE"""),"Colombo")</f>
        <v>Colombo</v>
      </c>
      <c r="B829" s="45"/>
      <c r="C829" s="45">
        <f ca="1">IFERROR(__xludf.DUMMYFUNCTION("""COMPUTED_VALUE"""),3259528)</f>
        <v>3259528</v>
      </c>
      <c r="D829" s="45"/>
      <c r="E829" s="45" t="str">
        <f ca="1">IFERROR(__xludf.DUMMYFUNCTION("""COMPUTED_VALUE"""),"CFS")</f>
        <v>CFS</v>
      </c>
      <c r="F829" s="45" t="str">
        <f ca="1">IFERROR(__xludf.DUMMYFUNCTION("""COMPUTED_VALUE"""),"Inqube Global (PVT) Ltd")</f>
        <v>Inqube Global (PVT) Ltd</v>
      </c>
      <c r="G829" s="45" t="str">
        <f ca="1">IFERROR(__xludf.DUMMYFUNCTION("""COMPUTED_VALUE"""),"BRANDIX APPAREL SOLUTION LTD - GIRITALE")</f>
        <v>BRANDIX APPAREL SOLUTION LTD - GIRITALE</v>
      </c>
      <c r="H829" s="43">
        <f ca="1">IFERROR(__xludf.DUMMYFUNCTION("""COMPUTED_VALUE"""),455989892498)</f>
        <v>455989892498</v>
      </c>
      <c r="I829" s="45">
        <f ca="1">IFERROR(__xludf.DUMMYFUNCTION("""COMPUTED_VALUE"""),19855744)</f>
        <v>19855744</v>
      </c>
      <c r="J829" s="45" t="str">
        <f ca="1">IFERROR(__xludf.DUMMYFUNCTION("""COMPUTED_VALUE"""),"LM5AXAS")</f>
        <v>LM5AXAS</v>
      </c>
      <c r="K829" s="45" t="str">
        <f ca="1">IFERROR(__xludf.DUMMYFUNCTION("""COMPUTED_VALUE"""),"LM5AXAS-033454")</f>
        <v>LM5AXAS-033454</v>
      </c>
      <c r="L829" s="45">
        <f ca="1">IFERROR(__xludf.DUMMYFUNCTION("""COMPUTED_VALUE"""),3)</f>
        <v>3</v>
      </c>
      <c r="M829" s="45">
        <f ca="1">IFERROR(__xludf.DUMMYFUNCTION("""COMPUTED_VALUE"""),53)</f>
        <v>53</v>
      </c>
      <c r="N829" s="45">
        <f ca="1">IFERROR(__xludf.DUMMYFUNCTION("""COMPUTED_VALUE"""),22.25)</f>
        <v>22.25</v>
      </c>
      <c r="O829" s="45">
        <f ca="1">IFERROR(__xludf.DUMMYFUNCTION("""COMPUTED_VALUE"""),0.168)</f>
        <v>0.16800000000000001</v>
      </c>
      <c r="P829" s="45" t="str">
        <f ca="1">IFERROR(__xludf.DUMMYFUNCTION("""COMPUTED_VALUE"""),"Colombo, LK")</f>
        <v>Colombo, LK</v>
      </c>
      <c r="Q829" s="45" t="str">
        <f ca="1">IFERROR(__xludf.DUMMYFUNCTION("""COMPUTED_VALUE"""),"New York, NY, US")</f>
        <v>New York, NY, US</v>
      </c>
      <c r="R829" s="44">
        <f ca="1">IFERROR(__xludf.DUMMYFUNCTION("""COMPUTED_VALUE"""),45838)</f>
        <v>45838</v>
      </c>
      <c r="S829" s="44">
        <f ca="1">IFERROR(__xludf.DUMMYFUNCTION("""COMPUTED_VALUE"""),45897)</f>
        <v>45897</v>
      </c>
      <c r="T829" s="45" t="str">
        <f ca="1">IFERROR(__xludf.DUMMYFUNCTION("""COMPUTED_VALUE"""),"Mississauga, ON, CA")</f>
        <v>Mississauga, ON, CA</v>
      </c>
      <c r="U829" s="45"/>
      <c r="V829" s="45"/>
      <c r="W829" s="45"/>
      <c r="X829" s="45"/>
      <c r="Y829" s="46">
        <f ca="1">IFERROR(__xludf.DUMMYFUNCTION("""COMPUTED_VALUE"""),45845)</f>
        <v>45845</v>
      </c>
      <c r="Z829" s="46">
        <f ca="1">IFERROR(__xludf.DUMMYFUNCTION("""COMPUTED_VALUE"""),45866)</f>
        <v>45866</v>
      </c>
      <c r="AA829" s="46">
        <f ca="1">IFERROR(__xludf.DUMMYFUNCTION("""COMPUTED_VALUE"""),45866)</f>
        <v>45866</v>
      </c>
      <c r="AB829" s="45" t="str">
        <f ca="1">IFERROR(__xludf.DUMMYFUNCTION("""COMPUTED_VALUE"""),"3500 Argentia Road")</f>
        <v>3500 Argentia Road</v>
      </c>
      <c r="AC829" s="45"/>
      <c r="AD829" s="45" t="str">
        <f ca="1">IFERROR(__xludf.DUMMYFUNCTION("""COMPUTED_VALUE"""),"OCEAN")</f>
        <v>OCEAN</v>
      </c>
      <c r="AE829" s="45" t="str">
        <f ca="1">IFERROR(__xludf.DUMMYFUNCTION("""COMPUTED_VALUE"""),"N")</f>
        <v>N</v>
      </c>
      <c r="AF829" s="45" t="str">
        <f ca="1">IFERROR(__xludf.DUMMYFUNCTION("""COMPUTED_VALUE"""),"New Booking")</f>
        <v>New Booking</v>
      </c>
      <c r="AG829" s="49" t="str">
        <f ca="1">IFERROR(__xludf.DUMMYFUNCTION("IFNA(vlookup(H829,IMPORTRANGE(""1vUGwO1n0QQGx9kKbO0_M5gmuhXZ6-LaxQxgrmJnzgP0"",""'TP# look up'!A:C""),3,0),"""")"),"")</f>
        <v/>
      </c>
      <c r="AH829" s="49" t="str">
        <f t="shared" ca="1" si="12"/>
        <v>LM</v>
      </c>
    </row>
    <row r="830" spans="1:34" ht="12.75">
      <c r="A830" s="45" t="str">
        <f ca="1">IFERROR(__xludf.DUMMYFUNCTION("""COMPUTED_VALUE"""),"Colombo")</f>
        <v>Colombo</v>
      </c>
      <c r="B830" s="45"/>
      <c r="C830" s="45">
        <f ca="1">IFERROR(__xludf.DUMMYFUNCTION("""COMPUTED_VALUE"""),3259528)</f>
        <v>3259528</v>
      </c>
      <c r="D830" s="45"/>
      <c r="E830" s="45" t="str">
        <f ca="1">IFERROR(__xludf.DUMMYFUNCTION("""COMPUTED_VALUE"""),"CFS")</f>
        <v>CFS</v>
      </c>
      <c r="F830" s="45" t="str">
        <f ca="1">IFERROR(__xludf.DUMMYFUNCTION("""COMPUTED_VALUE"""),"Inqube Global (PVT) Ltd")</f>
        <v>Inqube Global (PVT) Ltd</v>
      </c>
      <c r="G830" s="45" t="str">
        <f ca="1">IFERROR(__xludf.DUMMYFUNCTION("""COMPUTED_VALUE"""),"BRANDIX APPAREL SOLUTION LTD - GIRITALE")</f>
        <v>BRANDIX APPAREL SOLUTION LTD - GIRITALE</v>
      </c>
      <c r="H830" s="43">
        <f ca="1">IFERROR(__xludf.DUMMYFUNCTION("""COMPUTED_VALUE"""),455990403431)</f>
        <v>455990403431</v>
      </c>
      <c r="I830" s="45">
        <f ca="1">IFERROR(__xludf.DUMMYFUNCTION("""COMPUTED_VALUE"""),19855743)</f>
        <v>19855743</v>
      </c>
      <c r="J830" s="45" t="str">
        <f ca="1">IFERROR(__xludf.DUMMYFUNCTION("""COMPUTED_VALUE"""),"LM5AXAS")</f>
        <v>LM5AXAS</v>
      </c>
      <c r="K830" s="45" t="str">
        <f ca="1">IFERROR(__xludf.DUMMYFUNCTION("""COMPUTED_VALUE"""),"LM5AXAS-033454")</f>
        <v>LM5AXAS-033454</v>
      </c>
      <c r="L830" s="45">
        <f ca="1">IFERROR(__xludf.DUMMYFUNCTION("""COMPUTED_VALUE"""),4)</f>
        <v>4</v>
      </c>
      <c r="M830" s="45">
        <f ca="1">IFERROR(__xludf.DUMMYFUNCTION("""COMPUTED_VALUE"""),79)</f>
        <v>79</v>
      </c>
      <c r="N830" s="45">
        <f ca="1">IFERROR(__xludf.DUMMYFUNCTION("""COMPUTED_VALUE"""),32.57)</f>
        <v>32.57</v>
      </c>
      <c r="O830" s="45">
        <f ca="1">IFERROR(__xludf.DUMMYFUNCTION("""COMPUTED_VALUE"""),0.21)</f>
        <v>0.21</v>
      </c>
      <c r="P830" s="45" t="str">
        <f ca="1">IFERROR(__xludf.DUMMYFUNCTION("""COMPUTED_VALUE"""),"Colombo, LK")</f>
        <v>Colombo, LK</v>
      </c>
      <c r="Q830" s="45" t="str">
        <f ca="1">IFERROR(__xludf.DUMMYFUNCTION("""COMPUTED_VALUE"""),"New York, NY, US")</f>
        <v>New York, NY, US</v>
      </c>
      <c r="R830" s="44">
        <f ca="1">IFERROR(__xludf.DUMMYFUNCTION("""COMPUTED_VALUE"""),45838)</f>
        <v>45838</v>
      </c>
      <c r="S830" s="44">
        <f ca="1">IFERROR(__xludf.DUMMYFUNCTION("""COMPUTED_VALUE"""),45897)</f>
        <v>45897</v>
      </c>
      <c r="T830" s="45" t="str">
        <f ca="1">IFERROR(__xludf.DUMMYFUNCTION("""COMPUTED_VALUE"""),"Mississauga, ON, CA")</f>
        <v>Mississauga, ON, CA</v>
      </c>
      <c r="U830" s="45"/>
      <c r="V830" s="45"/>
      <c r="W830" s="45"/>
      <c r="X830" s="45"/>
      <c r="Y830" s="46">
        <f ca="1">IFERROR(__xludf.DUMMYFUNCTION("""COMPUTED_VALUE"""),45845)</f>
        <v>45845</v>
      </c>
      <c r="Z830" s="46">
        <f ca="1">IFERROR(__xludf.DUMMYFUNCTION("""COMPUTED_VALUE"""),45866)</f>
        <v>45866</v>
      </c>
      <c r="AA830" s="46">
        <f ca="1">IFERROR(__xludf.DUMMYFUNCTION("""COMPUTED_VALUE"""),45866)</f>
        <v>45866</v>
      </c>
      <c r="AB830" s="45" t="str">
        <f ca="1">IFERROR(__xludf.DUMMYFUNCTION("""COMPUTED_VALUE"""),"3500 Argentia Road")</f>
        <v>3500 Argentia Road</v>
      </c>
      <c r="AC830" s="45"/>
      <c r="AD830" s="45" t="str">
        <f ca="1">IFERROR(__xludf.DUMMYFUNCTION("""COMPUTED_VALUE"""),"OCEAN")</f>
        <v>OCEAN</v>
      </c>
      <c r="AE830" s="45" t="str">
        <f ca="1">IFERROR(__xludf.DUMMYFUNCTION("""COMPUTED_VALUE"""),"N")</f>
        <v>N</v>
      </c>
      <c r="AF830" s="45" t="str">
        <f ca="1">IFERROR(__xludf.DUMMYFUNCTION("""COMPUTED_VALUE"""),"New Booking")</f>
        <v>New Booking</v>
      </c>
      <c r="AG830" s="49" t="str">
        <f ca="1">IFERROR(__xludf.DUMMYFUNCTION("IFNA(vlookup(H830,IMPORTRANGE(""1vUGwO1n0QQGx9kKbO0_M5gmuhXZ6-LaxQxgrmJnzgP0"",""'TP# look up'!A:C""),3,0),"""")"),"")</f>
        <v/>
      </c>
      <c r="AH830" s="49" t="str">
        <f t="shared" ca="1" si="12"/>
        <v>LM</v>
      </c>
    </row>
    <row r="831" spans="1:34" ht="12.75">
      <c r="A831" s="45" t="str">
        <f ca="1">IFERROR(__xludf.DUMMYFUNCTION("""COMPUTED_VALUE"""),"Colombo")</f>
        <v>Colombo</v>
      </c>
      <c r="B831" s="45"/>
      <c r="C831" s="45">
        <f ca="1">IFERROR(__xludf.DUMMYFUNCTION("""COMPUTED_VALUE"""),3259528)</f>
        <v>3259528</v>
      </c>
      <c r="D831" s="45"/>
      <c r="E831" s="45" t="str">
        <f ca="1">IFERROR(__xludf.DUMMYFUNCTION("""COMPUTED_VALUE"""),"CFS")</f>
        <v>CFS</v>
      </c>
      <c r="F831" s="45" t="str">
        <f ca="1">IFERROR(__xludf.DUMMYFUNCTION("""COMPUTED_VALUE"""),"Inqube Global (PVT) Ltd")</f>
        <v>Inqube Global (PVT) Ltd</v>
      </c>
      <c r="G831" s="45" t="str">
        <f ca="1">IFERROR(__xludf.DUMMYFUNCTION("""COMPUTED_VALUE"""),"BRANDIX APPAREL SOLUTION LTD - GIRITALE")</f>
        <v>BRANDIX APPAREL SOLUTION LTD - GIRITALE</v>
      </c>
      <c r="H831" s="43">
        <f ca="1">IFERROR(__xludf.DUMMYFUNCTION("""COMPUTED_VALUE"""),455993024220)</f>
        <v>455993024220</v>
      </c>
      <c r="I831" s="45">
        <f ca="1">IFERROR(__xludf.DUMMYFUNCTION("""COMPUTED_VALUE"""),19856319)</f>
        <v>19856319</v>
      </c>
      <c r="J831" s="45" t="str">
        <f ca="1">IFERROR(__xludf.DUMMYFUNCTION("""COMPUTED_VALUE"""),"LM5AXAS")</f>
        <v>LM5AXAS</v>
      </c>
      <c r="K831" s="45" t="str">
        <f ca="1">IFERROR(__xludf.DUMMYFUNCTION("""COMPUTED_VALUE"""),"LM5AXAS-033454")</f>
        <v>LM5AXAS-033454</v>
      </c>
      <c r="L831" s="45">
        <f ca="1">IFERROR(__xludf.DUMMYFUNCTION("""COMPUTED_VALUE"""),8)</f>
        <v>8</v>
      </c>
      <c r="M831" s="45">
        <f ca="1">IFERROR(__xludf.DUMMYFUNCTION("""COMPUTED_VALUE"""),231)</f>
        <v>231</v>
      </c>
      <c r="N831" s="45">
        <f ca="1">IFERROR(__xludf.DUMMYFUNCTION("""COMPUTED_VALUE"""),93.38)</f>
        <v>93.38</v>
      </c>
      <c r="O831" s="45">
        <f ca="1">IFERROR(__xludf.DUMMYFUNCTION("""COMPUTED_VALUE"""),0.58)</f>
        <v>0.57999999999999996</v>
      </c>
      <c r="P831" s="45" t="str">
        <f ca="1">IFERROR(__xludf.DUMMYFUNCTION("""COMPUTED_VALUE"""),"Colombo, LK")</f>
        <v>Colombo, LK</v>
      </c>
      <c r="Q831" s="45" t="str">
        <f ca="1">IFERROR(__xludf.DUMMYFUNCTION("""COMPUTED_VALUE"""),"New York, NY, US")</f>
        <v>New York, NY, US</v>
      </c>
      <c r="R831" s="44">
        <f ca="1">IFERROR(__xludf.DUMMYFUNCTION("""COMPUTED_VALUE"""),45838)</f>
        <v>45838</v>
      </c>
      <c r="S831" s="44">
        <f ca="1">IFERROR(__xludf.DUMMYFUNCTION("""COMPUTED_VALUE"""),45897)</f>
        <v>45897</v>
      </c>
      <c r="T831" s="45" t="str">
        <f ca="1">IFERROR(__xludf.DUMMYFUNCTION("""COMPUTED_VALUE"""),"Mississauga, ON, CA")</f>
        <v>Mississauga, ON, CA</v>
      </c>
      <c r="U831" s="45"/>
      <c r="V831" s="45"/>
      <c r="W831" s="45"/>
      <c r="X831" s="45"/>
      <c r="Y831" s="46">
        <f ca="1">IFERROR(__xludf.DUMMYFUNCTION("""COMPUTED_VALUE"""),45845)</f>
        <v>45845</v>
      </c>
      <c r="Z831" s="46">
        <f ca="1">IFERROR(__xludf.DUMMYFUNCTION("""COMPUTED_VALUE"""),45866)</f>
        <v>45866</v>
      </c>
      <c r="AA831" s="46">
        <f ca="1">IFERROR(__xludf.DUMMYFUNCTION("""COMPUTED_VALUE"""),45866)</f>
        <v>45866</v>
      </c>
      <c r="AB831" s="45" t="str">
        <f ca="1">IFERROR(__xludf.DUMMYFUNCTION("""COMPUTED_VALUE"""),"3500 Argentia Road")</f>
        <v>3500 Argentia Road</v>
      </c>
      <c r="AC831" s="45"/>
      <c r="AD831" s="45" t="str">
        <f ca="1">IFERROR(__xludf.DUMMYFUNCTION("""COMPUTED_VALUE"""),"OCEAN")</f>
        <v>OCEAN</v>
      </c>
      <c r="AE831" s="45" t="str">
        <f ca="1">IFERROR(__xludf.DUMMYFUNCTION("""COMPUTED_VALUE"""),"N")</f>
        <v>N</v>
      </c>
      <c r="AF831" s="45" t="str">
        <f ca="1">IFERROR(__xludf.DUMMYFUNCTION("""COMPUTED_VALUE"""),"New Booking")</f>
        <v>New Booking</v>
      </c>
      <c r="AG831" s="49" t="str">
        <f ca="1">IFERROR(__xludf.DUMMYFUNCTION("IFNA(vlookup(H831,IMPORTRANGE(""1vUGwO1n0QQGx9kKbO0_M5gmuhXZ6-LaxQxgrmJnzgP0"",""'TP# look up'!A:C""),3,0),"""")"),"")</f>
        <v/>
      </c>
      <c r="AH831" s="49" t="str">
        <f t="shared" ca="1" si="12"/>
        <v>LM</v>
      </c>
    </row>
    <row r="832" spans="1:34" ht="12.75">
      <c r="A832" s="45" t="str">
        <f ca="1">IFERROR(__xludf.DUMMYFUNCTION("""COMPUTED_VALUE"""),"Colombo")</f>
        <v>Colombo</v>
      </c>
      <c r="B832" s="45"/>
      <c r="C832" s="45">
        <f ca="1">IFERROR(__xludf.DUMMYFUNCTION("""COMPUTED_VALUE"""),3259528)</f>
        <v>3259528</v>
      </c>
      <c r="D832" s="45"/>
      <c r="E832" s="45" t="str">
        <f ca="1">IFERROR(__xludf.DUMMYFUNCTION("""COMPUTED_VALUE"""),"CFS")</f>
        <v>CFS</v>
      </c>
      <c r="F832" s="45" t="str">
        <f ca="1">IFERROR(__xludf.DUMMYFUNCTION("""COMPUTED_VALUE"""),"Inqube Global (PVT) Ltd")</f>
        <v>Inqube Global (PVT) Ltd</v>
      </c>
      <c r="G832" s="45" t="str">
        <f ca="1">IFERROR(__xludf.DUMMYFUNCTION("""COMPUTED_VALUE"""),"BRANDIX APPAREL SOLUTION LTD - GIRITALE")</f>
        <v>BRANDIX APPAREL SOLUTION LTD - GIRITALE</v>
      </c>
      <c r="H832" s="43">
        <f ca="1">IFERROR(__xludf.DUMMYFUNCTION("""COMPUTED_VALUE"""),455993811031)</f>
        <v>455993811031</v>
      </c>
      <c r="I832" s="45">
        <f ca="1">IFERROR(__xludf.DUMMYFUNCTION("""COMPUTED_VALUE"""),19856323)</f>
        <v>19856323</v>
      </c>
      <c r="J832" s="45" t="str">
        <f ca="1">IFERROR(__xludf.DUMMYFUNCTION("""COMPUTED_VALUE"""),"LM5AXAS")</f>
        <v>LM5AXAS</v>
      </c>
      <c r="K832" s="45" t="str">
        <f ca="1">IFERROR(__xludf.DUMMYFUNCTION("""COMPUTED_VALUE"""),"LM5AXAS-033454")</f>
        <v>LM5AXAS-033454</v>
      </c>
      <c r="L832" s="45">
        <f ca="1">IFERROR(__xludf.DUMMYFUNCTION("""COMPUTED_VALUE"""),7)</f>
        <v>7</v>
      </c>
      <c r="M832" s="45">
        <f ca="1">IFERROR(__xludf.DUMMYFUNCTION("""COMPUTED_VALUE"""),222)</f>
        <v>222</v>
      </c>
      <c r="N832" s="45">
        <f ca="1">IFERROR(__xludf.DUMMYFUNCTION("""COMPUTED_VALUE"""),88.87)</f>
        <v>88.87</v>
      </c>
      <c r="O832" s="45">
        <f ca="1">IFERROR(__xludf.DUMMYFUNCTION("""COMPUTED_VALUE"""),0.498)</f>
        <v>0.498</v>
      </c>
      <c r="P832" s="45" t="str">
        <f ca="1">IFERROR(__xludf.DUMMYFUNCTION("""COMPUTED_VALUE"""),"Colombo, LK")</f>
        <v>Colombo, LK</v>
      </c>
      <c r="Q832" s="45" t="str">
        <f ca="1">IFERROR(__xludf.DUMMYFUNCTION("""COMPUTED_VALUE"""),"New York, NY, US")</f>
        <v>New York, NY, US</v>
      </c>
      <c r="R832" s="44">
        <f ca="1">IFERROR(__xludf.DUMMYFUNCTION("""COMPUTED_VALUE"""),45838)</f>
        <v>45838</v>
      </c>
      <c r="S832" s="44">
        <f ca="1">IFERROR(__xludf.DUMMYFUNCTION("""COMPUTED_VALUE"""),45897)</f>
        <v>45897</v>
      </c>
      <c r="T832" s="45" t="str">
        <f ca="1">IFERROR(__xludf.DUMMYFUNCTION("""COMPUTED_VALUE"""),"Mississauga, ON, CA")</f>
        <v>Mississauga, ON, CA</v>
      </c>
      <c r="U832" s="45"/>
      <c r="V832" s="45"/>
      <c r="W832" s="45"/>
      <c r="X832" s="45"/>
      <c r="Y832" s="46">
        <f ca="1">IFERROR(__xludf.DUMMYFUNCTION("""COMPUTED_VALUE"""),45845)</f>
        <v>45845</v>
      </c>
      <c r="Z832" s="46">
        <f ca="1">IFERROR(__xludf.DUMMYFUNCTION("""COMPUTED_VALUE"""),45866)</f>
        <v>45866</v>
      </c>
      <c r="AA832" s="46">
        <f ca="1">IFERROR(__xludf.DUMMYFUNCTION("""COMPUTED_VALUE"""),45866)</f>
        <v>45866</v>
      </c>
      <c r="AB832" s="45" t="str">
        <f ca="1">IFERROR(__xludf.DUMMYFUNCTION("""COMPUTED_VALUE"""),"3500 Argentia Road")</f>
        <v>3500 Argentia Road</v>
      </c>
      <c r="AC832" s="45"/>
      <c r="AD832" s="45" t="str">
        <f ca="1">IFERROR(__xludf.DUMMYFUNCTION("""COMPUTED_VALUE"""),"OCEAN")</f>
        <v>OCEAN</v>
      </c>
      <c r="AE832" s="45" t="str">
        <f ca="1">IFERROR(__xludf.DUMMYFUNCTION("""COMPUTED_VALUE"""),"N")</f>
        <v>N</v>
      </c>
      <c r="AF832" s="45" t="str">
        <f ca="1">IFERROR(__xludf.DUMMYFUNCTION("""COMPUTED_VALUE"""),"New Booking")</f>
        <v>New Booking</v>
      </c>
      <c r="AG832" s="49" t="str">
        <f ca="1">IFERROR(__xludf.DUMMYFUNCTION("IFNA(vlookup(H832,IMPORTRANGE(""1vUGwO1n0QQGx9kKbO0_M5gmuhXZ6-LaxQxgrmJnzgP0"",""'TP# look up'!A:C""),3,0),"""")"),"")</f>
        <v/>
      </c>
      <c r="AH832" s="49" t="str">
        <f t="shared" ca="1" si="12"/>
        <v>LM</v>
      </c>
    </row>
    <row r="833" spans="1:34" ht="12.75">
      <c r="A833" s="45" t="str">
        <f ca="1">IFERROR(__xludf.DUMMYFUNCTION("""COMPUTED_VALUE"""),"Colombo")</f>
        <v>Colombo</v>
      </c>
      <c r="B833" s="45"/>
      <c r="C833" s="45">
        <f ca="1">IFERROR(__xludf.DUMMYFUNCTION("""COMPUTED_VALUE"""),3259528)</f>
        <v>3259528</v>
      </c>
      <c r="D833" s="45"/>
      <c r="E833" s="45" t="str">
        <f ca="1">IFERROR(__xludf.DUMMYFUNCTION("""COMPUTED_VALUE"""),"CFS")</f>
        <v>CFS</v>
      </c>
      <c r="F833" s="45" t="str">
        <f ca="1">IFERROR(__xludf.DUMMYFUNCTION("""COMPUTED_VALUE"""),"Inqube Global (PVT) Ltd")</f>
        <v>Inqube Global (PVT) Ltd</v>
      </c>
      <c r="G833" s="45" t="str">
        <f ca="1">IFERROR(__xludf.DUMMYFUNCTION("""COMPUTED_VALUE"""),"BRANDIX APPAREL SOLUTION LTD - GIRITALE")</f>
        <v>BRANDIX APPAREL SOLUTION LTD - GIRITALE</v>
      </c>
      <c r="H833" s="43">
        <f ca="1">IFERROR(__xludf.DUMMYFUNCTION("""COMPUTED_VALUE"""),455996257117)</f>
        <v>455996257117</v>
      </c>
      <c r="I833" s="45">
        <f ca="1">IFERROR(__xludf.DUMMYFUNCTION("""COMPUTED_VALUE"""),19856349)</f>
        <v>19856349</v>
      </c>
      <c r="J833" s="45" t="str">
        <f ca="1">IFERROR(__xludf.DUMMYFUNCTION("""COMPUTED_VALUE"""),"LM5AXAS")</f>
        <v>LM5AXAS</v>
      </c>
      <c r="K833" s="45" t="str">
        <f ca="1">IFERROR(__xludf.DUMMYFUNCTION("""COMPUTED_VALUE"""),"LM5AXAS-038426")</f>
        <v>LM5AXAS-038426</v>
      </c>
      <c r="L833" s="45">
        <f ca="1">IFERROR(__xludf.DUMMYFUNCTION("""COMPUTED_VALUE"""),6)</f>
        <v>6</v>
      </c>
      <c r="M833" s="45">
        <f ca="1">IFERROR(__xludf.DUMMYFUNCTION("""COMPUTED_VALUE"""),160)</f>
        <v>160</v>
      </c>
      <c r="N833" s="45">
        <f ca="1">IFERROR(__xludf.DUMMYFUNCTION("""COMPUTED_VALUE"""),64.9)</f>
        <v>64.900000000000006</v>
      </c>
      <c r="O833" s="45">
        <f ca="1">IFERROR(__xludf.DUMMYFUNCTION("""COMPUTED_VALUE"""),0.415)</f>
        <v>0.41499999999999998</v>
      </c>
      <c r="P833" s="45" t="str">
        <f ca="1">IFERROR(__xludf.DUMMYFUNCTION("""COMPUTED_VALUE"""),"Colombo, LK")</f>
        <v>Colombo, LK</v>
      </c>
      <c r="Q833" s="45" t="str">
        <f ca="1">IFERROR(__xludf.DUMMYFUNCTION("""COMPUTED_VALUE"""),"New York, NY, US")</f>
        <v>New York, NY, US</v>
      </c>
      <c r="R833" s="44">
        <f ca="1">IFERROR(__xludf.DUMMYFUNCTION("""COMPUTED_VALUE"""),45838)</f>
        <v>45838</v>
      </c>
      <c r="S833" s="44">
        <f ca="1">IFERROR(__xludf.DUMMYFUNCTION("""COMPUTED_VALUE"""),45897)</f>
        <v>45897</v>
      </c>
      <c r="T833" s="45" t="str">
        <f ca="1">IFERROR(__xludf.DUMMYFUNCTION("""COMPUTED_VALUE"""),"Mississauga, ON, CA")</f>
        <v>Mississauga, ON, CA</v>
      </c>
      <c r="U833" s="45"/>
      <c r="V833" s="45"/>
      <c r="W833" s="45"/>
      <c r="X833" s="45"/>
      <c r="Y833" s="46">
        <f ca="1">IFERROR(__xludf.DUMMYFUNCTION("""COMPUTED_VALUE"""),45845)</f>
        <v>45845</v>
      </c>
      <c r="Z833" s="46">
        <f ca="1">IFERROR(__xludf.DUMMYFUNCTION("""COMPUTED_VALUE"""),45866)</f>
        <v>45866</v>
      </c>
      <c r="AA833" s="46">
        <f ca="1">IFERROR(__xludf.DUMMYFUNCTION("""COMPUTED_VALUE"""),45866)</f>
        <v>45866</v>
      </c>
      <c r="AB833" s="45" t="str">
        <f ca="1">IFERROR(__xludf.DUMMYFUNCTION("""COMPUTED_VALUE"""),"3500 Argentia Road")</f>
        <v>3500 Argentia Road</v>
      </c>
      <c r="AC833" s="45"/>
      <c r="AD833" s="45" t="str">
        <f ca="1">IFERROR(__xludf.DUMMYFUNCTION("""COMPUTED_VALUE"""),"OCEAN")</f>
        <v>OCEAN</v>
      </c>
      <c r="AE833" s="45" t="str">
        <f ca="1">IFERROR(__xludf.DUMMYFUNCTION("""COMPUTED_VALUE"""),"N")</f>
        <v>N</v>
      </c>
      <c r="AF833" s="45" t="str">
        <f ca="1">IFERROR(__xludf.DUMMYFUNCTION("""COMPUTED_VALUE"""),"New Booking")</f>
        <v>New Booking</v>
      </c>
      <c r="AG833" s="49" t="str">
        <f ca="1">IFERROR(__xludf.DUMMYFUNCTION("IFNA(vlookup(H833,IMPORTRANGE(""1vUGwO1n0QQGx9kKbO0_M5gmuhXZ6-LaxQxgrmJnzgP0"",""'TP# look up'!A:C""),3,0),"""")"),"")</f>
        <v/>
      </c>
      <c r="AH833" s="49" t="str">
        <f t="shared" ca="1" si="12"/>
        <v>LM</v>
      </c>
    </row>
    <row r="834" spans="1:34" ht="12.75">
      <c r="A834" s="45" t="str">
        <f ca="1">IFERROR(__xludf.DUMMYFUNCTION("""COMPUTED_VALUE"""),"Colombo")</f>
        <v>Colombo</v>
      </c>
      <c r="B834" s="45"/>
      <c r="C834" s="45">
        <f ca="1">IFERROR(__xludf.DUMMYFUNCTION("""COMPUTED_VALUE"""),3259528)</f>
        <v>3259528</v>
      </c>
      <c r="D834" s="45"/>
      <c r="E834" s="45" t="str">
        <f ca="1">IFERROR(__xludf.DUMMYFUNCTION("""COMPUTED_VALUE"""),"CFS")</f>
        <v>CFS</v>
      </c>
      <c r="F834" s="45" t="str">
        <f ca="1">IFERROR(__xludf.DUMMYFUNCTION("""COMPUTED_VALUE"""),"Inqube Global (PVT) Ltd")</f>
        <v>Inqube Global (PVT) Ltd</v>
      </c>
      <c r="G834" s="45" t="str">
        <f ca="1">IFERROR(__xludf.DUMMYFUNCTION("""COMPUTED_VALUE"""),"BRANDIX APPAREL SOLUTION LTD - GIRITALE")</f>
        <v>BRANDIX APPAREL SOLUTION LTD - GIRITALE</v>
      </c>
      <c r="H834" s="43">
        <f ca="1">IFERROR(__xludf.DUMMYFUNCTION("""COMPUTED_VALUE"""),455996303630)</f>
        <v>455996303630</v>
      </c>
      <c r="I834" s="45">
        <f ca="1">IFERROR(__xludf.DUMMYFUNCTION("""COMPUTED_VALUE"""),19856353)</f>
        <v>19856353</v>
      </c>
      <c r="J834" s="45" t="str">
        <f ca="1">IFERROR(__xludf.DUMMYFUNCTION("""COMPUTED_VALUE"""),"LM5AXAS")</f>
        <v>LM5AXAS</v>
      </c>
      <c r="K834" s="45" t="str">
        <f ca="1">IFERROR(__xludf.DUMMYFUNCTION("""COMPUTED_VALUE"""),"LM5AXAS-038426")</f>
        <v>LM5AXAS-038426</v>
      </c>
      <c r="L834" s="45">
        <f ca="1">IFERROR(__xludf.DUMMYFUNCTION("""COMPUTED_VALUE"""),6)</f>
        <v>6</v>
      </c>
      <c r="M834" s="45">
        <f ca="1">IFERROR(__xludf.DUMMYFUNCTION("""COMPUTED_VALUE"""),153)</f>
        <v>153</v>
      </c>
      <c r="N834" s="45">
        <f ca="1">IFERROR(__xludf.DUMMYFUNCTION("""COMPUTED_VALUE"""),62.38)</f>
        <v>62.38</v>
      </c>
      <c r="O834" s="45">
        <f ca="1">IFERROR(__xludf.DUMMYFUNCTION("""COMPUTED_VALUE"""),0.415)</f>
        <v>0.41499999999999998</v>
      </c>
      <c r="P834" s="45" t="str">
        <f ca="1">IFERROR(__xludf.DUMMYFUNCTION("""COMPUTED_VALUE"""),"Colombo, LK")</f>
        <v>Colombo, LK</v>
      </c>
      <c r="Q834" s="45" t="str">
        <f ca="1">IFERROR(__xludf.DUMMYFUNCTION("""COMPUTED_VALUE"""),"New York, NY, US")</f>
        <v>New York, NY, US</v>
      </c>
      <c r="R834" s="44">
        <f ca="1">IFERROR(__xludf.DUMMYFUNCTION("""COMPUTED_VALUE"""),45838)</f>
        <v>45838</v>
      </c>
      <c r="S834" s="44">
        <f ca="1">IFERROR(__xludf.DUMMYFUNCTION("""COMPUTED_VALUE"""),45897)</f>
        <v>45897</v>
      </c>
      <c r="T834" s="45" t="str">
        <f ca="1">IFERROR(__xludf.DUMMYFUNCTION("""COMPUTED_VALUE"""),"Mississauga, ON, CA")</f>
        <v>Mississauga, ON, CA</v>
      </c>
      <c r="U834" s="45"/>
      <c r="V834" s="45"/>
      <c r="W834" s="45"/>
      <c r="X834" s="45"/>
      <c r="Y834" s="46">
        <f ca="1">IFERROR(__xludf.DUMMYFUNCTION("""COMPUTED_VALUE"""),45845)</f>
        <v>45845</v>
      </c>
      <c r="Z834" s="46">
        <f ca="1">IFERROR(__xludf.DUMMYFUNCTION("""COMPUTED_VALUE"""),45866)</f>
        <v>45866</v>
      </c>
      <c r="AA834" s="46">
        <f ca="1">IFERROR(__xludf.DUMMYFUNCTION("""COMPUTED_VALUE"""),45866)</f>
        <v>45866</v>
      </c>
      <c r="AB834" s="45" t="str">
        <f ca="1">IFERROR(__xludf.DUMMYFUNCTION("""COMPUTED_VALUE"""),"3500 Argentia Road")</f>
        <v>3500 Argentia Road</v>
      </c>
      <c r="AC834" s="45"/>
      <c r="AD834" s="45" t="str">
        <f ca="1">IFERROR(__xludf.DUMMYFUNCTION("""COMPUTED_VALUE"""),"OCEAN")</f>
        <v>OCEAN</v>
      </c>
      <c r="AE834" s="45" t="str">
        <f ca="1">IFERROR(__xludf.DUMMYFUNCTION("""COMPUTED_VALUE"""),"N")</f>
        <v>N</v>
      </c>
      <c r="AF834" s="45" t="str">
        <f ca="1">IFERROR(__xludf.DUMMYFUNCTION("""COMPUTED_VALUE"""),"New Booking")</f>
        <v>New Booking</v>
      </c>
      <c r="AG834" s="49" t="str">
        <f ca="1">IFERROR(__xludf.DUMMYFUNCTION("IFNA(vlookup(H834,IMPORTRANGE(""1vUGwO1n0QQGx9kKbO0_M5gmuhXZ6-LaxQxgrmJnzgP0"",""'TP# look up'!A:C""),3,0),"""")"),"")</f>
        <v/>
      </c>
      <c r="AH834" s="49" t="str">
        <f t="shared" ref="AH834:AH897" ca="1" si="13">LEFT(J834,2)</f>
        <v>LM</v>
      </c>
    </row>
    <row r="835" spans="1:34" ht="12.75">
      <c r="A835" s="45" t="str">
        <f ca="1">IFERROR(__xludf.DUMMYFUNCTION("""COMPUTED_VALUE"""),"Colombo")</f>
        <v>Colombo</v>
      </c>
      <c r="B835" s="45"/>
      <c r="C835" s="45">
        <f ca="1">IFERROR(__xludf.DUMMYFUNCTION("""COMPUTED_VALUE"""),3259528)</f>
        <v>3259528</v>
      </c>
      <c r="D835" s="45"/>
      <c r="E835" s="45" t="str">
        <f ca="1">IFERROR(__xludf.DUMMYFUNCTION("""COMPUTED_VALUE"""),"CFS")</f>
        <v>CFS</v>
      </c>
      <c r="F835" s="45" t="str">
        <f ca="1">IFERROR(__xludf.DUMMYFUNCTION("""COMPUTED_VALUE"""),"Inqube Global (PVT) Ltd")</f>
        <v>Inqube Global (PVT) Ltd</v>
      </c>
      <c r="G835" s="45" t="str">
        <f ca="1">IFERROR(__xludf.DUMMYFUNCTION("""COMPUTED_VALUE"""),"BRANDIX APPAREL SOLUTION LTD - GIRITALE")</f>
        <v>BRANDIX APPAREL SOLUTION LTD - GIRITALE</v>
      </c>
      <c r="H835" s="43">
        <f ca="1">IFERROR(__xludf.DUMMYFUNCTION("""COMPUTED_VALUE"""),455997830971)</f>
        <v>455997830971</v>
      </c>
      <c r="I835" s="45">
        <f ca="1">IFERROR(__xludf.DUMMYFUNCTION("""COMPUTED_VALUE"""),19856401)</f>
        <v>19856401</v>
      </c>
      <c r="J835" s="45" t="str">
        <f ca="1">IFERROR(__xludf.DUMMYFUNCTION("""COMPUTED_VALUE"""),"LM5AXAS")</f>
        <v>LM5AXAS</v>
      </c>
      <c r="K835" s="45" t="str">
        <f ca="1">IFERROR(__xludf.DUMMYFUNCTION("""COMPUTED_VALUE"""),"LM5AXAS-070108")</f>
        <v>LM5AXAS-070108</v>
      </c>
      <c r="L835" s="45">
        <f ca="1">IFERROR(__xludf.DUMMYFUNCTION("""COMPUTED_VALUE"""),8)</f>
        <v>8</v>
      </c>
      <c r="M835" s="45">
        <f ca="1">IFERROR(__xludf.DUMMYFUNCTION("""COMPUTED_VALUE"""),248)</f>
        <v>248</v>
      </c>
      <c r="N835" s="45">
        <f ca="1">IFERROR(__xludf.DUMMYFUNCTION("""COMPUTED_VALUE"""),99.62)</f>
        <v>99.62</v>
      </c>
      <c r="O835" s="45">
        <f ca="1">IFERROR(__xludf.DUMMYFUNCTION("""COMPUTED_VALUE"""),0.58)</f>
        <v>0.57999999999999996</v>
      </c>
      <c r="P835" s="45" t="str">
        <f ca="1">IFERROR(__xludf.DUMMYFUNCTION("""COMPUTED_VALUE"""),"Colombo, LK")</f>
        <v>Colombo, LK</v>
      </c>
      <c r="Q835" s="45" t="str">
        <f ca="1">IFERROR(__xludf.DUMMYFUNCTION("""COMPUTED_VALUE"""),"New York, NY, US")</f>
        <v>New York, NY, US</v>
      </c>
      <c r="R835" s="44">
        <f ca="1">IFERROR(__xludf.DUMMYFUNCTION("""COMPUTED_VALUE"""),45838)</f>
        <v>45838</v>
      </c>
      <c r="S835" s="44">
        <f ca="1">IFERROR(__xludf.DUMMYFUNCTION("""COMPUTED_VALUE"""),45897)</f>
        <v>45897</v>
      </c>
      <c r="T835" s="45" t="str">
        <f ca="1">IFERROR(__xludf.DUMMYFUNCTION("""COMPUTED_VALUE"""),"Mississauga, ON, CA")</f>
        <v>Mississauga, ON, CA</v>
      </c>
      <c r="U835" s="45"/>
      <c r="V835" s="45"/>
      <c r="W835" s="45"/>
      <c r="X835" s="45"/>
      <c r="Y835" s="46">
        <f ca="1">IFERROR(__xludf.DUMMYFUNCTION("""COMPUTED_VALUE"""),45845)</f>
        <v>45845</v>
      </c>
      <c r="Z835" s="46">
        <f ca="1">IFERROR(__xludf.DUMMYFUNCTION("""COMPUTED_VALUE"""),45866)</f>
        <v>45866</v>
      </c>
      <c r="AA835" s="46">
        <f ca="1">IFERROR(__xludf.DUMMYFUNCTION("""COMPUTED_VALUE"""),45866)</f>
        <v>45866</v>
      </c>
      <c r="AB835" s="45" t="str">
        <f ca="1">IFERROR(__xludf.DUMMYFUNCTION("""COMPUTED_VALUE"""),"3500 Argentia Road")</f>
        <v>3500 Argentia Road</v>
      </c>
      <c r="AC835" s="45"/>
      <c r="AD835" s="45" t="str">
        <f ca="1">IFERROR(__xludf.DUMMYFUNCTION("""COMPUTED_VALUE"""),"OCEAN")</f>
        <v>OCEAN</v>
      </c>
      <c r="AE835" s="45" t="str">
        <f ca="1">IFERROR(__xludf.DUMMYFUNCTION("""COMPUTED_VALUE"""),"N")</f>
        <v>N</v>
      </c>
      <c r="AF835" s="45" t="str">
        <f ca="1">IFERROR(__xludf.DUMMYFUNCTION("""COMPUTED_VALUE"""),"New Booking")</f>
        <v>New Booking</v>
      </c>
      <c r="AG835" s="49" t="str">
        <f ca="1">IFERROR(__xludf.DUMMYFUNCTION("IFNA(vlookup(H835,IMPORTRANGE(""1vUGwO1n0QQGx9kKbO0_M5gmuhXZ6-LaxQxgrmJnzgP0"",""'TP# look up'!A:C""),3,0),"""")"),"")</f>
        <v/>
      </c>
      <c r="AH835" s="49" t="str">
        <f t="shared" ca="1" si="13"/>
        <v>LM</v>
      </c>
    </row>
    <row r="836" spans="1:34" ht="12.75">
      <c r="A836" s="45" t="str">
        <f ca="1">IFERROR(__xludf.DUMMYFUNCTION("""COMPUTED_VALUE"""),"Colombo")</f>
        <v>Colombo</v>
      </c>
      <c r="B836" s="45"/>
      <c r="C836" s="45">
        <f ca="1">IFERROR(__xludf.DUMMYFUNCTION("""COMPUTED_VALUE"""),3259528)</f>
        <v>3259528</v>
      </c>
      <c r="D836" s="45"/>
      <c r="E836" s="45" t="str">
        <f ca="1">IFERROR(__xludf.DUMMYFUNCTION("""COMPUTED_VALUE"""),"CFS")</f>
        <v>CFS</v>
      </c>
      <c r="F836" s="45" t="str">
        <f ca="1">IFERROR(__xludf.DUMMYFUNCTION("""COMPUTED_VALUE"""),"Inqube Global (PVT) Ltd")</f>
        <v>Inqube Global (PVT) Ltd</v>
      </c>
      <c r="G836" s="45" t="str">
        <f ca="1">IFERROR(__xludf.DUMMYFUNCTION("""COMPUTED_VALUE"""),"BRANDIX APPAREL SOLUTION LTD - GIRITALE")</f>
        <v>BRANDIX APPAREL SOLUTION LTD - GIRITALE</v>
      </c>
      <c r="H836" s="43">
        <f ca="1">IFERROR(__xludf.DUMMYFUNCTION("""COMPUTED_VALUE"""),455998781382)</f>
        <v>455998781382</v>
      </c>
      <c r="I836" s="45">
        <f ca="1">IFERROR(__xludf.DUMMYFUNCTION("""COMPUTED_VALUE"""),19856405)</f>
        <v>19856405</v>
      </c>
      <c r="J836" s="45" t="str">
        <f ca="1">IFERROR(__xludf.DUMMYFUNCTION("""COMPUTED_VALUE"""),"LM5AXAS")</f>
        <v>LM5AXAS</v>
      </c>
      <c r="K836" s="45" t="str">
        <f ca="1">IFERROR(__xludf.DUMMYFUNCTION("""COMPUTED_VALUE"""),"LM5AXAS-070108")</f>
        <v>LM5AXAS-070108</v>
      </c>
      <c r="L836" s="45">
        <f ca="1">IFERROR(__xludf.DUMMYFUNCTION("""COMPUTED_VALUE"""),6)</f>
        <v>6</v>
      </c>
      <c r="M836" s="45">
        <f ca="1">IFERROR(__xludf.DUMMYFUNCTION("""COMPUTED_VALUE"""),178)</f>
        <v>178</v>
      </c>
      <c r="N836" s="45">
        <f ca="1">IFERROR(__xludf.DUMMYFUNCTION("""COMPUTED_VALUE"""),71.85)</f>
        <v>71.849999999999994</v>
      </c>
      <c r="O836" s="45">
        <f ca="1">IFERROR(__xludf.DUMMYFUNCTION("""COMPUTED_VALUE"""),0.455)</f>
        <v>0.45500000000000002</v>
      </c>
      <c r="P836" s="45" t="str">
        <f ca="1">IFERROR(__xludf.DUMMYFUNCTION("""COMPUTED_VALUE"""),"Colombo, LK")</f>
        <v>Colombo, LK</v>
      </c>
      <c r="Q836" s="45" t="str">
        <f ca="1">IFERROR(__xludf.DUMMYFUNCTION("""COMPUTED_VALUE"""),"New York, NY, US")</f>
        <v>New York, NY, US</v>
      </c>
      <c r="R836" s="44">
        <f ca="1">IFERROR(__xludf.DUMMYFUNCTION("""COMPUTED_VALUE"""),45838)</f>
        <v>45838</v>
      </c>
      <c r="S836" s="44">
        <f ca="1">IFERROR(__xludf.DUMMYFUNCTION("""COMPUTED_VALUE"""),45897)</f>
        <v>45897</v>
      </c>
      <c r="T836" s="45" t="str">
        <f ca="1">IFERROR(__xludf.DUMMYFUNCTION("""COMPUTED_VALUE"""),"Mississauga, ON, CA")</f>
        <v>Mississauga, ON, CA</v>
      </c>
      <c r="U836" s="45"/>
      <c r="V836" s="45"/>
      <c r="W836" s="45"/>
      <c r="X836" s="45"/>
      <c r="Y836" s="46">
        <f ca="1">IFERROR(__xludf.DUMMYFUNCTION("""COMPUTED_VALUE"""),45845)</f>
        <v>45845</v>
      </c>
      <c r="Z836" s="46">
        <f ca="1">IFERROR(__xludf.DUMMYFUNCTION("""COMPUTED_VALUE"""),45866)</f>
        <v>45866</v>
      </c>
      <c r="AA836" s="46">
        <f ca="1">IFERROR(__xludf.DUMMYFUNCTION("""COMPUTED_VALUE"""),45866)</f>
        <v>45866</v>
      </c>
      <c r="AB836" s="45" t="str">
        <f ca="1">IFERROR(__xludf.DUMMYFUNCTION("""COMPUTED_VALUE"""),"3500 Argentia Road")</f>
        <v>3500 Argentia Road</v>
      </c>
      <c r="AC836" s="45"/>
      <c r="AD836" s="45" t="str">
        <f ca="1">IFERROR(__xludf.DUMMYFUNCTION("""COMPUTED_VALUE"""),"OCEAN")</f>
        <v>OCEAN</v>
      </c>
      <c r="AE836" s="45" t="str">
        <f ca="1">IFERROR(__xludf.DUMMYFUNCTION("""COMPUTED_VALUE"""),"N")</f>
        <v>N</v>
      </c>
      <c r="AF836" s="45" t="str">
        <f ca="1">IFERROR(__xludf.DUMMYFUNCTION("""COMPUTED_VALUE"""),"New Booking")</f>
        <v>New Booking</v>
      </c>
      <c r="AG836" s="49" t="str">
        <f ca="1">IFERROR(__xludf.DUMMYFUNCTION("IFNA(vlookup(H836,IMPORTRANGE(""1vUGwO1n0QQGx9kKbO0_M5gmuhXZ6-LaxQxgrmJnzgP0"",""'TP# look up'!A:C""),3,0),"""")"),"")</f>
        <v/>
      </c>
      <c r="AH836" s="49" t="str">
        <f t="shared" ca="1" si="13"/>
        <v>LM</v>
      </c>
    </row>
    <row r="837" spans="1:34" ht="12.75">
      <c r="A837" s="45" t="str">
        <f ca="1">IFERROR(__xludf.DUMMYFUNCTION("""COMPUTED_VALUE"""),"Colombo")</f>
        <v>Colombo</v>
      </c>
      <c r="B837" s="45"/>
      <c r="C837" s="45">
        <f ca="1">IFERROR(__xludf.DUMMYFUNCTION("""COMPUTED_VALUE"""),3259528)</f>
        <v>3259528</v>
      </c>
      <c r="D837" s="45"/>
      <c r="E837" s="45" t="str">
        <f ca="1">IFERROR(__xludf.DUMMYFUNCTION("""COMPUTED_VALUE"""),"CFS")</f>
        <v>CFS</v>
      </c>
      <c r="F837" s="45" t="str">
        <f ca="1">IFERROR(__xludf.DUMMYFUNCTION("""COMPUTED_VALUE"""),"Inqube Global (PVT) Ltd")</f>
        <v>Inqube Global (PVT) Ltd</v>
      </c>
      <c r="G837" s="45" t="str">
        <f ca="1">IFERROR(__xludf.DUMMYFUNCTION("""COMPUTED_VALUE"""),"BRANDIX APPAREL SOLUTION LTD - GIRITALE")</f>
        <v>BRANDIX APPAREL SOLUTION LTD - GIRITALE</v>
      </c>
      <c r="H837" s="43">
        <f ca="1">IFERROR(__xludf.DUMMYFUNCTION("""COMPUTED_VALUE"""),455998920416)</f>
        <v>455998920416</v>
      </c>
      <c r="I837" s="45">
        <f ca="1">IFERROR(__xludf.DUMMYFUNCTION("""COMPUTED_VALUE"""),19856337)</f>
        <v>19856337</v>
      </c>
      <c r="J837" s="45" t="str">
        <f ca="1">IFERROR(__xludf.DUMMYFUNCTION("""COMPUTED_VALUE"""),"LM5AXAS")</f>
        <v>LM5AXAS</v>
      </c>
      <c r="K837" s="45" t="str">
        <f ca="1">IFERROR(__xludf.DUMMYFUNCTION("""COMPUTED_VALUE"""),"LM5AXAS-071148")</f>
        <v>LM5AXAS-071148</v>
      </c>
      <c r="L837" s="45">
        <f ca="1">IFERROR(__xludf.DUMMYFUNCTION("""COMPUTED_VALUE"""),6)</f>
        <v>6</v>
      </c>
      <c r="M837" s="45">
        <f ca="1">IFERROR(__xludf.DUMMYFUNCTION("""COMPUTED_VALUE"""),183)</f>
        <v>183</v>
      </c>
      <c r="N837" s="45">
        <f ca="1">IFERROR(__xludf.DUMMYFUNCTION("""COMPUTED_VALUE"""),73.65)</f>
        <v>73.650000000000006</v>
      </c>
      <c r="O837" s="45">
        <f ca="1">IFERROR(__xludf.DUMMYFUNCTION("""COMPUTED_VALUE"""),0.455)</f>
        <v>0.45500000000000002</v>
      </c>
      <c r="P837" s="45" t="str">
        <f ca="1">IFERROR(__xludf.DUMMYFUNCTION("""COMPUTED_VALUE"""),"Colombo, LK")</f>
        <v>Colombo, LK</v>
      </c>
      <c r="Q837" s="45" t="str">
        <f ca="1">IFERROR(__xludf.DUMMYFUNCTION("""COMPUTED_VALUE"""),"New York, NY, US")</f>
        <v>New York, NY, US</v>
      </c>
      <c r="R837" s="44">
        <f ca="1">IFERROR(__xludf.DUMMYFUNCTION("""COMPUTED_VALUE"""),45838)</f>
        <v>45838</v>
      </c>
      <c r="S837" s="44">
        <f ca="1">IFERROR(__xludf.DUMMYFUNCTION("""COMPUTED_VALUE"""),45897)</f>
        <v>45897</v>
      </c>
      <c r="T837" s="45" t="str">
        <f ca="1">IFERROR(__xludf.DUMMYFUNCTION("""COMPUTED_VALUE"""),"Mississauga, ON, CA")</f>
        <v>Mississauga, ON, CA</v>
      </c>
      <c r="U837" s="45"/>
      <c r="V837" s="45"/>
      <c r="W837" s="45"/>
      <c r="X837" s="45"/>
      <c r="Y837" s="46">
        <f ca="1">IFERROR(__xludf.DUMMYFUNCTION("""COMPUTED_VALUE"""),45845)</f>
        <v>45845</v>
      </c>
      <c r="Z837" s="46">
        <f ca="1">IFERROR(__xludf.DUMMYFUNCTION("""COMPUTED_VALUE"""),45866)</f>
        <v>45866</v>
      </c>
      <c r="AA837" s="46">
        <f ca="1">IFERROR(__xludf.DUMMYFUNCTION("""COMPUTED_VALUE"""),45866)</f>
        <v>45866</v>
      </c>
      <c r="AB837" s="45" t="str">
        <f ca="1">IFERROR(__xludf.DUMMYFUNCTION("""COMPUTED_VALUE"""),"3500 Argentia Road")</f>
        <v>3500 Argentia Road</v>
      </c>
      <c r="AC837" s="45"/>
      <c r="AD837" s="45" t="str">
        <f ca="1">IFERROR(__xludf.DUMMYFUNCTION("""COMPUTED_VALUE"""),"OCEAN")</f>
        <v>OCEAN</v>
      </c>
      <c r="AE837" s="45" t="str">
        <f ca="1">IFERROR(__xludf.DUMMYFUNCTION("""COMPUTED_VALUE"""),"N")</f>
        <v>N</v>
      </c>
      <c r="AF837" s="45" t="str">
        <f ca="1">IFERROR(__xludf.DUMMYFUNCTION("""COMPUTED_VALUE"""),"New Booking")</f>
        <v>New Booking</v>
      </c>
      <c r="AG837" s="49" t="str">
        <f ca="1">IFERROR(__xludf.DUMMYFUNCTION("IFNA(vlookup(H837,IMPORTRANGE(""1vUGwO1n0QQGx9kKbO0_M5gmuhXZ6-LaxQxgrmJnzgP0"",""'TP# look up'!A:C""),3,0),"""")"),"")</f>
        <v/>
      </c>
      <c r="AH837" s="49" t="str">
        <f t="shared" ca="1" si="13"/>
        <v>LM</v>
      </c>
    </row>
    <row r="838" spans="1:34" ht="12.75">
      <c r="A838" s="45" t="str">
        <f ca="1">IFERROR(__xludf.DUMMYFUNCTION("""COMPUTED_VALUE"""),"Colombo")</f>
        <v>Colombo</v>
      </c>
      <c r="B838" s="45"/>
      <c r="C838" s="45">
        <f ca="1">IFERROR(__xludf.DUMMYFUNCTION("""COMPUTED_VALUE"""),3259528)</f>
        <v>3259528</v>
      </c>
      <c r="D838" s="45"/>
      <c r="E838" s="45" t="str">
        <f ca="1">IFERROR(__xludf.DUMMYFUNCTION("""COMPUTED_VALUE"""),"CFS")</f>
        <v>CFS</v>
      </c>
      <c r="F838" s="45" t="str">
        <f ca="1">IFERROR(__xludf.DUMMYFUNCTION("""COMPUTED_VALUE"""),"Inqube Global (PVT) Ltd")</f>
        <v>Inqube Global (PVT) Ltd</v>
      </c>
      <c r="G838" s="45" t="str">
        <f ca="1">IFERROR(__xludf.DUMMYFUNCTION("""COMPUTED_VALUE"""),"BRANDIX APPAREL SOLUTION LTD - GIRITALE")</f>
        <v>BRANDIX APPAREL SOLUTION LTD - GIRITALE</v>
      </c>
      <c r="H838" s="43">
        <f ca="1">IFERROR(__xludf.DUMMYFUNCTION("""COMPUTED_VALUE"""),455999509851)</f>
        <v>455999509851</v>
      </c>
      <c r="I838" s="45">
        <f ca="1">IFERROR(__xludf.DUMMYFUNCTION("""COMPUTED_VALUE"""),19856341)</f>
        <v>19856341</v>
      </c>
      <c r="J838" s="45" t="str">
        <f ca="1">IFERROR(__xludf.DUMMYFUNCTION("""COMPUTED_VALUE"""),"LM5AXAS")</f>
        <v>LM5AXAS</v>
      </c>
      <c r="K838" s="45" t="str">
        <f ca="1">IFERROR(__xludf.DUMMYFUNCTION("""COMPUTED_VALUE"""),"LM5AXAS-071148")</f>
        <v>LM5AXAS-071148</v>
      </c>
      <c r="L838" s="45">
        <f ca="1">IFERROR(__xludf.DUMMYFUNCTION("""COMPUTED_VALUE"""),5)</f>
        <v>5</v>
      </c>
      <c r="M838" s="45">
        <f ca="1">IFERROR(__xludf.DUMMYFUNCTION("""COMPUTED_VALUE"""),130)</f>
        <v>130</v>
      </c>
      <c r="N838" s="45">
        <f ca="1">IFERROR(__xludf.DUMMYFUNCTION("""COMPUTED_VALUE"""),53.02)</f>
        <v>53.02</v>
      </c>
      <c r="O838" s="45">
        <f ca="1">IFERROR(__xludf.DUMMYFUNCTION("""COMPUTED_VALUE"""),0.373)</f>
        <v>0.373</v>
      </c>
      <c r="P838" s="45" t="str">
        <f ca="1">IFERROR(__xludf.DUMMYFUNCTION("""COMPUTED_VALUE"""),"Colombo, LK")</f>
        <v>Colombo, LK</v>
      </c>
      <c r="Q838" s="45" t="str">
        <f ca="1">IFERROR(__xludf.DUMMYFUNCTION("""COMPUTED_VALUE"""),"New York, NY, US")</f>
        <v>New York, NY, US</v>
      </c>
      <c r="R838" s="44">
        <f ca="1">IFERROR(__xludf.DUMMYFUNCTION("""COMPUTED_VALUE"""),45838)</f>
        <v>45838</v>
      </c>
      <c r="S838" s="44">
        <f ca="1">IFERROR(__xludf.DUMMYFUNCTION("""COMPUTED_VALUE"""),45897)</f>
        <v>45897</v>
      </c>
      <c r="T838" s="45" t="str">
        <f ca="1">IFERROR(__xludf.DUMMYFUNCTION("""COMPUTED_VALUE"""),"Mississauga, ON, CA")</f>
        <v>Mississauga, ON, CA</v>
      </c>
      <c r="U838" s="45"/>
      <c r="V838" s="45"/>
      <c r="W838" s="45"/>
      <c r="X838" s="45"/>
      <c r="Y838" s="46">
        <f ca="1">IFERROR(__xludf.DUMMYFUNCTION("""COMPUTED_VALUE"""),45845)</f>
        <v>45845</v>
      </c>
      <c r="Z838" s="46">
        <f ca="1">IFERROR(__xludf.DUMMYFUNCTION("""COMPUTED_VALUE"""),45866)</f>
        <v>45866</v>
      </c>
      <c r="AA838" s="46">
        <f ca="1">IFERROR(__xludf.DUMMYFUNCTION("""COMPUTED_VALUE"""),45866)</f>
        <v>45866</v>
      </c>
      <c r="AB838" s="45" t="str">
        <f ca="1">IFERROR(__xludf.DUMMYFUNCTION("""COMPUTED_VALUE"""),"3500 Argentia Road")</f>
        <v>3500 Argentia Road</v>
      </c>
      <c r="AC838" s="45"/>
      <c r="AD838" s="45" t="str">
        <f ca="1">IFERROR(__xludf.DUMMYFUNCTION("""COMPUTED_VALUE"""),"OCEAN")</f>
        <v>OCEAN</v>
      </c>
      <c r="AE838" s="45" t="str">
        <f ca="1">IFERROR(__xludf.DUMMYFUNCTION("""COMPUTED_VALUE"""),"N")</f>
        <v>N</v>
      </c>
      <c r="AF838" s="45" t="str">
        <f ca="1">IFERROR(__xludf.DUMMYFUNCTION("""COMPUTED_VALUE"""),"New Booking")</f>
        <v>New Booking</v>
      </c>
      <c r="AG838" s="49" t="str">
        <f ca="1">IFERROR(__xludf.DUMMYFUNCTION("IFNA(vlookup(H838,IMPORTRANGE(""1vUGwO1n0QQGx9kKbO0_M5gmuhXZ6-LaxQxgrmJnzgP0"",""'TP# look up'!A:C""),3,0),"""")"),"")</f>
        <v/>
      </c>
      <c r="AH838" s="49" t="str">
        <f t="shared" ca="1" si="13"/>
        <v>LM</v>
      </c>
    </row>
    <row r="839" spans="1:34" ht="12.75">
      <c r="A839" s="45" t="str">
        <f ca="1">IFERROR(__xludf.DUMMYFUNCTION("""COMPUTED_VALUE"""),"Colombo")</f>
        <v>Colombo</v>
      </c>
      <c r="B839" s="45"/>
      <c r="C839" s="45">
        <f ca="1">IFERROR(__xludf.DUMMYFUNCTION("""COMPUTED_VALUE"""),3259528)</f>
        <v>3259528</v>
      </c>
      <c r="D839" s="45"/>
      <c r="E839" s="45" t="str">
        <f ca="1">IFERROR(__xludf.DUMMYFUNCTION("""COMPUTED_VALUE"""),"CFS")</f>
        <v>CFS</v>
      </c>
      <c r="F839" s="45" t="str">
        <f ca="1">IFERROR(__xludf.DUMMYFUNCTION("""COMPUTED_VALUE"""),"Inqube Global (PVT) Ltd")</f>
        <v>Inqube Global (PVT) Ltd</v>
      </c>
      <c r="G839" s="45" t="str">
        <f ca="1">IFERROR(__xludf.DUMMYFUNCTION("""COMPUTED_VALUE"""),"BRANDIX APPAREL SOLUTION LTD - GIRITALE")</f>
        <v>BRANDIX APPAREL SOLUTION LTD - GIRITALE</v>
      </c>
      <c r="H839" s="43">
        <f ca="1">IFERROR(__xludf.DUMMYFUNCTION("""COMPUTED_VALUE"""),456040828830)</f>
        <v>456040828830</v>
      </c>
      <c r="I839" s="45">
        <f ca="1">IFERROR(__xludf.DUMMYFUNCTION("""COMPUTED_VALUE"""),19855738)</f>
        <v>19855738</v>
      </c>
      <c r="J839" s="45" t="str">
        <f ca="1">IFERROR(__xludf.DUMMYFUNCTION("""COMPUTED_VALUE"""),"LM5AXAS")</f>
        <v>LM5AXAS</v>
      </c>
      <c r="K839" s="45" t="str">
        <f ca="1">IFERROR(__xludf.DUMMYFUNCTION("""COMPUTED_VALUE"""),"LM5AXAS-0001")</f>
        <v>LM5AXAS-0001</v>
      </c>
      <c r="L839" s="45">
        <f ca="1">IFERROR(__xludf.DUMMYFUNCTION("""COMPUTED_VALUE"""),1)</f>
        <v>1</v>
      </c>
      <c r="M839" s="45">
        <f ca="1">IFERROR(__xludf.DUMMYFUNCTION("""COMPUTED_VALUE"""),29)</f>
        <v>29</v>
      </c>
      <c r="N839" s="45">
        <f ca="1">IFERROR(__xludf.DUMMYFUNCTION("""COMPUTED_VALUE"""),14.21)</f>
        <v>14.21</v>
      </c>
      <c r="O839" s="45">
        <f ca="1">IFERROR(__xludf.DUMMYFUNCTION("""COMPUTED_VALUE"""),0.083)</f>
        <v>8.3000000000000004E-2</v>
      </c>
      <c r="P839" s="45" t="str">
        <f ca="1">IFERROR(__xludf.DUMMYFUNCTION("""COMPUTED_VALUE"""),"Colombo, LK")</f>
        <v>Colombo, LK</v>
      </c>
      <c r="Q839" s="45" t="str">
        <f ca="1">IFERROR(__xludf.DUMMYFUNCTION("""COMPUTED_VALUE"""),"New York, NY, US")</f>
        <v>New York, NY, US</v>
      </c>
      <c r="R839" s="44">
        <f ca="1">IFERROR(__xludf.DUMMYFUNCTION("""COMPUTED_VALUE"""),45838)</f>
        <v>45838</v>
      </c>
      <c r="S839" s="44">
        <f ca="1">IFERROR(__xludf.DUMMYFUNCTION("""COMPUTED_VALUE"""),45897)</f>
        <v>45897</v>
      </c>
      <c r="T839" s="45" t="str">
        <f ca="1">IFERROR(__xludf.DUMMYFUNCTION("""COMPUTED_VALUE"""),"Milton, ON, CA")</f>
        <v>Milton, ON, CA</v>
      </c>
      <c r="U839" s="45"/>
      <c r="V839" s="45"/>
      <c r="W839" s="45"/>
      <c r="X839" s="45"/>
      <c r="Y839" s="46">
        <f ca="1">IFERROR(__xludf.DUMMYFUNCTION("""COMPUTED_VALUE"""),45845)</f>
        <v>45845</v>
      </c>
      <c r="Z839" s="46">
        <f ca="1">IFERROR(__xludf.DUMMYFUNCTION("""COMPUTED_VALUE"""),45866)</f>
        <v>45866</v>
      </c>
      <c r="AA839" s="46">
        <f ca="1">IFERROR(__xludf.DUMMYFUNCTION("""COMPUTED_VALUE"""),45866)</f>
        <v>45866</v>
      </c>
      <c r="AB839" s="45" t="str">
        <f ca="1">IFERROR(__xludf.DUMMYFUNCTION("""COMPUTED_VALUE"""),"7211 Fifth Line")</f>
        <v>7211 Fifth Line</v>
      </c>
      <c r="AC839" s="45"/>
      <c r="AD839" s="45" t="str">
        <f ca="1">IFERROR(__xludf.DUMMYFUNCTION("""COMPUTED_VALUE"""),"OCEAN")</f>
        <v>OCEAN</v>
      </c>
      <c r="AE839" s="45" t="str">
        <f ca="1">IFERROR(__xludf.DUMMYFUNCTION("""COMPUTED_VALUE"""),"N")</f>
        <v>N</v>
      </c>
      <c r="AF839" s="45" t="str">
        <f ca="1">IFERROR(__xludf.DUMMYFUNCTION("""COMPUTED_VALUE"""),"New Booking")</f>
        <v>New Booking</v>
      </c>
      <c r="AG839" s="49" t="str">
        <f ca="1">IFERROR(__xludf.DUMMYFUNCTION("IFNA(vlookup(H839,IMPORTRANGE(""1vUGwO1n0QQGx9kKbO0_M5gmuhXZ6-LaxQxgrmJnzgP0"",""'TP# look up'!A:C""),3,0),"""")"),"")</f>
        <v/>
      </c>
      <c r="AH839" s="49" t="str">
        <f t="shared" ca="1" si="13"/>
        <v>LM</v>
      </c>
    </row>
    <row r="840" spans="1:34" ht="12.75">
      <c r="A840" s="45" t="str">
        <f ca="1">IFERROR(__xludf.DUMMYFUNCTION("""COMPUTED_VALUE"""),"Colombo")</f>
        <v>Colombo</v>
      </c>
      <c r="B840" s="45"/>
      <c r="C840" s="45">
        <f ca="1">IFERROR(__xludf.DUMMYFUNCTION("""COMPUTED_VALUE"""),3259528)</f>
        <v>3259528</v>
      </c>
      <c r="D840" s="45"/>
      <c r="E840" s="45" t="str">
        <f ca="1">IFERROR(__xludf.DUMMYFUNCTION("""COMPUTED_VALUE"""),"CFS")</f>
        <v>CFS</v>
      </c>
      <c r="F840" s="45" t="str">
        <f ca="1">IFERROR(__xludf.DUMMYFUNCTION("""COMPUTED_VALUE"""),"Inqube Global (PVT) Ltd")</f>
        <v>Inqube Global (PVT) Ltd</v>
      </c>
      <c r="G840" s="45" t="str">
        <f ca="1">IFERROR(__xludf.DUMMYFUNCTION("""COMPUTED_VALUE"""),"BRANDIX APPAREL SOLUTION LTD - GIRITALE")</f>
        <v>BRANDIX APPAREL SOLUTION LTD - GIRITALE</v>
      </c>
      <c r="H840" s="43">
        <f ca="1">IFERROR(__xludf.DUMMYFUNCTION("""COMPUTED_VALUE"""),456046897130)</f>
        <v>456046897130</v>
      </c>
      <c r="I840" s="45">
        <f ca="1">IFERROR(__xludf.DUMMYFUNCTION("""COMPUTED_VALUE"""),19855763)</f>
        <v>19855763</v>
      </c>
      <c r="J840" s="45" t="str">
        <f ca="1">IFERROR(__xludf.DUMMYFUNCTION("""COMPUTED_VALUE"""),"LM5AXAS")</f>
        <v>LM5AXAS</v>
      </c>
      <c r="K840" s="45" t="str">
        <f ca="1">IFERROR(__xludf.DUMMYFUNCTION("""COMPUTED_VALUE"""),"LM5AXAS-019222")</f>
        <v>LM5AXAS-019222</v>
      </c>
      <c r="L840" s="45">
        <f ca="1">IFERROR(__xludf.DUMMYFUNCTION("""COMPUTED_VALUE"""),1)</f>
        <v>1</v>
      </c>
      <c r="M840" s="45">
        <f ca="1">IFERROR(__xludf.DUMMYFUNCTION("""COMPUTED_VALUE"""),35)</f>
        <v>35</v>
      </c>
      <c r="N840" s="45">
        <f ca="1">IFERROR(__xludf.DUMMYFUNCTION("""COMPUTED_VALUE"""),16.19)</f>
        <v>16.190000000000001</v>
      </c>
      <c r="O840" s="45">
        <f ca="1">IFERROR(__xludf.DUMMYFUNCTION("""COMPUTED_VALUE"""),0.083)</f>
        <v>8.3000000000000004E-2</v>
      </c>
      <c r="P840" s="45" t="str">
        <f ca="1">IFERROR(__xludf.DUMMYFUNCTION("""COMPUTED_VALUE"""),"Colombo, LK")</f>
        <v>Colombo, LK</v>
      </c>
      <c r="Q840" s="45" t="str">
        <f ca="1">IFERROR(__xludf.DUMMYFUNCTION("""COMPUTED_VALUE"""),"New York, NY, US")</f>
        <v>New York, NY, US</v>
      </c>
      <c r="R840" s="44">
        <f ca="1">IFERROR(__xludf.DUMMYFUNCTION("""COMPUTED_VALUE"""),45838)</f>
        <v>45838</v>
      </c>
      <c r="S840" s="44">
        <f ca="1">IFERROR(__xludf.DUMMYFUNCTION("""COMPUTED_VALUE"""),45897)</f>
        <v>45897</v>
      </c>
      <c r="T840" s="45" t="str">
        <f ca="1">IFERROR(__xludf.DUMMYFUNCTION("""COMPUTED_VALUE"""),"Milton, ON, CA")</f>
        <v>Milton, ON, CA</v>
      </c>
      <c r="U840" s="45"/>
      <c r="V840" s="45"/>
      <c r="W840" s="45"/>
      <c r="X840" s="45"/>
      <c r="Y840" s="46">
        <f ca="1">IFERROR(__xludf.DUMMYFUNCTION("""COMPUTED_VALUE"""),45845)</f>
        <v>45845</v>
      </c>
      <c r="Z840" s="46">
        <f ca="1">IFERROR(__xludf.DUMMYFUNCTION("""COMPUTED_VALUE"""),45866)</f>
        <v>45866</v>
      </c>
      <c r="AA840" s="46">
        <f ca="1">IFERROR(__xludf.DUMMYFUNCTION("""COMPUTED_VALUE"""),45866)</f>
        <v>45866</v>
      </c>
      <c r="AB840" s="45" t="str">
        <f ca="1">IFERROR(__xludf.DUMMYFUNCTION("""COMPUTED_VALUE"""),"7211 Fifth Line")</f>
        <v>7211 Fifth Line</v>
      </c>
      <c r="AC840" s="45"/>
      <c r="AD840" s="45" t="str">
        <f ca="1">IFERROR(__xludf.DUMMYFUNCTION("""COMPUTED_VALUE"""),"OCEAN")</f>
        <v>OCEAN</v>
      </c>
      <c r="AE840" s="45" t="str">
        <f ca="1">IFERROR(__xludf.DUMMYFUNCTION("""COMPUTED_VALUE"""),"N")</f>
        <v>N</v>
      </c>
      <c r="AF840" s="45" t="str">
        <f ca="1">IFERROR(__xludf.DUMMYFUNCTION("""COMPUTED_VALUE"""),"New Booking")</f>
        <v>New Booking</v>
      </c>
      <c r="AG840" s="49" t="str">
        <f ca="1">IFERROR(__xludf.DUMMYFUNCTION("IFNA(vlookup(H840,IMPORTRANGE(""1vUGwO1n0QQGx9kKbO0_M5gmuhXZ6-LaxQxgrmJnzgP0"",""'TP# look up'!A:C""),3,0),"""")"),"")</f>
        <v/>
      </c>
      <c r="AH840" s="49" t="str">
        <f t="shared" ca="1" si="13"/>
        <v>LM</v>
      </c>
    </row>
    <row r="841" spans="1:34" ht="12.75">
      <c r="A841" s="45" t="str">
        <f ca="1">IFERROR(__xludf.DUMMYFUNCTION("""COMPUTED_VALUE"""),"Colombo")</f>
        <v>Colombo</v>
      </c>
      <c r="B841" s="45"/>
      <c r="C841" s="45">
        <f ca="1">IFERROR(__xludf.DUMMYFUNCTION("""COMPUTED_VALUE"""),3259528)</f>
        <v>3259528</v>
      </c>
      <c r="D841" s="45"/>
      <c r="E841" s="45" t="str">
        <f ca="1">IFERROR(__xludf.DUMMYFUNCTION("""COMPUTED_VALUE"""),"CFS")</f>
        <v>CFS</v>
      </c>
      <c r="F841" s="45" t="str">
        <f ca="1">IFERROR(__xludf.DUMMYFUNCTION("""COMPUTED_VALUE"""),"Inqube Global (PVT) Ltd")</f>
        <v>Inqube Global (PVT) Ltd</v>
      </c>
      <c r="G841" s="45" t="str">
        <f ca="1">IFERROR(__xludf.DUMMYFUNCTION("""COMPUTED_VALUE"""),"BRANDIX APPAREL SOLUTION LTD - GIRITALE")</f>
        <v>BRANDIX APPAREL SOLUTION LTD - GIRITALE</v>
      </c>
      <c r="H841" s="43">
        <f ca="1">IFERROR(__xludf.DUMMYFUNCTION("""COMPUTED_VALUE"""),456048354140)</f>
        <v>456048354140</v>
      </c>
      <c r="I841" s="45">
        <f ca="1">IFERROR(__xludf.DUMMYFUNCTION("""COMPUTED_VALUE"""),19855767)</f>
        <v>19855767</v>
      </c>
      <c r="J841" s="45" t="str">
        <f ca="1">IFERROR(__xludf.DUMMYFUNCTION("""COMPUTED_VALUE"""),"LM5AXAS")</f>
        <v>LM5AXAS</v>
      </c>
      <c r="K841" s="45" t="str">
        <f ca="1">IFERROR(__xludf.DUMMYFUNCTION("""COMPUTED_VALUE"""),"LM5AXAS-019222")</f>
        <v>LM5AXAS-019222</v>
      </c>
      <c r="L841" s="45">
        <f ca="1">IFERROR(__xludf.DUMMYFUNCTION("""COMPUTED_VALUE"""),4)</f>
        <v>4</v>
      </c>
      <c r="M841" s="45">
        <f ca="1">IFERROR(__xludf.DUMMYFUNCTION("""COMPUTED_VALUE"""),83)</f>
        <v>83</v>
      </c>
      <c r="N841" s="45">
        <f ca="1">IFERROR(__xludf.DUMMYFUNCTION("""COMPUTED_VALUE"""),39.53)</f>
        <v>39.53</v>
      </c>
      <c r="O841" s="45">
        <f ca="1">IFERROR(__xludf.DUMMYFUNCTION("""COMPUTED_VALUE"""),0.21)</f>
        <v>0.21</v>
      </c>
      <c r="P841" s="45" t="str">
        <f ca="1">IFERROR(__xludf.DUMMYFUNCTION("""COMPUTED_VALUE"""),"Colombo, LK")</f>
        <v>Colombo, LK</v>
      </c>
      <c r="Q841" s="45" t="str">
        <f ca="1">IFERROR(__xludf.DUMMYFUNCTION("""COMPUTED_VALUE"""),"New York, NY, US")</f>
        <v>New York, NY, US</v>
      </c>
      <c r="R841" s="44">
        <f ca="1">IFERROR(__xludf.DUMMYFUNCTION("""COMPUTED_VALUE"""),45838)</f>
        <v>45838</v>
      </c>
      <c r="S841" s="44">
        <f ca="1">IFERROR(__xludf.DUMMYFUNCTION("""COMPUTED_VALUE"""),45897)</f>
        <v>45897</v>
      </c>
      <c r="T841" s="45" t="str">
        <f ca="1">IFERROR(__xludf.DUMMYFUNCTION("""COMPUTED_VALUE"""),"Mississauga, ON, CA")</f>
        <v>Mississauga, ON, CA</v>
      </c>
      <c r="U841" s="45"/>
      <c r="V841" s="45"/>
      <c r="W841" s="45"/>
      <c r="X841" s="45"/>
      <c r="Y841" s="46">
        <f ca="1">IFERROR(__xludf.DUMMYFUNCTION("""COMPUTED_VALUE"""),45845)</f>
        <v>45845</v>
      </c>
      <c r="Z841" s="46">
        <f ca="1">IFERROR(__xludf.DUMMYFUNCTION("""COMPUTED_VALUE"""),45866)</f>
        <v>45866</v>
      </c>
      <c r="AA841" s="46">
        <f ca="1">IFERROR(__xludf.DUMMYFUNCTION("""COMPUTED_VALUE"""),45866)</f>
        <v>45866</v>
      </c>
      <c r="AB841" s="45" t="str">
        <f ca="1">IFERROR(__xludf.DUMMYFUNCTION("""COMPUTED_VALUE"""),"3500 Argentia Road")</f>
        <v>3500 Argentia Road</v>
      </c>
      <c r="AC841" s="45"/>
      <c r="AD841" s="45" t="str">
        <f ca="1">IFERROR(__xludf.DUMMYFUNCTION("""COMPUTED_VALUE"""),"OCEAN")</f>
        <v>OCEAN</v>
      </c>
      <c r="AE841" s="45" t="str">
        <f ca="1">IFERROR(__xludf.DUMMYFUNCTION("""COMPUTED_VALUE"""),"N")</f>
        <v>N</v>
      </c>
      <c r="AF841" s="45" t="str">
        <f ca="1">IFERROR(__xludf.DUMMYFUNCTION("""COMPUTED_VALUE"""),"New Booking")</f>
        <v>New Booking</v>
      </c>
      <c r="AG841" s="49" t="str">
        <f ca="1">IFERROR(__xludf.DUMMYFUNCTION("IFNA(vlookup(H841,IMPORTRANGE(""1vUGwO1n0QQGx9kKbO0_M5gmuhXZ6-LaxQxgrmJnzgP0"",""'TP# look up'!A:C""),3,0),"""")"),"")</f>
        <v/>
      </c>
      <c r="AH841" s="49" t="str">
        <f t="shared" ca="1" si="13"/>
        <v>LM</v>
      </c>
    </row>
    <row r="842" spans="1:34" ht="12.75">
      <c r="A842" s="45" t="str">
        <f ca="1">IFERROR(__xludf.DUMMYFUNCTION("""COMPUTED_VALUE"""),"Colombo")</f>
        <v>Colombo</v>
      </c>
      <c r="B842" s="45"/>
      <c r="C842" s="45">
        <f ca="1">IFERROR(__xludf.DUMMYFUNCTION("""COMPUTED_VALUE"""),3259528)</f>
        <v>3259528</v>
      </c>
      <c r="D842" s="45"/>
      <c r="E842" s="45" t="str">
        <f ca="1">IFERROR(__xludf.DUMMYFUNCTION("""COMPUTED_VALUE"""),"CFS")</f>
        <v>CFS</v>
      </c>
      <c r="F842" s="45" t="str">
        <f ca="1">IFERROR(__xludf.DUMMYFUNCTION("""COMPUTED_VALUE"""),"Inqube Global (PVT) Ltd")</f>
        <v>Inqube Global (PVT) Ltd</v>
      </c>
      <c r="G842" s="45" t="str">
        <f ca="1">IFERROR(__xludf.DUMMYFUNCTION("""COMPUTED_VALUE"""),"BRANDIX APPAREL SOLUTION LTD - GIRITALE")</f>
        <v>BRANDIX APPAREL SOLUTION LTD - GIRITALE</v>
      </c>
      <c r="H842" s="43">
        <f ca="1">IFERROR(__xludf.DUMMYFUNCTION("""COMPUTED_VALUE"""),456048799756)</f>
        <v>456048799756</v>
      </c>
      <c r="I842" s="45">
        <f ca="1">IFERROR(__xludf.DUMMYFUNCTION("""COMPUTED_VALUE"""),19855768)</f>
        <v>19855768</v>
      </c>
      <c r="J842" s="45" t="str">
        <f ca="1">IFERROR(__xludf.DUMMYFUNCTION("""COMPUTED_VALUE"""),"LM5AXAS")</f>
        <v>LM5AXAS</v>
      </c>
      <c r="K842" s="45" t="str">
        <f ca="1">IFERROR(__xludf.DUMMYFUNCTION("""COMPUTED_VALUE"""),"LM5AXAS-019222")</f>
        <v>LM5AXAS-019222</v>
      </c>
      <c r="L842" s="45">
        <f ca="1">IFERROR(__xludf.DUMMYFUNCTION("""COMPUTED_VALUE"""),3)</f>
        <v>3</v>
      </c>
      <c r="M842" s="45">
        <f ca="1">IFERROR(__xludf.DUMMYFUNCTION("""COMPUTED_VALUE"""),60)</f>
        <v>60</v>
      </c>
      <c r="N842" s="45">
        <f ca="1">IFERROR(__xludf.DUMMYFUNCTION("""COMPUTED_VALUE"""),28.77)</f>
        <v>28.77</v>
      </c>
      <c r="O842" s="45">
        <f ca="1">IFERROR(__xludf.DUMMYFUNCTION("""COMPUTED_VALUE"""),0.168)</f>
        <v>0.16800000000000001</v>
      </c>
      <c r="P842" s="45" t="str">
        <f ca="1">IFERROR(__xludf.DUMMYFUNCTION("""COMPUTED_VALUE"""),"Colombo, LK")</f>
        <v>Colombo, LK</v>
      </c>
      <c r="Q842" s="45" t="str">
        <f ca="1">IFERROR(__xludf.DUMMYFUNCTION("""COMPUTED_VALUE"""),"New York, NY, US")</f>
        <v>New York, NY, US</v>
      </c>
      <c r="R842" s="44">
        <f ca="1">IFERROR(__xludf.DUMMYFUNCTION("""COMPUTED_VALUE"""),45838)</f>
        <v>45838</v>
      </c>
      <c r="S842" s="44">
        <f ca="1">IFERROR(__xludf.DUMMYFUNCTION("""COMPUTED_VALUE"""),45897)</f>
        <v>45897</v>
      </c>
      <c r="T842" s="45" t="str">
        <f ca="1">IFERROR(__xludf.DUMMYFUNCTION("""COMPUTED_VALUE"""),"Mississauga, ON, CA")</f>
        <v>Mississauga, ON, CA</v>
      </c>
      <c r="U842" s="45"/>
      <c r="V842" s="45"/>
      <c r="W842" s="45"/>
      <c r="X842" s="45"/>
      <c r="Y842" s="46">
        <f ca="1">IFERROR(__xludf.DUMMYFUNCTION("""COMPUTED_VALUE"""),45845)</f>
        <v>45845</v>
      </c>
      <c r="Z842" s="46">
        <f ca="1">IFERROR(__xludf.DUMMYFUNCTION("""COMPUTED_VALUE"""),45866)</f>
        <v>45866</v>
      </c>
      <c r="AA842" s="46">
        <f ca="1">IFERROR(__xludf.DUMMYFUNCTION("""COMPUTED_VALUE"""),45866)</f>
        <v>45866</v>
      </c>
      <c r="AB842" s="45" t="str">
        <f ca="1">IFERROR(__xludf.DUMMYFUNCTION("""COMPUTED_VALUE"""),"3500 Argentia Road")</f>
        <v>3500 Argentia Road</v>
      </c>
      <c r="AC842" s="45"/>
      <c r="AD842" s="45" t="str">
        <f ca="1">IFERROR(__xludf.DUMMYFUNCTION("""COMPUTED_VALUE"""),"OCEAN")</f>
        <v>OCEAN</v>
      </c>
      <c r="AE842" s="45" t="str">
        <f ca="1">IFERROR(__xludf.DUMMYFUNCTION("""COMPUTED_VALUE"""),"N")</f>
        <v>N</v>
      </c>
      <c r="AF842" s="45" t="str">
        <f ca="1">IFERROR(__xludf.DUMMYFUNCTION("""COMPUTED_VALUE"""),"New Booking")</f>
        <v>New Booking</v>
      </c>
      <c r="AG842" s="49" t="str">
        <f ca="1">IFERROR(__xludf.DUMMYFUNCTION("IFNA(vlookup(H842,IMPORTRANGE(""1vUGwO1n0QQGx9kKbO0_M5gmuhXZ6-LaxQxgrmJnzgP0"",""'TP# look up'!A:C""),3,0),"""")"),"")</f>
        <v/>
      </c>
      <c r="AH842" s="49" t="str">
        <f t="shared" ca="1" si="13"/>
        <v>LM</v>
      </c>
    </row>
    <row r="843" spans="1:34" ht="12.75">
      <c r="A843" s="45" t="str">
        <f ca="1">IFERROR(__xludf.DUMMYFUNCTION("""COMPUTED_VALUE"""),"Colombo")</f>
        <v>Colombo</v>
      </c>
      <c r="B843" s="45"/>
      <c r="C843" s="45">
        <f ca="1">IFERROR(__xludf.DUMMYFUNCTION("""COMPUTED_VALUE"""),3259528)</f>
        <v>3259528</v>
      </c>
      <c r="D843" s="45"/>
      <c r="E843" s="45" t="str">
        <f ca="1">IFERROR(__xludf.DUMMYFUNCTION("""COMPUTED_VALUE"""),"CFS")</f>
        <v>CFS</v>
      </c>
      <c r="F843" s="45" t="str">
        <f ca="1">IFERROR(__xludf.DUMMYFUNCTION("""COMPUTED_VALUE"""),"Inqube Global (PVT) Ltd")</f>
        <v>Inqube Global (PVT) Ltd</v>
      </c>
      <c r="G843" s="45" t="str">
        <f ca="1">IFERROR(__xludf.DUMMYFUNCTION("""COMPUTED_VALUE"""),"BRANDIX APPAREL SOLUTION LTD - GIRITALE")</f>
        <v>BRANDIX APPAREL SOLUTION LTD - GIRITALE</v>
      </c>
      <c r="H843" s="43">
        <f ca="1">IFERROR(__xludf.DUMMYFUNCTION("""COMPUTED_VALUE"""),456054214019)</f>
        <v>456054214019</v>
      </c>
      <c r="I843" s="45">
        <f ca="1">IFERROR(__xludf.DUMMYFUNCTION("""COMPUTED_VALUE"""),19855755)</f>
        <v>19855755</v>
      </c>
      <c r="J843" s="45" t="str">
        <f ca="1">IFERROR(__xludf.DUMMYFUNCTION("""COMPUTED_VALUE"""),"LM5AXAS")</f>
        <v>LM5AXAS</v>
      </c>
      <c r="K843" s="45" t="str">
        <f ca="1">IFERROR(__xludf.DUMMYFUNCTION("""COMPUTED_VALUE"""),"LM5AXAS-038426")</f>
        <v>LM5AXAS-038426</v>
      </c>
      <c r="L843" s="45">
        <f ca="1">IFERROR(__xludf.DUMMYFUNCTION("""COMPUTED_VALUE"""),4)</f>
        <v>4</v>
      </c>
      <c r="M843" s="45">
        <f ca="1">IFERROR(__xludf.DUMMYFUNCTION("""COMPUTED_VALUE"""),64)</f>
        <v>64</v>
      </c>
      <c r="N843" s="45">
        <f ca="1">IFERROR(__xludf.DUMMYFUNCTION("""COMPUTED_VALUE"""),31.27)</f>
        <v>31.27</v>
      </c>
      <c r="O843" s="45">
        <f ca="1">IFERROR(__xludf.DUMMYFUNCTION("""COMPUTED_VALUE"""),0.21)</f>
        <v>0.21</v>
      </c>
      <c r="P843" s="45" t="str">
        <f ca="1">IFERROR(__xludf.DUMMYFUNCTION("""COMPUTED_VALUE"""),"Colombo, LK")</f>
        <v>Colombo, LK</v>
      </c>
      <c r="Q843" s="45" t="str">
        <f ca="1">IFERROR(__xludf.DUMMYFUNCTION("""COMPUTED_VALUE"""),"New York, NY, US")</f>
        <v>New York, NY, US</v>
      </c>
      <c r="R843" s="44">
        <f ca="1">IFERROR(__xludf.DUMMYFUNCTION("""COMPUTED_VALUE"""),45838)</f>
        <v>45838</v>
      </c>
      <c r="S843" s="44">
        <f ca="1">IFERROR(__xludf.DUMMYFUNCTION("""COMPUTED_VALUE"""),45897)</f>
        <v>45897</v>
      </c>
      <c r="T843" s="45" t="str">
        <f ca="1">IFERROR(__xludf.DUMMYFUNCTION("""COMPUTED_VALUE"""),"Mississauga, ON, CA")</f>
        <v>Mississauga, ON, CA</v>
      </c>
      <c r="U843" s="45"/>
      <c r="V843" s="45"/>
      <c r="W843" s="45"/>
      <c r="X843" s="45"/>
      <c r="Y843" s="46">
        <f ca="1">IFERROR(__xludf.DUMMYFUNCTION("""COMPUTED_VALUE"""),45845)</f>
        <v>45845</v>
      </c>
      <c r="Z843" s="46">
        <f ca="1">IFERROR(__xludf.DUMMYFUNCTION("""COMPUTED_VALUE"""),45866)</f>
        <v>45866</v>
      </c>
      <c r="AA843" s="46">
        <f ca="1">IFERROR(__xludf.DUMMYFUNCTION("""COMPUTED_VALUE"""),45866)</f>
        <v>45866</v>
      </c>
      <c r="AB843" s="45" t="str">
        <f ca="1">IFERROR(__xludf.DUMMYFUNCTION("""COMPUTED_VALUE"""),"3500 Argentia Road")</f>
        <v>3500 Argentia Road</v>
      </c>
      <c r="AC843" s="45"/>
      <c r="AD843" s="45" t="str">
        <f ca="1">IFERROR(__xludf.DUMMYFUNCTION("""COMPUTED_VALUE"""),"OCEAN")</f>
        <v>OCEAN</v>
      </c>
      <c r="AE843" s="45" t="str">
        <f ca="1">IFERROR(__xludf.DUMMYFUNCTION("""COMPUTED_VALUE"""),"N")</f>
        <v>N</v>
      </c>
      <c r="AF843" s="45" t="str">
        <f ca="1">IFERROR(__xludf.DUMMYFUNCTION("""COMPUTED_VALUE"""),"New Booking")</f>
        <v>New Booking</v>
      </c>
      <c r="AG843" s="49" t="str">
        <f ca="1">IFERROR(__xludf.DUMMYFUNCTION("IFNA(vlookup(H843,IMPORTRANGE(""1vUGwO1n0QQGx9kKbO0_M5gmuhXZ6-LaxQxgrmJnzgP0"",""'TP# look up'!A:C""),3,0),"""")"),"")</f>
        <v/>
      </c>
      <c r="AH843" s="49" t="str">
        <f t="shared" ca="1" si="13"/>
        <v>LM</v>
      </c>
    </row>
    <row r="844" spans="1:34" ht="12.75">
      <c r="A844" s="45" t="str">
        <f ca="1">IFERROR(__xludf.DUMMYFUNCTION("""COMPUTED_VALUE"""),"Colombo")</f>
        <v>Colombo</v>
      </c>
      <c r="B844" s="45"/>
      <c r="C844" s="45">
        <f ca="1">IFERROR(__xludf.DUMMYFUNCTION("""COMPUTED_VALUE"""),3259528)</f>
        <v>3259528</v>
      </c>
      <c r="D844" s="45"/>
      <c r="E844" s="45" t="str">
        <f ca="1">IFERROR(__xludf.DUMMYFUNCTION("""COMPUTED_VALUE"""),"CFS")</f>
        <v>CFS</v>
      </c>
      <c r="F844" s="45" t="str">
        <f ca="1">IFERROR(__xludf.DUMMYFUNCTION("""COMPUTED_VALUE"""),"Inqube Global (PVT) Ltd")</f>
        <v>Inqube Global (PVT) Ltd</v>
      </c>
      <c r="G844" s="45" t="str">
        <f ca="1">IFERROR(__xludf.DUMMYFUNCTION("""COMPUTED_VALUE"""),"BRANDIX APPAREL SOLUTION LTD - GIRITALE")</f>
        <v>BRANDIX APPAREL SOLUTION LTD - GIRITALE</v>
      </c>
      <c r="H844" s="43">
        <f ca="1">IFERROR(__xludf.DUMMYFUNCTION("""COMPUTED_VALUE"""),456054891295)</f>
        <v>456054891295</v>
      </c>
      <c r="I844" s="45">
        <f ca="1">IFERROR(__xludf.DUMMYFUNCTION("""COMPUTED_VALUE"""),19855756)</f>
        <v>19855756</v>
      </c>
      <c r="J844" s="45" t="str">
        <f ca="1">IFERROR(__xludf.DUMMYFUNCTION("""COMPUTED_VALUE"""),"LM5AXAS")</f>
        <v>LM5AXAS</v>
      </c>
      <c r="K844" s="45" t="str">
        <f ca="1">IFERROR(__xludf.DUMMYFUNCTION("""COMPUTED_VALUE"""),"LM5AXAS-038426")</f>
        <v>LM5AXAS-038426</v>
      </c>
      <c r="L844" s="45">
        <f ca="1">IFERROR(__xludf.DUMMYFUNCTION("""COMPUTED_VALUE"""),1)</f>
        <v>1</v>
      </c>
      <c r="M844" s="45">
        <f ca="1">IFERROR(__xludf.DUMMYFUNCTION("""COMPUTED_VALUE"""),36)</f>
        <v>36</v>
      </c>
      <c r="N844" s="45">
        <f ca="1">IFERROR(__xludf.DUMMYFUNCTION("""COMPUTED_VALUE"""),16.67)</f>
        <v>16.670000000000002</v>
      </c>
      <c r="O844" s="45">
        <f ca="1">IFERROR(__xludf.DUMMYFUNCTION("""COMPUTED_VALUE"""),0.083)</f>
        <v>8.3000000000000004E-2</v>
      </c>
      <c r="P844" s="45" t="str">
        <f ca="1">IFERROR(__xludf.DUMMYFUNCTION("""COMPUTED_VALUE"""),"Colombo, LK")</f>
        <v>Colombo, LK</v>
      </c>
      <c r="Q844" s="45" t="str">
        <f ca="1">IFERROR(__xludf.DUMMYFUNCTION("""COMPUTED_VALUE"""),"New York, NY, US")</f>
        <v>New York, NY, US</v>
      </c>
      <c r="R844" s="44">
        <f ca="1">IFERROR(__xludf.DUMMYFUNCTION("""COMPUTED_VALUE"""),45838)</f>
        <v>45838</v>
      </c>
      <c r="S844" s="44">
        <f ca="1">IFERROR(__xludf.DUMMYFUNCTION("""COMPUTED_VALUE"""),45897)</f>
        <v>45897</v>
      </c>
      <c r="T844" s="45" t="str">
        <f ca="1">IFERROR(__xludf.DUMMYFUNCTION("""COMPUTED_VALUE"""),"Mississauga, ON, CA")</f>
        <v>Mississauga, ON, CA</v>
      </c>
      <c r="U844" s="45"/>
      <c r="V844" s="45"/>
      <c r="W844" s="45"/>
      <c r="X844" s="45"/>
      <c r="Y844" s="46">
        <f ca="1">IFERROR(__xludf.DUMMYFUNCTION("""COMPUTED_VALUE"""),45845)</f>
        <v>45845</v>
      </c>
      <c r="Z844" s="46">
        <f ca="1">IFERROR(__xludf.DUMMYFUNCTION("""COMPUTED_VALUE"""),45866)</f>
        <v>45866</v>
      </c>
      <c r="AA844" s="46">
        <f ca="1">IFERROR(__xludf.DUMMYFUNCTION("""COMPUTED_VALUE"""),45866)</f>
        <v>45866</v>
      </c>
      <c r="AB844" s="45" t="str">
        <f ca="1">IFERROR(__xludf.DUMMYFUNCTION("""COMPUTED_VALUE"""),"3500 Argentia Road")</f>
        <v>3500 Argentia Road</v>
      </c>
      <c r="AC844" s="45"/>
      <c r="AD844" s="45" t="str">
        <f ca="1">IFERROR(__xludf.DUMMYFUNCTION("""COMPUTED_VALUE"""),"OCEAN")</f>
        <v>OCEAN</v>
      </c>
      <c r="AE844" s="45" t="str">
        <f ca="1">IFERROR(__xludf.DUMMYFUNCTION("""COMPUTED_VALUE"""),"N")</f>
        <v>N</v>
      </c>
      <c r="AF844" s="45" t="str">
        <f ca="1">IFERROR(__xludf.DUMMYFUNCTION("""COMPUTED_VALUE"""),"New Booking")</f>
        <v>New Booking</v>
      </c>
      <c r="AG844" s="49" t="str">
        <f ca="1">IFERROR(__xludf.DUMMYFUNCTION("IFNA(vlookup(H844,IMPORTRANGE(""1vUGwO1n0QQGx9kKbO0_M5gmuhXZ6-LaxQxgrmJnzgP0"",""'TP# look up'!A:C""),3,0),"""")"),"")</f>
        <v/>
      </c>
      <c r="AH844" s="49" t="str">
        <f t="shared" ca="1" si="13"/>
        <v>LM</v>
      </c>
    </row>
    <row r="845" spans="1:34" ht="12.75">
      <c r="A845" s="45" t="str">
        <f ca="1">IFERROR(__xludf.DUMMYFUNCTION("""COMPUTED_VALUE"""),"Colombo")</f>
        <v>Colombo</v>
      </c>
      <c r="B845" s="45"/>
      <c r="C845" s="45">
        <f ca="1">IFERROR(__xludf.DUMMYFUNCTION("""COMPUTED_VALUE"""),3259528)</f>
        <v>3259528</v>
      </c>
      <c r="D845" s="45"/>
      <c r="E845" s="45" t="str">
        <f ca="1">IFERROR(__xludf.DUMMYFUNCTION("""COMPUTED_VALUE"""),"CFS")</f>
        <v>CFS</v>
      </c>
      <c r="F845" s="45" t="str">
        <f ca="1">IFERROR(__xludf.DUMMYFUNCTION("""COMPUTED_VALUE"""),"Inqube Global (PVT) Ltd")</f>
        <v>Inqube Global (PVT) Ltd</v>
      </c>
      <c r="G845" s="45" t="str">
        <f ca="1">IFERROR(__xludf.DUMMYFUNCTION("""COMPUTED_VALUE"""),"BRANDIX APPAREL SOLUTION LTD - GIRITALE")</f>
        <v>BRANDIX APPAREL SOLUTION LTD - GIRITALE</v>
      </c>
      <c r="H845" s="43">
        <f ca="1">IFERROR(__xludf.DUMMYFUNCTION("""COMPUTED_VALUE"""),456058247314)</f>
        <v>456058247314</v>
      </c>
      <c r="I845" s="45">
        <f ca="1">IFERROR(__xludf.DUMMYFUNCTION("""COMPUTED_VALUE"""),19855773)</f>
        <v>19855773</v>
      </c>
      <c r="J845" s="45" t="str">
        <f ca="1">IFERROR(__xludf.DUMMYFUNCTION("""COMPUTED_VALUE"""),"LM5AXAS")</f>
        <v>LM5AXAS</v>
      </c>
      <c r="K845" s="45" t="str">
        <f ca="1">IFERROR(__xludf.DUMMYFUNCTION("""COMPUTED_VALUE"""),"LM5AXAS-070108")</f>
        <v>LM5AXAS-070108</v>
      </c>
      <c r="L845" s="45">
        <f ca="1">IFERROR(__xludf.DUMMYFUNCTION("""COMPUTED_VALUE"""),1)</f>
        <v>1</v>
      </c>
      <c r="M845" s="45">
        <f ca="1">IFERROR(__xludf.DUMMYFUNCTION("""COMPUTED_VALUE"""),30)</f>
        <v>30</v>
      </c>
      <c r="N845" s="45">
        <f ca="1">IFERROR(__xludf.DUMMYFUNCTION("""COMPUTED_VALUE"""),14.01)</f>
        <v>14.01</v>
      </c>
      <c r="O845" s="45">
        <f ca="1">IFERROR(__xludf.DUMMYFUNCTION("""COMPUTED_VALUE"""),0.083)</f>
        <v>8.3000000000000004E-2</v>
      </c>
      <c r="P845" s="45" t="str">
        <f ca="1">IFERROR(__xludf.DUMMYFUNCTION("""COMPUTED_VALUE"""),"Colombo, LK")</f>
        <v>Colombo, LK</v>
      </c>
      <c r="Q845" s="45" t="str">
        <f ca="1">IFERROR(__xludf.DUMMYFUNCTION("""COMPUTED_VALUE"""),"New York, NY, US")</f>
        <v>New York, NY, US</v>
      </c>
      <c r="R845" s="44">
        <f ca="1">IFERROR(__xludf.DUMMYFUNCTION("""COMPUTED_VALUE"""),45838)</f>
        <v>45838</v>
      </c>
      <c r="S845" s="44">
        <f ca="1">IFERROR(__xludf.DUMMYFUNCTION("""COMPUTED_VALUE"""),45897)</f>
        <v>45897</v>
      </c>
      <c r="T845" s="45" t="str">
        <f ca="1">IFERROR(__xludf.DUMMYFUNCTION("""COMPUTED_VALUE"""),"Milton, ON, CA")</f>
        <v>Milton, ON, CA</v>
      </c>
      <c r="U845" s="45"/>
      <c r="V845" s="45"/>
      <c r="W845" s="45"/>
      <c r="X845" s="45"/>
      <c r="Y845" s="46">
        <f ca="1">IFERROR(__xludf.DUMMYFUNCTION("""COMPUTED_VALUE"""),45845)</f>
        <v>45845</v>
      </c>
      <c r="Z845" s="46">
        <f ca="1">IFERROR(__xludf.DUMMYFUNCTION("""COMPUTED_VALUE"""),45866)</f>
        <v>45866</v>
      </c>
      <c r="AA845" s="46">
        <f ca="1">IFERROR(__xludf.DUMMYFUNCTION("""COMPUTED_VALUE"""),45866)</f>
        <v>45866</v>
      </c>
      <c r="AB845" s="45" t="str">
        <f ca="1">IFERROR(__xludf.DUMMYFUNCTION("""COMPUTED_VALUE"""),"7211 Fifth Line")</f>
        <v>7211 Fifth Line</v>
      </c>
      <c r="AC845" s="45"/>
      <c r="AD845" s="45" t="str">
        <f ca="1">IFERROR(__xludf.DUMMYFUNCTION("""COMPUTED_VALUE"""),"OCEAN")</f>
        <v>OCEAN</v>
      </c>
      <c r="AE845" s="45" t="str">
        <f ca="1">IFERROR(__xludf.DUMMYFUNCTION("""COMPUTED_VALUE"""),"N")</f>
        <v>N</v>
      </c>
      <c r="AF845" s="45" t="str">
        <f ca="1">IFERROR(__xludf.DUMMYFUNCTION("""COMPUTED_VALUE"""),"New Booking")</f>
        <v>New Booking</v>
      </c>
      <c r="AG845" s="49" t="str">
        <f ca="1">IFERROR(__xludf.DUMMYFUNCTION("IFNA(vlookup(H845,IMPORTRANGE(""1vUGwO1n0QQGx9kKbO0_M5gmuhXZ6-LaxQxgrmJnzgP0"",""'TP# look up'!A:C""),3,0),"""")"),"")</f>
        <v/>
      </c>
      <c r="AH845" s="49" t="str">
        <f t="shared" ca="1" si="13"/>
        <v>LM</v>
      </c>
    </row>
    <row r="846" spans="1:34" ht="12.75">
      <c r="A846" s="45" t="str">
        <f ca="1">IFERROR(__xludf.DUMMYFUNCTION("""COMPUTED_VALUE"""),"Colombo")</f>
        <v>Colombo</v>
      </c>
      <c r="B846" s="45"/>
      <c r="C846" s="45">
        <f ca="1">IFERROR(__xludf.DUMMYFUNCTION("""COMPUTED_VALUE"""),3259528)</f>
        <v>3259528</v>
      </c>
      <c r="D846" s="45"/>
      <c r="E846" s="45" t="str">
        <f ca="1">IFERROR(__xludf.DUMMYFUNCTION("""COMPUTED_VALUE"""),"CFS")</f>
        <v>CFS</v>
      </c>
      <c r="F846" s="45" t="str">
        <f ca="1">IFERROR(__xludf.DUMMYFUNCTION("""COMPUTED_VALUE"""),"Inqube Global (PVT) Ltd")</f>
        <v>Inqube Global (PVT) Ltd</v>
      </c>
      <c r="G846" s="45" t="str">
        <f ca="1">IFERROR(__xludf.DUMMYFUNCTION("""COMPUTED_VALUE"""),"BRANDIX APPAREL SOLUTION LTD - GIRITALE")</f>
        <v>BRANDIX APPAREL SOLUTION LTD - GIRITALE</v>
      </c>
      <c r="H846" s="43">
        <f ca="1">IFERROR(__xludf.DUMMYFUNCTION("""COMPUTED_VALUE"""),456059263781)</f>
        <v>456059263781</v>
      </c>
      <c r="I846" s="45">
        <f ca="1">IFERROR(__xludf.DUMMYFUNCTION("""COMPUTED_VALUE"""),19855777)</f>
        <v>19855777</v>
      </c>
      <c r="J846" s="45" t="str">
        <f ca="1">IFERROR(__xludf.DUMMYFUNCTION("""COMPUTED_VALUE"""),"LM5AXAS")</f>
        <v>LM5AXAS</v>
      </c>
      <c r="K846" s="45" t="str">
        <f ca="1">IFERROR(__xludf.DUMMYFUNCTION("""COMPUTED_VALUE"""),"LM5AXAS-070108")</f>
        <v>LM5AXAS-070108</v>
      </c>
      <c r="L846" s="45">
        <f ca="1">IFERROR(__xludf.DUMMYFUNCTION("""COMPUTED_VALUE"""),5)</f>
        <v>5</v>
      </c>
      <c r="M846" s="45">
        <f ca="1">IFERROR(__xludf.DUMMYFUNCTION("""COMPUTED_VALUE"""),95)</f>
        <v>95</v>
      </c>
      <c r="N846" s="45">
        <f ca="1">IFERROR(__xludf.DUMMYFUNCTION("""COMPUTED_VALUE"""),45.63)</f>
        <v>45.63</v>
      </c>
      <c r="O846" s="45">
        <f ca="1">IFERROR(__xludf.DUMMYFUNCTION("""COMPUTED_VALUE"""),0.253)</f>
        <v>0.253</v>
      </c>
      <c r="P846" s="45" t="str">
        <f ca="1">IFERROR(__xludf.DUMMYFUNCTION("""COMPUTED_VALUE"""),"Colombo, LK")</f>
        <v>Colombo, LK</v>
      </c>
      <c r="Q846" s="45" t="str">
        <f ca="1">IFERROR(__xludf.DUMMYFUNCTION("""COMPUTED_VALUE"""),"New York, NY, US")</f>
        <v>New York, NY, US</v>
      </c>
      <c r="R846" s="44">
        <f ca="1">IFERROR(__xludf.DUMMYFUNCTION("""COMPUTED_VALUE"""),45838)</f>
        <v>45838</v>
      </c>
      <c r="S846" s="44">
        <f ca="1">IFERROR(__xludf.DUMMYFUNCTION("""COMPUTED_VALUE"""),45897)</f>
        <v>45897</v>
      </c>
      <c r="T846" s="45" t="str">
        <f ca="1">IFERROR(__xludf.DUMMYFUNCTION("""COMPUTED_VALUE"""),"Mississauga, ON, CA")</f>
        <v>Mississauga, ON, CA</v>
      </c>
      <c r="U846" s="45"/>
      <c r="V846" s="45"/>
      <c r="W846" s="45"/>
      <c r="X846" s="45"/>
      <c r="Y846" s="46">
        <f ca="1">IFERROR(__xludf.DUMMYFUNCTION("""COMPUTED_VALUE"""),45845)</f>
        <v>45845</v>
      </c>
      <c r="Z846" s="46">
        <f ca="1">IFERROR(__xludf.DUMMYFUNCTION("""COMPUTED_VALUE"""),45866)</f>
        <v>45866</v>
      </c>
      <c r="AA846" s="46">
        <f ca="1">IFERROR(__xludf.DUMMYFUNCTION("""COMPUTED_VALUE"""),45866)</f>
        <v>45866</v>
      </c>
      <c r="AB846" s="45" t="str">
        <f ca="1">IFERROR(__xludf.DUMMYFUNCTION("""COMPUTED_VALUE"""),"3500 Argentia Road")</f>
        <v>3500 Argentia Road</v>
      </c>
      <c r="AC846" s="45"/>
      <c r="AD846" s="45" t="str">
        <f ca="1">IFERROR(__xludf.DUMMYFUNCTION("""COMPUTED_VALUE"""),"OCEAN")</f>
        <v>OCEAN</v>
      </c>
      <c r="AE846" s="45" t="str">
        <f ca="1">IFERROR(__xludf.DUMMYFUNCTION("""COMPUTED_VALUE"""),"N")</f>
        <v>N</v>
      </c>
      <c r="AF846" s="45" t="str">
        <f ca="1">IFERROR(__xludf.DUMMYFUNCTION("""COMPUTED_VALUE"""),"New Booking")</f>
        <v>New Booking</v>
      </c>
      <c r="AG846" s="49" t="str">
        <f ca="1">IFERROR(__xludf.DUMMYFUNCTION("IFNA(vlookup(H846,IMPORTRANGE(""1vUGwO1n0QQGx9kKbO0_M5gmuhXZ6-LaxQxgrmJnzgP0"",""'TP# look up'!A:C""),3,0),"""")"),"")</f>
        <v/>
      </c>
      <c r="AH846" s="49" t="str">
        <f t="shared" ca="1" si="13"/>
        <v>LM</v>
      </c>
    </row>
    <row r="847" spans="1:34" ht="12.75">
      <c r="A847" s="45" t="str">
        <f ca="1">IFERROR(__xludf.DUMMYFUNCTION("""COMPUTED_VALUE"""),"Colombo")</f>
        <v>Colombo</v>
      </c>
      <c r="B847" s="45"/>
      <c r="C847" s="45">
        <f ca="1">IFERROR(__xludf.DUMMYFUNCTION("""COMPUTED_VALUE"""),3259528)</f>
        <v>3259528</v>
      </c>
      <c r="D847" s="45"/>
      <c r="E847" s="45" t="str">
        <f ca="1">IFERROR(__xludf.DUMMYFUNCTION("""COMPUTED_VALUE"""),"CFS")</f>
        <v>CFS</v>
      </c>
      <c r="F847" s="45" t="str">
        <f ca="1">IFERROR(__xludf.DUMMYFUNCTION("""COMPUTED_VALUE"""),"Inqube Global (PVT) Ltd")</f>
        <v>Inqube Global (PVT) Ltd</v>
      </c>
      <c r="G847" s="45" t="str">
        <f ca="1">IFERROR(__xludf.DUMMYFUNCTION("""COMPUTED_VALUE"""),"BRANDIX APPAREL SOLUTION LTD - GIRITALE")</f>
        <v>BRANDIX APPAREL SOLUTION LTD - GIRITALE</v>
      </c>
      <c r="H847" s="43">
        <f ca="1">IFERROR(__xludf.DUMMYFUNCTION("""COMPUTED_VALUE"""),456059818078)</f>
        <v>456059818078</v>
      </c>
      <c r="I847" s="45">
        <f ca="1">IFERROR(__xludf.DUMMYFUNCTION("""COMPUTED_VALUE"""),19855778)</f>
        <v>19855778</v>
      </c>
      <c r="J847" s="45" t="str">
        <f ca="1">IFERROR(__xludf.DUMMYFUNCTION("""COMPUTED_VALUE"""),"LM5AXAS")</f>
        <v>LM5AXAS</v>
      </c>
      <c r="K847" s="45" t="str">
        <f ca="1">IFERROR(__xludf.DUMMYFUNCTION("""COMPUTED_VALUE"""),"LM5AXAS-070108")</f>
        <v>LM5AXAS-070108</v>
      </c>
      <c r="L847" s="45">
        <f ca="1">IFERROR(__xludf.DUMMYFUNCTION("""COMPUTED_VALUE"""),2)</f>
        <v>2</v>
      </c>
      <c r="M847" s="45">
        <f ca="1">IFERROR(__xludf.DUMMYFUNCTION("""COMPUTED_VALUE"""),40)</f>
        <v>40</v>
      </c>
      <c r="N847" s="45">
        <f ca="1">IFERROR(__xludf.DUMMYFUNCTION("""COMPUTED_VALUE"""),19.23)</f>
        <v>19.23</v>
      </c>
      <c r="O847" s="45">
        <f ca="1">IFERROR(__xludf.DUMMYFUNCTION("""COMPUTED_VALUE"""),0.125)</f>
        <v>0.125</v>
      </c>
      <c r="P847" s="45" t="str">
        <f ca="1">IFERROR(__xludf.DUMMYFUNCTION("""COMPUTED_VALUE"""),"Colombo, LK")</f>
        <v>Colombo, LK</v>
      </c>
      <c r="Q847" s="45" t="str">
        <f ca="1">IFERROR(__xludf.DUMMYFUNCTION("""COMPUTED_VALUE"""),"New York, NY, US")</f>
        <v>New York, NY, US</v>
      </c>
      <c r="R847" s="44">
        <f ca="1">IFERROR(__xludf.DUMMYFUNCTION("""COMPUTED_VALUE"""),45838)</f>
        <v>45838</v>
      </c>
      <c r="S847" s="44">
        <f ca="1">IFERROR(__xludf.DUMMYFUNCTION("""COMPUTED_VALUE"""),45897)</f>
        <v>45897</v>
      </c>
      <c r="T847" s="45" t="str">
        <f ca="1">IFERROR(__xludf.DUMMYFUNCTION("""COMPUTED_VALUE"""),"Mississauga, ON, CA")</f>
        <v>Mississauga, ON, CA</v>
      </c>
      <c r="U847" s="45"/>
      <c r="V847" s="45"/>
      <c r="W847" s="45"/>
      <c r="X847" s="45"/>
      <c r="Y847" s="46">
        <f ca="1">IFERROR(__xludf.DUMMYFUNCTION("""COMPUTED_VALUE"""),45845)</f>
        <v>45845</v>
      </c>
      <c r="Z847" s="46">
        <f ca="1">IFERROR(__xludf.DUMMYFUNCTION("""COMPUTED_VALUE"""),45866)</f>
        <v>45866</v>
      </c>
      <c r="AA847" s="46">
        <f ca="1">IFERROR(__xludf.DUMMYFUNCTION("""COMPUTED_VALUE"""),45866)</f>
        <v>45866</v>
      </c>
      <c r="AB847" s="45" t="str">
        <f ca="1">IFERROR(__xludf.DUMMYFUNCTION("""COMPUTED_VALUE"""),"3500 Argentia Road")</f>
        <v>3500 Argentia Road</v>
      </c>
      <c r="AC847" s="45"/>
      <c r="AD847" s="45" t="str">
        <f ca="1">IFERROR(__xludf.DUMMYFUNCTION("""COMPUTED_VALUE"""),"OCEAN")</f>
        <v>OCEAN</v>
      </c>
      <c r="AE847" s="45" t="str">
        <f ca="1">IFERROR(__xludf.DUMMYFUNCTION("""COMPUTED_VALUE"""),"N")</f>
        <v>N</v>
      </c>
      <c r="AF847" s="45" t="str">
        <f ca="1">IFERROR(__xludf.DUMMYFUNCTION("""COMPUTED_VALUE"""),"New Booking")</f>
        <v>New Booking</v>
      </c>
      <c r="AG847" s="49" t="str">
        <f ca="1">IFERROR(__xludf.DUMMYFUNCTION("IFNA(vlookup(H847,IMPORTRANGE(""1vUGwO1n0QQGx9kKbO0_M5gmuhXZ6-LaxQxgrmJnzgP0"",""'TP# look up'!A:C""),3,0),"""")"),"")</f>
        <v/>
      </c>
      <c r="AH847" s="49" t="str">
        <f t="shared" ca="1" si="13"/>
        <v>LM</v>
      </c>
    </row>
    <row r="848" spans="1:34" ht="12.75">
      <c r="A848" s="45" t="str">
        <f ca="1">IFERROR(__xludf.DUMMYFUNCTION("""COMPUTED_VALUE"""),"Colombo")</f>
        <v>Colombo</v>
      </c>
      <c r="B848" s="45"/>
      <c r="C848" s="45">
        <f ca="1">IFERROR(__xludf.DUMMYFUNCTION("""COMPUTED_VALUE"""),3259528)</f>
        <v>3259528</v>
      </c>
      <c r="D848" s="45"/>
      <c r="E848" s="45" t="str">
        <f ca="1">IFERROR(__xludf.DUMMYFUNCTION("""COMPUTED_VALUE"""),"CFS")</f>
        <v>CFS</v>
      </c>
      <c r="F848" s="45" t="str">
        <f ca="1">IFERROR(__xludf.DUMMYFUNCTION("""COMPUTED_VALUE"""),"Inqube Global (PVT) Ltd")</f>
        <v>Inqube Global (PVT) Ltd</v>
      </c>
      <c r="G848" s="45" t="str">
        <f ca="1">IFERROR(__xludf.DUMMYFUNCTION("""COMPUTED_VALUE"""),"BRANDIX APPAREL SOLUTION LTD - GIRITALE")</f>
        <v>BRANDIX APPAREL SOLUTION LTD - GIRITALE</v>
      </c>
      <c r="H848" s="43">
        <f ca="1">IFERROR(__xludf.DUMMYFUNCTION("""COMPUTED_VALUE"""),456064957731)</f>
        <v>456064957731</v>
      </c>
      <c r="I848" s="45">
        <f ca="1">IFERROR(__xludf.DUMMYFUNCTION("""COMPUTED_VALUE"""),19855747)</f>
        <v>19855747</v>
      </c>
      <c r="J848" s="45" t="str">
        <f ca="1">IFERROR(__xludf.DUMMYFUNCTION("""COMPUTED_VALUE"""),"LM5AXAS")</f>
        <v>LM5AXAS</v>
      </c>
      <c r="K848" s="45" t="str">
        <f ca="1">IFERROR(__xludf.DUMMYFUNCTION("""COMPUTED_VALUE"""),"LM5AXAS-071148")</f>
        <v>LM5AXAS-071148</v>
      </c>
      <c r="L848" s="45">
        <f ca="1">IFERROR(__xludf.DUMMYFUNCTION("""COMPUTED_VALUE"""),1)</f>
        <v>1</v>
      </c>
      <c r="M848" s="45">
        <f ca="1">IFERROR(__xludf.DUMMYFUNCTION("""COMPUTED_VALUE"""),29)</f>
        <v>29</v>
      </c>
      <c r="N848" s="45">
        <f ca="1">IFERROR(__xludf.DUMMYFUNCTION("""COMPUTED_VALUE"""),13.71)</f>
        <v>13.71</v>
      </c>
      <c r="O848" s="45">
        <f ca="1">IFERROR(__xludf.DUMMYFUNCTION("""COMPUTED_VALUE"""),0.083)</f>
        <v>8.3000000000000004E-2</v>
      </c>
      <c r="P848" s="45" t="str">
        <f ca="1">IFERROR(__xludf.DUMMYFUNCTION("""COMPUTED_VALUE"""),"Colombo, LK")</f>
        <v>Colombo, LK</v>
      </c>
      <c r="Q848" s="45" t="str">
        <f ca="1">IFERROR(__xludf.DUMMYFUNCTION("""COMPUTED_VALUE"""),"New York, NY, US")</f>
        <v>New York, NY, US</v>
      </c>
      <c r="R848" s="44">
        <f ca="1">IFERROR(__xludf.DUMMYFUNCTION("""COMPUTED_VALUE"""),45838)</f>
        <v>45838</v>
      </c>
      <c r="S848" s="44">
        <f ca="1">IFERROR(__xludf.DUMMYFUNCTION("""COMPUTED_VALUE"""),45897)</f>
        <v>45897</v>
      </c>
      <c r="T848" s="45" t="str">
        <f ca="1">IFERROR(__xludf.DUMMYFUNCTION("""COMPUTED_VALUE"""),"Milton, ON, CA")</f>
        <v>Milton, ON, CA</v>
      </c>
      <c r="U848" s="45"/>
      <c r="V848" s="45"/>
      <c r="W848" s="45"/>
      <c r="X848" s="45"/>
      <c r="Y848" s="46">
        <f ca="1">IFERROR(__xludf.DUMMYFUNCTION("""COMPUTED_VALUE"""),45845)</f>
        <v>45845</v>
      </c>
      <c r="Z848" s="46">
        <f ca="1">IFERROR(__xludf.DUMMYFUNCTION("""COMPUTED_VALUE"""),45866)</f>
        <v>45866</v>
      </c>
      <c r="AA848" s="46">
        <f ca="1">IFERROR(__xludf.DUMMYFUNCTION("""COMPUTED_VALUE"""),45866)</f>
        <v>45866</v>
      </c>
      <c r="AB848" s="45" t="str">
        <f ca="1">IFERROR(__xludf.DUMMYFUNCTION("""COMPUTED_VALUE"""),"7211 Fifth Line")</f>
        <v>7211 Fifth Line</v>
      </c>
      <c r="AC848" s="45"/>
      <c r="AD848" s="45" t="str">
        <f ca="1">IFERROR(__xludf.DUMMYFUNCTION("""COMPUTED_VALUE"""),"OCEAN")</f>
        <v>OCEAN</v>
      </c>
      <c r="AE848" s="45" t="str">
        <f ca="1">IFERROR(__xludf.DUMMYFUNCTION("""COMPUTED_VALUE"""),"N")</f>
        <v>N</v>
      </c>
      <c r="AF848" s="45" t="str">
        <f ca="1">IFERROR(__xludf.DUMMYFUNCTION("""COMPUTED_VALUE"""),"New Booking")</f>
        <v>New Booking</v>
      </c>
      <c r="AG848" s="49" t="str">
        <f ca="1">IFERROR(__xludf.DUMMYFUNCTION("IFNA(vlookup(H848,IMPORTRANGE(""1vUGwO1n0QQGx9kKbO0_M5gmuhXZ6-LaxQxgrmJnzgP0"",""'TP# look up'!A:C""),3,0),"""")"),"")</f>
        <v/>
      </c>
      <c r="AH848" s="49" t="str">
        <f t="shared" ca="1" si="13"/>
        <v>LM</v>
      </c>
    </row>
    <row r="849" spans="1:34" ht="12.75">
      <c r="A849" s="45" t="str">
        <f ca="1">IFERROR(__xludf.DUMMYFUNCTION("""COMPUTED_VALUE"""),"Colombo")</f>
        <v>Colombo</v>
      </c>
      <c r="B849" s="45"/>
      <c r="C849" s="45">
        <f ca="1">IFERROR(__xludf.DUMMYFUNCTION("""COMPUTED_VALUE"""),3259528)</f>
        <v>3259528</v>
      </c>
      <c r="D849" s="45"/>
      <c r="E849" s="45" t="str">
        <f ca="1">IFERROR(__xludf.DUMMYFUNCTION("""COMPUTED_VALUE"""),"CFS")</f>
        <v>CFS</v>
      </c>
      <c r="F849" s="45" t="str">
        <f ca="1">IFERROR(__xludf.DUMMYFUNCTION("""COMPUTED_VALUE"""),"Inqube Global (PVT) Ltd")</f>
        <v>Inqube Global (PVT) Ltd</v>
      </c>
      <c r="G849" s="45" t="str">
        <f ca="1">IFERROR(__xludf.DUMMYFUNCTION("""COMPUTED_VALUE"""),"BRANDIX APPAREL SOLUTION LTD - GIRITALE")</f>
        <v>BRANDIX APPAREL SOLUTION LTD - GIRITALE</v>
      </c>
      <c r="H849" s="43">
        <f ca="1">IFERROR(__xludf.DUMMYFUNCTION("""COMPUTED_VALUE"""),456066885277)</f>
        <v>456066885277</v>
      </c>
      <c r="I849" s="45">
        <f ca="1">IFERROR(__xludf.DUMMYFUNCTION("""COMPUTED_VALUE"""),19855751)</f>
        <v>19855751</v>
      </c>
      <c r="J849" s="45" t="str">
        <f ca="1">IFERROR(__xludf.DUMMYFUNCTION("""COMPUTED_VALUE"""),"LM5AXAS")</f>
        <v>LM5AXAS</v>
      </c>
      <c r="K849" s="45" t="str">
        <f ca="1">IFERROR(__xludf.DUMMYFUNCTION("""COMPUTED_VALUE"""),"LM5AXAS-071148")</f>
        <v>LM5AXAS-071148</v>
      </c>
      <c r="L849" s="45">
        <f ca="1">IFERROR(__xludf.DUMMYFUNCTION("""COMPUTED_VALUE"""),4)</f>
        <v>4</v>
      </c>
      <c r="M849" s="45">
        <f ca="1">IFERROR(__xludf.DUMMYFUNCTION("""COMPUTED_VALUE"""),69)</f>
        <v>69</v>
      </c>
      <c r="N849" s="45">
        <f ca="1">IFERROR(__xludf.DUMMYFUNCTION("""COMPUTED_VALUE"""),33.47)</f>
        <v>33.47</v>
      </c>
      <c r="O849" s="45">
        <f ca="1">IFERROR(__xludf.DUMMYFUNCTION("""COMPUTED_VALUE"""),0.21)</f>
        <v>0.21</v>
      </c>
      <c r="P849" s="45" t="str">
        <f ca="1">IFERROR(__xludf.DUMMYFUNCTION("""COMPUTED_VALUE"""),"Colombo, LK")</f>
        <v>Colombo, LK</v>
      </c>
      <c r="Q849" s="45" t="str">
        <f ca="1">IFERROR(__xludf.DUMMYFUNCTION("""COMPUTED_VALUE"""),"New York, NY, US")</f>
        <v>New York, NY, US</v>
      </c>
      <c r="R849" s="44">
        <f ca="1">IFERROR(__xludf.DUMMYFUNCTION("""COMPUTED_VALUE"""),45838)</f>
        <v>45838</v>
      </c>
      <c r="S849" s="44">
        <f ca="1">IFERROR(__xludf.DUMMYFUNCTION("""COMPUTED_VALUE"""),45897)</f>
        <v>45897</v>
      </c>
      <c r="T849" s="45" t="str">
        <f ca="1">IFERROR(__xludf.DUMMYFUNCTION("""COMPUTED_VALUE"""),"Mississauga, ON, CA")</f>
        <v>Mississauga, ON, CA</v>
      </c>
      <c r="U849" s="45"/>
      <c r="V849" s="45"/>
      <c r="W849" s="45"/>
      <c r="X849" s="45"/>
      <c r="Y849" s="46">
        <f ca="1">IFERROR(__xludf.DUMMYFUNCTION("""COMPUTED_VALUE"""),45845)</f>
        <v>45845</v>
      </c>
      <c r="Z849" s="46">
        <f ca="1">IFERROR(__xludf.DUMMYFUNCTION("""COMPUTED_VALUE"""),45866)</f>
        <v>45866</v>
      </c>
      <c r="AA849" s="46">
        <f ca="1">IFERROR(__xludf.DUMMYFUNCTION("""COMPUTED_VALUE"""),45866)</f>
        <v>45866</v>
      </c>
      <c r="AB849" s="45" t="str">
        <f ca="1">IFERROR(__xludf.DUMMYFUNCTION("""COMPUTED_VALUE"""),"3500 Argentia Road")</f>
        <v>3500 Argentia Road</v>
      </c>
      <c r="AC849" s="45"/>
      <c r="AD849" s="45" t="str">
        <f ca="1">IFERROR(__xludf.DUMMYFUNCTION("""COMPUTED_VALUE"""),"OCEAN")</f>
        <v>OCEAN</v>
      </c>
      <c r="AE849" s="45" t="str">
        <f ca="1">IFERROR(__xludf.DUMMYFUNCTION("""COMPUTED_VALUE"""),"N")</f>
        <v>N</v>
      </c>
      <c r="AF849" s="45" t="str">
        <f ca="1">IFERROR(__xludf.DUMMYFUNCTION("""COMPUTED_VALUE"""),"New Booking")</f>
        <v>New Booking</v>
      </c>
      <c r="AG849" s="49" t="str">
        <f ca="1">IFERROR(__xludf.DUMMYFUNCTION("IFNA(vlookup(H849,IMPORTRANGE(""1vUGwO1n0QQGx9kKbO0_M5gmuhXZ6-LaxQxgrmJnzgP0"",""'TP# look up'!A:C""),3,0),"""")"),"")</f>
        <v/>
      </c>
      <c r="AH849" s="49" t="str">
        <f t="shared" ca="1" si="13"/>
        <v>LM</v>
      </c>
    </row>
    <row r="850" spans="1:34" ht="12.75">
      <c r="A850" s="45" t="str">
        <f ca="1">IFERROR(__xludf.DUMMYFUNCTION("""COMPUTED_VALUE"""),"Colombo")</f>
        <v>Colombo</v>
      </c>
      <c r="B850" s="45"/>
      <c r="C850" s="45">
        <f ca="1">IFERROR(__xludf.DUMMYFUNCTION("""COMPUTED_VALUE"""),3259528)</f>
        <v>3259528</v>
      </c>
      <c r="D850" s="45"/>
      <c r="E850" s="45" t="str">
        <f ca="1">IFERROR(__xludf.DUMMYFUNCTION("""COMPUTED_VALUE"""),"CFS")</f>
        <v>CFS</v>
      </c>
      <c r="F850" s="45" t="str">
        <f ca="1">IFERROR(__xludf.DUMMYFUNCTION("""COMPUTED_VALUE"""),"Inqube Global (PVT) Ltd")</f>
        <v>Inqube Global (PVT) Ltd</v>
      </c>
      <c r="G850" s="45" t="str">
        <f ca="1">IFERROR(__xludf.DUMMYFUNCTION("""COMPUTED_VALUE"""),"BRANDIX APPAREL SOLUTION LTD - GIRITALE")</f>
        <v>BRANDIX APPAREL SOLUTION LTD - GIRITALE</v>
      </c>
      <c r="H850" s="43">
        <f ca="1">IFERROR(__xludf.DUMMYFUNCTION("""COMPUTED_VALUE"""),456067281405)</f>
        <v>456067281405</v>
      </c>
      <c r="I850" s="45">
        <f ca="1">IFERROR(__xludf.DUMMYFUNCTION("""COMPUTED_VALUE"""),19855752)</f>
        <v>19855752</v>
      </c>
      <c r="J850" s="45" t="str">
        <f ca="1">IFERROR(__xludf.DUMMYFUNCTION("""COMPUTED_VALUE"""),"LM5AXAS")</f>
        <v>LM5AXAS</v>
      </c>
      <c r="K850" s="45" t="str">
        <f ca="1">IFERROR(__xludf.DUMMYFUNCTION("""COMPUTED_VALUE"""),"LM5AXAS-071148")</f>
        <v>LM5AXAS-071148</v>
      </c>
      <c r="L850" s="45">
        <f ca="1">IFERROR(__xludf.DUMMYFUNCTION("""COMPUTED_VALUE"""),1)</f>
        <v>1</v>
      </c>
      <c r="M850" s="45">
        <f ca="1">IFERROR(__xludf.DUMMYFUNCTION("""COMPUTED_VALUE"""),32)</f>
        <v>32</v>
      </c>
      <c r="N850" s="45">
        <f ca="1">IFERROR(__xludf.DUMMYFUNCTION("""COMPUTED_VALUE"""),14.97)</f>
        <v>14.97</v>
      </c>
      <c r="O850" s="45">
        <f ca="1">IFERROR(__xludf.DUMMYFUNCTION("""COMPUTED_VALUE"""),0.083)</f>
        <v>8.3000000000000004E-2</v>
      </c>
      <c r="P850" s="45" t="str">
        <f ca="1">IFERROR(__xludf.DUMMYFUNCTION("""COMPUTED_VALUE"""),"Colombo, LK")</f>
        <v>Colombo, LK</v>
      </c>
      <c r="Q850" s="45" t="str">
        <f ca="1">IFERROR(__xludf.DUMMYFUNCTION("""COMPUTED_VALUE"""),"New York, NY, US")</f>
        <v>New York, NY, US</v>
      </c>
      <c r="R850" s="44">
        <f ca="1">IFERROR(__xludf.DUMMYFUNCTION("""COMPUTED_VALUE"""),45838)</f>
        <v>45838</v>
      </c>
      <c r="S850" s="44">
        <f ca="1">IFERROR(__xludf.DUMMYFUNCTION("""COMPUTED_VALUE"""),45897)</f>
        <v>45897</v>
      </c>
      <c r="T850" s="45" t="str">
        <f ca="1">IFERROR(__xludf.DUMMYFUNCTION("""COMPUTED_VALUE"""),"Mississauga, ON, CA")</f>
        <v>Mississauga, ON, CA</v>
      </c>
      <c r="U850" s="45"/>
      <c r="V850" s="45"/>
      <c r="W850" s="45"/>
      <c r="X850" s="45"/>
      <c r="Y850" s="46">
        <f ca="1">IFERROR(__xludf.DUMMYFUNCTION("""COMPUTED_VALUE"""),45845)</f>
        <v>45845</v>
      </c>
      <c r="Z850" s="46">
        <f ca="1">IFERROR(__xludf.DUMMYFUNCTION("""COMPUTED_VALUE"""),45866)</f>
        <v>45866</v>
      </c>
      <c r="AA850" s="46">
        <f ca="1">IFERROR(__xludf.DUMMYFUNCTION("""COMPUTED_VALUE"""),45866)</f>
        <v>45866</v>
      </c>
      <c r="AB850" s="45" t="str">
        <f ca="1">IFERROR(__xludf.DUMMYFUNCTION("""COMPUTED_VALUE"""),"3500 Argentia Road")</f>
        <v>3500 Argentia Road</v>
      </c>
      <c r="AC850" s="45"/>
      <c r="AD850" s="45" t="str">
        <f ca="1">IFERROR(__xludf.DUMMYFUNCTION("""COMPUTED_VALUE"""),"OCEAN")</f>
        <v>OCEAN</v>
      </c>
      <c r="AE850" s="45" t="str">
        <f ca="1">IFERROR(__xludf.DUMMYFUNCTION("""COMPUTED_VALUE"""),"N")</f>
        <v>N</v>
      </c>
      <c r="AF850" s="45" t="str">
        <f ca="1">IFERROR(__xludf.DUMMYFUNCTION("""COMPUTED_VALUE"""),"New Booking")</f>
        <v>New Booking</v>
      </c>
      <c r="AG850" s="49" t="str">
        <f ca="1">IFERROR(__xludf.DUMMYFUNCTION("IFNA(vlookup(H850,IMPORTRANGE(""1vUGwO1n0QQGx9kKbO0_M5gmuhXZ6-LaxQxgrmJnzgP0"",""'TP# look up'!A:C""),3,0),"""")"),"")</f>
        <v/>
      </c>
      <c r="AH850" s="49" t="str">
        <f t="shared" ca="1" si="13"/>
        <v>LM</v>
      </c>
    </row>
    <row r="851" spans="1:34" ht="12.75">
      <c r="A851" s="45" t="str">
        <f ca="1">IFERROR(__xludf.DUMMYFUNCTION("""COMPUTED_VALUE"""),"Colombo")</f>
        <v>Colombo</v>
      </c>
      <c r="B851" s="45"/>
      <c r="C851" s="45">
        <f ca="1">IFERROR(__xludf.DUMMYFUNCTION("""COMPUTED_VALUE"""),3259528)</f>
        <v>3259528</v>
      </c>
      <c r="D851" s="45"/>
      <c r="E851" s="45" t="str">
        <f ca="1">IFERROR(__xludf.DUMMYFUNCTION("""COMPUTED_VALUE"""),"CFS")</f>
        <v>CFS</v>
      </c>
      <c r="F851" s="45" t="str">
        <f ca="1">IFERROR(__xludf.DUMMYFUNCTION("""COMPUTED_VALUE"""),"Inqube Global (PVT) Ltd")</f>
        <v>Inqube Global (PVT) Ltd</v>
      </c>
      <c r="G851" s="45" t="str">
        <f ca="1">IFERROR(__xludf.DUMMYFUNCTION("""COMPUTED_VALUE"""),"BRANDIX APPAREL SOLUTION LTD - GIRITALE")</f>
        <v>BRANDIX APPAREL SOLUTION LTD - GIRITALE</v>
      </c>
      <c r="H851" s="43">
        <f ca="1">IFERROR(__xludf.DUMMYFUNCTION("""COMPUTED_VALUE"""),456072496743)</f>
        <v>456072496743</v>
      </c>
      <c r="I851" s="45">
        <f ca="1">IFERROR(__xludf.DUMMYFUNCTION("""COMPUTED_VALUE"""),19855789)</f>
        <v>19855789</v>
      </c>
      <c r="J851" s="45" t="str">
        <f ca="1">IFERROR(__xludf.DUMMYFUNCTION("""COMPUTED_VALUE"""),"LM5AXBS")</f>
        <v>LM5AXBS</v>
      </c>
      <c r="K851" s="45" t="str">
        <f ca="1">IFERROR(__xludf.DUMMYFUNCTION("""COMPUTED_VALUE"""),"LM5AXBS-019222")</f>
        <v>LM5AXBS-019222</v>
      </c>
      <c r="L851" s="45">
        <f ca="1">IFERROR(__xludf.DUMMYFUNCTION("""COMPUTED_VALUE"""),4)</f>
        <v>4</v>
      </c>
      <c r="M851" s="45">
        <f ca="1">IFERROR(__xludf.DUMMYFUNCTION("""COMPUTED_VALUE"""),67)</f>
        <v>67</v>
      </c>
      <c r="N851" s="45">
        <f ca="1">IFERROR(__xludf.DUMMYFUNCTION("""COMPUTED_VALUE"""),36.73)</f>
        <v>36.729999999999997</v>
      </c>
      <c r="O851" s="45">
        <f ca="1">IFERROR(__xludf.DUMMYFUNCTION("""COMPUTED_VALUE"""),0.21)</f>
        <v>0.21</v>
      </c>
      <c r="P851" s="45" t="str">
        <f ca="1">IFERROR(__xludf.DUMMYFUNCTION("""COMPUTED_VALUE"""),"Colombo, LK")</f>
        <v>Colombo, LK</v>
      </c>
      <c r="Q851" s="45" t="str">
        <f ca="1">IFERROR(__xludf.DUMMYFUNCTION("""COMPUTED_VALUE"""),"New York, NY, US")</f>
        <v>New York, NY, US</v>
      </c>
      <c r="R851" s="44">
        <f ca="1">IFERROR(__xludf.DUMMYFUNCTION("""COMPUTED_VALUE"""),45838)</f>
        <v>45838</v>
      </c>
      <c r="S851" s="44">
        <f ca="1">IFERROR(__xludf.DUMMYFUNCTION("""COMPUTED_VALUE"""),45897)</f>
        <v>45897</v>
      </c>
      <c r="T851" s="45" t="str">
        <f ca="1">IFERROR(__xludf.DUMMYFUNCTION("""COMPUTED_VALUE"""),"Mississauga, ON, CA")</f>
        <v>Mississauga, ON, CA</v>
      </c>
      <c r="U851" s="45"/>
      <c r="V851" s="45"/>
      <c r="W851" s="45"/>
      <c r="X851" s="45"/>
      <c r="Y851" s="46">
        <f ca="1">IFERROR(__xludf.DUMMYFUNCTION("""COMPUTED_VALUE"""),45845)</f>
        <v>45845</v>
      </c>
      <c r="Z851" s="46">
        <f ca="1">IFERROR(__xludf.DUMMYFUNCTION("""COMPUTED_VALUE"""),45866)</f>
        <v>45866</v>
      </c>
      <c r="AA851" s="46">
        <f ca="1">IFERROR(__xludf.DUMMYFUNCTION("""COMPUTED_VALUE"""),45866)</f>
        <v>45866</v>
      </c>
      <c r="AB851" s="45" t="str">
        <f ca="1">IFERROR(__xludf.DUMMYFUNCTION("""COMPUTED_VALUE"""),"3500 Argentia Road")</f>
        <v>3500 Argentia Road</v>
      </c>
      <c r="AC851" s="45"/>
      <c r="AD851" s="45" t="str">
        <f ca="1">IFERROR(__xludf.DUMMYFUNCTION("""COMPUTED_VALUE"""),"OCEAN")</f>
        <v>OCEAN</v>
      </c>
      <c r="AE851" s="45" t="str">
        <f ca="1">IFERROR(__xludf.DUMMYFUNCTION("""COMPUTED_VALUE"""),"N")</f>
        <v>N</v>
      </c>
      <c r="AF851" s="45" t="str">
        <f ca="1">IFERROR(__xludf.DUMMYFUNCTION("""COMPUTED_VALUE"""),"New Booking")</f>
        <v>New Booking</v>
      </c>
      <c r="AG851" s="49" t="str">
        <f ca="1">IFERROR(__xludf.DUMMYFUNCTION("IFNA(vlookup(H851,IMPORTRANGE(""1vUGwO1n0QQGx9kKbO0_M5gmuhXZ6-LaxQxgrmJnzgP0"",""'TP# look up'!A:C""),3,0),"""")"),"")</f>
        <v/>
      </c>
      <c r="AH851" s="49" t="str">
        <f t="shared" ca="1" si="13"/>
        <v>LM</v>
      </c>
    </row>
    <row r="852" spans="1:34" ht="12.75">
      <c r="A852" s="45" t="str">
        <f ca="1">IFERROR(__xludf.DUMMYFUNCTION("""COMPUTED_VALUE"""),"Colombo")</f>
        <v>Colombo</v>
      </c>
      <c r="B852" s="45"/>
      <c r="C852" s="45">
        <f ca="1">IFERROR(__xludf.DUMMYFUNCTION("""COMPUTED_VALUE"""),3259528)</f>
        <v>3259528</v>
      </c>
      <c r="D852" s="45"/>
      <c r="E852" s="45" t="str">
        <f ca="1">IFERROR(__xludf.DUMMYFUNCTION("""COMPUTED_VALUE"""),"CFS")</f>
        <v>CFS</v>
      </c>
      <c r="F852" s="45" t="str">
        <f ca="1">IFERROR(__xludf.DUMMYFUNCTION("""COMPUTED_VALUE"""),"Inqube Global (PVT) Ltd")</f>
        <v>Inqube Global (PVT) Ltd</v>
      </c>
      <c r="G852" s="45" t="str">
        <f ca="1">IFERROR(__xludf.DUMMYFUNCTION("""COMPUTED_VALUE"""),"BRANDIX APPAREL SOLUTION LTD - GIRITALE")</f>
        <v>BRANDIX APPAREL SOLUTION LTD - GIRITALE</v>
      </c>
      <c r="H852" s="43">
        <f ca="1">IFERROR(__xludf.DUMMYFUNCTION("""COMPUTED_VALUE"""),456082683249)</f>
        <v>456082683249</v>
      </c>
      <c r="I852" s="45">
        <f ca="1">IFERROR(__xludf.DUMMYFUNCTION("""COMPUTED_VALUE"""),19856449)</f>
        <v>19856449</v>
      </c>
      <c r="J852" s="45" t="str">
        <f ca="1">IFERROR(__xludf.DUMMYFUNCTION("""COMPUTED_VALUE"""),"LM5AXBS")</f>
        <v>LM5AXBS</v>
      </c>
      <c r="K852" s="45" t="str">
        <f ca="1">IFERROR(__xludf.DUMMYFUNCTION("""COMPUTED_VALUE"""),"LM5AXBS-019222")</f>
        <v>LM5AXBS-019222</v>
      </c>
      <c r="L852" s="45">
        <f ca="1">IFERROR(__xludf.DUMMYFUNCTION("""COMPUTED_VALUE"""),9)</f>
        <v>9</v>
      </c>
      <c r="M852" s="45">
        <f ca="1">IFERROR(__xludf.DUMMYFUNCTION("""COMPUTED_VALUE"""),279)</f>
        <v>279</v>
      </c>
      <c r="N852" s="45">
        <f ca="1">IFERROR(__xludf.DUMMYFUNCTION("""COMPUTED_VALUE"""),147.1)</f>
        <v>147.1</v>
      </c>
      <c r="O852" s="45">
        <f ca="1">IFERROR(__xludf.DUMMYFUNCTION("""COMPUTED_VALUE"""),0.623)</f>
        <v>0.623</v>
      </c>
      <c r="P852" s="45" t="str">
        <f ca="1">IFERROR(__xludf.DUMMYFUNCTION("""COMPUTED_VALUE"""),"Colombo, LK")</f>
        <v>Colombo, LK</v>
      </c>
      <c r="Q852" s="45" t="str">
        <f ca="1">IFERROR(__xludf.DUMMYFUNCTION("""COMPUTED_VALUE"""),"New York, NY, US")</f>
        <v>New York, NY, US</v>
      </c>
      <c r="R852" s="44">
        <f ca="1">IFERROR(__xludf.DUMMYFUNCTION("""COMPUTED_VALUE"""),45838)</f>
        <v>45838</v>
      </c>
      <c r="S852" s="44">
        <f ca="1">IFERROR(__xludf.DUMMYFUNCTION("""COMPUTED_VALUE"""),45897)</f>
        <v>45897</v>
      </c>
      <c r="T852" s="45" t="str">
        <f ca="1">IFERROR(__xludf.DUMMYFUNCTION("""COMPUTED_VALUE"""),"Mississauga, ON, CA")</f>
        <v>Mississauga, ON, CA</v>
      </c>
      <c r="U852" s="45"/>
      <c r="V852" s="45"/>
      <c r="W852" s="45"/>
      <c r="X852" s="45"/>
      <c r="Y852" s="46">
        <f ca="1">IFERROR(__xludf.DUMMYFUNCTION("""COMPUTED_VALUE"""),45845)</f>
        <v>45845</v>
      </c>
      <c r="Z852" s="46">
        <f ca="1">IFERROR(__xludf.DUMMYFUNCTION("""COMPUTED_VALUE"""),45866)</f>
        <v>45866</v>
      </c>
      <c r="AA852" s="46">
        <f ca="1">IFERROR(__xludf.DUMMYFUNCTION("""COMPUTED_VALUE"""),45866)</f>
        <v>45866</v>
      </c>
      <c r="AB852" s="45" t="str">
        <f ca="1">IFERROR(__xludf.DUMMYFUNCTION("""COMPUTED_VALUE"""),"3500 Argentia Road")</f>
        <v>3500 Argentia Road</v>
      </c>
      <c r="AC852" s="45"/>
      <c r="AD852" s="45" t="str">
        <f ca="1">IFERROR(__xludf.DUMMYFUNCTION("""COMPUTED_VALUE"""),"OCEAN")</f>
        <v>OCEAN</v>
      </c>
      <c r="AE852" s="45" t="str">
        <f ca="1">IFERROR(__xludf.DUMMYFUNCTION("""COMPUTED_VALUE"""),"N")</f>
        <v>N</v>
      </c>
      <c r="AF852" s="45" t="str">
        <f ca="1">IFERROR(__xludf.DUMMYFUNCTION("""COMPUTED_VALUE"""),"New Booking")</f>
        <v>New Booking</v>
      </c>
      <c r="AG852" s="49" t="str">
        <f ca="1">IFERROR(__xludf.DUMMYFUNCTION("IFNA(vlookup(H852,IMPORTRANGE(""1vUGwO1n0QQGx9kKbO0_M5gmuhXZ6-LaxQxgrmJnzgP0"",""'TP# look up'!A:C""),3,0),"""")"),"")</f>
        <v/>
      </c>
      <c r="AH852" s="49" t="str">
        <f t="shared" ca="1" si="13"/>
        <v>LM</v>
      </c>
    </row>
    <row r="853" spans="1:34" ht="12.75">
      <c r="A853" s="45" t="str">
        <f ca="1">IFERROR(__xludf.DUMMYFUNCTION("""COMPUTED_VALUE"""),"Colombo")</f>
        <v>Colombo</v>
      </c>
      <c r="B853" s="45"/>
      <c r="C853" s="45">
        <f ca="1">IFERROR(__xludf.DUMMYFUNCTION("""COMPUTED_VALUE"""),3259528)</f>
        <v>3259528</v>
      </c>
      <c r="D853" s="45"/>
      <c r="E853" s="45" t="str">
        <f ca="1">IFERROR(__xludf.DUMMYFUNCTION("""COMPUTED_VALUE"""),"CFS")</f>
        <v>CFS</v>
      </c>
      <c r="F853" s="45" t="str">
        <f ca="1">IFERROR(__xludf.DUMMYFUNCTION("""COMPUTED_VALUE"""),"Inqube Global (PVT) Ltd")</f>
        <v>Inqube Global (PVT) Ltd</v>
      </c>
      <c r="G853" s="45" t="str">
        <f ca="1">IFERROR(__xludf.DUMMYFUNCTION("""COMPUTED_VALUE"""),"BRANDIX APPAREL SOLUTION LTD - GIRITALE")</f>
        <v>BRANDIX APPAREL SOLUTION LTD - GIRITALE</v>
      </c>
      <c r="H853" s="43">
        <f ca="1">IFERROR(__xludf.DUMMYFUNCTION("""COMPUTED_VALUE"""),456083951145)</f>
        <v>456083951145</v>
      </c>
      <c r="I853" s="45">
        <f ca="1">IFERROR(__xludf.DUMMYFUNCTION("""COMPUTED_VALUE"""),19856453)</f>
        <v>19856453</v>
      </c>
      <c r="J853" s="45" t="str">
        <f ca="1">IFERROR(__xludf.DUMMYFUNCTION("""COMPUTED_VALUE"""),"LM5AXBS")</f>
        <v>LM5AXBS</v>
      </c>
      <c r="K853" s="45" t="str">
        <f ca="1">IFERROR(__xludf.DUMMYFUNCTION("""COMPUTED_VALUE"""),"LM5AXBS-019222")</f>
        <v>LM5AXBS-019222</v>
      </c>
      <c r="L853" s="45">
        <f ca="1">IFERROR(__xludf.DUMMYFUNCTION("""COMPUTED_VALUE"""),5)</f>
        <v>5</v>
      </c>
      <c r="M853" s="45">
        <f ca="1">IFERROR(__xludf.DUMMYFUNCTION("""COMPUTED_VALUE"""),118)</f>
        <v>118</v>
      </c>
      <c r="N853" s="45">
        <f ca="1">IFERROR(__xludf.DUMMYFUNCTION("""COMPUTED_VALUE"""),63.67)</f>
        <v>63.67</v>
      </c>
      <c r="O853" s="45">
        <f ca="1">IFERROR(__xludf.DUMMYFUNCTION("""COMPUTED_VALUE"""),0.333)</f>
        <v>0.33300000000000002</v>
      </c>
      <c r="P853" s="45" t="str">
        <f ca="1">IFERROR(__xludf.DUMMYFUNCTION("""COMPUTED_VALUE"""),"Colombo, LK")</f>
        <v>Colombo, LK</v>
      </c>
      <c r="Q853" s="45" t="str">
        <f ca="1">IFERROR(__xludf.DUMMYFUNCTION("""COMPUTED_VALUE"""),"New York, NY, US")</f>
        <v>New York, NY, US</v>
      </c>
      <c r="R853" s="44">
        <f ca="1">IFERROR(__xludf.DUMMYFUNCTION("""COMPUTED_VALUE"""),45838)</f>
        <v>45838</v>
      </c>
      <c r="S853" s="44">
        <f ca="1">IFERROR(__xludf.DUMMYFUNCTION("""COMPUTED_VALUE"""),45897)</f>
        <v>45897</v>
      </c>
      <c r="T853" s="45" t="str">
        <f ca="1">IFERROR(__xludf.DUMMYFUNCTION("""COMPUTED_VALUE"""),"Mississauga, ON, CA")</f>
        <v>Mississauga, ON, CA</v>
      </c>
      <c r="U853" s="45"/>
      <c r="V853" s="45"/>
      <c r="W853" s="45"/>
      <c r="X853" s="45"/>
      <c r="Y853" s="46">
        <f ca="1">IFERROR(__xludf.DUMMYFUNCTION("""COMPUTED_VALUE"""),45845)</f>
        <v>45845</v>
      </c>
      <c r="Z853" s="46">
        <f ca="1">IFERROR(__xludf.DUMMYFUNCTION("""COMPUTED_VALUE"""),45866)</f>
        <v>45866</v>
      </c>
      <c r="AA853" s="46">
        <f ca="1">IFERROR(__xludf.DUMMYFUNCTION("""COMPUTED_VALUE"""),45866)</f>
        <v>45866</v>
      </c>
      <c r="AB853" s="45" t="str">
        <f ca="1">IFERROR(__xludf.DUMMYFUNCTION("""COMPUTED_VALUE"""),"3500 Argentia Road")</f>
        <v>3500 Argentia Road</v>
      </c>
      <c r="AC853" s="45"/>
      <c r="AD853" s="45" t="str">
        <f ca="1">IFERROR(__xludf.DUMMYFUNCTION("""COMPUTED_VALUE"""),"OCEAN")</f>
        <v>OCEAN</v>
      </c>
      <c r="AE853" s="45" t="str">
        <f ca="1">IFERROR(__xludf.DUMMYFUNCTION("""COMPUTED_VALUE"""),"N")</f>
        <v>N</v>
      </c>
      <c r="AF853" s="45" t="str">
        <f ca="1">IFERROR(__xludf.DUMMYFUNCTION("""COMPUTED_VALUE"""),"New Booking")</f>
        <v>New Booking</v>
      </c>
      <c r="AG853" s="49" t="str">
        <f ca="1">IFERROR(__xludf.DUMMYFUNCTION("IFNA(vlookup(H853,IMPORTRANGE(""1vUGwO1n0QQGx9kKbO0_M5gmuhXZ6-LaxQxgrmJnzgP0"",""'TP# look up'!A:C""),3,0),"""")"),"")</f>
        <v/>
      </c>
      <c r="AH853" s="49" t="str">
        <f t="shared" ca="1" si="13"/>
        <v>LM</v>
      </c>
    </row>
    <row r="854" spans="1:34" ht="12.75">
      <c r="A854" s="45" t="str">
        <f ca="1">IFERROR(__xludf.DUMMYFUNCTION("""COMPUTED_VALUE"""),"Colombo")</f>
        <v>Colombo</v>
      </c>
      <c r="B854" s="45"/>
      <c r="C854" s="45">
        <f ca="1">IFERROR(__xludf.DUMMYFUNCTION("""COMPUTED_VALUE"""),3259528)</f>
        <v>3259528</v>
      </c>
      <c r="D854" s="45"/>
      <c r="E854" s="45" t="str">
        <f ca="1">IFERROR(__xludf.DUMMYFUNCTION("""COMPUTED_VALUE"""),"CFS")</f>
        <v>CFS</v>
      </c>
      <c r="F854" s="45" t="str">
        <f ca="1">IFERROR(__xludf.DUMMYFUNCTION("""COMPUTED_VALUE"""),"Inqube Global (PVT) Ltd")</f>
        <v>Inqube Global (PVT) Ltd</v>
      </c>
      <c r="G854" s="45" t="str">
        <f ca="1">IFERROR(__xludf.DUMMYFUNCTION("""COMPUTED_VALUE"""),"BRANDIX APPAREL SOLUTION LTD - GIRITALE")</f>
        <v>BRANDIX APPAREL SOLUTION LTD - GIRITALE</v>
      </c>
      <c r="H854" s="43">
        <f ca="1">IFERROR(__xludf.DUMMYFUNCTION("""COMPUTED_VALUE"""),456098107197)</f>
        <v>456098107197</v>
      </c>
      <c r="I854" s="45">
        <f ca="1">IFERROR(__xludf.DUMMYFUNCTION("""COMPUTED_VALUE"""),19855787)</f>
        <v>19855787</v>
      </c>
      <c r="J854" s="45" t="str">
        <f ca="1">IFERROR(__xludf.DUMMYFUNCTION("""COMPUTED_VALUE"""),"LM5AXBS")</f>
        <v>LM5AXBS</v>
      </c>
      <c r="K854" s="45" t="str">
        <f ca="1">IFERROR(__xludf.DUMMYFUNCTION("""COMPUTED_VALUE"""),"LM5AXBS-031382")</f>
        <v>LM5AXBS-031382</v>
      </c>
      <c r="L854" s="45">
        <f ca="1">IFERROR(__xludf.DUMMYFUNCTION("""COMPUTED_VALUE"""),4)</f>
        <v>4</v>
      </c>
      <c r="M854" s="45">
        <f ca="1">IFERROR(__xludf.DUMMYFUNCTION("""COMPUTED_VALUE"""),69)</f>
        <v>69</v>
      </c>
      <c r="N854" s="45">
        <f ca="1">IFERROR(__xludf.DUMMYFUNCTION("""COMPUTED_VALUE"""),37.79)</f>
        <v>37.79</v>
      </c>
      <c r="O854" s="45">
        <f ca="1">IFERROR(__xludf.DUMMYFUNCTION("""COMPUTED_VALUE"""),0.21)</f>
        <v>0.21</v>
      </c>
      <c r="P854" s="45" t="str">
        <f ca="1">IFERROR(__xludf.DUMMYFUNCTION("""COMPUTED_VALUE"""),"Colombo, LK")</f>
        <v>Colombo, LK</v>
      </c>
      <c r="Q854" s="45" t="str">
        <f ca="1">IFERROR(__xludf.DUMMYFUNCTION("""COMPUTED_VALUE"""),"New York, NY, US")</f>
        <v>New York, NY, US</v>
      </c>
      <c r="R854" s="44">
        <f ca="1">IFERROR(__xludf.DUMMYFUNCTION("""COMPUTED_VALUE"""),45838)</f>
        <v>45838</v>
      </c>
      <c r="S854" s="44">
        <f ca="1">IFERROR(__xludf.DUMMYFUNCTION("""COMPUTED_VALUE"""),45897)</f>
        <v>45897</v>
      </c>
      <c r="T854" s="45" t="str">
        <f ca="1">IFERROR(__xludf.DUMMYFUNCTION("""COMPUTED_VALUE"""),"Mississauga, ON, CA")</f>
        <v>Mississauga, ON, CA</v>
      </c>
      <c r="U854" s="45"/>
      <c r="V854" s="45"/>
      <c r="W854" s="45"/>
      <c r="X854" s="45"/>
      <c r="Y854" s="46">
        <f ca="1">IFERROR(__xludf.DUMMYFUNCTION("""COMPUTED_VALUE"""),45845)</f>
        <v>45845</v>
      </c>
      <c r="Z854" s="46">
        <f ca="1">IFERROR(__xludf.DUMMYFUNCTION("""COMPUTED_VALUE"""),45866)</f>
        <v>45866</v>
      </c>
      <c r="AA854" s="46">
        <f ca="1">IFERROR(__xludf.DUMMYFUNCTION("""COMPUTED_VALUE"""),45866)</f>
        <v>45866</v>
      </c>
      <c r="AB854" s="45" t="str">
        <f ca="1">IFERROR(__xludf.DUMMYFUNCTION("""COMPUTED_VALUE"""),"3500 Argentia Road")</f>
        <v>3500 Argentia Road</v>
      </c>
      <c r="AC854" s="45"/>
      <c r="AD854" s="45" t="str">
        <f ca="1">IFERROR(__xludf.DUMMYFUNCTION("""COMPUTED_VALUE"""),"OCEAN")</f>
        <v>OCEAN</v>
      </c>
      <c r="AE854" s="45" t="str">
        <f ca="1">IFERROR(__xludf.DUMMYFUNCTION("""COMPUTED_VALUE"""),"N")</f>
        <v>N</v>
      </c>
      <c r="AF854" s="45" t="str">
        <f ca="1">IFERROR(__xludf.DUMMYFUNCTION("""COMPUTED_VALUE"""),"New Booking")</f>
        <v>New Booking</v>
      </c>
      <c r="AG854" s="49" t="str">
        <f ca="1">IFERROR(__xludf.DUMMYFUNCTION("IFNA(vlookup(H854,IMPORTRANGE(""1vUGwO1n0QQGx9kKbO0_M5gmuhXZ6-LaxQxgrmJnzgP0"",""'TP# look up'!A:C""),3,0),"""")"),"")</f>
        <v/>
      </c>
      <c r="AH854" s="49" t="str">
        <f t="shared" ca="1" si="13"/>
        <v>LM</v>
      </c>
    </row>
    <row r="855" spans="1:34" ht="12.75">
      <c r="A855" s="45" t="str">
        <f ca="1">IFERROR(__xludf.DUMMYFUNCTION("""COMPUTED_VALUE"""),"Colombo")</f>
        <v>Colombo</v>
      </c>
      <c r="B855" s="45"/>
      <c r="C855" s="45">
        <f ca="1">IFERROR(__xludf.DUMMYFUNCTION("""COMPUTED_VALUE"""),3259528)</f>
        <v>3259528</v>
      </c>
      <c r="D855" s="45"/>
      <c r="E855" s="45" t="str">
        <f ca="1">IFERROR(__xludf.DUMMYFUNCTION("""COMPUTED_VALUE"""),"CFS")</f>
        <v>CFS</v>
      </c>
      <c r="F855" s="45" t="str">
        <f ca="1">IFERROR(__xludf.DUMMYFUNCTION("""COMPUTED_VALUE"""),"Inqube Global (PVT) Ltd")</f>
        <v>Inqube Global (PVT) Ltd</v>
      </c>
      <c r="G855" s="45" t="str">
        <f ca="1">IFERROR(__xludf.DUMMYFUNCTION("""COMPUTED_VALUE"""),"BRANDIX APPAREL SOLUTION LTD - GIRITALE")</f>
        <v>BRANDIX APPAREL SOLUTION LTD - GIRITALE</v>
      </c>
      <c r="H855" s="43">
        <f ca="1">IFERROR(__xludf.DUMMYFUNCTION("""COMPUTED_VALUE"""),456098404172)</f>
        <v>456098404172</v>
      </c>
      <c r="I855" s="45">
        <f ca="1">IFERROR(__xludf.DUMMYFUNCTION("""COMPUTED_VALUE"""),19856441)</f>
        <v>19856441</v>
      </c>
      <c r="J855" s="45" t="str">
        <f ca="1">IFERROR(__xludf.DUMMYFUNCTION("""COMPUTED_VALUE"""),"LM5AXBS")</f>
        <v>LM5AXBS</v>
      </c>
      <c r="K855" s="45" t="str">
        <f ca="1">IFERROR(__xludf.DUMMYFUNCTION("""COMPUTED_VALUE"""),"LM5AXBS-031382")</f>
        <v>LM5AXBS-031382</v>
      </c>
      <c r="L855" s="45">
        <f ca="1">IFERROR(__xludf.DUMMYFUNCTION("""COMPUTED_VALUE"""),8)</f>
        <v>8</v>
      </c>
      <c r="M855" s="45">
        <f ca="1">IFERROR(__xludf.DUMMYFUNCTION("""COMPUTED_VALUE"""),217)</f>
        <v>217</v>
      </c>
      <c r="N855" s="45">
        <f ca="1">IFERROR(__xludf.DUMMYFUNCTION("""COMPUTED_VALUE"""),115.57)</f>
        <v>115.57</v>
      </c>
      <c r="O855" s="45">
        <f ca="1">IFERROR(__xludf.DUMMYFUNCTION("""COMPUTED_VALUE"""),0.54)</f>
        <v>0.54</v>
      </c>
      <c r="P855" s="45" t="str">
        <f ca="1">IFERROR(__xludf.DUMMYFUNCTION("""COMPUTED_VALUE"""),"Colombo, LK")</f>
        <v>Colombo, LK</v>
      </c>
      <c r="Q855" s="45" t="str">
        <f ca="1">IFERROR(__xludf.DUMMYFUNCTION("""COMPUTED_VALUE"""),"New York, NY, US")</f>
        <v>New York, NY, US</v>
      </c>
      <c r="R855" s="44">
        <f ca="1">IFERROR(__xludf.DUMMYFUNCTION("""COMPUTED_VALUE"""),45838)</f>
        <v>45838</v>
      </c>
      <c r="S855" s="44">
        <f ca="1">IFERROR(__xludf.DUMMYFUNCTION("""COMPUTED_VALUE"""),45897)</f>
        <v>45897</v>
      </c>
      <c r="T855" s="45" t="str">
        <f ca="1">IFERROR(__xludf.DUMMYFUNCTION("""COMPUTED_VALUE"""),"Mississauga, ON, CA")</f>
        <v>Mississauga, ON, CA</v>
      </c>
      <c r="U855" s="45"/>
      <c r="V855" s="45"/>
      <c r="W855" s="45"/>
      <c r="X855" s="45"/>
      <c r="Y855" s="46">
        <f ca="1">IFERROR(__xludf.DUMMYFUNCTION("""COMPUTED_VALUE"""),45845)</f>
        <v>45845</v>
      </c>
      <c r="Z855" s="46">
        <f ca="1">IFERROR(__xludf.DUMMYFUNCTION("""COMPUTED_VALUE"""),45866)</f>
        <v>45866</v>
      </c>
      <c r="AA855" s="46">
        <f ca="1">IFERROR(__xludf.DUMMYFUNCTION("""COMPUTED_VALUE"""),45866)</f>
        <v>45866</v>
      </c>
      <c r="AB855" s="45" t="str">
        <f ca="1">IFERROR(__xludf.DUMMYFUNCTION("""COMPUTED_VALUE"""),"3500 Argentia Road")</f>
        <v>3500 Argentia Road</v>
      </c>
      <c r="AC855" s="45"/>
      <c r="AD855" s="45" t="str">
        <f ca="1">IFERROR(__xludf.DUMMYFUNCTION("""COMPUTED_VALUE"""),"OCEAN")</f>
        <v>OCEAN</v>
      </c>
      <c r="AE855" s="45" t="str">
        <f ca="1">IFERROR(__xludf.DUMMYFUNCTION("""COMPUTED_VALUE"""),"N")</f>
        <v>N</v>
      </c>
      <c r="AF855" s="45" t="str">
        <f ca="1">IFERROR(__xludf.DUMMYFUNCTION("""COMPUTED_VALUE"""),"New Booking")</f>
        <v>New Booking</v>
      </c>
      <c r="AG855" s="49" t="str">
        <f ca="1">IFERROR(__xludf.DUMMYFUNCTION("IFNA(vlookup(H855,IMPORTRANGE(""1vUGwO1n0QQGx9kKbO0_M5gmuhXZ6-LaxQxgrmJnzgP0"",""'TP# look up'!A:C""),3,0),"""")"),"")</f>
        <v/>
      </c>
      <c r="AH855" s="49" t="str">
        <f t="shared" ca="1" si="13"/>
        <v>LM</v>
      </c>
    </row>
    <row r="856" spans="1:34" ht="12.75">
      <c r="A856" s="45" t="str">
        <f ca="1">IFERROR(__xludf.DUMMYFUNCTION("""COMPUTED_VALUE"""),"Colombo")</f>
        <v>Colombo</v>
      </c>
      <c r="B856" s="45"/>
      <c r="C856" s="45">
        <f ca="1">IFERROR(__xludf.DUMMYFUNCTION("""COMPUTED_VALUE"""),3259528)</f>
        <v>3259528</v>
      </c>
      <c r="D856" s="45"/>
      <c r="E856" s="45" t="str">
        <f ca="1">IFERROR(__xludf.DUMMYFUNCTION("""COMPUTED_VALUE"""),"CFS")</f>
        <v>CFS</v>
      </c>
      <c r="F856" s="45" t="str">
        <f ca="1">IFERROR(__xludf.DUMMYFUNCTION("""COMPUTED_VALUE"""),"Inqube Global (PVT) Ltd")</f>
        <v>Inqube Global (PVT) Ltd</v>
      </c>
      <c r="G856" s="45" t="str">
        <f ca="1">IFERROR(__xludf.DUMMYFUNCTION("""COMPUTED_VALUE"""),"BRANDIX APPAREL SOLUTION LTD - GIRITALE")</f>
        <v>BRANDIX APPAREL SOLUTION LTD - GIRITALE</v>
      </c>
      <c r="H856" s="43">
        <f ca="1">IFERROR(__xludf.DUMMYFUNCTION("""COMPUTED_VALUE"""),456101186994)</f>
        <v>456101186994</v>
      </c>
      <c r="I856" s="45">
        <f ca="1">IFERROR(__xludf.DUMMYFUNCTION("""COMPUTED_VALUE"""),19855781)</f>
        <v>19855781</v>
      </c>
      <c r="J856" s="45" t="str">
        <f ca="1">IFERROR(__xludf.DUMMYFUNCTION("""COMPUTED_VALUE"""),"LM5AXBS")</f>
        <v>LM5AXBS</v>
      </c>
      <c r="K856" s="45" t="str">
        <f ca="1">IFERROR(__xludf.DUMMYFUNCTION("""COMPUTED_VALUE"""),"LM5AXBS-033454")</f>
        <v>LM5AXBS-033454</v>
      </c>
      <c r="L856" s="45">
        <f ca="1">IFERROR(__xludf.DUMMYFUNCTION("""COMPUTED_VALUE"""),4)</f>
        <v>4</v>
      </c>
      <c r="M856" s="45">
        <f ca="1">IFERROR(__xludf.DUMMYFUNCTION("""COMPUTED_VALUE"""),69)</f>
        <v>69</v>
      </c>
      <c r="N856" s="45">
        <f ca="1">IFERROR(__xludf.DUMMYFUNCTION("""COMPUTED_VALUE"""),37.79)</f>
        <v>37.79</v>
      </c>
      <c r="O856" s="45">
        <f ca="1">IFERROR(__xludf.DUMMYFUNCTION("""COMPUTED_VALUE"""),0.21)</f>
        <v>0.21</v>
      </c>
      <c r="P856" s="45" t="str">
        <f ca="1">IFERROR(__xludf.DUMMYFUNCTION("""COMPUTED_VALUE"""),"Colombo, LK")</f>
        <v>Colombo, LK</v>
      </c>
      <c r="Q856" s="45" t="str">
        <f ca="1">IFERROR(__xludf.DUMMYFUNCTION("""COMPUTED_VALUE"""),"New York, NY, US")</f>
        <v>New York, NY, US</v>
      </c>
      <c r="R856" s="44">
        <f ca="1">IFERROR(__xludf.DUMMYFUNCTION("""COMPUTED_VALUE"""),45838)</f>
        <v>45838</v>
      </c>
      <c r="S856" s="44">
        <f ca="1">IFERROR(__xludf.DUMMYFUNCTION("""COMPUTED_VALUE"""),45897)</f>
        <v>45897</v>
      </c>
      <c r="T856" s="45" t="str">
        <f ca="1">IFERROR(__xludf.DUMMYFUNCTION("""COMPUTED_VALUE"""),"Mississauga, ON, CA")</f>
        <v>Mississauga, ON, CA</v>
      </c>
      <c r="U856" s="45"/>
      <c r="V856" s="45"/>
      <c r="W856" s="45"/>
      <c r="X856" s="45"/>
      <c r="Y856" s="46">
        <f ca="1">IFERROR(__xludf.DUMMYFUNCTION("""COMPUTED_VALUE"""),45845)</f>
        <v>45845</v>
      </c>
      <c r="Z856" s="46">
        <f ca="1">IFERROR(__xludf.DUMMYFUNCTION("""COMPUTED_VALUE"""),45866)</f>
        <v>45866</v>
      </c>
      <c r="AA856" s="46">
        <f ca="1">IFERROR(__xludf.DUMMYFUNCTION("""COMPUTED_VALUE"""),45866)</f>
        <v>45866</v>
      </c>
      <c r="AB856" s="45" t="str">
        <f ca="1">IFERROR(__xludf.DUMMYFUNCTION("""COMPUTED_VALUE"""),"3500 Argentia Road")</f>
        <v>3500 Argentia Road</v>
      </c>
      <c r="AC856" s="45"/>
      <c r="AD856" s="45" t="str">
        <f ca="1">IFERROR(__xludf.DUMMYFUNCTION("""COMPUTED_VALUE"""),"OCEAN")</f>
        <v>OCEAN</v>
      </c>
      <c r="AE856" s="45" t="str">
        <f ca="1">IFERROR(__xludf.DUMMYFUNCTION("""COMPUTED_VALUE"""),"N")</f>
        <v>N</v>
      </c>
      <c r="AF856" s="45" t="str">
        <f ca="1">IFERROR(__xludf.DUMMYFUNCTION("""COMPUTED_VALUE"""),"New Booking")</f>
        <v>New Booking</v>
      </c>
      <c r="AG856" s="49" t="str">
        <f ca="1">IFERROR(__xludf.DUMMYFUNCTION("IFNA(vlookup(H856,IMPORTRANGE(""1vUGwO1n0QQGx9kKbO0_M5gmuhXZ6-LaxQxgrmJnzgP0"",""'TP# look up'!A:C""),3,0),"""")"),"")</f>
        <v/>
      </c>
      <c r="AH856" s="49" t="str">
        <f t="shared" ca="1" si="13"/>
        <v>LM</v>
      </c>
    </row>
    <row r="857" spans="1:34" ht="12.75">
      <c r="A857" s="45" t="str">
        <f ca="1">IFERROR(__xludf.DUMMYFUNCTION("""COMPUTED_VALUE"""),"Colombo")</f>
        <v>Colombo</v>
      </c>
      <c r="B857" s="45"/>
      <c r="C857" s="45">
        <f ca="1">IFERROR(__xludf.DUMMYFUNCTION("""COMPUTED_VALUE"""),3259528)</f>
        <v>3259528</v>
      </c>
      <c r="D857" s="45"/>
      <c r="E857" s="45" t="str">
        <f ca="1">IFERROR(__xludf.DUMMYFUNCTION("""COMPUTED_VALUE"""),"CFS")</f>
        <v>CFS</v>
      </c>
      <c r="F857" s="45" t="str">
        <f ca="1">IFERROR(__xludf.DUMMYFUNCTION("""COMPUTED_VALUE"""),"Inqube Global (PVT) Ltd")</f>
        <v>Inqube Global (PVT) Ltd</v>
      </c>
      <c r="G857" s="45" t="str">
        <f ca="1">IFERROR(__xludf.DUMMYFUNCTION("""COMPUTED_VALUE"""),"BRANDIX APPAREL SOLUTION LTD - GIRITALE")</f>
        <v>BRANDIX APPAREL SOLUTION LTD - GIRITALE</v>
      </c>
      <c r="H857" s="43">
        <f ca="1">IFERROR(__xludf.DUMMYFUNCTION("""COMPUTED_VALUE"""),456102250080)</f>
        <v>456102250080</v>
      </c>
      <c r="I857" s="45">
        <f ca="1">IFERROR(__xludf.DUMMYFUNCTION("""COMPUTED_VALUE"""),19856413)</f>
        <v>19856413</v>
      </c>
      <c r="J857" s="45" t="str">
        <f ca="1">IFERROR(__xludf.DUMMYFUNCTION("""COMPUTED_VALUE"""),"LM5AXBS")</f>
        <v>LM5AXBS</v>
      </c>
      <c r="K857" s="45" t="str">
        <f ca="1">IFERROR(__xludf.DUMMYFUNCTION("""COMPUTED_VALUE"""),"LM5AXBS-033454")</f>
        <v>LM5AXBS-033454</v>
      </c>
      <c r="L857" s="45">
        <f ca="1">IFERROR(__xludf.DUMMYFUNCTION("""COMPUTED_VALUE"""),6)</f>
        <v>6</v>
      </c>
      <c r="M857" s="45">
        <f ca="1">IFERROR(__xludf.DUMMYFUNCTION("""COMPUTED_VALUE"""),128)</f>
        <v>128</v>
      </c>
      <c r="N857" s="45">
        <f ca="1">IFERROR(__xludf.DUMMYFUNCTION("""COMPUTED_VALUE"""),68.86)</f>
        <v>68.86</v>
      </c>
      <c r="O857" s="45">
        <f ca="1">IFERROR(__xludf.DUMMYFUNCTION("""COMPUTED_VALUE"""),0.335)</f>
        <v>0.33500000000000002</v>
      </c>
      <c r="P857" s="45" t="str">
        <f ca="1">IFERROR(__xludf.DUMMYFUNCTION("""COMPUTED_VALUE"""),"Colombo, LK")</f>
        <v>Colombo, LK</v>
      </c>
      <c r="Q857" s="45" t="str">
        <f ca="1">IFERROR(__xludf.DUMMYFUNCTION("""COMPUTED_VALUE"""),"New York, NY, US")</f>
        <v>New York, NY, US</v>
      </c>
      <c r="R857" s="44">
        <f ca="1">IFERROR(__xludf.DUMMYFUNCTION("""COMPUTED_VALUE"""),45838)</f>
        <v>45838</v>
      </c>
      <c r="S857" s="44">
        <f ca="1">IFERROR(__xludf.DUMMYFUNCTION("""COMPUTED_VALUE"""),45897)</f>
        <v>45897</v>
      </c>
      <c r="T857" s="45" t="str">
        <f ca="1">IFERROR(__xludf.DUMMYFUNCTION("""COMPUTED_VALUE"""),"Mississauga, ON, CA")</f>
        <v>Mississauga, ON, CA</v>
      </c>
      <c r="U857" s="45"/>
      <c r="V857" s="45"/>
      <c r="W857" s="45"/>
      <c r="X857" s="45"/>
      <c r="Y857" s="46">
        <f ca="1">IFERROR(__xludf.DUMMYFUNCTION("""COMPUTED_VALUE"""),45845)</f>
        <v>45845</v>
      </c>
      <c r="Z857" s="46">
        <f ca="1">IFERROR(__xludf.DUMMYFUNCTION("""COMPUTED_VALUE"""),45866)</f>
        <v>45866</v>
      </c>
      <c r="AA857" s="46">
        <f ca="1">IFERROR(__xludf.DUMMYFUNCTION("""COMPUTED_VALUE"""),45866)</f>
        <v>45866</v>
      </c>
      <c r="AB857" s="45" t="str">
        <f ca="1">IFERROR(__xludf.DUMMYFUNCTION("""COMPUTED_VALUE"""),"3500 Argentia Road")</f>
        <v>3500 Argentia Road</v>
      </c>
      <c r="AC857" s="45"/>
      <c r="AD857" s="45" t="str">
        <f ca="1">IFERROR(__xludf.DUMMYFUNCTION("""COMPUTED_VALUE"""),"OCEAN")</f>
        <v>OCEAN</v>
      </c>
      <c r="AE857" s="45" t="str">
        <f ca="1">IFERROR(__xludf.DUMMYFUNCTION("""COMPUTED_VALUE"""),"N")</f>
        <v>N</v>
      </c>
      <c r="AF857" s="45" t="str">
        <f ca="1">IFERROR(__xludf.DUMMYFUNCTION("""COMPUTED_VALUE"""),"New Booking")</f>
        <v>New Booking</v>
      </c>
      <c r="AG857" s="49" t="str">
        <f ca="1">IFERROR(__xludf.DUMMYFUNCTION("IFNA(vlookup(H857,IMPORTRANGE(""1vUGwO1n0QQGx9kKbO0_M5gmuhXZ6-LaxQxgrmJnzgP0"",""'TP# look up'!A:C""),3,0),"""")"),"")</f>
        <v/>
      </c>
      <c r="AH857" s="49" t="str">
        <f t="shared" ca="1" si="13"/>
        <v>LM</v>
      </c>
    </row>
    <row r="858" spans="1:34" ht="12.75">
      <c r="A858" s="45" t="str">
        <f ca="1">IFERROR(__xludf.DUMMYFUNCTION("""COMPUTED_VALUE"""),"Colombo")</f>
        <v>Colombo</v>
      </c>
      <c r="B858" s="45"/>
      <c r="C858" s="45">
        <f ca="1">IFERROR(__xludf.DUMMYFUNCTION("""COMPUTED_VALUE"""),3259528)</f>
        <v>3259528</v>
      </c>
      <c r="D858" s="45"/>
      <c r="E858" s="45" t="str">
        <f ca="1">IFERROR(__xludf.DUMMYFUNCTION("""COMPUTED_VALUE"""),"CFS")</f>
        <v>CFS</v>
      </c>
      <c r="F858" s="45" t="str">
        <f ca="1">IFERROR(__xludf.DUMMYFUNCTION("""COMPUTED_VALUE"""),"Inqube Global (PVT) Ltd")</f>
        <v>Inqube Global (PVT) Ltd</v>
      </c>
      <c r="G858" s="45" t="str">
        <f ca="1">IFERROR(__xludf.DUMMYFUNCTION("""COMPUTED_VALUE"""),"BRANDIX APPAREL SOLUTION LTD - GIRITALE")</f>
        <v>BRANDIX APPAREL SOLUTION LTD - GIRITALE</v>
      </c>
      <c r="H858" s="43">
        <f ca="1">IFERROR(__xludf.DUMMYFUNCTION("""COMPUTED_VALUE"""),456103158667)</f>
        <v>456103158667</v>
      </c>
      <c r="I858" s="45">
        <f ca="1">IFERROR(__xludf.DUMMYFUNCTION("""COMPUTED_VALUE"""),19856417)</f>
        <v>19856417</v>
      </c>
      <c r="J858" s="45" t="str">
        <f ca="1">IFERROR(__xludf.DUMMYFUNCTION("""COMPUTED_VALUE"""),"LM5AXBS")</f>
        <v>LM5AXBS</v>
      </c>
      <c r="K858" s="45" t="str">
        <f ca="1">IFERROR(__xludf.DUMMYFUNCTION("""COMPUTED_VALUE"""),"LM5AXBS-033454")</f>
        <v>LM5AXBS-033454</v>
      </c>
      <c r="L858" s="45">
        <f ca="1">IFERROR(__xludf.DUMMYFUNCTION("""COMPUTED_VALUE"""),4)</f>
        <v>4</v>
      </c>
      <c r="M858" s="45">
        <f ca="1">IFERROR(__xludf.DUMMYFUNCTION("""COMPUTED_VALUE"""),85)</f>
        <v>85</v>
      </c>
      <c r="N858" s="45">
        <f ca="1">IFERROR(__xludf.DUMMYFUNCTION("""COMPUTED_VALUE"""),45.83)</f>
        <v>45.83</v>
      </c>
      <c r="O858" s="45">
        <f ca="1">IFERROR(__xludf.DUMMYFUNCTION("""COMPUTED_VALUE"""),0.21)</f>
        <v>0.21</v>
      </c>
      <c r="P858" s="45" t="str">
        <f ca="1">IFERROR(__xludf.DUMMYFUNCTION("""COMPUTED_VALUE"""),"Colombo, LK")</f>
        <v>Colombo, LK</v>
      </c>
      <c r="Q858" s="45" t="str">
        <f ca="1">IFERROR(__xludf.DUMMYFUNCTION("""COMPUTED_VALUE"""),"New York, NY, US")</f>
        <v>New York, NY, US</v>
      </c>
      <c r="R858" s="44">
        <f ca="1">IFERROR(__xludf.DUMMYFUNCTION("""COMPUTED_VALUE"""),45838)</f>
        <v>45838</v>
      </c>
      <c r="S858" s="44">
        <f ca="1">IFERROR(__xludf.DUMMYFUNCTION("""COMPUTED_VALUE"""),45897)</f>
        <v>45897</v>
      </c>
      <c r="T858" s="45" t="str">
        <f ca="1">IFERROR(__xludf.DUMMYFUNCTION("""COMPUTED_VALUE"""),"Mississauga, ON, CA")</f>
        <v>Mississauga, ON, CA</v>
      </c>
      <c r="U858" s="45"/>
      <c r="V858" s="45"/>
      <c r="W858" s="45"/>
      <c r="X858" s="45"/>
      <c r="Y858" s="46">
        <f ca="1">IFERROR(__xludf.DUMMYFUNCTION("""COMPUTED_VALUE"""),45845)</f>
        <v>45845</v>
      </c>
      <c r="Z858" s="46">
        <f ca="1">IFERROR(__xludf.DUMMYFUNCTION("""COMPUTED_VALUE"""),45866)</f>
        <v>45866</v>
      </c>
      <c r="AA858" s="46">
        <f ca="1">IFERROR(__xludf.DUMMYFUNCTION("""COMPUTED_VALUE"""),45866)</f>
        <v>45866</v>
      </c>
      <c r="AB858" s="45" t="str">
        <f ca="1">IFERROR(__xludf.DUMMYFUNCTION("""COMPUTED_VALUE"""),"3500 Argentia Road")</f>
        <v>3500 Argentia Road</v>
      </c>
      <c r="AC858" s="45"/>
      <c r="AD858" s="45" t="str">
        <f ca="1">IFERROR(__xludf.DUMMYFUNCTION("""COMPUTED_VALUE"""),"OCEAN")</f>
        <v>OCEAN</v>
      </c>
      <c r="AE858" s="45" t="str">
        <f ca="1">IFERROR(__xludf.DUMMYFUNCTION("""COMPUTED_VALUE"""),"N")</f>
        <v>N</v>
      </c>
      <c r="AF858" s="45" t="str">
        <f ca="1">IFERROR(__xludf.DUMMYFUNCTION("""COMPUTED_VALUE"""),"New Booking")</f>
        <v>New Booking</v>
      </c>
      <c r="AG858" s="49" t="str">
        <f ca="1">IFERROR(__xludf.DUMMYFUNCTION("IFNA(vlookup(H858,IMPORTRANGE(""1vUGwO1n0QQGx9kKbO0_M5gmuhXZ6-LaxQxgrmJnzgP0"",""'TP# look up'!A:C""),3,0),"""")"),"")</f>
        <v/>
      </c>
      <c r="AH858" s="49" t="str">
        <f t="shared" ca="1" si="13"/>
        <v>LM</v>
      </c>
    </row>
    <row r="859" spans="1:34" ht="12.75">
      <c r="A859" s="45" t="str">
        <f ca="1">IFERROR(__xludf.DUMMYFUNCTION("""COMPUTED_VALUE"""),"Colombo")</f>
        <v>Colombo</v>
      </c>
      <c r="B859" s="45"/>
      <c r="C859" s="45">
        <f ca="1">IFERROR(__xludf.DUMMYFUNCTION("""COMPUTED_VALUE"""),3259528)</f>
        <v>3259528</v>
      </c>
      <c r="D859" s="45"/>
      <c r="E859" s="45" t="str">
        <f ca="1">IFERROR(__xludf.DUMMYFUNCTION("""COMPUTED_VALUE"""),"CFS")</f>
        <v>CFS</v>
      </c>
      <c r="F859" s="45" t="str">
        <f ca="1">IFERROR(__xludf.DUMMYFUNCTION("""COMPUTED_VALUE"""),"Inqube Global (PVT) Ltd")</f>
        <v>Inqube Global (PVT) Ltd</v>
      </c>
      <c r="G859" s="45" t="str">
        <f ca="1">IFERROR(__xludf.DUMMYFUNCTION("""COMPUTED_VALUE"""),"BRANDIX APPAREL SOLUTION LTD - GIRITALE")</f>
        <v>BRANDIX APPAREL SOLUTION LTD - GIRITALE</v>
      </c>
      <c r="H859" s="43">
        <f ca="1">IFERROR(__xludf.DUMMYFUNCTION("""COMPUTED_VALUE"""),456131632012)</f>
        <v>456131632012</v>
      </c>
      <c r="I859" s="45">
        <f ca="1">IFERROR(__xludf.DUMMYFUNCTION("""COMPUTED_VALUE"""),19855785)</f>
        <v>19855785</v>
      </c>
      <c r="J859" s="45" t="str">
        <f ca="1">IFERROR(__xludf.DUMMYFUNCTION("""COMPUTED_VALUE"""),"LM5AXBS")</f>
        <v>LM5AXBS</v>
      </c>
      <c r="K859" s="45" t="str">
        <f ca="1">IFERROR(__xludf.DUMMYFUNCTION("""COMPUTED_VALUE"""),"LM5AXBS-038426")</f>
        <v>LM5AXBS-038426</v>
      </c>
      <c r="L859" s="45">
        <f ca="1">IFERROR(__xludf.DUMMYFUNCTION("""COMPUTED_VALUE"""),4)</f>
        <v>4</v>
      </c>
      <c r="M859" s="45">
        <f ca="1">IFERROR(__xludf.DUMMYFUNCTION("""COMPUTED_VALUE"""),69)</f>
        <v>69</v>
      </c>
      <c r="N859" s="45">
        <f ca="1">IFERROR(__xludf.DUMMYFUNCTION("""COMPUTED_VALUE"""),37.79)</f>
        <v>37.79</v>
      </c>
      <c r="O859" s="45">
        <f ca="1">IFERROR(__xludf.DUMMYFUNCTION("""COMPUTED_VALUE"""),0.21)</f>
        <v>0.21</v>
      </c>
      <c r="P859" s="45" t="str">
        <f ca="1">IFERROR(__xludf.DUMMYFUNCTION("""COMPUTED_VALUE"""),"Colombo, LK")</f>
        <v>Colombo, LK</v>
      </c>
      <c r="Q859" s="45" t="str">
        <f ca="1">IFERROR(__xludf.DUMMYFUNCTION("""COMPUTED_VALUE"""),"New York, NY, US")</f>
        <v>New York, NY, US</v>
      </c>
      <c r="R859" s="44">
        <f ca="1">IFERROR(__xludf.DUMMYFUNCTION("""COMPUTED_VALUE"""),45838)</f>
        <v>45838</v>
      </c>
      <c r="S859" s="44">
        <f ca="1">IFERROR(__xludf.DUMMYFUNCTION("""COMPUTED_VALUE"""),45897)</f>
        <v>45897</v>
      </c>
      <c r="T859" s="45" t="str">
        <f ca="1">IFERROR(__xludf.DUMMYFUNCTION("""COMPUTED_VALUE"""),"Mississauga, ON, CA")</f>
        <v>Mississauga, ON, CA</v>
      </c>
      <c r="U859" s="45"/>
      <c r="V859" s="45"/>
      <c r="W859" s="45"/>
      <c r="X859" s="45"/>
      <c r="Y859" s="46">
        <f ca="1">IFERROR(__xludf.DUMMYFUNCTION("""COMPUTED_VALUE"""),45845)</f>
        <v>45845</v>
      </c>
      <c r="Z859" s="46">
        <f ca="1">IFERROR(__xludf.DUMMYFUNCTION("""COMPUTED_VALUE"""),45866)</f>
        <v>45866</v>
      </c>
      <c r="AA859" s="46">
        <f ca="1">IFERROR(__xludf.DUMMYFUNCTION("""COMPUTED_VALUE"""),45866)</f>
        <v>45866</v>
      </c>
      <c r="AB859" s="45" t="str">
        <f ca="1">IFERROR(__xludf.DUMMYFUNCTION("""COMPUTED_VALUE"""),"3500 Argentia Road")</f>
        <v>3500 Argentia Road</v>
      </c>
      <c r="AC859" s="45"/>
      <c r="AD859" s="45" t="str">
        <f ca="1">IFERROR(__xludf.DUMMYFUNCTION("""COMPUTED_VALUE"""),"OCEAN")</f>
        <v>OCEAN</v>
      </c>
      <c r="AE859" s="45" t="str">
        <f ca="1">IFERROR(__xludf.DUMMYFUNCTION("""COMPUTED_VALUE"""),"N")</f>
        <v>N</v>
      </c>
      <c r="AF859" s="45" t="str">
        <f ca="1">IFERROR(__xludf.DUMMYFUNCTION("""COMPUTED_VALUE"""),"New Booking")</f>
        <v>New Booking</v>
      </c>
      <c r="AG859" s="49" t="str">
        <f ca="1">IFERROR(__xludf.DUMMYFUNCTION("IFNA(vlookup(H859,IMPORTRANGE(""1vUGwO1n0QQGx9kKbO0_M5gmuhXZ6-LaxQxgrmJnzgP0"",""'TP# look up'!A:C""),3,0),"""")"),"")</f>
        <v/>
      </c>
      <c r="AH859" s="49" t="str">
        <f t="shared" ca="1" si="13"/>
        <v>LM</v>
      </c>
    </row>
    <row r="860" spans="1:34" ht="12.75">
      <c r="A860" s="45" t="str">
        <f ca="1">IFERROR(__xludf.DUMMYFUNCTION("""COMPUTED_VALUE"""),"Colombo")</f>
        <v>Colombo</v>
      </c>
      <c r="B860" s="45"/>
      <c r="C860" s="45">
        <f ca="1">IFERROR(__xludf.DUMMYFUNCTION("""COMPUTED_VALUE"""),3259528)</f>
        <v>3259528</v>
      </c>
      <c r="D860" s="45"/>
      <c r="E860" s="45" t="str">
        <f ca="1">IFERROR(__xludf.DUMMYFUNCTION("""COMPUTED_VALUE"""),"CFS")</f>
        <v>CFS</v>
      </c>
      <c r="F860" s="45" t="str">
        <f ca="1">IFERROR(__xludf.DUMMYFUNCTION("""COMPUTED_VALUE"""),"Inqube Global (PVT) Ltd")</f>
        <v>Inqube Global (PVT) Ltd</v>
      </c>
      <c r="G860" s="45" t="str">
        <f ca="1">IFERROR(__xludf.DUMMYFUNCTION("""COMPUTED_VALUE"""),"BRANDIX APPAREL SOLUTION LTD - GIRITALE")</f>
        <v>BRANDIX APPAREL SOLUTION LTD - GIRITALE</v>
      </c>
      <c r="H860" s="43">
        <f ca="1">IFERROR(__xludf.DUMMYFUNCTION("""COMPUTED_VALUE"""),456132849316)</f>
        <v>456132849316</v>
      </c>
      <c r="I860" s="45">
        <f ca="1">IFERROR(__xludf.DUMMYFUNCTION("""COMPUTED_VALUE"""),19856433)</f>
        <v>19856433</v>
      </c>
      <c r="J860" s="45" t="str">
        <f ca="1">IFERROR(__xludf.DUMMYFUNCTION("""COMPUTED_VALUE"""),"LM5AXBS")</f>
        <v>LM5AXBS</v>
      </c>
      <c r="K860" s="45" t="str">
        <f ca="1">IFERROR(__xludf.DUMMYFUNCTION("""COMPUTED_VALUE"""),"LM5AXBS-038426")</f>
        <v>LM5AXBS-038426</v>
      </c>
      <c r="L860" s="45">
        <f ca="1">IFERROR(__xludf.DUMMYFUNCTION("""COMPUTED_VALUE"""),8)</f>
        <v>8</v>
      </c>
      <c r="M860" s="45">
        <f ca="1">IFERROR(__xludf.DUMMYFUNCTION("""COMPUTED_VALUE"""),224)</f>
        <v>224</v>
      </c>
      <c r="N860" s="45">
        <f ca="1">IFERROR(__xludf.DUMMYFUNCTION("""COMPUTED_VALUE"""),118.93)</f>
        <v>118.93</v>
      </c>
      <c r="O860" s="45">
        <f ca="1">IFERROR(__xludf.DUMMYFUNCTION("""COMPUTED_VALUE"""),0.54)</f>
        <v>0.54</v>
      </c>
      <c r="P860" s="45" t="str">
        <f ca="1">IFERROR(__xludf.DUMMYFUNCTION("""COMPUTED_VALUE"""),"Colombo, LK")</f>
        <v>Colombo, LK</v>
      </c>
      <c r="Q860" s="45" t="str">
        <f ca="1">IFERROR(__xludf.DUMMYFUNCTION("""COMPUTED_VALUE"""),"New York, NY, US")</f>
        <v>New York, NY, US</v>
      </c>
      <c r="R860" s="44">
        <f ca="1">IFERROR(__xludf.DUMMYFUNCTION("""COMPUTED_VALUE"""),45838)</f>
        <v>45838</v>
      </c>
      <c r="S860" s="44">
        <f ca="1">IFERROR(__xludf.DUMMYFUNCTION("""COMPUTED_VALUE"""),45897)</f>
        <v>45897</v>
      </c>
      <c r="T860" s="45" t="str">
        <f ca="1">IFERROR(__xludf.DUMMYFUNCTION("""COMPUTED_VALUE"""),"Mississauga, ON, CA")</f>
        <v>Mississauga, ON, CA</v>
      </c>
      <c r="U860" s="45"/>
      <c r="V860" s="45"/>
      <c r="W860" s="45"/>
      <c r="X860" s="45"/>
      <c r="Y860" s="46">
        <f ca="1">IFERROR(__xludf.DUMMYFUNCTION("""COMPUTED_VALUE"""),45845)</f>
        <v>45845</v>
      </c>
      <c r="Z860" s="46">
        <f ca="1">IFERROR(__xludf.DUMMYFUNCTION("""COMPUTED_VALUE"""),45866)</f>
        <v>45866</v>
      </c>
      <c r="AA860" s="46">
        <f ca="1">IFERROR(__xludf.DUMMYFUNCTION("""COMPUTED_VALUE"""),45866)</f>
        <v>45866</v>
      </c>
      <c r="AB860" s="45" t="str">
        <f ca="1">IFERROR(__xludf.DUMMYFUNCTION("""COMPUTED_VALUE"""),"3500 Argentia Road")</f>
        <v>3500 Argentia Road</v>
      </c>
      <c r="AC860" s="45"/>
      <c r="AD860" s="45" t="str">
        <f ca="1">IFERROR(__xludf.DUMMYFUNCTION("""COMPUTED_VALUE"""),"OCEAN")</f>
        <v>OCEAN</v>
      </c>
      <c r="AE860" s="45" t="str">
        <f ca="1">IFERROR(__xludf.DUMMYFUNCTION("""COMPUTED_VALUE"""),"N")</f>
        <v>N</v>
      </c>
      <c r="AF860" s="45" t="str">
        <f ca="1">IFERROR(__xludf.DUMMYFUNCTION("""COMPUTED_VALUE"""),"New Booking")</f>
        <v>New Booking</v>
      </c>
      <c r="AG860" s="49" t="str">
        <f ca="1">IFERROR(__xludf.DUMMYFUNCTION("IFNA(vlookup(H860,IMPORTRANGE(""1vUGwO1n0QQGx9kKbO0_M5gmuhXZ6-LaxQxgrmJnzgP0"",""'TP# look up'!A:C""),3,0),"""")"),"")</f>
        <v/>
      </c>
      <c r="AH860" s="49" t="str">
        <f t="shared" ca="1" si="13"/>
        <v>LM</v>
      </c>
    </row>
    <row r="861" spans="1:34" ht="12.75">
      <c r="A861" s="45" t="str">
        <f ca="1">IFERROR(__xludf.DUMMYFUNCTION("""COMPUTED_VALUE"""),"Colombo")</f>
        <v>Colombo</v>
      </c>
      <c r="B861" s="45"/>
      <c r="C861" s="45">
        <f ca="1">IFERROR(__xludf.DUMMYFUNCTION("""COMPUTED_VALUE"""),3259528)</f>
        <v>3259528</v>
      </c>
      <c r="D861" s="45"/>
      <c r="E861" s="45" t="str">
        <f ca="1">IFERROR(__xludf.DUMMYFUNCTION("""COMPUTED_VALUE"""),"CFS")</f>
        <v>CFS</v>
      </c>
      <c r="F861" s="45" t="str">
        <f ca="1">IFERROR(__xludf.DUMMYFUNCTION("""COMPUTED_VALUE"""),"Inqube Global (PVT) Ltd")</f>
        <v>Inqube Global (PVT) Ltd</v>
      </c>
      <c r="G861" s="45" t="str">
        <f ca="1">IFERROR(__xludf.DUMMYFUNCTION("""COMPUTED_VALUE"""),"BRANDIX APPAREL SOLUTION LTD - GIRITALE")</f>
        <v>BRANDIX APPAREL SOLUTION LTD - GIRITALE</v>
      </c>
      <c r="H861" s="43">
        <f ca="1">IFERROR(__xludf.DUMMYFUNCTION("""COMPUTED_VALUE"""),456133120252)</f>
        <v>456133120252</v>
      </c>
      <c r="I861" s="45">
        <f ca="1">IFERROR(__xludf.DUMMYFUNCTION("""COMPUTED_VALUE"""),19855793)</f>
        <v>19855793</v>
      </c>
      <c r="J861" s="45" t="str">
        <f ca="1">IFERROR(__xludf.DUMMYFUNCTION("""COMPUTED_VALUE"""),"LM5AXBS")</f>
        <v>LM5AXBS</v>
      </c>
      <c r="K861" s="45" t="str">
        <f ca="1">IFERROR(__xludf.DUMMYFUNCTION("""COMPUTED_VALUE"""),"LM5AXBS-070108")</f>
        <v>LM5AXBS-070108</v>
      </c>
      <c r="L861" s="45">
        <f ca="1">IFERROR(__xludf.DUMMYFUNCTION("""COMPUTED_VALUE"""),4)</f>
        <v>4</v>
      </c>
      <c r="M861" s="45">
        <f ca="1">IFERROR(__xludf.DUMMYFUNCTION("""COMPUTED_VALUE"""),69)</f>
        <v>69</v>
      </c>
      <c r="N861" s="45">
        <f ca="1">IFERROR(__xludf.DUMMYFUNCTION("""COMPUTED_VALUE"""),37.79)</f>
        <v>37.79</v>
      </c>
      <c r="O861" s="45">
        <f ca="1">IFERROR(__xludf.DUMMYFUNCTION("""COMPUTED_VALUE"""),0.21)</f>
        <v>0.21</v>
      </c>
      <c r="P861" s="45" t="str">
        <f ca="1">IFERROR(__xludf.DUMMYFUNCTION("""COMPUTED_VALUE"""),"Colombo, LK")</f>
        <v>Colombo, LK</v>
      </c>
      <c r="Q861" s="45" t="str">
        <f ca="1">IFERROR(__xludf.DUMMYFUNCTION("""COMPUTED_VALUE"""),"New York, NY, US")</f>
        <v>New York, NY, US</v>
      </c>
      <c r="R861" s="44">
        <f ca="1">IFERROR(__xludf.DUMMYFUNCTION("""COMPUTED_VALUE"""),45838)</f>
        <v>45838</v>
      </c>
      <c r="S861" s="44">
        <f ca="1">IFERROR(__xludf.DUMMYFUNCTION("""COMPUTED_VALUE"""),45897)</f>
        <v>45897</v>
      </c>
      <c r="T861" s="45" t="str">
        <f ca="1">IFERROR(__xludf.DUMMYFUNCTION("""COMPUTED_VALUE"""),"Mississauga, ON, CA")</f>
        <v>Mississauga, ON, CA</v>
      </c>
      <c r="U861" s="45"/>
      <c r="V861" s="45"/>
      <c r="W861" s="45"/>
      <c r="X861" s="45"/>
      <c r="Y861" s="46">
        <f ca="1">IFERROR(__xludf.DUMMYFUNCTION("""COMPUTED_VALUE"""),45845)</f>
        <v>45845</v>
      </c>
      <c r="Z861" s="46">
        <f ca="1">IFERROR(__xludf.DUMMYFUNCTION("""COMPUTED_VALUE"""),45866)</f>
        <v>45866</v>
      </c>
      <c r="AA861" s="46">
        <f ca="1">IFERROR(__xludf.DUMMYFUNCTION("""COMPUTED_VALUE"""),45866)</f>
        <v>45866</v>
      </c>
      <c r="AB861" s="45" t="str">
        <f ca="1">IFERROR(__xludf.DUMMYFUNCTION("""COMPUTED_VALUE"""),"3500 Argentia Road")</f>
        <v>3500 Argentia Road</v>
      </c>
      <c r="AC861" s="45"/>
      <c r="AD861" s="45" t="str">
        <f ca="1">IFERROR(__xludf.DUMMYFUNCTION("""COMPUTED_VALUE"""),"OCEAN")</f>
        <v>OCEAN</v>
      </c>
      <c r="AE861" s="45" t="str">
        <f ca="1">IFERROR(__xludf.DUMMYFUNCTION("""COMPUTED_VALUE"""),"N")</f>
        <v>N</v>
      </c>
      <c r="AF861" s="45" t="str">
        <f ca="1">IFERROR(__xludf.DUMMYFUNCTION("""COMPUTED_VALUE"""),"New Booking")</f>
        <v>New Booking</v>
      </c>
      <c r="AG861" s="49" t="str">
        <f ca="1">IFERROR(__xludf.DUMMYFUNCTION("IFNA(vlookup(H861,IMPORTRANGE(""1vUGwO1n0QQGx9kKbO0_M5gmuhXZ6-LaxQxgrmJnzgP0"",""'TP# look up'!A:C""),3,0),"""")"),"")</f>
        <v/>
      </c>
      <c r="AH861" s="49" t="str">
        <f t="shared" ca="1" si="13"/>
        <v>LM</v>
      </c>
    </row>
    <row r="862" spans="1:34" ht="12.75">
      <c r="A862" s="45" t="str">
        <f ca="1">IFERROR(__xludf.DUMMYFUNCTION("""COMPUTED_VALUE"""),"Colombo")</f>
        <v>Colombo</v>
      </c>
      <c r="B862" s="45"/>
      <c r="C862" s="45">
        <f ca="1">IFERROR(__xludf.DUMMYFUNCTION("""COMPUTED_VALUE"""),3259528)</f>
        <v>3259528</v>
      </c>
      <c r="D862" s="45"/>
      <c r="E862" s="45" t="str">
        <f ca="1">IFERROR(__xludf.DUMMYFUNCTION("""COMPUTED_VALUE"""),"CFS")</f>
        <v>CFS</v>
      </c>
      <c r="F862" s="45" t="str">
        <f ca="1">IFERROR(__xludf.DUMMYFUNCTION("""COMPUTED_VALUE"""),"Inqube Global (PVT) Ltd")</f>
        <v>Inqube Global (PVT) Ltd</v>
      </c>
      <c r="G862" s="45" t="str">
        <f ca="1">IFERROR(__xludf.DUMMYFUNCTION("""COMPUTED_VALUE"""),"BRANDIX APPAREL SOLUTION LTD - GIRITALE")</f>
        <v>BRANDIX APPAREL SOLUTION LTD - GIRITALE</v>
      </c>
      <c r="H862" s="43">
        <f ca="1">IFERROR(__xludf.DUMMYFUNCTION("""COMPUTED_VALUE"""),456135450115)</f>
        <v>456135450115</v>
      </c>
      <c r="I862" s="45">
        <f ca="1">IFERROR(__xludf.DUMMYFUNCTION("""COMPUTED_VALUE"""),19856465)</f>
        <v>19856465</v>
      </c>
      <c r="J862" s="45" t="str">
        <f ca="1">IFERROR(__xludf.DUMMYFUNCTION("""COMPUTED_VALUE"""),"LM5AXBS")</f>
        <v>LM5AXBS</v>
      </c>
      <c r="K862" s="45" t="str">
        <f ca="1">IFERROR(__xludf.DUMMYFUNCTION("""COMPUTED_VALUE"""),"LM5AXBS-070108")</f>
        <v>LM5AXBS-070108</v>
      </c>
      <c r="L862" s="45">
        <f ca="1">IFERROR(__xludf.DUMMYFUNCTION("""COMPUTED_VALUE"""),3)</f>
        <v>3</v>
      </c>
      <c r="M862" s="45">
        <f ca="1">IFERROR(__xludf.DUMMYFUNCTION("""COMPUTED_VALUE"""),59)</f>
        <v>59</v>
      </c>
      <c r="N862" s="45">
        <f ca="1">IFERROR(__xludf.DUMMYFUNCTION("""COMPUTED_VALUE"""),32.07)</f>
        <v>32.07</v>
      </c>
      <c r="O862" s="45">
        <f ca="1">IFERROR(__xludf.DUMMYFUNCTION("""COMPUTED_VALUE"""),0.168)</f>
        <v>0.16800000000000001</v>
      </c>
      <c r="P862" s="45" t="str">
        <f ca="1">IFERROR(__xludf.DUMMYFUNCTION("""COMPUTED_VALUE"""),"Colombo, LK")</f>
        <v>Colombo, LK</v>
      </c>
      <c r="Q862" s="45" t="str">
        <f ca="1">IFERROR(__xludf.DUMMYFUNCTION("""COMPUTED_VALUE"""),"New York, NY, US")</f>
        <v>New York, NY, US</v>
      </c>
      <c r="R862" s="44">
        <f ca="1">IFERROR(__xludf.DUMMYFUNCTION("""COMPUTED_VALUE"""),45838)</f>
        <v>45838</v>
      </c>
      <c r="S862" s="44">
        <f ca="1">IFERROR(__xludf.DUMMYFUNCTION("""COMPUTED_VALUE"""),45897)</f>
        <v>45897</v>
      </c>
      <c r="T862" s="45" t="str">
        <f ca="1">IFERROR(__xludf.DUMMYFUNCTION("""COMPUTED_VALUE"""),"Mississauga, ON, CA")</f>
        <v>Mississauga, ON, CA</v>
      </c>
      <c r="U862" s="45"/>
      <c r="V862" s="45"/>
      <c r="W862" s="45"/>
      <c r="X862" s="45"/>
      <c r="Y862" s="46">
        <f ca="1">IFERROR(__xludf.DUMMYFUNCTION("""COMPUTED_VALUE"""),45845)</f>
        <v>45845</v>
      </c>
      <c r="Z862" s="46">
        <f ca="1">IFERROR(__xludf.DUMMYFUNCTION("""COMPUTED_VALUE"""),45866)</f>
        <v>45866</v>
      </c>
      <c r="AA862" s="46">
        <f ca="1">IFERROR(__xludf.DUMMYFUNCTION("""COMPUTED_VALUE"""),45866)</f>
        <v>45866</v>
      </c>
      <c r="AB862" s="45" t="str">
        <f ca="1">IFERROR(__xludf.DUMMYFUNCTION("""COMPUTED_VALUE"""),"3500 Argentia Road")</f>
        <v>3500 Argentia Road</v>
      </c>
      <c r="AC862" s="45"/>
      <c r="AD862" s="45" t="str">
        <f ca="1">IFERROR(__xludf.DUMMYFUNCTION("""COMPUTED_VALUE"""),"OCEAN")</f>
        <v>OCEAN</v>
      </c>
      <c r="AE862" s="45" t="str">
        <f ca="1">IFERROR(__xludf.DUMMYFUNCTION("""COMPUTED_VALUE"""),"N")</f>
        <v>N</v>
      </c>
      <c r="AF862" s="45" t="str">
        <f ca="1">IFERROR(__xludf.DUMMYFUNCTION("""COMPUTED_VALUE"""),"New Booking")</f>
        <v>New Booking</v>
      </c>
      <c r="AG862" s="49" t="str">
        <f ca="1">IFERROR(__xludf.DUMMYFUNCTION("IFNA(vlookup(H862,IMPORTRANGE(""1vUGwO1n0QQGx9kKbO0_M5gmuhXZ6-LaxQxgrmJnzgP0"",""'TP# look up'!A:C""),3,0),"""")"),"")</f>
        <v/>
      </c>
      <c r="AH862" s="49" t="str">
        <f t="shared" ca="1" si="13"/>
        <v>LM</v>
      </c>
    </row>
    <row r="863" spans="1:34" ht="12.75">
      <c r="A863" s="45" t="str">
        <f ca="1">IFERROR(__xludf.DUMMYFUNCTION("""COMPUTED_VALUE"""),"Colombo")</f>
        <v>Colombo</v>
      </c>
      <c r="B863" s="45"/>
      <c r="C863" s="45">
        <f ca="1">IFERROR(__xludf.DUMMYFUNCTION("""COMPUTED_VALUE"""),3259528)</f>
        <v>3259528</v>
      </c>
      <c r="D863" s="45"/>
      <c r="E863" s="45" t="str">
        <f ca="1">IFERROR(__xludf.DUMMYFUNCTION("""COMPUTED_VALUE"""),"CFS")</f>
        <v>CFS</v>
      </c>
      <c r="F863" s="45" t="str">
        <f ca="1">IFERROR(__xludf.DUMMYFUNCTION("""COMPUTED_VALUE"""),"Inqube Global (PVT) Ltd")</f>
        <v>Inqube Global (PVT) Ltd</v>
      </c>
      <c r="G863" s="45" t="str">
        <f ca="1">IFERROR(__xludf.DUMMYFUNCTION("""COMPUTED_VALUE"""),"BRANDIX APPAREL SOLUTION LTD - GIRITALE")</f>
        <v>BRANDIX APPAREL SOLUTION LTD - GIRITALE</v>
      </c>
      <c r="H863" s="43">
        <f ca="1">IFERROR(__xludf.DUMMYFUNCTION("""COMPUTED_VALUE"""),456135628203)</f>
        <v>456135628203</v>
      </c>
      <c r="I863" s="45">
        <f ca="1">IFERROR(__xludf.DUMMYFUNCTION("""COMPUTED_VALUE"""),19856461)</f>
        <v>19856461</v>
      </c>
      <c r="J863" s="45" t="str">
        <f ca="1">IFERROR(__xludf.DUMMYFUNCTION("""COMPUTED_VALUE"""),"LM5AXBS")</f>
        <v>LM5AXBS</v>
      </c>
      <c r="K863" s="45" t="str">
        <f ca="1">IFERROR(__xludf.DUMMYFUNCTION("""COMPUTED_VALUE"""),"LM5AXBS-070108")</f>
        <v>LM5AXBS-070108</v>
      </c>
      <c r="L863" s="45">
        <f ca="1">IFERROR(__xludf.DUMMYFUNCTION("""COMPUTED_VALUE"""),8)</f>
        <v>8</v>
      </c>
      <c r="M863" s="45">
        <f ca="1">IFERROR(__xludf.DUMMYFUNCTION("""COMPUTED_VALUE"""),184)</f>
        <v>184</v>
      </c>
      <c r="N863" s="45">
        <f ca="1">IFERROR(__xludf.DUMMYFUNCTION("""COMPUTED_VALUE"""),98.97)</f>
        <v>98.97</v>
      </c>
      <c r="O863" s="45">
        <f ca="1">IFERROR(__xludf.DUMMYFUNCTION("""COMPUTED_VALUE"""),0.54)</f>
        <v>0.54</v>
      </c>
      <c r="P863" s="45" t="str">
        <f ca="1">IFERROR(__xludf.DUMMYFUNCTION("""COMPUTED_VALUE"""),"Colombo, LK")</f>
        <v>Colombo, LK</v>
      </c>
      <c r="Q863" s="45" t="str">
        <f ca="1">IFERROR(__xludf.DUMMYFUNCTION("""COMPUTED_VALUE"""),"New York, NY, US")</f>
        <v>New York, NY, US</v>
      </c>
      <c r="R863" s="44">
        <f ca="1">IFERROR(__xludf.DUMMYFUNCTION("""COMPUTED_VALUE"""),45838)</f>
        <v>45838</v>
      </c>
      <c r="S863" s="44">
        <f ca="1">IFERROR(__xludf.DUMMYFUNCTION("""COMPUTED_VALUE"""),45897)</f>
        <v>45897</v>
      </c>
      <c r="T863" s="45" t="str">
        <f ca="1">IFERROR(__xludf.DUMMYFUNCTION("""COMPUTED_VALUE"""),"Mississauga, ON, CA")</f>
        <v>Mississauga, ON, CA</v>
      </c>
      <c r="U863" s="45"/>
      <c r="V863" s="45"/>
      <c r="W863" s="45"/>
      <c r="X863" s="45"/>
      <c r="Y863" s="46">
        <f ca="1">IFERROR(__xludf.DUMMYFUNCTION("""COMPUTED_VALUE"""),45845)</f>
        <v>45845</v>
      </c>
      <c r="Z863" s="46">
        <f ca="1">IFERROR(__xludf.DUMMYFUNCTION("""COMPUTED_VALUE"""),45866)</f>
        <v>45866</v>
      </c>
      <c r="AA863" s="46">
        <f ca="1">IFERROR(__xludf.DUMMYFUNCTION("""COMPUTED_VALUE"""),45866)</f>
        <v>45866</v>
      </c>
      <c r="AB863" s="45" t="str">
        <f ca="1">IFERROR(__xludf.DUMMYFUNCTION("""COMPUTED_VALUE"""),"3500 Argentia Road")</f>
        <v>3500 Argentia Road</v>
      </c>
      <c r="AC863" s="45"/>
      <c r="AD863" s="45" t="str">
        <f ca="1">IFERROR(__xludf.DUMMYFUNCTION("""COMPUTED_VALUE"""),"OCEAN")</f>
        <v>OCEAN</v>
      </c>
      <c r="AE863" s="45" t="str">
        <f ca="1">IFERROR(__xludf.DUMMYFUNCTION("""COMPUTED_VALUE"""),"N")</f>
        <v>N</v>
      </c>
      <c r="AF863" s="45" t="str">
        <f ca="1">IFERROR(__xludf.DUMMYFUNCTION("""COMPUTED_VALUE"""),"New Booking")</f>
        <v>New Booking</v>
      </c>
      <c r="AG863" s="49" t="str">
        <f ca="1">IFERROR(__xludf.DUMMYFUNCTION("IFNA(vlookup(H863,IMPORTRANGE(""1vUGwO1n0QQGx9kKbO0_M5gmuhXZ6-LaxQxgrmJnzgP0"",""'TP# look up'!A:C""),3,0),"""")"),"")</f>
        <v/>
      </c>
      <c r="AH863" s="49" t="str">
        <f t="shared" ca="1" si="13"/>
        <v>LM</v>
      </c>
    </row>
    <row r="864" spans="1:34" ht="12.75">
      <c r="A864" s="45" t="str">
        <f ca="1">IFERROR(__xludf.DUMMYFUNCTION("""COMPUTED_VALUE"""),"Colombo")</f>
        <v>Colombo</v>
      </c>
      <c r="B864" s="45"/>
      <c r="C864" s="45">
        <f ca="1">IFERROR(__xludf.DUMMYFUNCTION("""COMPUTED_VALUE"""),3259528)</f>
        <v>3259528</v>
      </c>
      <c r="D864" s="45"/>
      <c r="E864" s="45" t="str">
        <f ca="1">IFERROR(__xludf.DUMMYFUNCTION("""COMPUTED_VALUE"""),"CFS")</f>
        <v>CFS</v>
      </c>
      <c r="F864" s="45" t="str">
        <f ca="1">IFERROR(__xludf.DUMMYFUNCTION("""COMPUTED_VALUE"""),"Inqube Global (PVT) Ltd")</f>
        <v>Inqube Global (PVT) Ltd</v>
      </c>
      <c r="G864" s="45" t="str">
        <f ca="1">IFERROR(__xludf.DUMMYFUNCTION("""COMPUTED_VALUE"""),"BRANDIX APPAREL SOLUTION LTD - GIRITALE")</f>
        <v>BRANDIX APPAREL SOLUTION LTD - GIRITALE</v>
      </c>
      <c r="H864" s="43">
        <f ca="1">IFERROR(__xludf.DUMMYFUNCTION("""COMPUTED_VALUE"""),456137844133)</f>
        <v>456137844133</v>
      </c>
      <c r="I864" s="45">
        <f ca="1">IFERROR(__xludf.DUMMYFUNCTION("""COMPUTED_VALUE"""),19855783)</f>
        <v>19855783</v>
      </c>
      <c r="J864" s="45" t="str">
        <f ca="1">IFERROR(__xludf.DUMMYFUNCTION("""COMPUTED_VALUE"""),"LM5AXBS")</f>
        <v>LM5AXBS</v>
      </c>
      <c r="K864" s="45" t="str">
        <f ca="1">IFERROR(__xludf.DUMMYFUNCTION("""COMPUTED_VALUE"""),"LM5AXBS-071148")</f>
        <v>LM5AXBS-071148</v>
      </c>
      <c r="L864" s="45">
        <f ca="1">IFERROR(__xludf.DUMMYFUNCTION("""COMPUTED_VALUE"""),4)</f>
        <v>4</v>
      </c>
      <c r="M864" s="45">
        <f ca="1">IFERROR(__xludf.DUMMYFUNCTION("""COMPUTED_VALUE"""),69)</f>
        <v>69</v>
      </c>
      <c r="N864" s="45">
        <f ca="1">IFERROR(__xludf.DUMMYFUNCTION("""COMPUTED_VALUE"""),37.79)</f>
        <v>37.79</v>
      </c>
      <c r="O864" s="45">
        <f ca="1">IFERROR(__xludf.DUMMYFUNCTION("""COMPUTED_VALUE"""),0.21)</f>
        <v>0.21</v>
      </c>
      <c r="P864" s="45" t="str">
        <f ca="1">IFERROR(__xludf.DUMMYFUNCTION("""COMPUTED_VALUE"""),"Colombo, LK")</f>
        <v>Colombo, LK</v>
      </c>
      <c r="Q864" s="45" t="str">
        <f ca="1">IFERROR(__xludf.DUMMYFUNCTION("""COMPUTED_VALUE"""),"New York, NY, US")</f>
        <v>New York, NY, US</v>
      </c>
      <c r="R864" s="44">
        <f ca="1">IFERROR(__xludf.DUMMYFUNCTION("""COMPUTED_VALUE"""),45838)</f>
        <v>45838</v>
      </c>
      <c r="S864" s="44">
        <f ca="1">IFERROR(__xludf.DUMMYFUNCTION("""COMPUTED_VALUE"""),45897)</f>
        <v>45897</v>
      </c>
      <c r="T864" s="45" t="str">
        <f ca="1">IFERROR(__xludf.DUMMYFUNCTION("""COMPUTED_VALUE"""),"Mississauga, ON, CA")</f>
        <v>Mississauga, ON, CA</v>
      </c>
      <c r="U864" s="45"/>
      <c r="V864" s="45"/>
      <c r="W864" s="45"/>
      <c r="X864" s="45"/>
      <c r="Y864" s="46">
        <f ca="1">IFERROR(__xludf.DUMMYFUNCTION("""COMPUTED_VALUE"""),45845)</f>
        <v>45845</v>
      </c>
      <c r="Z864" s="46">
        <f ca="1">IFERROR(__xludf.DUMMYFUNCTION("""COMPUTED_VALUE"""),45866)</f>
        <v>45866</v>
      </c>
      <c r="AA864" s="46">
        <f ca="1">IFERROR(__xludf.DUMMYFUNCTION("""COMPUTED_VALUE"""),45866)</f>
        <v>45866</v>
      </c>
      <c r="AB864" s="45" t="str">
        <f ca="1">IFERROR(__xludf.DUMMYFUNCTION("""COMPUTED_VALUE"""),"3500 Argentia Road")</f>
        <v>3500 Argentia Road</v>
      </c>
      <c r="AC864" s="45"/>
      <c r="AD864" s="45" t="str">
        <f ca="1">IFERROR(__xludf.DUMMYFUNCTION("""COMPUTED_VALUE"""),"OCEAN")</f>
        <v>OCEAN</v>
      </c>
      <c r="AE864" s="45" t="str">
        <f ca="1">IFERROR(__xludf.DUMMYFUNCTION("""COMPUTED_VALUE"""),"N")</f>
        <v>N</v>
      </c>
      <c r="AF864" s="45" t="str">
        <f ca="1">IFERROR(__xludf.DUMMYFUNCTION("""COMPUTED_VALUE"""),"New Booking")</f>
        <v>New Booking</v>
      </c>
      <c r="AG864" s="49" t="str">
        <f ca="1">IFERROR(__xludf.DUMMYFUNCTION("IFNA(vlookup(H864,IMPORTRANGE(""1vUGwO1n0QQGx9kKbO0_M5gmuhXZ6-LaxQxgrmJnzgP0"",""'TP# look up'!A:C""),3,0),"""")"),"")</f>
        <v/>
      </c>
      <c r="AH864" s="49" t="str">
        <f t="shared" ca="1" si="13"/>
        <v>LM</v>
      </c>
    </row>
    <row r="865" spans="1:34" ht="12.75">
      <c r="A865" s="45" t="str">
        <f ca="1">IFERROR(__xludf.DUMMYFUNCTION("""COMPUTED_VALUE"""),"Colombo")</f>
        <v>Colombo</v>
      </c>
      <c r="B865" s="45"/>
      <c r="C865" s="45">
        <f ca="1">IFERROR(__xludf.DUMMYFUNCTION("""COMPUTED_VALUE"""),3259528)</f>
        <v>3259528</v>
      </c>
      <c r="D865" s="45"/>
      <c r="E865" s="45" t="str">
        <f ca="1">IFERROR(__xludf.DUMMYFUNCTION("""COMPUTED_VALUE"""),"CFS")</f>
        <v>CFS</v>
      </c>
      <c r="F865" s="45" t="str">
        <f ca="1">IFERROR(__xludf.DUMMYFUNCTION("""COMPUTED_VALUE"""),"Inqube Global (PVT) Ltd")</f>
        <v>Inqube Global (PVT) Ltd</v>
      </c>
      <c r="G865" s="45" t="str">
        <f ca="1">IFERROR(__xludf.DUMMYFUNCTION("""COMPUTED_VALUE"""),"BRANDIX APPAREL SOLUTION LTD - GIRITALE")</f>
        <v>BRANDIX APPAREL SOLUTION LTD - GIRITALE</v>
      </c>
      <c r="H865" s="43">
        <f ca="1">IFERROR(__xludf.DUMMYFUNCTION("""COMPUTED_VALUE"""),456139212207)</f>
        <v>456139212207</v>
      </c>
      <c r="I865" s="45">
        <f ca="1">IFERROR(__xludf.DUMMYFUNCTION("""COMPUTED_VALUE"""),19855805)</f>
        <v>19855805</v>
      </c>
      <c r="J865" s="45" t="str">
        <f ca="1">IFERROR(__xludf.DUMMYFUNCTION("""COMPUTED_VALUE"""),"LM5B67S")</f>
        <v>LM5B67S</v>
      </c>
      <c r="K865" s="45" t="str">
        <f ca="1">IFERROR(__xludf.DUMMYFUNCTION("""COMPUTED_VALUE"""),"LM5B67S-019222")</f>
        <v>LM5B67S-019222</v>
      </c>
      <c r="L865" s="45">
        <f ca="1">IFERROR(__xludf.DUMMYFUNCTION("""COMPUTED_VALUE"""),7)</f>
        <v>7</v>
      </c>
      <c r="M865" s="45">
        <f ca="1">IFERROR(__xludf.DUMMYFUNCTION("""COMPUTED_VALUE"""),185)</f>
        <v>185</v>
      </c>
      <c r="N865" s="45">
        <f ca="1">IFERROR(__xludf.DUMMYFUNCTION("""COMPUTED_VALUE"""),97.07)</f>
        <v>97.07</v>
      </c>
      <c r="O865" s="45">
        <f ca="1">IFERROR(__xludf.DUMMYFUNCTION("""COMPUTED_VALUE"""),0.498)</f>
        <v>0.498</v>
      </c>
      <c r="P865" s="45" t="str">
        <f ca="1">IFERROR(__xludf.DUMMYFUNCTION("""COMPUTED_VALUE"""),"Colombo, LK")</f>
        <v>Colombo, LK</v>
      </c>
      <c r="Q865" s="45" t="str">
        <f ca="1">IFERROR(__xludf.DUMMYFUNCTION("""COMPUTED_VALUE"""),"New York, NY, US")</f>
        <v>New York, NY, US</v>
      </c>
      <c r="R865" s="44">
        <f ca="1">IFERROR(__xludf.DUMMYFUNCTION("""COMPUTED_VALUE"""),45838)</f>
        <v>45838</v>
      </c>
      <c r="S865" s="44">
        <f ca="1">IFERROR(__xludf.DUMMYFUNCTION("""COMPUTED_VALUE"""),45897)</f>
        <v>45897</v>
      </c>
      <c r="T865" s="45" t="str">
        <f ca="1">IFERROR(__xludf.DUMMYFUNCTION("""COMPUTED_VALUE"""),"Mississauga, ON, CA")</f>
        <v>Mississauga, ON, CA</v>
      </c>
      <c r="U865" s="45"/>
      <c r="V865" s="45"/>
      <c r="W865" s="45"/>
      <c r="X865" s="45"/>
      <c r="Y865" s="46">
        <f ca="1">IFERROR(__xludf.DUMMYFUNCTION("""COMPUTED_VALUE"""),45845)</f>
        <v>45845</v>
      </c>
      <c r="Z865" s="46">
        <f ca="1">IFERROR(__xludf.DUMMYFUNCTION("""COMPUTED_VALUE"""),45866)</f>
        <v>45866</v>
      </c>
      <c r="AA865" s="46">
        <f ca="1">IFERROR(__xludf.DUMMYFUNCTION("""COMPUTED_VALUE"""),45866)</f>
        <v>45866</v>
      </c>
      <c r="AB865" s="45" t="str">
        <f ca="1">IFERROR(__xludf.DUMMYFUNCTION("""COMPUTED_VALUE"""),"3500 Argentia Road")</f>
        <v>3500 Argentia Road</v>
      </c>
      <c r="AC865" s="45"/>
      <c r="AD865" s="45" t="str">
        <f ca="1">IFERROR(__xludf.DUMMYFUNCTION("""COMPUTED_VALUE"""),"OCEAN")</f>
        <v>OCEAN</v>
      </c>
      <c r="AE865" s="45" t="str">
        <f ca="1">IFERROR(__xludf.DUMMYFUNCTION("""COMPUTED_VALUE"""),"N")</f>
        <v>N</v>
      </c>
      <c r="AF865"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5" s="49" t="str">
        <f ca="1">IFERROR(__xludf.DUMMYFUNCTION("IFNA(vlookup(H865,IMPORTRANGE(""1vUGwO1n0QQGx9kKbO0_M5gmuhXZ6-LaxQxgrmJnzgP0"",""'TP# look up'!A:C""),3,0),"""")"),"")</f>
        <v/>
      </c>
      <c r="AH865" s="49" t="str">
        <f t="shared" ca="1" si="13"/>
        <v>LM</v>
      </c>
    </row>
    <row r="866" spans="1:34" ht="12.75">
      <c r="A866" s="45" t="str">
        <f ca="1">IFERROR(__xludf.DUMMYFUNCTION("""COMPUTED_VALUE"""),"Colombo")</f>
        <v>Colombo</v>
      </c>
      <c r="B866" s="45"/>
      <c r="C866" s="45">
        <f ca="1">IFERROR(__xludf.DUMMYFUNCTION("""COMPUTED_VALUE"""),3259528)</f>
        <v>3259528</v>
      </c>
      <c r="D866" s="45"/>
      <c r="E866" s="45" t="str">
        <f ca="1">IFERROR(__xludf.DUMMYFUNCTION("""COMPUTED_VALUE"""),"CFS")</f>
        <v>CFS</v>
      </c>
      <c r="F866" s="45" t="str">
        <f ca="1">IFERROR(__xludf.DUMMYFUNCTION("""COMPUTED_VALUE"""),"Inqube Global (PVT) Ltd")</f>
        <v>Inqube Global (PVT) Ltd</v>
      </c>
      <c r="G866" s="45" t="str">
        <f ca="1">IFERROR(__xludf.DUMMYFUNCTION("""COMPUTED_VALUE"""),"BRANDIX APPAREL SOLUTION LTD - GIRITALE")</f>
        <v>BRANDIX APPAREL SOLUTION LTD - GIRITALE</v>
      </c>
      <c r="H866" s="43">
        <f ca="1">IFERROR(__xludf.DUMMYFUNCTION("""COMPUTED_VALUE"""),456140157896)</f>
        <v>456140157896</v>
      </c>
      <c r="I866" s="45">
        <f ca="1">IFERROR(__xludf.DUMMYFUNCTION("""COMPUTED_VALUE"""),19856425)</f>
        <v>19856425</v>
      </c>
      <c r="J866" s="45" t="str">
        <f ca="1">IFERROR(__xludf.DUMMYFUNCTION("""COMPUTED_VALUE"""),"LM5AXBS")</f>
        <v>LM5AXBS</v>
      </c>
      <c r="K866" s="45" t="str">
        <f ca="1">IFERROR(__xludf.DUMMYFUNCTION("""COMPUTED_VALUE"""),"LM5AXBS-071148")</f>
        <v>LM5AXBS-071148</v>
      </c>
      <c r="L866" s="45">
        <f ca="1">IFERROR(__xludf.DUMMYFUNCTION("""COMPUTED_VALUE"""),8)</f>
        <v>8</v>
      </c>
      <c r="M866" s="45">
        <f ca="1">IFERROR(__xludf.DUMMYFUNCTION("""COMPUTED_VALUE"""),208)</f>
        <v>208</v>
      </c>
      <c r="N866" s="45">
        <f ca="1">IFERROR(__xludf.DUMMYFUNCTION("""COMPUTED_VALUE"""),111.01)</f>
        <v>111.01</v>
      </c>
      <c r="O866" s="45">
        <f ca="1">IFERROR(__xludf.DUMMYFUNCTION("""COMPUTED_VALUE"""),0.54)</f>
        <v>0.54</v>
      </c>
      <c r="P866" s="45" t="str">
        <f ca="1">IFERROR(__xludf.DUMMYFUNCTION("""COMPUTED_VALUE"""),"Colombo, LK")</f>
        <v>Colombo, LK</v>
      </c>
      <c r="Q866" s="45" t="str">
        <f ca="1">IFERROR(__xludf.DUMMYFUNCTION("""COMPUTED_VALUE"""),"New York, NY, US")</f>
        <v>New York, NY, US</v>
      </c>
      <c r="R866" s="44">
        <f ca="1">IFERROR(__xludf.DUMMYFUNCTION("""COMPUTED_VALUE"""),45838)</f>
        <v>45838</v>
      </c>
      <c r="S866" s="44">
        <f ca="1">IFERROR(__xludf.DUMMYFUNCTION("""COMPUTED_VALUE"""),45897)</f>
        <v>45897</v>
      </c>
      <c r="T866" s="45" t="str">
        <f ca="1">IFERROR(__xludf.DUMMYFUNCTION("""COMPUTED_VALUE"""),"Mississauga, ON, CA")</f>
        <v>Mississauga, ON, CA</v>
      </c>
      <c r="U866" s="45"/>
      <c r="V866" s="45"/>
      <c r="W866" s="45"/>
      <c r="X866" s="45"/>
      <c r="Y866" s="46">
        <f ca="1">IFERROR(__xludf.DUMMYFUNCTION("""COMPUTED_VALUE"""),45845)</f>
        <v>45845</v>
      </c>
      <c r="Z866" s="46">
        <f ca="1">IFERROR(__xludf.DUMMYFUNCTION("""COMPUTED_VALUE"""),45866)</f>
        <v>45866</v>
      </c>
      <c r="AA866" s="46">
        <f ca="1">IFERROR(__xludf.DUMMYFUNCTION("""COMPUTED_VALUE"""),45866)</f>
        <v>45866</v>
      </c>
      <c r="AB866" s="45" t="str">
        <f ca="1">IFERROR(__xludf.DUMMYFUNCTION("""COMPUTED_VALUE"""),"3500 Argentia Road")</f>
        <v>3500 Argentia Road</v>
      </c>
      <c r="AC866" s="45"/>
      <c r="AD866" s="45" t="str">
        <f ca="1">IFERROR(__xludf.DUMMYFUNCTION("""COMPUTED_VALUE"""),"OCEAN")</f>
        <v>OCEAN</v>
      </c>
      <c r="AE866" s="45" t="str">
        <f ca="1">IFERROR(__xludf.DUMMYFUNCTION("""COMPUTED_VALUE"""),"N")</f>
        <v>N</v>
      </c>
      <c r="AF866" s="45" t="str">
        <f ca="1">IFERROR(__xludf.DUMMYFUNCTION("""COMPUTED_VALUE"""),"New Booking")</f>
        <v>New Booking</v>
      </c>
      <c r="AG866" s="49" t="str">
        <f ca="1">IFERROR(__xludf.DUMMYFUNCTION("IFNA(vlookup(H866,IMPORTRANGE(""1vUGwO1n0QQGx9kKbO0_M5gmuhXZ6-LaxQxgrmJnzgP0"",""'TP# look up'!A:C""),3,0),"""")"),"")</f>
        <v/>
      </c>
      <c r="AH866" s="49" t="str">
        <f t="shared" ca="1" si="13"/>
        <v>LM</v>
      </c>
    </row>
    <row r="867" spans="1:34" ht="12.75">
      <c r="A867" s="45" t="str">
        <f ca="1">IFERROR(__xludf.DUMMYFUNCTION("""COMPUTED_VALUE"""),"Colombo")</f>
        <v>Colombo</v>
      </c>
      <c r="B867" s="45"/>
      <c r="C867" s="45">
        <f ca="1">IFERROR(__xludf.DUMMYFUNCTION("""COMPUTED_VALUE"""),3259528)</f>
        <v>3259528</v>
      </c>
      <c r="D867" s="45"/>
      <c r="E867" s="45" t="str">
        <f ca="1">IFERROR(__xludf.DUMMYFUNCTION("""COMPUTED_VALUE"""),"CFS")</f>
        <v>CFS</v>
      </c>
      <c r="F867" s="45" t="str">
        <f ca="1">IFERROR(__xludf.DUMMYFUNCTION("""COMPUTED_VALUE"""),"Inqube Global (PVT) Ltd")</f>
        <v>Inqube Global (PVT) Ltd</v>
      </c>
      <c r="G867" s="45" t="str">
        <f ca="1">IFERROR(__xludf.DUMMYFUNCTION("""COMPUTED_VALUE"""),"BRANDIX APPAREL SOLUTION LTD - GIRITALE")</f>
        <v>BRANDIX APPAREL SOLUTION LTD - GIRITALE</v>
      </c>
      <c r="H867" s="43">
        <f ca="1">IFERROR(__xludf.DUMMYFUNCTION("""COMPUTED_VALUE"""),456169217651)</f>
        <v>456169217651</v>
      </c>
      <c r="I867" s="45">
        <f ca="1">IFERROR(__xludf.DUMMYFUNCTION("""COMPUTED_VALUE"""),19856509)</f>
        <v>19856509</v>
      </c>
      <c r="J867" s="45" t="str">
        <f ca="1">IFERROR(__xludf.DUMMYFUNCTION("""COMPUTED_VALUE"""),"LM5B67S")</f>
        <v>LM5B67S</v>
      </c>
      <c r="K867" s="45" t="str">
        <f ca="1">IFERROR(__xludf.DUMMYFUNCTION("""COMPUTED_VALUE"""),"LM5B67S-019222")</f>
        <v>LM5B67S-019222</v>
      </c>
      <c r="L867" s="45">
        <f ca="1">IFERROR(__xludf.DUMMYFUNCTION("""COMPUTED_VALUE"""),23)</f>
        <v>23</v>
      </c>
      <c r="M867" s="45">
        <f ca="1">IFERROR(__xludf.DUMMYFUNCTION("""COMPUTED_VALUE"""),823)</f>
        <v>823</v>
      </c>
      <c r="N867" s="45">
        <f ca="1">IFERROR(__xludf.DUMMYFUNCTION("""COMPUTED_VALUE"""),424.87)</f>
        <v>424.87</v>
      </c>
      <c r="O867" s="45">
        <f ca="1">IFERROR(__xludf.DUMMYFUNCTION("""COMPUTED_VALUE"""),1.818)</f>
        <v>1.8180000000000001</v>
      </c>
      <c r="P867" s="45" t="str">
        <f ca="1">IFERROR(__xludf.DUMMYFUNCTION("""COMPUTED_VALUE"""),"Colombo, LK")</f>
        <v>Colombo, LK</v>
      </c>
      <c r="Q867" s="45" t="str">
        <f ca="1">IFERROR(__xludf.DUMMYFUNCTION("""COMPUTED_VALUE"""),"New York, NY, US")</f>
        <v>New York, NY, US</v>
      </c>
      <c r="R867" s="44">
        <f ca="1">IFERROR(__xludf.DUMMYFUNCTION("""COMPUTED_VALUE"""),45838)</f>
        <v>45838</v>
      </c>
      <c r="S867" s="44">
        <f ca="1">IFERROR(__xludf.DUMMYFUNCTION("""COMPUTED_VALUE"""),45897)</f>
        <v>45897</v>
      </c>
      <c r="T867" s="45" t="str">
        <f ca="1">IFERROR(__xludf.DUMMYFUNCTION("""COMPUTED_VALUE"""),"Mississauga, ON, CA")</f>
        <v>Mississauga, ON, CA</v>
      </c>
      <c r="U867" s="45"/>
      <c r="V867" s="45"/>
      <c r="W867" s="45"/>
      <c r="X867" s="45"/>
      <c r="Y867" s="46">
        <f ca="1">IFERROR(__xludf.DUMMYFUNCTION("""COMPUTED_VALUE"""),45845)</f>
        <v>45845</v>
      </c>
      <c r="Z867" s="46">
        <f ca="1">IFERROR(__xludf.DUMMYFUNCTION("""COMPUTED_VALUE"""),45866)</f>
        <v>45866</v>
      </c>
      <c r="AA867" s="46">
        <f ca="1">IFERROR(__xludf.DUMMYFUNCTION("""COMPUTED_VALUE"""),45866)</f>
        <v>45866</v>
      </c>
      <c r="AB867" s="45" t="str">
        <f ca="1">IFERROR(__xludf.DUMMYFUNCTION("""COMPUTED_VALUE"""),"3500 Argentia Road")</f>
        <v>3500 Argentia Road</v>
      </c>
      <c r="AC867" s="45"/>
      <c r="AD867" s="45" t="str">
        <f ca="1">IFERROR(__xludf.DUMMYFUNCTION("""COMPUTED_VALUE"""),"OCEAN")</f>
        <v>OCEAN</v>
      </c>
      <c r="AE867" s="45" t="str">
        <f ca="1">IFERROR(__xludf.DUMMYFUNCTION("""COMPUTED_VALUE"""),"N")</f>
        <v>N</v>
      </c>
      <c r="AF867"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7" s="49" t="str">
        <f ca="1">IFERROR(__xludf.DUMMYFUNCTION("IFNA(vlookup(H867,IMPORTRANGE(""1vUGwO1n0QQGx9kKbO0_M5gmuhXZ6-LaxQxgrmJnzgP0"",""'TP# look up'!A:C""),3,0),"""")"),"")</f>
        <v/>
      </c>
      <c r="AH867" s="49" t="str">
        <f t="shared" ca="1" si="13"/>
        <v>LM</v>
      </c>
    </row>
    <row r="868" spans="1:34" ht="12.75">
      <c r="A868" s="45" t="str">
        <f ca="1">IFERROR(__xludf.DUMMYFUNCTION("""COMPUTED_VALUE"""),"Colombo")</f>
        <v>Colombo</v>
      </c>
      <c r="B868" s="45"/>
      <c r="C868" s="45">
        <f ca="1">IFERROR(__xludf.DUMMYFUNCTION("""COMPUTED_VALUE"""),3259528)</f>
        <v>3259528</v>
      </c>
      <c r="D868" s="45"/>
      <c r="E868" s="45" t="str">
        <f ca="1">IFERROR(__xludf.DUMMYFUNCTION("""COMPUTED_VALUE"""),"CFS")</f>
        <v>CFS</v>
      </c>
      <c r="F868" s="45" t="str">
        <f ca="1">IFERROR(__xludf.DUMMYFUNCTION("""COMPUTED_VALUE"""),"Inqube Global (PVT) Ltd")</f>
        <v>Inqube Global (PVT) Ltd</v>
      </c>
      <c r="G868" s="45" t="str">
        <f ca="1">IFERROR(__xludf.DUMMYFUNCTION("""COMPUTED_VALUE"""),"BRANDIX APPAREL SOLUTION LTD - GIRITALE")</f>
        <v>BRANDIX APPAREL SOLUTION LTD - GIRITALE</v>
      </c>
      <c r="H868" s="43">
        <f ca="1">IFERROR(__xludf.DUMMYFUNCTION("""COMPUTED_VALUE"""),456169397620)</f>
        <v>456169397620</v>
      </c>
      <c r="I868" s="45">
        <f ca="1">IFERROR(__xludf.DUMMYFUNCTION("""COMPUTED_VALUE"""),19856513)</f>
        <v>19856513</v>
      </c>
      <c r="J868" s="45" t="str">
        <f ca="1">IFERROR(__xludf.DUMMYFUNCTION("""COMPUTED_VALUE"""),"LM5B67S")</f>
        <v>LM5B67S</v>
      </c>
      <c r="K868" s="45" t="str">
        <f ca="1">IFERROR(__xludf.DUMMYFUNCTION("""COMPUTED_VALUE"""),"LM5B67S-019222")</f>
        <v>LM5B67S-019222</v>
      </c>
      <c r="L868" s="45">
        <f ca="1">IFERROR(__xludf.DUMMYFUNCTION("""COMPUTED_VALUE"""),8)</f>
        <v>8</v>
      </c>
      <c r="M868" s="45">
        <f ca="1">IFERROR(__xludf.DUMMYFUNCTION("""COMPUTED_VALUE"""),250)</f>
        <v>250</v>
      </c>
      <c r="N868" s="45">
        <f ca="1">IFERROR(__xludf.DUMMYFUNCTION("""COMPUTED_VALUE"""),129.95)</f>
        <v>129.94999999999999</v>
      </c>
      <c r="O868" s="45">
        <f ca="1">IFERROR(__xludf.DUMMYFUNCTION("""COMPUTED_VALUE"""),0.62)</f>
        <v>0.62</v>
      </c>
      <c r="P868" s="45" t="str">
        <f ca="1">IFERROR(__xludf.DUMMYFUNCTION("""COMPUTED_VALUE"""),"Colombo, LK")</f>
        <v>Colombo, LK</v>
      </c>
      <c r="Q868" s="45" t="str">
        <f ca="1">IFERROR(__xludf.DUMMYFUNCTION("""COMPUTED_VALUE"""),"New York, NY, US")</f>
        <v>New York, NY, US</v>
      </c>
      <c r="R868" s="44">
        <f ca="1">IFERROR(__xludf.DUMMYFUNCTION("""COMPUTED_VALUE"""),45838)</f>
        <v>45838</v>
      </c>
      <c r="S868" s="44">
        <f ca="1">IFERROR(__xludf.DUMMYFUNCTION("""COMPUTED_VALUE"""),45897)</f>
        <v>45897</v>
      </c>
      <c r="T868" s="45" t="str">
        <f ca="1">IFERROR(__xludf.DUMMYFUNCTION("""COMPUTED_VALUE"""),"Mississauga, ON, CA")</f>
        <v>Mississauga, ON, CA</v>
      </c>
      <c r="U868" s="45"/>
      <c r="V868" s="45"/>
      <c r="W868" s="45"/>
      <c r="X868" s="45"/>
      <c r="Y868" s="46">
        <f ca="1">IFERROR(__xludf.DUMMYFUNCTION("""COMPUTED_VALUE"""),45845)</f>
        <v>45845</v>
      </c>
      <c r="Z868" s="46">
        <f ca="1">IFERROR(__xludf.DUMMYFUNCTION("""COMPUTED_VALUE"""),45866)</f>
        <v>45866</v>
      </c>
      <c r="AA868" s="46">
        <f ca="1">IFERROR(__xludf.DUMMYFUNCTION("""COMPUTED_VALUE"""),45866)</f>
        <v>45866</v>
      </c>
      <c r="AB868" s="45" t="str">
        <f ca="1">IFERROR(__xludf.DUMMYFUNCTION("""COMPUTED_VALUE"""),"3500 Argentia Road")</f>
        <v>3500 Argentia Road</v>
      </c>
      <c r="AC868" s="45"/>
      <c r="AD868" s="45" t="str">
        <f ca="1">IFERROR(__xludf.DUMMYFUNCTION("""COMPUTED_VALUE"""),"OCEAN")</f>
        <v>OCEAN</v>
      </c>
      <c r="AE868" s="45" t="str">
        <f ca="1">IFERROR(__xludf.DUMMYFUNCTION("""COMPUTED_VALUE"""),"N")</f>
        <v>N</v>
      </c>
      <c r="AF868"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8" s="49" t="str">
        <f ca="1">IFERROR(__xludf.DUMMYFUNCTION("IFNA(vlookup(H868,IMPORTRANGE(""1vUGwO1n0QQGx9kKbO0_M5gmuhXZ6-LaxQxgrmJnzgP0"",""'TP# look up'!A:C""),3,0),"""")"),"")</f>
        <v/>
      </c>
      <c r="AH868" s="49" t="str">
        <f t="shared" ca="1" si="13"/>
        <v>LM</v>
      </c>
    </row>
    <row r="869" spans="1:34" ht="12.75">
      <c r="A869" s="45" t="str">
        <f ca="1">IFERROR(__xludf.DUMMYFUNCTION("""COMPUTED_VALUE"""),"Colombo")</f>
        <v>Colombo</v>
      </c>
      <c r="B869" s="45"/>
      <c r="C869" s="45">
        <f ca="1">IFERROR(__xludf.DUMMYFUNCTION("""COMPUTED_VALUE"""),3259528)</f>
        <v>3259528</v>
      </c>
      <c r="D869" s="45"/>
      <c r="E869" s="45" t="str">
        <f ca="1">IFERROR(__xludf.DUMMYFUNCTION("""COMPUTED_VALUE"""),"CFS")</f>
        <v>CFS</v>
      </c>
      <c r="F869" s="45" t="str">
        <f ca="1">IFERROR(__xludf.DUMMYFUNCTION("""COMPUTED_VALUE"""),"Inqube Global (PVT) Ltd")</f>
        <v>Inqube Global (PVT) Ltd</v>
      </c>
      <c r="G869" s="45" t="str">
        <f ca="1">IFERROR(__xludf.DUMMYFUNCTION("""COMPUTED_VALUE"""),"BRANDIX APPAREL SOLUTION LTD - GIRITALE")</f>
        <v>BRANDIX APPAREL SOLUTION LTD - GIRITALE</v>
      </c>
      <c r="H869" s="43">
        <f ca="1">IFERROR(__xludf.DUMMYFUNCTION("""COMPUTED_VALUE"""),456174906486)</f>
        <v>456174906486</v>
      </c>
      <c r="I869" s="45">
        <f ca="1">IFERROR(__xludf.DUMMYFUNCTION("""COMPUTED_VALUE"""),19855796)</f>
        <v>19855796</v>
      </c>
      <c r="J869" s="45" t="str">
        <f ca="1">IFERROR(__xludf.DUMMYFUNCTION("""COMPUTED_VALUE"""),"LM5B67S")</f>
        <v>LM5B67S</v>
      </c>
      <c r="K869" s="45" t="str">
        <f ca="1">IFERROR(__xludf.DUMMYFUNCTION("""COMPUTED_VALUE"""),"LM5B67S-033454")</f>
        <v>LM5B67S-033454</v>
      </c>
      <c r="L869" s="45">
        <f ca="1">IFERROR(__xludf.DUMMYFUNCTION("""COMPUTED_VALUE"""),2)</f>
        <v>2</v>
      </c>
      <c r="M869" s="45">
        <f ca="1">IFERROR(__xludf.DUMMYFUNCTION("""COMPUTED_VALUE"""),44)</f>
        <v>44</v>
      </c>
      <c r="N869" s="45">
        <f ca="1">IFERROR(__xludf.DUMMYFUNCTION("""COMPUTED_VALUE"""),23.29)</f>
        <v>23.29</v>
      </c>
      <c r="O869" s="45">
        <f ca="1">IFERROR(__xludf.DUMMYFUNCTION("""COMPUTED_VALUE"""),0.125)</f>
        <v>0.125</v>
      </c>
      <c r="P869" s="45" t="str">
        <f ca="1">IFERROR(__xludf.DUMMYFUNCTION("""COMPUTED_VALUE"""),"Colombo, LK")</f>
        <v>Colombo, LK</v>
      </c>
      <c r="Q869" s="45" t="str">
        <f ca="1">IFERROR(__xludf.DUMMYFUNCTION("""COMPUTED_VALUE"""),"New York, NY, US")</f>
        <v>New York, NY, US</v>
      </c>
      <c r="R869" s="44">
        <f ca="1">IFERROR(__xludf.DUMMYFUNCTION("""COMPUTED_VALUE"""),45838)</f>
        <v>45838</v>
      </c>
      <c r="S869" s="44">
        <f ca="1">IFERROR(__xludf.DUMMYFUNCTION("""COMPUTED_VALUE"""),45897)</f>
        <v>45897</v>
      </c>
      <c r="T869" s="45" t="str">
        <f ca="1">IFERROR(__xludf.DUMMYFUNCTION("""COMPUTED_VALUE"""),"Mississauga, ON, CA")</f>
        <v>Mississauga, ON, CA</v>
      </c>
      <c r="U869" s="45"/>
      <c r="V869" s="45"/>
      <c r="W869" s="45"/>
      <c r="X869" s="45"/>
      <c r="Y869" s="46">
        <f ca="1">IFERROR(__xludf.DUMMYFUNCTION("""COMPUTED_VALUE"""),45845)</f>
        <v>45845</v>
      </c>
      <c r="Z869" s="46">
        <f ca="1">IFERROR(__xludf.DUMMYFUNCTION("""COMPUTED_VALUE"""),45866)</f>
        <v>45866</v>
      </c>
      <c r="AA869" s="46">
        <f ca="1">IFERROR(__xludf.DUMMYFUNCTION("""COMPUTED_VALUE"""),45866)</f>
        <v>45866</v>
      </c>
      <c r="AB869" s="45" t="str">
        <f ca="1">IFERROR(__xludf.DUMMYFUNCTION("""COMPUTED_VALUE"""),"3500 Argentia Road")</f>
        <v>3500 Argentia Road</v>
      </c>
      <c r="AC869" s="45"/>
      <c r="AD869" s="45" t="str">
        <f ca="1">IFERROR(__xludf.DUMMYFUNCTION("""COMPUTED_VALUE"""),"OCEAN")</f>
        <v>OCEAN</v>
      </c>
      <c r="AE869" s="45" t="str">
        <f ca="1">IFERROR(__xludf.DUMMYFUNCTION("""COMPUTED_VALUE"""),"N")</f>
        <v>N</v>
      </c>
      <c r="AF869"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69" s="49" t="str">
        <f ca="1">IFERROR(__xludf.DUMMYFUNCTION("IFNA(vlookup(H869,IMPORTRANGE(""1vUGwO1n0QQGx9kKbO0_M5gmuhXZ6-LaxQxgrmJnzgP0"",""'TP# look up'!A:C""),3,0),"""")"),"")</f>
        <v/>
      </c>
      <c r="AH869" s="49" t="str">
        <f t="shared" ca="1" si="13"/>
        <v>LM</v>
      </c>
    </row>
    <row r="870" spans="1:34" ht="12.75">
      <c r="A870" s="45" t="str">
        <f ca="1">IFERROR(__xludf.DUMMYFUNCTION("""COMPUTED_VALUE"""),"Colombo")</f>
        <v>Colombo</v>
      </c>
      <c r="B870" s="45"/>
      <c r="C870" s="45">
        <f ca="1">IFERROR(__xludf.DUMMYFUNCTION("""COMPUTED_VALUE"""),3259528)</f>
        <v>3259528</v>
      </c>
      <c r="D870" s="45"/>
      <c r="E870" s="45" t="str">
        <f ca="1">IFERROR(__xludf.DUMMYFUNCTION("""COMPUTED_VALUE"""),"CFS")</f>
        <v>CFS</v>
      </c>
      <c r="F870" s="45" t="str">
        <f ca="1">IFERROR(__xludf.DUMMYFUNCTION("""COMPUTED_VALUE"""),"Inqube Global (PVT) Ltd")</f>
        <v>Inqube Global (PVT) Ltd</v>
      </c>
      <c r="G870" s="45" t="str">
        <f ca="1">IFERROR(__xludf.DUMMYFUNCTION("""COMPUTED_VALUE"""),"BRANDIX APPAREL SOLUTION LTD - GIRITALE")</f>
        <v>BRANDIX APPAREL SOLUTION LTD - GIRITALE</v>
      </c>
      <c r="H870" s="43">
        <f ca="1">IFERROR(__xludf.DUMMYFUNCTION("""COMPUTED_VALUE"""),456175101073)</f>
        <v>456175101073</v>
      </c>
      <c r="I870" s="45">
        <f ca="1">IFERROR(__xludf.DUMMYFUNCTION("""COMPUTED_VALUE"""),19855795)</f>
        <v>19855795</v>
      </c>
      <c r="J870" s="45" t="str">
        <f ca="1">IFERROR(__xludf.DUMMYFUNCTION("""COMPUTED_VALUE"""),"LM5B67S")</f>
        <v>LM5B67S</v>
      </c>
      <c r="K870" s="45" t="str">
        <f ca="1">IFERROR(__xludf.DUMMYFUNCTION("""COMPUTED_VALUE"""),"LM5B67S-033454")</f>
        <v>LM5B67S-033454</v>
      </c>
      <c r="L870" s="45">
        <f ca="1">IFERROR(__xludf.DUMMYFUNCTION("""COMPUTED_VALUE"""),5)</f>
        <v>5</v>
      </c>
      <c r="M870" s="45">
        <f ca="1">IFERROR(__xludf.DUMMYFUNCTION("""COMPUTED_VALUE"""),85)</f>
        <v>85</v>
      </c>
      <c r="N870" s="45">
        <f ca="1">IFERROR(__xludf.DUMMYFUNCTION("""COMPUTED_VALUE"""),45.73)</f>
        <v>45.73</v>
      </c>
      <c r="O870" s="45">
        <f ca="1">IFERROR(__xludf.DUMMYFUNCTION("""COMPUTED_VALUE"""),0.253)</f>
        <v>0.253</v>
      </c>
      <c r="P870" s="45" t="str">
        <f ca="1">IFERROR(__xludf.DUMMYFUNCTION("""COMPUTED_VALUE"""),"Colombo, LK")</f>
        <v>Colombo, LK</v>
      </c>
      <c r="Q870" s="45" t="str">
        <f ca="1">IFERROR(__xludf.DUMMYFUNCTION("""COMPUTED_VALUE"""),"New York, NY, US")</f>
        <v>New York, NY, US</v>
      </c>
      <c r="R870" s="44">
        <f ca="1">IFERROR(__xludf.DUMMYFUNCTION("""COMPUTED_VALUE"""),45838)</f>
        <v>45838</v>
      </c>
      <c r="S870" s="44">
        <f ca="1">IFERROR(__xludf.DUMMYFUNCTION("""COMPUTED_VALUE"""),45897)</f>
        <v>45897</v>
      </c>
      <c r="T870" s="45" t="str">
        <f ca="1">IFERROR(__xludf.DUMMYFUNCTION("""COMPUTED_VALUE"""),"Mississauga, ON, CA")</f>
        <v>Mississauga, ON, CA</v>
      </c>
      <c r="U870" s="45"/>
      <c r="V870" s="45"/>
      <c r="W870" s="45"/>
      <c r="X870" s="45"/>
      <c r="Y870" s="46">
        <f ca="1">IFERROR(__xludf.DUMMYFUNCTION("""COMPUTED_VALUE"""),45845)</f>
        <v>45845</v>
      </c>
      <c r="Z870" s="46">
        <f ca="1">IFERROR(__xludf.DUMMYFUNCTION("""COMPUTED_VALUE"""),45866)</f>
        <v>45866</v>
      </c>
      <c r="AA870" s="46">
        <f ca="1">IFERROR(__xludf.DUMMYFUNCTION("""COMPUTED_VALUE"""),45866)</f>
        <v>45866</v>
      </c>
      <c r="AB870" s="45" t="str">
        <f ca="1">IFERROR(__xludf.DUMMYFUNCTION("""COMPUTED_VALUE"""),"3500 Argentia Road")</f>
        <v>3500 Argentia Road</v>
      </c>
      <c r="AC870" s="45"/>
      <c r="AD870" s="45" t="str">
        <f ca="1">IFERROR(__xludf.DUMMYFUNCTION("""COMPUTED_VALUE"""),"OCEAN")</f>
        <v>OCEAN</v>
      </c>
      <c r="AE870" s="45" t="str">
        <f ca="1">IFERROR(__xludf.DUMMYFUNCTION("""COMPUTED_VALUE"""),"N")</f>
        <v>N</v>
      </c>
      <c r="AF870"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0" s="49" t="str">
        <f ca="1">IFERROR(__xludf.DUMMYFUNCTION("IFNA(vlookup(H870,IMPORTRANGE(""1vUGwO1n0QQGx9kKbO0_M5gmuhXZ6-LaxQxgrmJnzgP0"",""'TP# look up'!A:C""),3,0),"""")"),"")</f>
        <v/>
      </c>
      <c r="AH870" s="49" t="str">
        <f t="shared" ca="1" si="13"/>
        <v>LM</v>
      </c>
    </row>
    <row r="871" spans="1:34" ht="12.75">
      <c r="A871" s="45" t="str">
        <f ca="1">IFERROR(__xludf.DUMMYFUNCTION("""COMPUTED_VALUE"""),"Colombo")</f>
        <v>Colombo</v>
      </c>
      <c r="B871" s="45"/>
      <c r="C871" s="45">
        <f ca="1">IFERROR(__xludf.DUMMYFUNCTION("""COMPUTED_VALUE"""),3259528)</f>
        <v>3259528</v>
      </c>
      <c r="D871" s="45"/>
      <c r="E871" s="45" t="str">
        <f ca="1">IFERROR(__xludf.DUMMYFUNCTION("""COMPUTED_VALUE"""),"CFS")</f>
        <v>CFS</v>
      </c>
      <c r="F871" s="45" t="str">
        <f ca="1">IFERROR(__xludf.DUMMYFUNCTION("""COMPUTED_VALUE"""),"Inqube Global (PVT) Ltd")</f>
        <v>Inqube Global (PVT) Ltd</v>
      </c>
      <c r="G871" s="45" t="str">
        <f ca="1">IFERROR(__xludf.DUMMYFUNCTION("""COMPUTED_VALUE"""),"BRANDIX APPAREL SOLUTION LTD - GIRITALE")</f>
        <v>BRANDIX APPAREL SOLUTION LTD - GIRITALE</v>
      </c>
      <c r="H871" s="43">
        <f ca="1">IFERROR(__xludf.DUMMYFUNCTION("""COMPUTED_VALUE"""),456176677120)</f>
        <v>456176677120</v>
      </c>
      <c r="I871" s="45">
        <f ca="1">IFERROR(__xludf.DUMMYFUNCTION("""COMPUTED_VALUE"""),19856477)</f>
        <v>19856477</v>
      </c>
      <c r="J871" s="45" t="str">
        <f ca="1">IFERROR(__xludf.DUMMYFUNCTION("""COMPUTED_VALUE"""),"LM5B67S")</f>
        <v>LM5B67S</v>
      </c>
      <c r="K871" s="45" t="str">
        <f ca="1">IFERROR(__xludf.DUMMYFUNCTION("""COMPUTED_VALUE"""),"LM5B67S-033454")</f>
        <v>LM5B67S-033454</v>
      </c>
      <c r="L871" s="45">
        <f ca="1">IFERROR(__xludf.DUMMYFUNCTION("""COMPUTED_VALUE"""),7)</f>
        <v>7</v>
      </c>
      <c r="M871" s="45">
        <f ca="1">IFERROR(__xludf.DUMMYFUNCTION("""COMPUTED_VALUE"""),211)</f>
        <v>211</v>
      </c>
      <c r="N871" s="45">
        <f ca="1">IFERROR(__xludf.DUMMYFUNCTION("""COMPUTED_VALUE"""),109.94)</f>
        <v>109.94</v>
      </c>
      <c r="O871" s="45">
        <f ca="1">IFERROR(__xludf.DUMMYFUNCTION("""COMPUTED_VALUE"""),0.538)</f>
        <v>0.53800000000000003</v>
      </c>
      <c r="P871" s="45" t="str">
        <f ca="1">IFERROR(__xludf.DUMMYFUNCTION("""COMPUTED_VALUE"""),"Colombo, LK")</f>
        <v>Colombo, LK</v>
      </c>
      <c r="Q871" s="45" t="str">
        <f ca="1">IFERROR(__xludf.DUMMYFUNCTION("""COMPUTED_VALUE"""),"New York, NY, US")</f>
        <v>New York, NY, US</v>
      </c>
      <c r="R871" s="44">
        <f ca="1">IFERROR(__xludf.DUMMYFUNCTION("""COMPUTED_VALUE"""),45838)</f>
        <v>45838</v>
      </c>
      <c r="S871" s="44">
        <f ca="1">IFERROR(__xludf.DUMMYFUNCTION("""COMPUTED_VALUE"""),45897)</f>
        <v>45897</v>
      </c>
      <c r="T871" s="45" t="str">
        <f ca="1">IFERROR(__xludf.DUMMYFUNCTION("""COMPUTED_VALUE"""),"Mississauga, ON, CA")</f>
        <v>Mississauga, ON, CA</v>
      </c>
      <c r="U871" s="45"/>
      <c r="V871" s="45"/>
      <c r="W871" s="45"/>
      <c r="X871" s="45"/>
      <c r="Y871" s="46">
        <f ca="1">IFERROR(__xludf.DUMMYFUNCTION("""COMPUTED_VALUE"""),45845)</f>
        <v>45845</v>
      </c>
      <c r="Z871" s="46">
        <f ca="1">IFERROR(__xludf.DUMMYFUNCTION("""COMPUTED_VALUE"""),45866)</f>
        <v>45866</v>
      </c>
      <c r="AA871" s="46">
        <f ca="1">IFERROR(__xludf.DUMMYFUNCTION("""COMPUTED_VALUE"""),45866)</f>
        <v>45866</v>
      </c>
      <c r="AB871" s="45" t="str">
        <f ca="1">IFERROR(__xludf.DUMMYFUNCTION("""COMPUTED_VALUE"""),"3500 Argentia Road")</f>
        <v>3500 Argentia Road</v>
      </c>
      <c r="AC871" s="45"/>
      <c r="AD871" s="45" t="str">
        <f ca="1">IFERROR(__xludf.DUMMYFUNCTION("""COMPUTED_VALUE"""),"OCEAN")</f>
        <v>OCEAN</v>
      </c>
      <c r="AE871" s="45" t="str">
        <f ca="1">IFERROR(__xludf.DUMMYFUNCTION("""COMPUTED_VALUE"""),"N")</f>
        <v>N</v>
      </c>
      <c r="AF871"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1" s="49" t="str">
        <f ca="1">IFERROR(__xludf.DUMMYFUNCTION("IFNA(vlookup(H871,IMPORTRANGE(""1vUGwO1n0QQGx9kKbO0_M5gmuhXZ6-LaxQxgrmJnzgP0"",""'TP# look up'!A:C""),3,0),"""")"),"")</f>
        <v/>
      </c>
      <c r="AH871" s="49" t="str">
        <f t="shared" ca="1" si="13"/>
        <v>LM</v>
      </c>
    </row>
    <row r="872" spans="1:34" ht="12.75">
      <c r="A872" s="45" t="str">
        <f ca="1">IFERROR(__xludf.DUMMYFUNCTION("""COMPUTED_VALUE"""),"Colombo")</f>
        <v>Colombo</v>
      </c>
      <c r="B872" s="45"/>
      <c r="C872" s="45">
        <f ca="1">IFERROR(__xludf.DUMMYFUNCTION("""COMPUTED_VALUE"""),3259528)</f>
        <v>3259528</v>
      </c>
      <c r="D872" s="45"/>
      <c r="E872" s="45" t="str">
        <f ca="1">IFERROR(__xludf.DUMMYFUNCTION("""COMPUTED_VALUE"""),"CFS")</f>
        <v>CFS</v>
      </c>
      <c r="F872" s="45" t="str">
        <f ca="1">IFERROR(__xludf.DUMMYFUNCTION("""COMPUTED_VALUE"""),"Inqube Global (PVT) Ltd")</f>
        <v>Inqube Global (PVT) Ltd</v>
      </c>
      <c r="G872" s="45" t="str">
        <f ca="1">IFERROR(__xludf.DUMMYFUNCTION("""COMPUTED_VALUE"""),"BRANDIX APPAREL SOLUTION LTD - GIRITALE")</f>
        <v>BRANDIX APPAREL SOLUTION LTD - GIRITALE</v>
      </c>
      <c r="H872" s="43">
        <f ca="1">IFERROR(__xludf.DUMMYFUNCTION("""COMPUTED_VALUE"""),456177402081)</f>
        <v>456177402081</v>
      </c>
      <c r="I872" s="45">
        <f ca="1">IFERROR(__xludf.DUMMYFUNCTION("""COMPUTED_VALUE"""),19856473)</f>
        <v>19856473</v>
      </c>
      <c r="J872" s="45" t="str">
        <f ca="1">IFERROR(__xludf.DUMMYFUNCTION("""COMPUTED_VALUE"""),"LM5B67S")</f>
        <v>LM5B67S</v>
      </c>
      <c r="K872" s="45" t="str">
        <f ca="1">IFERROR(__xludf.DUMMYFUNCTION("""COMPUTED_VALUE"""),"LM5B67S-033454")</f>
        <v>LM5B67S-033454</v>
      </c>
      <c r="L872" s="45">
        <f ca="1">IFERROR(__xludf.DUMMYFUNCTION("""COMPUTED_VALUE"""),8)</f>
        <v>8</v>
      </c>
      <c r="M872" s="45">
        <f ca="1">IFERROR(__xludf.DUMMYFUNCTION("""COMPUTED_VALUE"""),222)</f>
        <v>222</v>
      </c>
      <c r="N872" s="45">
        <f ca="1">IFERROR(__xludf.DUMMYFUNCTION("""COMPUTED_VALUE"""),116.12)</f>
        <v>116.12</v>
      </c>
      <c r="O872" s="45">
        <f ca="1">IFERROR(__xludf.DUMMYFUNCTION("""COMPUTED_VALUE"""),0.58)</f>
        <v>0.57999999999999996</v>
      </c>
      <c r="P872" s="45" t="str">
        <f ca="1">IFERROR(__xludf.DUMMYFUNCTION("""COMPUTED_VALUE"""),"Colombo, LK")</f>
        <v>Colombo, LK</v>
      </c>
      <c r="Q872" s="45" t="str">
        <f ca="1">IFERROR(__xludf.DUMMYFUNCTION("""COMPUTED_VALUE"""),"New York, NY, US")</f>
        <v>New York, NY, US</v>
      </c>
      <c r="R872" s="44">
        <f ca="1">IFERROR(__xludf.DUMMYFUNCTION("""COMPUTED_VALUE"""),45838)</f>
        <v>45838</v>
      </c>
      <c r="S872" s="44">
        <f ca="1">IFERROR(__xludf.DUMMYFUNCTION("""COMPUTED_VALUE"""),45897)</f>
        <v>45897</v>
      </c>
      <c r="T872" s="45" t="str">
        <f ca="1">IFERROR(__xludf.DUMMYFUNCTION("""COMPUTED_VALUE"""),"Mississauga, ON, CA")</f>
        <v>Mississauga, ON, CA</v>
      </c>
      <c r="U872" s="45"/>
      <c r="V872" s="45"/>
      <c r="W872" s="45"/>
      <c r="X872" s="45"/>
      <c r="Y872" s="46">
        <f ca="1">IFERROR(__xludf.DUMMYFUNCTION("""COMPUTED_VALUE"""),45845)</f>
        <v>45845</v>
      </c>
      <c r="Z872" s="46">
        <f ca="1">IFERROR(__xludf.DUMMYFUNCTION("""COMPUTED_VALUE"""),45866)</f>
        <v>45866</v>
      </c>
      <c r="AA872" s="46">
        <f ca="1">IFERROR(__xludf.DUMMYFUNCTION("""COMPUTED_VALUE"""),45866)</f>
        <v>45866</v>
      </c>
      <c r="AB872" s="45" t="str">
        <f ca="1">IFERROR(__xludf.DUMMYFUNCTION("""COMPUTED_VALUE"""),"3500 Argentia Road")</f>
        <v>3500 Argentia Road</v>
      </c>
      <c r="AC872" s="45"/>
      <c r="AD872" s="45" t="str">
        <f ca="1">IFERROR(__xludf.DUMMYFUNCTION("""COMPUTED_VALUE"""),"OCEAN")</f>
        <v>OCEAN</v>
      </c>
      <c r="AE872" s="45" t="str">
        <f ca="1">IFERROR(__xludf.DUMMYFUNCTION("""COMPUTED_VALUE"""),"N")</f>
        <v>N</v>
      </c>
      <c r="AF872"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2" s="49" t="str">
        <f ca="1">IFERROR(__xludf.DUMMYFUNCTION("IFNA(vlookup(H872,IMPORTRANGE(""1vUGwO1n0QQGx9kKbO0_M5gmuhXZ6-LaxQxgrmJnzgP0"",""'TP# look up'!A:C""),3,0),"""")"),"")</f>
        <v/>
      </c>
      <c r="AH872" s="49" t="str">
        <f t="shared" ca="1" si="13"/>
        <v>LM</v>
      </c>
    </row>
    <row r="873" spans="1:34" ht="12.75">
      <c r="A873" s="45" t="str">
        <f ca="1">IFERROR(__xludf.DUMMYFUNCTION("""COMPUTED_VALUE"""),"Colombo")</f>
        <v>Colombo</v>
      </c>
      <c r="B873" s="45"/>
      <c r="C873" s="45">
        <f ca="1">IFERROR(__xludf.DUMMYFUNCTION("""COMPUTED_VALUE"""),3259528)</f>
        <v>3259528</v>
      </c>
      <c r="D873" s="45"/>
      <c r="E873" s="45" t="str">
        <f ca="1">IFERROR(__xludf.DUMMYFUNCTION("""COMPUTED_VALUE"""),"CFS")</f>
        <v>CFS</v>
      </c>
      <c r="F873" s="45" t="str">
        <f ca="1">IFERROR(__xludf.DUMMYFUNCTION("""COMPUTED_VALUE"""),"Inqube Global (PVT) Ltd")</f>
        <v>Inqube Global (PVT) Ltd</v>
      </c>
      <c r="G873" s="45" t="str">
        <f ca="1">IFERROR(__xludf.DUMMYFUNCTION("""COMPUTED_VALUE"""),"BRANDIX APPAREL SOLUTION LTD - GIRITALE")</f>
        <v>BRANDIX APPAREL SOLUTION LTD - GIRITALE</v>
      </c>
      <c r="H873" s="43">
        <f ca="1">IFERROR(__xludf.DUMMYFUNCTION("""COMPUTED_VALUE"""),456179173161)</f>
        <v>456179173161</v>
      </c>
      <c r="I873" s="45">
        <f ca="1">IFERROR(__xludf.DUMMYFUNCTION("""COMPUTED_VALUE"""),19855803)</f>
        <v>19855803</v>
      </c>
      <c r="J873" s="45" t="str">
        <f ca="1">IFERROR(__xludf.DUMMYFUNCTION("""COMPUTED_VALUE"""),"LM5B67S")</f>
        <v>LM5B67S</v>
      </c>
      <c r="K873" s="45" t="str">
        <f ca="1">IFERROR(__xludf.DUMMYFUNCTION("""COMPUTED_VALUE"""),"LM5B67S-038426")</f>
        <v>LM5B67S-038426</v>
      </c>
      <c r="L873" s="45">
        <f ca="1">IFERROR(__xludf.DUMMYFUNCTION("""COMPUTED_VALUE"""),4)</f>
        <v>4</v>
      </c>
      <c r="M873" s="45">
        <f ca="1">IFERROR(__xludf.DUMMYFUNCTION("""COMPUTED_VALUE"""),70)</f>
        <v>70</v>
      </c>
      <c r="N873" s="45">
        <f ca="1">IFERROR(__xludf.DUMMYFUNCTION("""COMPUTED_VALUE"""),37.59)</f>
        <v>37.590000000000003</v>
      </c>
      <c r="O873" s="45">
        <f ca="1">IFERROR(__xludf.DUMMYFUNCTION("""COMPUTED_VALUE"""),0.21)</f>
        <v>0.21</v>
      </c>
      <c r="P873" s="45" t="str">
        <f ca="1">IFERROR(__xludf.DUMMYFUNCTION("""COMPUTED_VALUE"""),"Colombo, LK")</f>
        <v>Colombo, LK</v>
      </c>
      <c r="Q873" s="45" t="str">
        <f ca="1">IFERROR(__xludf.DUMMYFUNCTION("""COMPUTED_VALUE"""),"New York, NY, US")</f>
        <v>New York, NY, US</v>
      </c>
      <c r="R873" s="44">
        <f ca="1">IFERROR(__xludf.DUMMYFUNCTION("""COMPUTED_VALUE"""),45838)</f>
        <v>45838</v>
      </c>
      <c r="S873" s="44">
        <f ca="1">IFERROR(__xludf.DUMMYFUNCTION("""COMPUTED_VALUE"""),45897)</f>
        <v>45897</v>
      </c>
      <c r="T873" s="45" t="str">
        <f ca="1">IFERROR(__xludf.DUMMYFUNCTION("""COMPUTED_VALUE"""),"Mississauga, ON, CA")</f>
        <v>Mississauga, ON, CA</v>
      </c>
      <c r="U873" s="45"/>
      <c r="V873" s="45"/>
      <c r="W873" s="45"/>
      <c r="X873" s="45"/>
      <c r="Y873" s="46">
        <f ca="1">IFERROR(__xludf.DUMMYFUNCTION("""COMPUTED_VALUE"""),45845)</f>
        <v>45845</v>
      </c>
      <c r="Z873" s="46">
        <f ca="1">IFERROR(__xludf.DUMMYFUNCTION("""COMPUTED_VALUE"""),45866)</f>
        <v>45866</v>
      </c>
      <c r="AA873" s="46">
        <f ca="1">IFERROR(__xludf.DUMMYFUNCTION("""COMPUTED_VALUE"""),45866)</f>
        <v>45866</v>
      </c>
      <c r="AB873" s="45" t="str">
        <f ca="1">IFERROR(__xludf.DUMMYFUNCTION("""COMPUTED_VALUE"""),"3500 Argentia Road")</f>
        <v>3500 Argentia Road</v>
      </c>
      <c r="AC873" s="45"/>
      <c r="AD873" s="45" t="str">
        <f ca="1">IFERROR(__xludf.DUMMYFUNCTION("""COMPUTED_VALUE"""),"OCEAN")</f>
        <v>OCEAN</v>
      </c>
      <c r="AE873" s="45" t="str">
        <f ca="1">IFERROR(__xludf.DUMMYFUNCTION("""COMPUTED_VALUE"""),"N")</f>
        <v>N</v>
      </c>
      <c r="AF873"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3" s="49" t="str">
        <f ca="1">IFERROR(__xludf.DUMMYFUNCTION("IFNA(vlookup(H873,IMPORTRANGE(""1vUGwO1n0QQGx9kKbO0_M5gmuhXZ6-LaxQxgrmJnzgP0"",""'TP# look up'!A:C""),3,0),"""")"),"")</f>
        <v/>
      </c>
      <c r="AH873" s="49" t="str">
        <f t="shared" ca="1" si="13"/>
        <v>LM</v>
      </c>
    </row>
    <row r="874" spans="1:34" ht="12.75">
      <c r="A874" s="45" t="str">
        <f ca="1">IFERROR(__xludf.DUMMYFUNCTION("""COMPUTED_VALUE"""),"Colombo")</f>
        <v>Colombo</v>
      </c>
      <c r="B874" s="45"/>
      <c r="C874" s="45">
        <f ca="1">IFERROR(__xludf.DUMMYFUNCTION("""COMPUTED_VALUE"""),3259528)</f>
        <v>3259528</v>
      </c>
      <c r="D874" s="45"/>
      <c r="E874" s="45" t="str">
        <f ca="1">IFERROR(__xludf.DUMMYFUNCTION("""COMPUTED_VALUE"""),"CFS")</f>
        <v>CFS</v>
      </c>
      <c r="F874" s="45" t="str">
        <f ca="1">IFERROR(__xludf.DUMMYFUNCTION("""COMPUTED_VALUE"""),"Inqube Global (PVT) Ltd")</f>
        <v>Inqube Global (PVT) Ltd</v>
      </c>
      <c r="G874" s="45" t="str">
        <f ca="1">IFERROR(__xludf.DUMMYFUNCTION("""COMPUTED_VALUE"""),"BRANDIX APPAREL SOLUTION LTD - GIRITALE")</f>
        <v>BRANDIX APPAREL SOLUTION LTD - GIRITALE</v>
      </c>
      <c r="H874" s="43">
        <f ca="1">IFERROR(__xludf.DUMMYFUNCTION("""COMPUTED_VALUE"""),456180751976)</f>
        <v>456180751976</v>
      </c>
      <c r="I874" s="45">
        <f ca="1">IFERROR(__xludf.DUMMYFUNCTION("""COMPUTED_VALUE"""),19856497)</f>
        <v>19856497</v>
      </c>
      <c r="J874" s="45" t="str">
        <f ca="1">IFERROR(__xludf.DUMMYFUNCTION("""COMPUTED_VALUE"""),"LM5B67S")</f>
        <v>LM5B67S</v>
      </c>
      <c r="K874" s="45" t="str">
        <f ca="1">IFERROR(__xludf.DUMMYFUNCTION("""COMPUTED_VALUE"""),"LM5B67S-038426")</f>
        <v>LM5B67S-038426</v>
      </c>
      <c r="L874" s="45">
        <f ca="1">IFERROR(__xludf.DUMMYFUNCTION("""COMPUTED_VALUE"""),6)</f>
        <v>6</v>
      </c>
      <c r="M874" s="45">
        <f ca="1">IFERROR(__xludf.DUMMYFUNCTION("""COMPUTED_VALUE"""),119)</f>
        <v>119</v>
      </c>
      <c r="N874" s="45">
        <f ca="1">IFERROR(__xludf.DUMMYFUNCTION("""COMPUTED_VALUE"""),63.13)</f>
        <v>63.13</v>
      </c>
      <c r="O874" s="45">
        <f ca="1">IFERROR(__xludf.DUMMYFUNCTION("""COMPUTED_VALUE"""),0.295)</f>
        <v>0.29499999999999998</v>
      </c>
      <c r="P874" s="45" t="str">
        <f ca="1">IFERROR(__xludf.DUMMYFUNCTION("""COMPUTED_VALUE"""),"Colombo, LK")</f>
        <v>Colombo, LK</v>
      </c>
      <c r="Q874" s="45" t="str">
        <f ca="1">IFERROR(__xludf.DUMMYFUNCTION("""COMPUTED_VALUE"""),"New York, NY, US")</f>
        <v>New York, NY, US</v>
      </c>
      <c r="R874" s="44">
        <f ca="1">IFERROR(__xludf.DUMMYFUNCTION("""COMPUTED_VALUE"""),45838)</f>
        <v>45838</v>
      </c>
      <c r="S874" s="44">
        <f ca="1">IFERROR(__xludf.DUMMYFUNCTION("""COMPUTED_VALUE"""),45897)</f>
        <v>45897</v>
      </c>
      <c r="T874" s="45" t="str">
        <f ca="1">IFERROR(__xludf.DUMMYFUNCTION("""COMPUTED_VALUE"""),"Mississauga, ON, CA")</f>
        <v>Mississauga, ON, CA</v>
      </c>
      <c r="U874" s="45"/>
      <c r="V874" s="45"/>
      <c r="W874" s="45"/>
      <c r="X874" s="45"/>
      <c r="Y874" s="46">
        <f ca="1">IFERROR(__xludf.DUMMYFUNCTION("""COMPUTED_VALUE"""),45845)</f>
        <v>45845</v>
      </c>
      <c r="Z874" s="46">
        <f ca="1">IFERROR(__xludf.DUMMYFUNCTION("""COMPUTED_VALUE"""),45866)</f>
        <v>45866</v>
      </c>
      <c r="AA874" s="46">
        <f ca="1">IFERROR(__xludf.DUMMYFUNCTION("""COMPUTED_VALUE"""),45866)</f>
        <v>45866</v>
      </c>
      <c r="AB874" s="45" t="str">
        <f ca="1">IFERROR(__xludf.DUMMYFUNCTION("""COMPUTED_VALUE"""),"3500 Argentia Road")</f>
        <v>3500 Argentia Road</v>
      </c>
      <c r="AC874" s="45"/>
      <c r="AD874" s="45" t="str">
        <f ca="1">IFERROR(__xludf.DUMMYFUNCTION("""COMPUTED_VALUE"""),"OCEAN")</f>
        <v>OCEAN</v>
      </c>
      <c r="AE874" s="45" t="str">
        <f ca="1">IFERROR(__xludf.DUMMYFUNCTION("""COMPUTED_VALUE"""),"N")</f>
        <v>N</v>
      </c>
      <c r="AF874"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4" s="49" t="str">
        <f ca="1">IFERROR(__xludf.DUMMYFUNCTION("IFNA(vlookup(H874,IMPORTRANGE(""1vUGwO1n0QQGx9kKbO0_M5gmuhXZ6-LaxQxgrmJnzgP0"",""'TP# look up'!A:C""),3,0),"""")"),"")</f>
        <v/>
      </c>
      <c r="AH874" s="49" t="str">
        <f t="shared" ca="1" si="13"/>
        <v>LM</v>
      </c>
    </row>
    <row r="875" spans="1:34" ht="12.75">
      <c r="A875" s="45" t="str">
        <f ca="1">IFERROR(__xludf.DUMMYFUNCTION("""COMPUTED_VALUE"""),"Colombo")</f>
        <v>Colombo</v>
      </c>
      <c r="B875" s="45"/>
      <c r="C875" s="45">
        <f ca="1">IFERROR(__xludf.DUMMYFUNCTION("""COMPUTED_VALUE"""),3259528)</f>
        <v>3259528</v>
      </c>
      <c r="D875" s="45"/>
      <c r="E875" s="45" t="str">
        <f ca="1">IFERROR(__xludf.DUMMYFUNCTION("""COMPUTED_VALUE"""),"CFS")</f>
        <v>CFS</v>
      </c>
      <c r="F875" s="45" t="str">
        <f ca="1">IFERROR(__xludf.DUMMYFUNCTION("""COMPUTED_VALUE"""),"Inqube Global (PVT) Ltd")</f>
        <v>Inqube Global (PVT) Ltd</v>
      </c>
      <c r="G875" s="45" t="str">
        <f ca="1">IFERROR(__xludf.DUMMYFUNCTION("""COMPUTED_VALUE"""),"BRANDIX APPAREL SOLUTION LTD - GIRITALE")</f>
        <v>BRANDIX APPAREL SOLUTION LTD - GIRITALE</v>
      </c>
      <c r="H875" s="43">
        <f ca="1">IFERROR(__xludf.DUMMYFUNCTION("""COMPUTED_VALUE"""),456180814184)</f>
        <v>456180814184</v>
      </c>
      <c r="I875" s="45">
        <f ca="1">IFERROR(__xludf.DUMMYFUNCTION("""COMPUTED_VALUE"""),19856501)</f>
        <v>19856501</v>
      </c>
      <c r="J875" s="45" t="str">
        <f ca="1">IFERROR(__xludf.DUMMYFUNCTION("""COMPUTED_VALUE"""),"LM5B67S")</f>
        <v>LM5B67S</v>
      </c>
      <c r="K875" s="45" t="str">
        <f ca="1">IFERROR(__xludf.DUMMYFUNCTION("""COMPUTED_VALUE"""),"LM5B67S-038426")</f>
        <v>LM5B67S-038426</v>
      </c>
      <c r="L875" s="45">
        <f ca="1">IFERROR(__xludf.DUMMYFUNCTION("""COMPUTED_VALUE"""),6)</f>
        <v>6</v>
      </c>
      <c r="M875" s="45">
        <f ca="1">IFERROR(__xludf.DUMMYFUNCTION("""COMPUTED_VALUE"""),117)</f>
        <v>117</v>
      </c>
      <c r="N875" s="45">
        <f ca="1">IFERROR(__xludf.DUMMYFUNCTION("""COMPUTED_VALUE"""),62.15)</f>
        <v>62.15</v>
      </c>
      <c r="O875" s="45">
        <f ca="1">IFERROR(__xludf.DUMMYFUNCTION("""COMPUTED_VALUE"""),0.295)</f>
        <v>0.29499999999999998</v>
      </c>
      <c r="P875" s="45" t="str">
        <f ca="1">IFERROR(__xludf.DUMMYFUNCTION("""COMPUTED_VALUE"""),"Colombo, LK")</f>
        <v>Colombo, LK</v>
      </c>
      <c r="Q875" s="45" t="str">
        <f ca="1">IFERROR(__xludf.DUMMYFUNCTION("""COMPUTED_VALUE"""),"New York, NY, US")</f>
        <v>New York, NY, US</v>
      </c>
      <c r="R875" s="44">
        <f ca="1">IFERROR(__xludf.DUMMYFUNCTION("""COMPUTED_VALUE"""),45838)</f>
        <v>45838</v>
      </c>
      <c r="S875" s="44">
        <f ca="1">IFERROR(__xludf.DUMMYFUNCTION("""COMPUTED_VALUE"""),45897)</f>
        <v>45897</v>
      </c>
      <c r="T875" s="45" t="str">
        <f ca="1">IFERROR(__xludf.DUMMYFUNCTION("""COMPUTED_VALUE"""),"Mississauga, ON, CA")</f>
        <v>Mississauga, ON, CA</v>
      </c>
      <c r="U875" s="45"/>
      <c r="V875" s="45"/>
      <c r="W875" s="45"/>
      <c r="X875" s="45"/>
      <c r="Y875" s="46">
        <f ca="1">IFERROR(__xludf.DUMMYFUNCTION("""COMPUTED_VALUE"""),45845)</f>
        <v>45845</v>
      </c>
      <c r="Z875" s="46">
        <f ca="1">IFERROR(__xludf.DUMMYFUNCTION("""COMPUTED_VALUE"""),45866)</f>
        <v>45866</v>
      </c>
      <c r="AA875" s="46">
        <f ca="1">IFERROR(__xludf.DUMMYFUNCTION("""COMPUTED_VALUE"""),45866)</f>
        <v>45866</v>
      </c>
      <c r="AB875" s="45" t="str">
        <f ca="1">IFERROR(__xludf.DUMMYFUNCTION("""COMPUTED_VALUE"""),"3500 Argentia Road")</f>
        <v>3500 Argentia Road</v>
      </c>
      <c r="AC875" s="45"/>
      <c r="AD875" s="45" t="str">
        <f ca="1">IFERROR(__xludf.DUMMYFUNCTION("""COMPUTED_VALUE"""),"OCEAN")</f>
        <v>OCEAN</v>
      </c>
      <c r="AE875" s="45" t="str">
        <f ca="1">IFERROR(__xludf.DUMMYFUNCTION("""COMPUTED_VALUE"""),"N")</f>
        <v>N</v>
      </c>
      <c r="AF875"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5" s="49" t="str">
        <f ca="1">IFERROR(__xludf.DUMMYFUNCTION("IFNA(vlookup(H875,IMPORTRANGE(""1vUGwO1n0QQGx9kKbO0_M5gmuhXZ6-LaxQxgrmJnzgP0"",""'TP# look up'!A:C""),3,0),"""")"),"")</f>
        <v/>
      </c>
      <c r="AH875" s="49" t="str">
        <f t="shared" ca="1" si="13"/>
        <v>LM</v>
      </c>
    </row>
    <row r="876" spans="1:34" ht="12.75">
      <c r="A876" s="45" t="str">
        <f ca="1">IFERROR(__xludf.DUMMYFUNCTION("""COMPUTED_VALUE"""),"Colombo")</f>
        <v>Colombo</v>
      </c>
      <c r="B876" s="45"/>
      <c r="C876" s="45">
        <f ca="1">IFERROR(__xludf.DUMMYFUNCTION("""COMPUTED_VALUE"""),3259528)</f>
        <v>3259528</v>
      </c>
      <c r="D876" s="45"/>
      <c r="E876" s="45" t="str">
        <f ca="1">IFERROR(__xludf.DUMMYFUNCTION("""COMPUTED_VALUE"""),"CFS")</f>
        <v>CFS</v>
      </c>
      <c r="F876" s="45" t="str">
        <f ca="1">IFERROR(__xludf.DUMMYFUNCTION("""COMPUTED_VALUE"""),"Inqube Global (PVT) Ltd")</f>
        <v>Inqube Global (PVT) Ltd</v>
      </c>
      <c r="G876" s="45" t="str">
        <f ca="1">IFERROR(__xludf.DUMMYFUNCTION("""COMPUTED_VALUE"""),"BRANDIX APPAREL SOLUTION LTD - GIRITALE")</f>
        <v>BRANDIX APPAREL SOLUTION LTD - GIRITALE</v>
      </c>
      <c r="H876" s="43">
        <f ca="1">IFERROR(__xludf.DUMMYFUNCTION("""COMPUTED_VALUE"""),456182185946)</f>
        <v>456182185946</v>
      </c>
      <c r="I876" s="45">
        <f ca="1">IFERROR(__xludf.DUMMYFUNCTION("""COMPUTED_VALUE"""),19856521)</f>
        <v>19856521</v>
      </c>
      <c r="J876" s="45" t="str">
        <f ca="1">IFERROR(__xludf.DUMMYFUNCTION("""COMPUTED_VALUE"""),"LM5B67S")</f>
        <v>LM5B67S</v>
      </c>
      <c r="K876" s="45" t="str">
        <f ca="1">IFERROR(__xludf.DUMMYFUNCTION("""COMPUTED_VALUE"""),"LM5B67S-070108")</f>
        <v>LM5B67S-070108</v>
      </c>
      <c r="L876" s="45">
        <f ca="1">IFERROR(__xludf.DUMMYFUNCTION("""COMPUTED_VALUE"""),8)</f>
        <v>8</v>
      </c>
      <c r="M876" s="45">
        <f ca="1">IFERROR(__xludf.DUMMYFUNCTION("""COMPUTED_VALUE"""),224)</f>
        <v>224</v>
      </c>
      <c r="N876" s="45">
        <f ca="1">IFERROR(__xludf.DUMMYFUNCTION("""COMPUTED_VALUE"""),117.12)</f>
        <v>117.12</v>
      </c>
      <c r="O876" s="45">
        <f ca="1">IFERROR(__xludf.DUMMYFUNCTION("""COMPUTED_VALUE"""),0.58)</f>
        <v>0.57999999999999996</v>
      </c>
      <c r="P876" s="45" t="str">
        <f ca="1">IFERROR(__xludf.DUMMYFUNCTION("""COMPUTED_VALUE"""),"Colombo, LK")</f>
        <v>Colombo, LK</v>
      </c>
      <c r="Q876" s="45" t="str">
        <f ca="1">IFERROR(__xludf.DUMMYFUNCTION("""COMPUTED_VALUE"""),"New York, NY, US")</f>
        <v>New York, NY, US</v>
      </c>
      <c r="R876" s="44">
        <f ca="1">IFERROR(__xludf.DUMMYFUNCTION("""COMPUTED_VALUE"""),45838)</f>
        <v>45838</v>
      </c>
      <c r="S876" s="44">
        <f ca="1">IFERROR(__xludf.DUMMYFUNCTION("""COMPUTED_VALUE"""),45897)</f>
        <v>45897</v>
      </c>
      <c r="T876" s="45" t="str">
        <f ca="1">IFERROR(__xludf.DUMMYFUNCTION("""COMPUTED_VALUE"""),"Mississauga, ON, CA")</f>
        <v>Mississauga, ON, CA</v>
      </c>
      <c r="U876" s="45"/>
      <c r="V876" s="45"/>
      <c r="W876" s="45"/>
      <c r="X876" s="45"/>
      <c r="Y876" s="46">
        <f ca="1">IFERROR(__xludf.DUMMYFUNCTION("""COMPUTED_VALUE"""),45845)</f>
        <v>45845</v>
      </c>
      <c r="Z876" s="46">
        <f ca="1">IFERROR(__xludf.DUMMYFUNCTION("""COMPUTED_VALUE"""),45866)</f>
        <v>45866</v>
      </c>
      <c r="AA876" s="46">
        <f ca="1">IFERROR(__xludf.DUMMYFUNCTION("""COMPUTED_VALUE"""),45866)</f>
        <v>45866</v>
      </c>
      <c r="AB876" s="45" t="str">
        <f ca="1">IFERROR(__xludf.DUMMYFUNCTION("""COMPUTED_VALUE"""),"3500 Argentia Road")</f>
        <v>3500 Argentia Road</v>
      </c>
      <c r="AC876" s="45"/>
      <c r="AD876" s="45" t="str">
        <f ca="1">IFERROR(__xludf.DUMMYFUNCTION("""COMPUTED_VALUE"""),"OCEAN")</f>
        <v>OCEAN</v>
      </c>
      <c r="AE876" s="45" t="str">
        <f ca="1">IFERROR(__xludf.DUMMYFUNCTION("""COMPUTED_VALUE"""),"N")</f>
        <v>N</v>
      </c>
      <c r="AF876"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6" s="49" t="str">
        <f ca="1">IFERROR(__xludf.DUMMYFUNCTION("IFNA(vlookup(H876,IMPORTRANGE(""1vUGwO1n0QQGx9kKbO0_M5gmuhXZ6-LaxQxgrmJnzgP0"",""'TP# look up'!A:C""),3,0),"""")"),"")</f>
        <v/>
      </c>
      <c r="AH876" s="49" t="str">
        <f t="shared" ca="1" si="13"/>
        <v>LM</v>
      </c>
    </row>
    <row r="877" spans="1:34" ht="12.75">
      <c r="A877" s="45" t="str">
        <f ca="1">IFERROR(__xludf.DUMMYFUNCTION("""COMPUTED_VALUE"""),"Colombo")</f>
        <v>Colombo</v>
      </c>
      <c r="B877" s="45"/>
      <c r="C877" s="45">
        <f ca="1">IFERROR(__xludf.DUMMYFUNCTION("""COMPUTED_VALUE"""),3259528)</f>
        <v>3259528</v>
      </c>
      <c r="D877" s="45"/>
      <c r="E877" s="45" t="str">
        <f ca="1">IFERROR(__xludf.DUMMYFUNCTION("""COMPUTED_VALUE"""),"CFS")</f>
        <v>CFS</v>
      </c>
      <c r="F877" s="45" t="str">
        <f ca="1">IFERROR(__xludf.DUMMYFUNCTION("""COMPUTED_VALUE"""),"Inqube Global (PVT) Ltd")</f>
        <v>Inqube Global (PVT) Ltd</v>
      </c>
      <c r="G877" s="45" t="str">
        <f ca="1">IFERROR(__xludf.DUMMYFUNCTION("""COMPUTED_VALUE"""),"BRANDIX APPAREL SOLUTION LTD - GIRITALE")</f>
        <v>BRANDIX APPAREL SOLUTION LTD - GIRITALE</v>
      </c>
      <c r="H877" s="43">
        <f ca="1">IFERROR(__xludf.DUMMYFUNCTION("""COMPUTED_VALUE"""),456182500211)</f>
        <v>456182500211</v>
      </c>
      <c r="I877" s="45">
        <f ca="1">IFERROR(__xludf.DUMMYFUNCTION("""COMPUTED_VALUE"""),19855810)</f>
        <v>19855810</v>
      </c>
      <c r="J877" s="45" t="str">
        <f ca="1">IFERROR(__xludf.DUMMYFUNCTION("""COMPUTED_VALUE"""),"LM5B67S")</f>
        <v>LM5B67S</v>
      </c>
      <c r="K877" s="45" t="str">
        <f ca="1">IFERROR(__xludf.DUMMYFUNCTION("""COMPUTED_VALUE"""),"LM5B67S-070108")</f>
        <v>LM5B67S-070108</v>
      </c>
      <c r="L877" s="45">
        <f ca="1">IFERROR(__xludf.DUMMYFUNCTION("""COMPUTED_VALUE"""),1)</f>
        <v>1</v>
      </c>
      <c r="M877" s="45">
        <f ca="1">IFERROR(__xludf.DUMMYFUNCTION("""COMPUTED_VALUE"""),28)</f>
        <v>28</v>
      </c>
      <c r="N877" s="45">
        <f ca="1">IFERROR(__xludf.DUMMYFUNCTION("""COMPUTED_VALUE"""),14.67)</f>
        <v>14.67</v>
      </c>
      <c r="O877" s="45">
        <f ca="1">IFERROR(__xludf.DUMMYFUNCTION("""COMPUTED_VALUE"""),0.083)</f>
        <v>8.3000000000000004E-2</v>
      </c>
      <c r="P877" s="45" t="str">
        <f ca="1">IFERROR(__xludf.DUMMYFUNCTION("""COMPUTED_VALUE"""),"Colombo, LK")</f>
        <v>Colombo, LK</v>
      </c>
      <c r="Q877" s="45" t="str">
        <f ca="1">IFERROR(__xludf.DUMMYFUNCTION("""COMPUTED_VALUE"""),"New York, NY, US")</f>
        <v>New York, NY, US</v>
      </c>
      <c r="R877" s="44">
        <f ca="1">IFERROR(__xludf.DUMMYFUNCTION("""COMPUTED_VALUE"""),45838)</f>
        <v>45838</v>
      </c>
      <c r="S877" s="44">
        <f ca="1">IFERROR(__xludf.DUMMYFUNCTION("""COMPUTED_VALUE"""),45897)</f>
        <v>45897</v>
      </c>
      <c r="T877" s="45" t="str">
        <f ca="1">IFERROR(__xludf.DUMMYFUNCTION("""COMPUTED_VALUE"""),"Mississauga, ON, CA")</f>
        <v>Mississauga, ON, CA</v>
      </c>
      <c r="U877" s="45"/>
      <c r="V877" s="45"/>
      <c r="W877" s="45"/>
      <c r="X877" s="45"/>
      <c r="Y877" s="46">
        <f ca="1">IFERROR(__xludf.DUMMYFUNCTION("""COMPUTED_VALUE"""),45845)</f>
        <v>45845</v>
      </c>
      <c r="Z877" s="46">
        <f ca="1">IFERROR(__xludf.DUMMYFUNCTION("""COMPUTED_VALUE"""),45866)</f>
        <v>45866</v>
      </c>
      <c r="AA877" s="46">
        <f ca="1">IFERROR(__xludf.DUMMYFUNCTION("""COMPUTED_VALUE"""),45866)</f>
        <v>45866</v>
      </c>
      <c r="AB877" s="45" t="str">
        <f ca="1">IFERROR(__xludf.DUMMYFUNCTION("""COMPUTED_VALUE"""),"3500 Argentia Road")</f>
        <v>3500 Argentia Road</v>
      </c>
      <c r="AC877" s="45"/>
      <c r="AD877" s="45" t="str">
        <f ca="1">IFERROR(__xludf.DUMMYFUNCTION("""COMPUTED_VALUE"""),"OCEAN")</f>
        <v>OCEAN</v>
      </c>
      <c r="AE877" s="45" t="str">
        <f ca="1">IFERROR(__xludf.DUMMYFUNCTION("""COMPUTED_VALUE"""),"N")</f>
        <v>N</v>
      </c>
      <c r="AF877"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7" s="49" t="str">
        <f ca="1">IFERROR(__xludf.DUMMYFUNCTION("IFNA(vlookup(H877,IMPORTRANGE(""1vUGwO1n0QQGx9kKbO0_M5gmuhXZ6-LaxQxgrmJnzgP0"",""'TP# look up'!A:C""),3,0),"""")"),"")</f>
        <v/>
      </c>
      <c r="AH877" s="49" t="str">
        <f t="shared" ca="1" si="13"/>
        <v>LM</v>
      </c>
    </row>
    <row r="878" spans="1:34" ht="12.75">
      <c r="A878" s="45" t="str">
        <f ca="1">IFERROR(__xludf.DUMMYFUNCTION("""COMPUTED_VALUE"""),"Colombo")</f>
        <v>Colombo</v>
      </c>
      <c r="B878" s="45"/>
      <c r="C878" s="45">
        <f ca="1">IFERROR(__xludf.DUMMYFUNCTION("""COMPUTED_VALUE"""),3259528)</f>
        <v>3259528</v>
      </c>
      <c r="D878" s="45"/>
      <c r="E878" s="45" t="str">
        <f ca="1">IFERROR(__xludf.DUMMYFUNCTION("""COMPUTED_VALUE"""),"CFS")</f>
        <v>CFS</v>
      </c>
      <c r="F878" s="45" t="str">
        <f ca="1">IFERROR(__xludf.DUMMYFUNCTION("""COMPUTED_VALUE"""),"Inqube Global (PVT) Ltd")</f>
        <v>Inqube Global (PVT) Ltd</v>
      </c>
      <c r="G878" s="45" t="str">
        <f ca="1">IFERROR(__xludf.DUMMYFUNCTION("""COMPUTED_VALUE"""),"BRANDIX APPAREL SOLUTION LTD - GIRITALE")</f>
        <v>BRANDIX APPAREL SOLUTION LTD - GIRITALE</v>
      </c>
      <c r="H878" s="43">
        <f ca="1">IFERROR(__xludf.DUMMYFUNCTION("""COMPUTED_VALUE"""),456183352818)</f>
        <v>456183352818</v>
      </c>
      <c r="I878" s="45">
        <f ca="1">IFERROR(__xludf.DUMMYFUNCTION("""COMPUTED_VALUE"""),19855809)</f>
        <v>19855809</v>
      </c>
      <c r="J878" s="45" t="str">
        <f ca="1">IFERROR(__xludf.DUMMYFUNCTION("""COMPUTED_VALUE"""),"LM5B67S")</f>
        <v>LM5B67S</v>
      </c>
      <c r="K878" s="45" t="str">
        <f ca="1">IFERROR(__xludf.DUMMYFUNCTION("""COMPUTED_VALUE"""),"LM5B67S-070108")</f>
        <v>LM5B67S-070108</v>
      </c>
      <c r="L878" s="45">
        <f ca="1">IFERROR(__xludf.DUMMYFUNCTION("""COMPUTED_VALUE"""),5)</f>
        <v>5</v>
      </c>
      <c r="M878" s="45">
        <f ca="1">IFERROR(__xludf.DUMMYFUNCTION("""COMPUTED_VALUE"""),85)</f>
        <v>85</v>
      </c>
      <c r="N878" s="45">
        <f ca="1">IFERROR(__xludf.DUMMYFUNCTION("""COMPUTED_VALUE"""),45.69)</f>
        <v>45.69</v>
      </c>
      <c r="O878" s="45">
        <f ca="1">IFERROR(__xludf.DUMMYFUNCTION("""COMPUTED_VALUE"""),0.253)</f>
        <v>0.253</v>
      </c>
      <c r="P878" s="45" t="str">
        <f ca="1">IFERROR(__xludf.DUMMYFUNCTION("""COMPUTED_VALUE"""),"Colombo, LK")</f>
        <v>Colombo, LK</v>
      </c>
      <c r="Q878" s="45" t="str">
        <f ca="1">IFERROR(__xludf.DUMMYFUNCTION("""COMPUTED_VALUE"""),"New York, NY, US")</f>
        <v>New York, NY, US</v>
      </c>
      <c r="R878" s="44">
        <f ca="1">IFERROR(__xludf.DUMMYFUNCTION("""COMPUTED_VALUE"""),45838)</f>
        <v>45838</v>
      </c>
      <c r="S878" s="44">
        <f ca="1">IFERROR(__xludf.DUMMYFUNCTION("""COMPUTED_VALUE"""),45897)</f>
        <v>45897</v>
      </c>
      <c r="T878" s="45" t="str">
        <f ca="1">IFERROR(__xludf.DUMMYFUNCTION("""COMPUTED_VALUE"""),"Mississauga, ON, CA")</f>
        <v>Mississauga, ON, CA</v>
      </c>
      <c r="U878" s="45"/>
      <c r="V878" s="45"/>
      <c r="W878" s="45"/>
      <c r="X878" s="45"/>
      <c r="Y878" s="46">
        <f ca="1">IFERROR(__xludf.DUMMYFUNCTION("""COMPUTED_VALUE"""),45845)</f>
        <v>45845</v>
      </c>
      <c r="Z878" s="46">
        <f ca="1">IFERROR(__xludf.DUMMYFUNCTION("""COMPUTED_VALUE"""),45866)</f>
        <v>45866</v>
      </c>
      <c r="AA878" s="46">
        <f ca="1">IFERROR(__xludf.DUMMYFUNCTION("""COMPUTED_VALUE"""),45866)</f>
        <v>45866</v>
      </c>
      <c r="AB878" s="45" t="str">
        <f ca="1">IFERROR(__xludf.DUMMYFUNCTION("""COMPUTED_VALUE"""),"3500 Argentia Road")</f>
        <v>3500 Argentia Road</v>
      </c>
      <c r="AC878" s="45"/>
      <c r="AD878" s="45" t="str">
        <f ca="1">IFERROR(__xludf.DUMMYFUNCTION("""COMPUTED_VALUE"""),"OCEAN")</f>
        <v>OCEAN</v>
      </c>
      <c r="AE878" s="45" t="str">
        <f ca="1">IFERROR(__xludf.DUMMYFUNCTION("""COMPUTED_VALUE"""),"N")</f>
        <v>N</v>
      </c>
      <c r="AF878"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8" s="49" t="str">
        <f ca="1">IFERROR(__xludf.DUMMYFUNCTION("IFNA(vlookup(H878,IMPORTRANGE(""1vUGwO1n0QQGx9kKbO0_M5gmuhXZ6-LaxQxgrmJnzgP0"",""'TP# look up'!A:C""),3,0),"""")"),"")</f>
        <v/>
      </c>
      <c r="AH878" s="49" t="str">
        <f t="shared" ca="1" si="13"/>
        <v>LM</v>
      </c>
    </row>
    <row r="879" spans="1:34" ht="12.75">
      <c r="A879" s="45" t="str">
        <f ca="1">IFERROR(__xludf.DUMMYFUNCTION("""COMPUTED_VALUE"""),"Colombo")</f>
        <v>Colombo</v>
      </c>
      <c r="B879" s="45"/>
      <c r="C879" s="45">
        <f ca="1">IFERROR(__xludf.DUMMYFUNCTION("""COMPUTED_VALUE"""),3259528)</f>
        <v>3259528</v>
      </c>
      <c r="D879" s="45"/>
      <c r="E879" s="45" t="str">
        <f ca="1">IFERROR(__xludf.DUMMYFUNCTION("""COMPUTED_VALUE"""),"CFS")</f>
        <v>CFS</v>
      </c>
      <c r="F879" s="45" t="str">
        <f ca="1">IFERROR(__xludf.DUMMYFUNCTION("""COMPUTED_VALUE"""),"Inqube Global (PVT) Ltd")</f>
        <v>Inqube Global (PVT) Ltd</v>
      </c>
      <c r="G879" s="45" t="str">
        <f ca="1">IFERROR(__xludf.DUMMYFUNCTION("""COMPUTED_VALUE"""),"BRANDIX APPAREL SOLUTION LTD - GIRITALE")</f>
        <v>BRANDIX APPAREL SOLUTION LTD - GIRITALE</v>
      </c>
      <c r="H879" s="43">
        <f ca="1">IFERROR(__xludf.DUMMYFUNCTION("""COMPUTED_VALUE"""),456183354744)</f>
        <v>456183354744</v>
      </c>
      <c r="I879" s="45">
        <f ca="1">IFERROR(__xludf.DUMMYFUNCTION("""COMPUTED_VALUE"""),19856525)</f>
        <v>19856525</v>
      </c>
      <c r="J879" s="45" t="str">
        <f ca="1">IFERROR(__xludf.DUMMYFUNCTION("""COMPUTED_VALUE"""),"LM5B67S")</f>
        <v>LM5B67S</v>
      </c>
      <c r="K879" s="45" t="str">
        <f ca="1">IFERROR(__xludf.DUMMYFUNCTION("""COMPUTED_VALUE"""),"LM5B67S-070108")</f>
        <v>LM5B67S-070108</v>
      </c>
      <c r="L879" s="45">
        <f ca="1">IFERROR(__xludf.DUMMYFUNCTION("""COMPUTED_VALUE"""),6)</f>
        <v>6</v>
      </c>
      <c r="M879" s="45">
        <f ca="1">IFERROR(__xludf.DUMMYFUNCTION("""COMPUTED_VALUE"""),134)</f>
        <v>134</v>
      </c>
      <c r="N879" s="45">
        <f ca="1">IFERROR(__xludf.DUMMYFUNCTION("""COMPUTED_VALUE"""),70.89)</f>
        <v>70.89</v>
      </c>
      <c r="O879" s="45">
        <f ca="1">IFERROR(__xludf.DUMMYFUNCTION("""COMPUTED_VALUE"""),0.375)</f>
        <v>0.375</v>
      </c>
      <c r="P879" s="45" t="str">
        <f ca="1">IFERROR(__xludf.DUMMYFUNCTION("""COMPUTED_VALUE"""),"Colombo, LK")</f>
        <v>Colombo, LK</v>
      </c>
      <c r="Q879" s="45" t="str">
        <f ca="1">IFERROR(__xludf.DUMMYFUNCTION("""COMPUTED_VALUE"""),"New York, NY, US")</f>
        <v>New York, NY, US</v>
      </c>
      <c r="R879" s="44">
        <f ca="1">IFERROR(__xludf.DUMMYFUNCTION("""COMPUTED_VALUE"""),45838)</f>
        <v>45838</v>
      </c>
      <c r="S879" s="44">
        <f ca="1">IFERROR(__xludf.DUMMYFUNCTION("""COMPUTED_VALUE"""),45897)</f>
        <v>45897</v>
      </c>
      <c r="T879" s="45" t="str">
        <f ca="1">IFERROR(__xludf.DUMMYFUNCTION("""COMPUTED_VALUE"""),"Mississauga, ON, CA")</f>
        <v>Mississauga, ON, CA</v>
      </c>
      <c r="U879" s="45"/>
      <c r="V879" s="45"/>
      <c r="W879" s="45"/>
      <c r="X879" s="45"/>
      <c r="Y879" s="46">
        <f ca="1">IFERROR(__xludf.DUMMYFUNCTION("""COMPUTED_VALUE"""),45845)</f>
        <v>45845</v>
      </c>
      <c r="Z879" s="46">
        <f ca="1">IFERROR(__xludf.DUMMYFUNCTION("""COMPUTED_VALUE"""),45866)</f>
        <v>45866</v>
      </c>
      <c r="AA879" s="46">
        <f ca="1">IFERROR(__xludf.DUMMYFUNCTION("""COMPUTED_VALUE"""),45866)</f>
        <v>45866</v>
      </c>
      <c r="AB879" s="45" t="str">
        <f ca="1">IFERROR(__xludf.DUMMYFUNCTION("""COMPUTED_VALUE"""),"3500 Argentia Road")</f>
        <v>3500 Argentia Road</v>
      </c>
      <c r="AC879" s="45"/>
      <c r="AD879" s="45" t="str">
        <f ca="1">IFERROR(__xludf.DUMMYFUNCTION("""COMPUTED_VALUE"""),"OCEAN")</f>
        <v>OCEAN</v>
      </c>
      <c r="AE879" s="45" t="str">
        <f ca="1">IFERROR(__xludf.DUMMYFUNCTION("""COMPUTED_VALUE"""),"N")</f>
        <v>N</v>
      </c>
      <c r="AF879"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79" s="49" t="str">
        <f ca="1">IFERROR(__xludf.DUMMYFUNCTION("IFNA(vlookup(H879,IMPORTRANGE(""1vUGwO1n0QQGx9kKbO0_M5gmuhXZ6-LaxQxgrmJnzgP0"",""'TP# look up'!A:C""),3,0),"""")"),"")</f>
        <v/>
      </c>
      <c r="AH879" s="49" t="str">
        <f t="shared" ca="1" si="13"/>
        <v>LM</v>
      </c>
    </row>
    <row r="880" spans="1:34" ht="12.75">
      <c r="A880" s="45" t="str">
        <f ca="1">IFERROR(__xludf.DUMMYFUNCTION("""COMPUTED_VALUE"""),"Colombo")</f>
        <v>Colombo</v>
      </c>
      <c r="B880" s="45"/>
      <c r="C880" s="45">
        <f ca="1">IFERROR(__xludf.DUMMYFUNCTION("""COMPUTED_VALUE"""),3259528)</f>
        <v>3259528</v>
      </c>
      <c r="D880" s="45"/>
      <c r="E880" s="45" t="str">
        <f ca="1">IFERROR(__xludf.DUMMYFUNCTION("""COMPUTED_VALUE"""),"CFS")</f>
        <v>CFS</v>
      </c>
      <c r="F880" s="45" t="str">
        <f ca="1">IFERROR(__xludf.DUMMYFUNCTION("""COMPUTED_VALUE"""),"Inqube Global (PVT) Ltd")</f>
        <v>Inqube Global (PVT) Ltd</v>
      </c>
      <c r="G880" s="45" t="str">
        <f ca="1">IFERROR(__xludf.DUMMYFUNCTION("""COMPUTED_VALUE"""),"BRANDIX APPAREL SOLUTION LTD - GIRITALE")</f>
        <v>BRANDIX APPAREL SOLUTION LTD - GIRITALE</v>
      </c>
      <c r="H880" s="43">
        <f ca="1">IFERROR(__xludf.DUMMYFUNCTION("""COMPUTED_VALUE"""),456186740892)</f>
        <v>456186740892</v>
      </c>
      <c r="I880" s="45">
        <f ca="1">IFERROR(__xludf.DUMMYFUNCTION("""COMPUTED_VALUE"""),19855799)</f>
        <v>19855799</v>
      </c>
      <c r="J880" s="45" t="str">
        <f ca="1">IFERROR(__xludf.DUMMYFUNCTION("""COMPUTED_VALUE"""),"LM5B67S")</f>
        <v>LM5B67S</v>
      </c>
      <c r="K880" s="45" t="str">
        <f ca="1">IFERROR(__xludf.DUMMYFUNCTION("""COMPUTED_VALUE"""),"LM5B67S-071148")</f>
        <v>LM5B67S-071148</v>
      </c>
      <c r="L880" s="45">
        <f ca="1">IFERROR(__xludf.DUMMYFUNCTION("""COMPUTED_VALUE"""),4)</f>
        <v>4</v>
      </c>
      <c r="M880" s="45">
        <f ca="1">IFERROR(__xludf.DUMMYFUNCTION("""COMPUTED_VALUE"""),74)</f>
        <v>74</v>
      </c>
      <c r="N880" s="45">
        <f ca="1">IFERROR(__xludf.DUMMYFUNCTION("""COMPUTED_VALUE"""),39.43)</f>
        <v>39.43</v>
      </c>
      <c r="O880" s="45">
        <f ca="1">IFERROR(__xludf.DUMMYFUNCTION("""COMPUTED_VALUE"""),0.21)</f>
        <v>0.21</v>
      </c>
      <c r="P880" s="45" t="str">
        <f ca="1">IFERROR(__xludf.DUMMYFUNCTION("""COMPUTED_VALUE"""),"Colombo, LK")</f>
        <v>Colombo, LK</v>
      </c>
      <c r="Q880" s="45" t="str">
        <f ca="1">IFERROR(__xludf.DUMMYFUNCTION("""COMPUTED_VALUE"""),"New York, NY, US")</f>
        <v>New York, NY, US</v>
      </c>
      <c r="R880" s="44">
        <f ca="1">IFERROR(__xludf.DUMMYFUNCTION("""COMPUTED_VALUE"""),45838)</f>
        <v>45838</v>
      </c>
      <c r="S880" s="44">
        <f ca="1">IFERROR(__xludf.DUMMYFUNCTION("""COMPUTED_VALUE"""),45897)</f>
        <v>45897</v>
      </c>
      <c r="T880" s="45" t="str">
        <f ca="1">IFERROR(__xludf.DUMMYFUNCTION("""COMPUTED_VALUE"""),"Mississauga, ON, CA")</f>
        <v>Mississauga, ON, CA</v>
      </c>
      <c r="U880" s="45"/>
      <c r="V880" s="45"/>
      <c r="W880" s="45"/>
      <c r="X880" s="45"/>
      <c r="Y880" s="46">
        <f ca="1">IFERROR(__xludf.DUMMYFUNCTION("""COMPUTED_VALUE"""),45845)</f>
        <v>45845</v>
      </c>
      <c r="Z880" s="46">
        <f ca="1">IFERROR(__xludf.DUMMYFUNCTION("""COMPUTED_VALUE"""),45866)</f>
        <v>45866</v>
      </c>
      <c r="AA880" s="46">
        <f ca="1">IFERROR(__xludf.DUMMYFUNCTION("""COMPUTED_VALUE"""),45866)</f>
        <v>45866</v>
      </c>
      <c r="AB880" s="45" t="str">
        <f ca="1">IFERROR(__xludf.DUMMYFUNCTION("""COMPUTED_VALUE"""),"3500 Argentia Road")</f>
        <v>3500 Argentia Road</v>
      </c>
      <c r="AC880" s="45"/>
      <c r="AD880" s="45" t="str">
        <f ca="1">IFERROR(__xludf.DUMMYFUNCTION("""COMPUTED_VALUE"""),"OCEAN")</f>
        <v>OCEAN</v>
      </c>
      <c r="AE880" s="45" t="str">
        <f ca="1">IFERROR(__xludf.DUMMYFUNCTION("""COMPUTED_VALUE"""),"N")</f>
        <v>N</v>
      </c>
      <c r="AF880"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0" s="49" t="str">
        <f ca="1">IFERROR(__xludf.DUMMYFUNCTION("IFNA(vlookup(H880,IMPORTRANGE(""1vUGwO1n0QQGx9kKbO0_M5gmuhXZ6-LaxQxgrmJnzgP0"",""'TP# look up'!A:C""),3,0),"""")"),"")</f>
        <v/>
      </c>
      <c r="AH880" s="49" t="str">
        <f t="shared" ca="1" si="13"/>
        <v>LM</v>
      </c>
    </row>
    <row r="881" spans="1:34" ht="12.75">
      <c r="A881" s="45" t="str">
        <f ca="1">IFERROR(__xludf.DUMMYFUNCTION("""COMPUTED_VALUE"""),"Colombo")</f>
        <v>Colombo</v>
      </c>
      <c r="B881" s="45"/>
      <c r="C881" s="45">
        <f ca="1">IFERROR(__xludf.DUMMYFUNCTION("""COMPUTED_VALUE"""),3259528)</f>
        <v>3259528</v>
      </c>
      <c r="D881" s="45"/>
      <c r="E881" s="45" t="str">
        <f ca="1">IFERROR(__xludf.DUMMYFUNCTION("""COMPUTED_VALUE"""),"CFS")</f>
        <v>CFS</v>
      </c>
      <c r="F881" s="45" t="str">
        <f ca="1">IFERROR(__xludf.DUMMYFUNCTION("""COMPUTED_VALUE"""),"Inqube Global (PVT) Ltd")</f>
        <v>Inqube Global (PVT) Ltd</v>
      </c>
      <c r="G881" s="45" t="str">
        <f ca="1">IFERROR(__xludf.DUMMYFUNCTION("""COMPUTED_VALUE"""),"BRANDIX APPAREL SOLUTION LTD - GIRITALE")</f>
        <v>BRANDIX APPAREL SOLUTION LTD - GIRITALE</v>
      </c>
      <c r="H881" s="43">
        <f ca="1">IFERROR(__xludf.DUMMYFUNCTION("""COMPUTED_VALUE"""),456188835902)</f>
        <v>456188835902</v>
      </c>
      <c r="I881" s="45">
        <f ca="1">IFERROR(__xludf.DUMMYFUNCTION("""COMPUTED_VALUE"""),19855800)</f>
        <v>19855800</v>
      </c>
      <c r="J881" s="45" t="str">
        <f ca="1">IFERROR(__xludf.DUMMYFUNCTION("""COMPUTED_VALUE"""),"LM5B67S")</f>
        <v>LM5B67S</v>
      </c>
      <c r="K881" s="45" t="str">
        <f ca="1">IFERROR(__xludf.DUMMYFUNCTION("""COMPUTED_VALUE"""),"LM5B67S-071148")</f>
        <v>LM5B67S-071148</v>
      </c>
      <c r="L881" s="45">
        <f ca="1">IFERROR(__xludf.DUMMYFUNCTION("""COMPUTED_VALUE"""),1)</f>
        <v>1</v>
      </c>
      <c r="M881" s="45">
        <f ca="1">IFERROR(__xludf.DUMMYFUNCTION("""COMPUTED_VALUE"""),21)</f>
        <v>21</v>
      </c>
      <c r="N881" s="45">
        <f ca="1">IFERROR(__xludf.DUMMYFUNCTION("""COMPUTED_VALUE"""),11.1)</f>
        <v>11.1</v>
      </c>
      <c r="O881" s="45">
        <f ca="1">IFERROR(__xludf.DUMMYFUNCTION("""COMPUTED_VALUE"""),0.043)</f>
        <v>4.2999999999999997E-2</v>
      </c>
      <c r="P881" s="45" t="str">
        <f ca="1">IFERROR(__xludf.DUMMYFUNCTION("""COMPUTED_VALUE"""),"Colombo, LK")</f>
        <v>Colombo, LK</v>
      </c>
      <c r="Q881" s="45" t="str">
        <f ca="1">IFERROR(__xludf.DUMMYFUNCTION("""COMPUTED_VALUE"""),"New York, NY, US")</f>
        <v>New York, NY, US</v>
      </c>
      <c r="R881" s="44">
        <f ca="1">IFERROR(__xludf.DUMMYFUNCTION("""COMPUTED_VALUE"""),45838)</f>
        <v>45838</v>
      </c>
      <c r="S881" s="44">
        <f ca="1">IFERROR(__xludf.DUMMYFUNCTION("""COMPUTED_VALUE"""),45897)</f>
        <v>45897</v>
      </c>
      <c r="T881" s="45" t="str">
        <f ca="1">IFERROR(__xludf.DUMMYFUNCTION("""COMPUTED_VALUE"""),"Mississauga, ON, CA")</f>
        <v>Mississauga, ON, CA</v>
      </c>
      <c r="U881" s="45"/>
      <c r="V881" s="45"/>
      <c r="W881" s="45"/>
      <c r="X881" s="45"/>
      <c r="Y881" s="46">
        <f ca="1">IFERROR(__xludf.DUMMYFUNCTION("""COMPUTED_VALUE"""),45845)</f>
        <v>45845</v>
      </c>
      <c r="Z881" s="46">
        <f ca="1">IFERROR(__xludf.DUMMYFUNCTION("""COMPUTED_VALUE"""),45866)</f>
        <v>45866</v>
      </c>
      <c r="AA881" s="46">
        <f ca="1">IFERROR(__xludf.DUMMYFUNCTION("""COMPUTED_VALUE"""),45866)</f>
        <v>45866</v>
      </c>
      <c r="AB881" s="45" t="str">
        <f ca="1">IFERROR(__xludf.DUMMYFUNCTION("""COMPUTED_VALUE"""),"3500 Argentia Road")</f>
        <v>3500 Argentia Road</v>
      </c>
      <c r="AC881" s="45"/>
      <c r="AD881" s="45" t="str">
        <f ca="1">IFERROR(__xludf.DUMMYFUNCTION("""COMPUTED_VALUE"""),"OCEAN")</f>
        <v>OCEAN</v>
      </c>
      <c r="AE881" s="45" t="str">
        <f ca="1">IFERROR(__xludf.DUMMYFUNCTION("""COMPUTED_VALUE"""),"N")</f>
        <v>N</v>
      </c>
      <c r="AF881"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1" s="49" t="str">
        <f ca="1">IFERROR(__xludf.DUMMYFUNCTION("IFNA(vlookup(H881,IMPORTRANGE(""1vUGwO1n0QQGx9kKbO0_M5gmuhXZ6-LaxQxgrmJnzgP0"",""'TP# look up'!A:C""),3,0),"""")"),"")</f>
        <v/>
      </c>
      <c r="AH881" s="49" t="str">
        <f t="shared" ca="1" si="13"/>
        <v>LM</v>
      </c>
    </row>
    <row r="882" spans="1:34" ht="12.75">
      <c r="A882" s="45" t="str">
        <f ca="1">IFERROR(__xludf.DUMMYFUNCTION("""COMPUTED_VALUE"""),"Colombo")</f>
        <v>Colombo</v>
      </c>
      <c r="B882" s="45"/>
      <c r="C882" s="45">
        <f ca="1">IFERROR(__xludf.DUMMYFUNCTION("""COMPUTED_VALUE"""),3259528)</f>
        <v>3259528</v>
      </c>
      <c r="D882" s="45"/>
      <c r="E882" s="45" t="str">
        <f ca="1">IFERROR(__xludf.DUMMYFUNCTION("""COMPUTED_VALUE"""),"CFS")</f>
        <v>CFS</v>
      </c>
      <c r="F882" s="45" t="str">
        <f ca="1">IFERROR(__xludf.DUMMYFUNCTION("""COMPUTED_VALUE"""),"Inqube Global (PVT) Ltd")</f>
        <v>Inqube Global (PVT) Ltd</v>
      </c>
      <c r="G882" s="45" t="str">
        <f ca="1">IFERROR(__xludf.DUMMYFUNCTION("""COMPUTED_VALUE"""),"BRANDIX APPAREL SOLUTION LTD - GIRITALE")</f>
        <v>BRANDIX APPAREL SOLUTION LTD - GIRITALE</v>
      </c>
      <c r="H882" s="43">
        <f ca="1">IFERROR(__xludf.DUMMYFUNCTION("""COMPUTED_VALUE"""),456189927533)</f>
        <v>456189927533</v>
      </c>
      <c r="I882" s="45">
        <f ca="1">IFERROR(__xludf.DUMMYFUNCTION("""COMPUTED_VALUE"""),19856485)</f>
        <v>19856485</v>
      </c>
      <c r="J882" s="45" t="str">
        <f ca="1">IFERROR(__xludf.DUMMYFUNCTION("""COMPUTED_VALUE"""),"LM5B67S")</f>
        <v>LM5B67S</v>
      </c>
      <c r="K882" s="45" t="str">
        <f ca="1">IFERROR(__xludf.DUMMYFUNCTION("""COMPUTED_VALUE"""),"LM5B67S-071148")</f>
        <v>LM5B67S-071148</v>
      </c>
      <c r="L882" s="45">
        <f ca="1">IFERROR(__xludf.DUMMYFUNCTION("""COMPUTED_VALUE"""),8)</f>
        <v>8</v>
      </c>
      <c r="M882" s="45">
        <f ca="1">IFERROR(__xludf.DUMMYFUNCTION("""COMPUTED_VALUE"""),212)</f>
        <v>212</v>
      </c>
      <c r="N882" s="45">
        <f ca="1">IFERROR(__xludf.DUMMYFUNCTION("""COMPUTED_VALUE"""),111.46)</f>
        <v>111.46</v>
      </c>
      <c r="O882" s="45">
        <f ca="1">IFERROR(__xludf.DUMMYFUNCTION("""COMPUTED_VALUE"""),0.58)</f>
        <v>0.57999999999999996</v>
      </c>
      <c r="P882" s="45" t="str">
        <f ca="1">IFERROR(__xludf.DUMMYFUNCTION("""COMPUTED_VALUE"""),"Colombo, LK")</f>
        <v>Colombo, LK</v>
      </c>
      <c r="Q882" s="45" t="str">
        <f ca="1">IFERROR(__xludf.DUMMYFUNCTION("""COMPUTED_VALUE"""),"New York, NY, US")</f>
        <v>New York, NY, US</v>
      </c>
      <c r="R882" s="44">
        <f ca="1">IFERROR(__xludf.DUMMYFUNCTION("""COMPUTED_VALUE"""),45838)</f>
        <v>45838</v>
      </c>
      <c r="S882" s="44">
        <f ca="1">IFERROR(__xludf.DUMMYFUNCTION("""COMPUTED_VALUE"""),45897)</f>
        <v>45897</v>
      </c>
      <c r="T882" s="45" t="str">
        <f ca="1">IFERROR(__xludf.DUMMYFUNCTION("""COMPUTED_VALUE"""),"Mississauga, ON, CA")</f>
        <v>Mississauga, ON, CA</v>
      </c>
      <c r="U882" s="45"/>
      <c r="V882" s="45"/>
      <c r="W882" s="45"/>
      <c r="X882" s="45"/>
      <c r="Y882" s="46">
        <f ca="1">IFERROR(__xludf.DUMMYFUNCTION("""COMPUTED_VALUE"""),45845)</f>
        <v>45845</v>
      </c>
      <c r="Z882" s="46">
        <f ca="1">IFERROR(__xludf.DUMMYFUNCTION("""COMPUTED_VALUE"""),45866)</f>
        <v>45866</v>
      </c>
      <c r="AA882" s="46">
        <f ca="1">IFERROR(__xludf.DUMMYFUNCTION("""COMPUTED_VALUE"""),45866)</f>
        <v>45866</v>
      </c>
      <c r="AB882" s="45" t="str">
        <f ca="1">IFERROR(__xludf.DUMMYFUNCTION("""COMPUTED_VALUE"""),"3500 Argentia Road")</f>
        <v>3500 Argentia Road</v>
      </c>
      <c r="AC882" s="45"/>
      <c r="AD882" s="45" t="str">
        <f ca="1">IFERROR(__xludf.DUMMYFUNCTION("""COMPUTED_VALUE"""),"OCEAN")</f>
        <v>OCEAN</v>
      </c>
      <c r="AE882" s="45" t="str">
        <f ca="1">IFERROR(__xludf.DUMMYFUNCTION("""COMPUTED_VALUE"""),"N")</f>
        <v>N</v>
      </c>
      <c r="AF882"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2" s="49" t="str">
        <f ca="1">IFERROR(__xludf.DUMMYFUNCTION("IFNA(vlookup(H882,IMPORTRANGE(""1vUGwO1n0QQGx9kKbO0_M5gmuhXZ6-LaxQxgrmJnzgP0"",""'TP# look up'!A:C""),3,0),"""")"),"")</f>
        <v/>
      </c>
      <c r="AH882" s="49" t="str">
        <f t="shared" ca="1" si="13"/>
        <v>LM</v>
      </c>
    </row>
    <row r="883" spans="1:34" ht="12.75">
      <c r="A883" s="45" t="str">
        <f ca="1">IFERROR(__xludf.DUMMYFUNCTION("""COMPUTED_VALUE"""),"Colombo")</f>
        <v>Colombo</v>
      </c>
      <c r="B883" s="45"/>
      <c r="C883" s="45">
        <f ca="1">IFERROR(__xludf.DUMMYFUNCTION("""COMPUTED_VALUE"""),3259528)</f>
        <v>3259528</v>
      </c>
      <c r="D883" s="45"/>
      <c r="E883" s="45" t="str">
        <f ca="1">IFERROR(__xludf.DUMMYFUNCTION("""COMPUTED_VALUE"""),"CFS")</f>
        <v>CFS</v>
      </c>
      <c r="F883" s="45" t="str">
        <f ca="1">IFERROR(__xludf.DUMMYFUNCTION("""COMPUTED_VALUE"""),"Inqube Global (PVT) Ltd")</f>
        <v>Inqube Global (PVT) Ltd</v>
      </c>
      <c r="G883" s="45" t="str">
        <f ca="1">IFERROR(__xludf.DUMMYFUNCTION("""COMPUTED_VALUE"""),"BRANDIX APPAREL SOLUTION LTD - GIRITALE")</f>
        <v>BRANDIX APPAREL SOLUTION LTD - GIRITALE</v>
      </c>
      <c r="H883" s="43">
        <f ca="1">IFERROR(__xludf.DUMMYFUNCTION("""COMPUTED_VALUE"""),456191079290)</f>
        <v>456191079290</v>
      </c>
      <c r="I883" s="45">
        <f ca="1">IFERROR(__xludf.DUMMYFUNCTION("""COMPUTED_VALUE"""),19856489)</f>
        <v>19856489</v>
      </c>
      <c r="J883" s="45" t="str">
        <f ca="1">IFERROR(__xludf.DUMMYFUNCTION("""COMPUTED_VALUE"""),"LM5B67S")</f>
        <v>LM5B67S</v>
      </c>
      <c r="K883" s="45" t="str">
        <f ca="1">IFERROR(__xludf.DUMMYFUNCTION("""COMPUTED_VALUE"""),"LM5B67S-071148")</f>
        <v>LM5B67S-071148</v>
      </c>
      <c r="L883" s="45">
        <f ca="1">IFERROR(__xludf.DUMMYFUNCTION("""COMPUTED_VALUE"""),5)</f>
        <v>5</v>
      </c>
      <c r="M883" s="45">
        <f ca="1">IFERROR(__xludf.DUMMYFUNCTION("""COMPUTED_VALUE"""),103)</f>
        <v>103</v>
      </c>
      <c r="N883" s="45">
        <f ca="1">IFERROR(__xludf.DUMMYFUNCTION("""COMPUTED_VALUE"""),54.33)</f>
        <v>54.33</v>
      </c>
      <c r="O883" s="45">
        <f ca="1">IFERROR(__xludf.DUMMYFUNCTION("""COMPUTED_VALUE"""),0.253)</f>
        <v>0.253</v>
      </c>
      <c r="P883" s="45" t="str">
        <f ca="1">IFERROR(__xludf.DUMMYFUNCTION("""COMPUTED_VALUE"""),"Colombo, LK")</f>
        <v>Colombo, LK</v>
      </c>
      <c r="Q883" s="45" t="str">
        <f ca="1">IFERROR(__xludf.DUMMYFUNCTION("""COMPUTED_VALUE"""),"New York, NY, US")</f>
        <v>New York, NY, US</v>
      </c>
      <c r="R883" s="44">
        <f ca="1">IFERROR(__xludf.DUMMYFUNCTION("""COMPUTED_VALUE"""),45838)</f>
        <v>45838</v>
      </c>
      <c r="S883" s="44">
        <f ca="1">IFERROR(__xludf.DUMMYFUNCTION("""COMPUTED_VALUE"""),45897)</f>
        <v>45897</v>
      </c>
      <c r="T883" s="45" t="str">
        <f ca="1">IFERROR(__xludf.DUMMYFUNCTION("""COMPUTED_VALUE"""),"Mississauga, ON, CA")</f>
        <v>Mississauga, ON, CA</v>
      </c>
      <c r="U883" s="45"/>
      <c r="V883" s="45"/>
      <c r="W883" s="45"/>
      <c r="X883" s="45"/>
      <c r="Y883" s="46">
        <f ca="1">IFERROR(__xludf.DUMMYFUNCTION("""COMPUTED_VALUE"""),45845)</f>
        <v>45845</v>
      </c>
      <c r="Z883" s="46">
        <f ca="1">IFERROR(__xludf.DUMMYFUNCTION("""COMPUTED_VALUE"""),45866)</f>
        <v>45866</v>
      </c>
      <c r="AA883" s="46">
        <f ca="1">IFERROR(__xludf.DUMMYFUNCTION("""COMPUTED_VALUE"""),45866)</f>
        <v>45866</v>
      </c>
      <c r="AB883" s="45" t="str">
        <f ca="1">IFERROR(__xludf.DUMMYFUNCTION("""COMPUTED_VALUE"""),"3500 Argentia Road")</f>
        <v>3500 Argentia Road</v>
      </c>
      <c r="AC883" s="45"/>
      <c r="AD883" s="45" t="str">
        <f ca="1">IFERROR(__xludf.DUMMYFUNCTION("""COMPUTED_VALUE"""),"OCEAN")</f>
        <v>OCEAN</v>
      </c>
      <c r="AE883" s="45" t="str">
        <f ca="1">IFERROR(__xludf.DUMMYFUNCTION("""COMPUTED_VALUE"""),"N")</f>
        <v>N</v>
      </c>
      <c r="AF883"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3" s="49" t="str">
        <f ca="1">IFERROR(__xludf.DUMMYFUNCTION("IFNA(vlookup(H883,IMPORTRANGE(""1vUGwO1n0QQGx9kKbO0_M5gmuhXZ6-LaxQxgrmJnzgP0"",""'TP# look up'!A:C""),3,0),"""")"),"")</f>
        <v/>
      </c>
      <c r="AH883" s="49" t="str">
        <f t="shared" ca="1" si="13"/>
        <v>LM</v>
      </c>
    </row>
    <row r="884" spans="1:34" ht="12.75">
      <c r="A884" s="45" t="str">
        <f ca="1">IFERROR(__xludf.DUMMYFUNCTION("""COMPUTED_VALUE"""),"Colombo")</f>
        <v>Colombo</v>
      </c>
      <c r="B884" s="45"/>
      <c r="C884" s="45">
        <f ca="1">IFERROR(__xludf.DUMMYFUNCTION("""COMPUTED_VALUE"""),3259528)</f>
        <v>3259528</v>
      </c>
      <c r="D884" s="45"/>
      <c r="E884" s="45" t="str">
        <f ca="1">IFERROR(__xludf.DUMMYFUNCTION("""COMPUTED_VALUE"""),"CFS")</f>
        <v>CFS</v>
      </c>
      <c r="F884" s="45" t="str">
        <f ca="1">IFERROR(__xludf.DUMMYFUNCTION("""COMPUTED_VALUE"""),"Inqube Global (PVT) Ltd")</f>
        <v>Inqube Global (PVT) Ltd</v>
      </c>
      <c r="G884" s="45" t="str">
        <f ca="1">IFERROR(__xludf.DUMMYFUNCTION("""COMPUTED_VALUE"""),"Brandix Apparel Solutions Limited - Minuwangoda")</f>
        <v>Brandix Apparel Solutions Limited - Minuwangoda</v>
      </c>
      <c r="H884" s="43">
        <f ca="1">IFERROR(__xludf.DUMMYFUNCTION("""COMPUTED_VALUE"""),456004957135)</f>
        <v>456004957135</v>
      </c>
      <c r="I884" s="45">
        <f ca="1">IFERROR(__xludf.DUMMYFUNCTION("""COMPUTED_VALUE"""),19855058)</f>
        <v>19855058</v>
      </c>
      <c r="J884" s="45" t="str">
        <f ca="1">IFERROR(__xludf.DUMMYFUNCTION("""COMPUTED_VALUE"""),"LW3ISOS")</f>
        <v>LW3ISOS</v>
      </c>
      <c r="K884" s="45" t="str">
        <f ca="1">IFERROR(__xludf.DUMMYFUNCTION("""COMPUTED_VALUE"""),"LW3ISOS-041179")</f>
        <v>LW3ISOS-041179</v>
      </c>
      <c r="L884" s="45">
        <f ca="1">IFERROR(__xludf.DUMMYFUNCTION("""COMPUTED_VALUE"""),3)</f>
        <v>3</v>
      </c>
      <c r="M884" s="45">
        <f ca="1">IFERROR(__xludf.DUMMYFUNCTION("""COMPUTED_VALUE"""),162)</f>
        <v>162</v>
      </c>
      <c r="N884" s="45">
        <f ca="1">IFERROR(__xludf.DUMMYFUNCTION("""COMPUTED_VALUE"""),28.185)</f>
        <v>28.184999999999999</v>
      </c>
      <c r="O884" s="45">
        <f ca="1">IFERROR(__xludf.DUMMYFUNCTION("""COMPUTED_VALUE"""),0.236)</f>
        <v>0.23599999999999999</v>
      </c>
      <c r="P884" s="45" t="str">
        <f ca="1">IFERROR(__xludf.DUMMYFUNCTION("""COMPUTED_VALUE"""),"Colombo, LK")</f>
        <v>Colombo, LK</v>
      </c>
      <c r="Q884" s="45" t="str">
        <f ca="1">IFERROR(__xludf.DUMMYFUNCTION("""COMPUTED_VALUE"""),"New York, NY, US")</f>
        <v>New York, NY, US</v>
      </c>
      <c r="R884" s="44">
        <f ca="1">IFERROR(__xludf.DUMMYFUNCTION("""COMPUTED_VALUE"""),45838)</f>
        <v>45838</v>
      </c>
      <c r="S884" s="44">
        <f ca="1">IFERROR(__xludf.DUMMYFUNCTION("""COMPUTED_VALUE"""),45897)</f>
        <v>45897</v>
      </c>
      <c r="T884" s="45" t="str">
        <f ca="1">IFERROR(__xludf.DUMMYFUNCTION("""COMPUTED_VALUE"""),"Mississauga, ON, CA")</f>
        <v>Mississauga, ON, CA</v>
      </c>
      <c r="U884" s="45"/>
      <c r="V884" s="45"/>
      <c r="W884" s="45"/>
      <c r="X884" s="45"/>
      <c r="Y884" s="46">
        <f ca="1">IFERROR(__xludf.DUMMYFUNCTION("""COMPUTED_VALUE"""),45845)</f>
        <v>45845</v>
      </c>
      <c r="Z884" s="46">
        <f ca="1">IFERROR(__xludf.DUMMYFUNCTION("""COMPUTED_VALUE"""),45861)</f>
        <v>45861</v>
      </c>
      <c r="AA884" s="46">
        <f ca="1">IFERROR(__xludf.DUMMYFUNCTION("""COMPUTED_VALUE"""),45861)</f>
        <v>45861</v>
      </c>
      <c r="AB884" s="45" t="str">
        <f ca="1">IFERROR(__xludf.DUMMYFUNCTION("""COMPUTED_VALUE"""),"3500 Argentia Road")</f>
        <v>3500 Argentia Road</v>
      </c>
      <c r="AC884" s="45"/>
      <c r="AD884" s="45" t="str">
        <f ca="1">IFERROR(__xludf.DUMMYFUNCTION("""COMPUTED_VALUE"""),"OCEAN")</f>
        <v>OCEAN</v>
      </c>
      <c r="AE884" s="45" t="str">
        <f ca="1">IFERROR(__xludf.DUMMYFUNCTION("""COMPUTED_VALUE"""),"N")</f>
        <v>N</v>
      </c>
      <c r="AF884" s="45" t="str">
        <f ca="1">IFERROR(__xludf.DUMMYFUNCTION("""COMPUTED_VALUE"""),"New Booking")</f>
        <v>New Booking</v>
      </c>
      <c r="AG884" s="49" t="str">
        <f ca="1">IFERROR(__xludf.DUMMYFUNCTION("IFNA(vlookup(H884,IMPORTRANGE(""1vUGwO1n0QQGx9kKbO0_M5gmuhXZ6-LaxQxgrmJnzgP0"",""'TP# look up'!A:C""),3,0),"""")"),"")</f>
        <v/>
      </c>
      <c r="AH884" s="49" t="str">
        <f t="shared" ca="1" si="13"/>
        <v>LW</v>
      </c>
    </row>
    <row r="885" spans="1:34" ht="12.75">
      <c r="A885" s="45" t="str">
        <f ca="1">IFERROR(__xludf.DUMMYFUNCTION("""COMPUTED_VALUE"""),"Colombo")</f>
        <v>Colombo</v>
      </c>
      <c r="B885" s="45"/>
      <c r="C885" s="45">
        <f ca="1">IFERROR(__xludf.DUMMYFUNCTION("""COMPUTED_VALUE"""),3259528)</f>
        <v>3259528</v>
      </c>
      <c r="D885" s="45"/>
      <c r="E885" s="45" t="str">
        <f ca="1">IFERROR(__xludf.DUMMYFUNCTION("""COMPUTED_VALUE"""),"CFS")</f>
        <v>CFS</v>
      </c>
      <c r="F885" s="45" t="str">
        <f ca="1">IFERROR(__xludf.DUMMYFUNCTION("""COMPUTED_VALUE"""),"Inqube Global (PVT) Ltd")</f>
        <v>Inqube Global (PVT) Ltd</v>
      </c>
      <c r="G885" s="45" t="str">
        <f ca="1">IFERROR(__xludf.DUMMYFUNCTION("""COMPUTED_VALUE"""),"Brandix Apparel Solutions Limited - Minuwangoda")</f>
        <v>Brandix Apparel Solutions Limited - Minuwangoda</v>
      </c>
      <c r="H885" s="43">
        <f ca="1">IFERROR(__xludf.DUMMYFUNCTION("""COMPUTED_VALUE"""),456005485972)</f>
        <v>456005485972</v>
      </c>
      <c r="I885" s="45">
        <f ca="1">IFERROR(__xludf.DUMMYFUNCTION("""COMPUTED_VALUE"""),19855156)</f>
        <v>19855156</v>
      </c>
      <c r="J885" s="45" t="str">
        <f ca="1">IFERROR(__xludf.DUMMYFUNCTION("""COMPUTED_VALUE"""),"LW3ISOS")</f>
        <v>LW3ISOS</v>
      </c>
      <c r="K885" s="45" t="str">
        <f ca="1">IFERROR(__xludf.DUMMYFUNCTION("""COMPUTED_VALUE"""),"LW3ISOS-041179")</f>
        <v>LW3ISOS-041179</v>
      </c>
      <c r="L885" s="45">
        <f ca="1">IFERROR(__xludf.DUMMYFUNCTION("""COMPUTED_VALUE"""),4)</f>
        <v>4</v>
      </c>
      <c r="M885" s="45">
        <f ca="1">IFERROR(__xludf.DUMMYFUNCTION("""COMPUTED_VALUE"""),251)</f>
        <v>251</v>
      </c>
      <c r="N885" s="45">
        <f ca="1">IFERROR(__xludf.DUMMYFUNCTION("""COMPUTED_VALUE"""),44.67)</f>
        <v>44.67</v>
      </c>
      <c r="O885" s="45">
        <f ca="1">IFERROR(__xludf.DUMMYFUNCTION("""COMPUTED_VALUE"""),0.314)</f>
        <v>0.314</v>
      </c>
      <c r="P885" s="45" t="str">
        <f ca="1">IFERROR(__xludf.DUMMYFUNCTION("""COMPUTED_VALUE"""),"Colombo, LK")</f>
        <v>Colombo, LK</v>
      </c>
      <c r="Q885" s="45" t="str">
        <f ca="1">IFERROR(__xludf.DUMMYFUNCTION("""COMPUTED_VALUE"""),"New York, NY, US")</f>
        <v>New York, NY, US</v>
      </c>
      <c r="R885" s="44">
        <f ca="1">IFERROR(__xludf.DUMMYFUNCTION("""COMPUTED_VALUE"""),45838)</f>
        <v>45838</v>
      </c>
      <c r="S885" s="44">
        <f ca="1">IFERROR(__xludf.DUMMYFUNCTION("""COMPUTED_VALUE"""),45897)</f>
        <v>45897</v>
      </c>
      <c r="T885" s="45" t="str">
        <f ca="1">IFERROR(__xludf.DUMMYFUNCTION("""COMPUTED_VALUE"""),"Mississauga, ON, CA")</f>
        <v>Mississauga, ON, CA</v>
      </c>
      <c r="U885" s="45"/>
      <c r="V885" s="45"/>
      <c r="W885" s="45"/>
      <c r="X885" s="45"/>
      <c r="Y885" s="46">
        <f ca="1">IFERROR(__xludf.DUMMYFUNCTION("""COMPUTED_VALUE"""),45845)</f>
        <v>45845</v>
      </c>
      <c r="Z885" s="46">
        <f ca="1">IFERROR(__xludf.DUMMYFUNCTION("""COMPUTED_VALUE"""),45861)</f>
        <v>45861</v>
      </c>
      <c r="AA885" s="46">
        <f ca="1">IFERROR(__xludf.DUMMYFUNCTION("""COMPUTED_VALUE"""),45861)</f>
        <v>45861</v>
      </c>
      <c r="AB885" s="45" t="str">
        <f ca="1">IFERROR(__xludf.DUMMYFUNCTION("""COMPUTED_VALUE"""),"3500 Argentia Road")</f>
        <v>3500 Argentia Road</v>
      </c>
      <c r="AC885" s="45"/>
      <c r="AD885" s="45" t="str">
        <f ca="1">IFERROR(__xludf.DUMMYFUNCTION("""COMPUTED_VALUE"""),"OCEAN")</f>
        <v>OCEAN</v>
      </c>
      <c r="AE885" s="45" t="str">
        <f ca="1">IFERROR(__xludf.DUMMYFUNCTION("""COMPUTED_VALUE"""),"N")</f>
        <v>N</v>
      </c>
      <c r="AF885" s="45" t="str">
        <f ca="1">IFERROR(__xludf.DUMMYFUNCTION("""COMPUTED_VALUE"""),"New Booking")</f>
        <v>New Booking</v>
      </c>
      <c r="AG885" s="49" t="str">
        <f ca="1">IFERROR(__xludf.DUMMYFUNCTION("IFNA(vlookup(H885,IMPORTRANGE(""1vUGwO1n0QQGx9kKbO0_M5gmuhXZ6-LaxQxgrmJnzgP0"",""'TP# look up'!A:C""),3,0),"""")"),"")</f>
        <v/>
      </c>
      <c r="AH885" s="49" t="str">
        <f t="shared" ca="1" si="13"/>
        <v>LW</v>
      </c>
    </row>
    <row r="886" spans="1:34" ht="12.75">
      <c r="A886" s="45" t="str">
        <f ca="1">IFERROR(__xludf.DUMMYFUNCTION("""COMPUTED_VALUE"""),"Colombo")</f>
        <v>Colombo</v>
      </c>
      <c r="B886" s="45"/>
      <c r="C886" s="45">
        <f ca="1">IFERROR(__xludf.DUMMYFUNCTION("""COMPUTED_VALUE"""),3259528)</f>
        <v>3259528</v>
      </c>
      <c r="D886" s="45"/>
      <c r="E886" s="45" t="str">
        <f ca="1">IFERROR(__xludf.DUMMYFUNCTION("""COMPUTED_VALUE"""),"CFS")</f>
        <v>CFS</v>
      </c>
      <c r="F886" s="45" t="str">
        <f ca="1">IFERROR(__xludf.DUMMYFUNCTION("""COMPUTED_VALUE"""),"Inqube Global (PVT) Ltd")</f>
        <v>Inqube Global (PVT) Ltd</v>
      </c>
      <c r="G886" s="45" t="str">
        <f ca="1">IFERROR(__xludf.DUMMYFUNCTION("""COMPUTED_VALUE"""),"Brandix Apparel Solutions Limited - Minuwangoda")</f>
        <v>Brandix Apparel Solutions Limited - Minuwangoda</v>
      </c>
      <c r="H886" s="43">
        <f ca="1">IFERROR(__xludf.DUMMYFUNCTION("""COMPUTED_VALUE"""),456009374749)</f>
        <v>456009374749</v>
      </c>
      <c r="I886" s="45">
        <f ca="1">IFERROR(__xludf.DUMMYFUNCTION("""COMPUTED_VALUE"""),19933214)</f>
        <v>19933214</v>
      </c>
      <c r="J886" s="45" t="str">
        <f ca="1">IFERROR(__xludf.DUMMYFUNCTION("""COMPUTED_VALUE"""),"LW3JFRS")</f>
        <v>LW3JFRS</v>
      </c>
      <c r="K886" s="45" t="str">
        <f ca="1">IFERROR(__xludf.DUMMYFUNCTION("""COMPUTED_VALUE"""),"LW3JFRS-071676")</f>
        <v>LW3JFRS-071676</v>
      </c>
      <c r="L886" s="45">
        <f ca="1">IFERROR(__xludf.DUMMYFUNCTION("""COMPUTED_VALUE"""),12)</f>
        <v>12</v>
      </c>
      <c r="M886" s="45">
        <f ca="1">IFERROR(__xludf.DUMMYFUNCTION("""COMPUTED_VALUE"""),189)</f>
        <v>189</v>
      </c>
      <c r="N886" s="45">
        <f ca="1">IFERROR(__xludf.DUMMYFUNCTION("""COMPUTED_VALUE"""),150.9)</f>
        <v>150.9</v>
      </c>
      <c r="O886" s="45">
        <f ca="1">IFERROR(__xludf.DUMMYFUNCTION("""COMPUTED_VALUE"""),0.942)</f>
        <v>0.94199999999999995</v>
      </c>
      <c r="P886" s="45" t="str">
        <f ca="1">IFERROR(__xludf.DUMMYFUNCTION("""COMPUTED_VALUE"""),"Colombo, LK")</f>
        <v>Colombo, LK</v>
      </c>
      <c r="Q886" s="45" t="str">
        <f ca="1">IFERROR(__xludf.DUMMYFUNCTION("""COMPUTED_VALUE"""),"New York, NY, US")</f>
        <v>New York, NY, US</v>
      </c>
      <c r="R886" s="44">
        <f ca="1">IFERROR(__xludf.DUMMYFUNCTION("""COMPUTED_VALUE"""),45838)</f>
        <v>45838</v>
      </c>
      <c r="S886" s="44">
        <f ca="1">IFERROR(__xludf.DUMMYFUNCTION("""COMPUTED_VALUE"""),45897)</f>
        <v>45897</v>
      </c>
      <c r="T886" s="45" t="str">
        <f ca="1">IFERROR(__xludf.DUMMYFUNCTION("""COMPUTED_VALUE"""),"Mississauga, ON, CA")</f>
        <v>Mississauga, ON, CA</v>
      </c>
      <c r="U886" s="45"/>
      <c r="V886" s="45"/>
      <c r="W886" s="45"/>
      <c r="X886" s="45"/>
      <c r="Y886" s="46">
        <f ca="1">IFERROR(__xludf.DUMMYFUNCTION("""COMPUTED_VALUE"""),45845)</f>
        <v>45845</v>
      </c>
      <c r="Z886" s="46">
        <f ca="1">IFERROR(__xludf.DUMMYFUNCTION("""COMPUTED_VALUE"""),45861)</f>
        <v>45861</v>
      </c>
      <c r="AA886" s="46">
        <f ca="1">IFERROR(__xludf.DUMMYFUNCTION("""COMPUTED_VALUE"""),45861)</f>
        <v>45861</v>
      </c>
      <c r="AB886" s="45" t="str">
        <f ca="1">IFERROR(__xludf.DUMMYFUNCTION("""COMPUTED_VALUE"""),"3500 Argentia Road")</f>
        <v>3500 Argentia Road</v>
      </c>
      <c r="AC886" s="45"/>
      <c r="AD886" s="45" t="str">
        <f ca="1">IFERROR(__xludf.DUMMYFUNCTION("""COMPUTED_VALUE"""),"OCEAN")</f>
        <v>OCEAN</v>
      </c>
      <c r="AE886" s="45" t="str">
        <f ca="1">IFERROR(__xludf.DUMMYFUNCTION("""COMPUTED_VALUE"""),"N")</f>
        <v>N</v>
      </c>
      <c r="AF886" s="45" t="str">
        <f ca="1">IFERROR(__xludf.DUMMYFUNCTION("""COMPUTED_VALUE"""),"New Booking")</f>
        <v>New Booking</v>
      </c>
      <c r="AG886" s="49" t="str">
        <f ca="1">IFERROR(__xludf.DUMMYFUNCTION("IFNA(vlookup(H886,IMPORTRANGE(""1vUGwO1n0QQGx9kKbO0_M5gmuhXZ6-LaxQxgrmJnzgP0"",""'TP# look up'!A:C""),3,0),"""")"),"")</f>
        <v/>
      </c>
      <c r="AH886" s="49" t="str">
        <f t="shared" ca="1" si="13"/>
        <v>LW</v>
      </c>
    </row>
    <row r="887" spans="1:34" ht="12.75">
      <c r="A887" s="45" t="str">
        <f ca="1">IFERROR(__xludf.DUMMYFUNCTION("""COMPUTED_VALUE"""),"Colombo")</f>
        <v>Colombo</v>
      </c>
      <c r="B887" s="45"/>
      <c r="C887" s="45">
        <f ca="1">IFERROR(__xludf.DUMMYFUNCTION("""COMPUTED_VALUE"""),3259528)</f>
        <v>3259528</v>
      </c>
      <c r="D887" s="45"/>
      <c r="E887" s="45" t="str">
        <f ca="1">IFERROR(__xludf.DUMMYFUNCTION("""COMPUTED_VALUE"""),"CFS")</f>
        <v>CFS</v>
      </c>
      <c r="F887" s="45" t="str">
        <f ca="1">IFERROR(__xludf.DUMMYFUNCTION("""COMPUTED_VALUE"""),"Inqube Global (PVT) Ltd")</f>
        <v>Inqube Global (PVT) Ltd</v>
      </c>
      <c r="G887" s="45" t="str">
        <f ca="1">IFERROR(__xludf.DUMMYFUNCTION("""COMPUTED_VALUE"""),"BRANDIX APPAREL SOLUTION LTD - GIRITALE")</f>
        <v>BRANDIX APPAREL SOLUTION LTD - GIRITALE</v>
      </c>
      <c r="H887" s="43">
        <f ca="1">IFERROR(__xludf.DUMMYFUNCTION("""COMPUTED_VALUE"""),455743106121)</f>
        <v>455743106121</v>
      </c>
      <c r="I887" s="45">
        <f ca="1">IFERROR(__xludf.DUMMYFUNCTION("""COMPUTED_VALUE"""),19855759)</f>
        <v>19855759</v>
      </c>
      <c r="J887" s="45" t="str">
        <f ca="1">IFERROR(__xludf.DUMMYFUNCTION("""COMPUTED_VALUE"""),"LM5AXAS")</f>
        <v>LM5AXAS</v>
      </c>
      <c r="K887" s="45" t="str">
        <f ca="1">IFERROR(__xludf.DUMMYFUNCTION("""COMPUTED_VALUE"""),"LM5AXAS-031382")</f>
        <v>LM5AXAS-031382</v>
      </c>
      <c r="L887" s="45">
        <f ca="1">IFERROR(__xludf.DUMMYFUNCTION("""COMPUTED_VALUE"""),1)</f>
        <v>1</v>
      </c>
      <c r="M887" s="45">
        <f ca="1">IFERROR(__xludf.DUMMYFUNCTION("""COMPUTED_VALUE"""),14)</f>
        <v>14</v>
      </c>
      <c r="N887" s="45">
        <f ca="1">IFERROR(__xludf.DUMMYFUNCTION("""COMPUTED_VALUE"""),5.42)</f>
        <v>5.42</v>
      </c>
      <c r="O887" s="45">
        <f ca="1">IFERROR(__xludf.DUMMYFUNCTION("""COMPUTED_VALUE"""),0.043)</f>
        <v>4.2999999999999997E-2</v>
      </c>
      <c r="P887" s="45" t="str">
        <f ca="1">IFERROR(__xludf.DUMMYFUNCTION("""COMPUTED_VALUE"""),"Colombo, LK")</f>
        <v>Colombo, LK</v>
      </c>
      <c r="Q887" s="45" t="str">
        <f ca="1">IFERROR(__xludf.DUMMYFUNCTION("""COMPUTED_VALUE"""),"New York, NY, US")</f>
        <v>New York, NY, US</v>
      </c>
      <c r="R887" s="44">
        <f ca="1">IFERROR(__xludf.DUMMYFUNCTION("""COMPUTED_VALUE"""),45838)</f>
        <v>45838</v>
      </c>
      <c r="S887" s="44">
        <f ca="1">IFERROR(__xludf.DUMMYFUNCTION("""COMPUTED_VALUE"""),45897)</f>
        <v>45897</v>
      </c>
      <c r="T887" s="45" t="str">
        <f ca="1">IFERROR(__xludf.DUMMYFUNCTION("""COMPUTED_VALUE"""),"Milton, ON, CA")</f>
        <v>Milton, ON, CA</v>
      </c>
      <c r="U887" s="45"/>
      <c r="V887" s="45"/>
      <c r="W887" s="45"/>
      <c r="X887" s="45"/>
      <c r="Y887" s="46">
        <f ca="1">IFERROR(__xludf.DUMMYFUNCTION("""COMPUTED_VALUE"""),45845)</f>
        <v>45845</v>
      </c>
      <c r="Z887" s="46">
        <f ca="1">IFERROR(__xludf.DUMMYFUNCTION("""COMPUTED_VALUE"""),45866)</f>
        <v>45866</v>
      </c>
      <c r="AA887" s="46">
        <f ca="1">IFERROR(__xludf.DUMMYFUNCTION("""COMPUTED_VALUE"""),45866)</f>
        <v>45866</v>
      </c>
      <c r="AB887" s="45" t="str">
        <f ca="1">IFERROR(__xludf.DUMMYFUNCTION("""COMPUTED_VALUE"""),"7211 Fifth Line")</f>
        <v>7211 Fifth Line</v>
      </c>
      <c r="AC887" s="45"/>
      <c r="AD887" s="45" t="str">
        <f ca="1">IFERROR(__xludf.DUMMYFUNCTION("""COMPUTED_VALUE"""),"OCEAN")</f>
        <v>OCEAN</v>
      </c>
      <c r="AE887" s="45" t="str">
        <f ca="1">IFERROR(__xludf.DUMMYFUNCTION("""COMPUTED_VALUE"""),"N")</f>
        <v>N</v>
      </c>
      <c r="AF887"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887" s="49" t="str">
        <f ca="1">IFERROR(__xludf.DUMMYFUNCTION("IFNA(vlookup(H887,IMPORTRANGE(""1vUGwO1n0QQGx9kKbO0_M5gmuhXZ6-LaxQxgrmJnzgP0"",""'TP# look up'!A:C""),3,0),"""")"),"")</f>
        <v/>
      </c>
      <c r="AH887" s="49" t="str">
        <f t="shared" ca="1" si="13"/>
        <v>LM</v>
      </c>
    </row>
    <row r="888" spans="1:34" ht="12.75">
      <c r="A888" s="45" t="str">
        <f ca="1">IFERROR(__xludf.DUMMYFUNCTION("""COMPUTED_VALUE"""),"Colombo")</f>
        <v>Colombo</v>
      </c>
      <c r="B888" s="45"/>
      <c r="C888" s="45">
        <f ca="1">IFERROR(__xludf.DUMMYFUNCTION("""COMPUTED_VALUE"""),3259528)</f>
        <v>3259528</v>
      </c>
      <c r="D888" s="45"/>
      <c r="E888" s="45" t="str">
        <f ca="1">IFERROR(__xludf.DUMMYFUNCTION("""COMPUTED_VALUE"""),"CFS")</f>
        <v>CFS</v>
      </c>
      <c r="F888" s="45" t="str">
        <f ca="1">IFERROR(__xludf.DUMMYFUNCTION("""COMPUTED_VALUE"""),"Bodyline Trading (Private) Limited")</f>
        <v>Bodyline Trading (Private) Limited</v>
      </c>
      <c r="G888" s="45" t="str">
        <f ca="1">IFERROR(__xludf.DUMMYFUNCTION("""COMPUTED_VALUE"""),"Bodyline (Private) Limited")</f>
        <v>Bodyline (Private) Limited</v>
      </c>
      <c r="H888" s="43">
        <f ca="1">IFERROR(__xludf.DUMMYFUNCTION("""COMPUTED_VALUE"""),456401302456)</f>
        <v>456401302456</v>
      </c>
      <c r="I888" s="45">
        <f ca="1">IFERROR(__xludf.DUMMYFUNCTION("""COMPUTED_VALUE"""),19877694)</f>
        <v>19877694</v>
      </c>
      <c r="J888" s="45" t="str">
        <f ca="1">IFERROR(__xludf.DUMMYFUNCTION("""COMPUTED_VALUE"""),"LW2EF9S")</f>
        <v>LW2EF9S</v>
      </c>
      <c r="K888" s="45" t="str">
        <f ca="1">IFERROR(__xludf.DUMMYFUNCTION("""COMPUTED_VALUE"""),"LW2EF9S-071226")</f>
        <v>LW2EF9S-071226</v>
      </c>
      <c r="L888" s="45">
        <f ca="1">IFERROR(__xludf.DUMMYFUNCTION("""COMPUTED_VALUE"""),6)</f>
        <v>6</v>
      </c>
      <c r="M888" s="45">
        <f ca="1">IFERROR(__xludf.DUMMYFUNCTION("""COMPUTED_VALUE"""),174)</f>
        <v>174</v>
      </c>
      <c r="N888" s="45">
        <f ca="1">IFERROR(__xludf.DUMMYFUNCTION("""COMPUTED_VALUE"""),26.816)</f>
        <v>26.815999999999999</v>
      </c>
      <c r="O888" s="45">
        <f ca="1">IFERROR(__xludf.DUMMYFUNCTION("""COMPUTED_VALUE"""),0.41)</f>
        <v>0.41</v>
      </c>
      <c r="P888" s="45" t="str">
        <f ca="1">IFERROR(__xludf.DUMMYFUNCTION("""COMPUTED_VALUE"""),"Colombo, LK")</f>
        <v>Colombo, LK</v>
      </c>
      <c r="Q888" s="45" t="str">
        <f ca="1">IFERROR(__xludf.DUMMYFUNCTION("""COMPUTED_VALUE"""),"New York, NY, US")</f>
        <v>New York, NY, US</v>
      </c>
      <c r="R888" s="44">
        <f ca="1">IFERROR(__xludf.DUMMYFUNCTION("""COMPUTED_VALUE"""),45838)</f>
        <v>45838</v>
      </c>
      <c r="S888" s="44">
        <f ca="1">IFERROR(__xludf.DUMMYFUNCTION("""COMPUTED_VALUE"""),45897)</f>
        <v>45897</v>
      </c>
      <c r="T888" s="45" t="str">
        <f ca="1">IFERROR(__xludf.DUMMYFUNCTION("""COMPUTED_VALUE"""),"Mississauga, ON, CA")</f>
        <v>Mississauga, ON, CA</v>
      </c>
      <c r="U888" s="45"/>
      <c r="V888" s="45"/>
      <c r="W888" s="45"/>
      <c r="X888" s="45"/>
      <c r="Y888" s="46">
        <f ca="1">IFERROR(__xludf.DUMMYFUNCTION("""COMPUTED_VALUE"""),45845)</f>
        <v>45845</v>
      </c>
      <c r="Z888" s="46">
        <f ca="1">IFERROR(__xludf.DUMMYFUNCTION("""COMPUTED_VALUE"""),45866)</f>
        <v>45866</v>
      </c>
      <c r="AA888" s="46">
        <f ca="1">IFERROR(__xludf.DUMMYFUNCTION("""COMPUTED_VALUE"""),45866)</f>
        <v>45866</v>
      </c>
      <c r="AB888" s="45" t="str">
        <f ca="1">IFERROR(__xludf.DUMMYFUNCTION("""COMPUTED_VALUE"""),"3500 Argentia Road")</f>
        <v>3500 Argentia Road</v>
      </c>
      <c r="AC888" s="45"/>
      <c r="AD888" s="45" t="str">
        <f ca="1">IFERROR(__xludf.DUMMYFUNCTION("""COMPUTED_VALUE"""),"OCEAN")</f>
        <v>OCEAN</v>
      </c>
      <c r="AE888" s="45" t="str">
        <f ca="1">IFERROR(__xludf.DUMMYFUNCTION("""COMPUTED_VALUE"""),"N")</f>
        <v>N</v>
      </c>
      <c r="AF888" s="45" t="str">
        <f ca="1">IFERROR(__xludf.DUMMYFUNCTION("""COMPUTED_VALUE"""),"New Booking")</f>
        <v>New Booking</v>
      </c>
      <c r="AG888" s="49" t="str">
        <f ca="1">IFERROR(__xludf.DUMMYFUNCTION("IFNA(vlookup(H888,IMPORTRANGE(""1vUGwO1n0QQGx9kKbO0_M5gmuhXZ6-LaxQxgrmJnzgP0"",""'TP# look up'!A:C""),3,0),"""")"),"")</f>
        <v/>
      </c>
      <c r="AH888" s="49" t="str">
        <f t="shared" ca="1" si="13"/>
        <v>LW</v>
      </c>
    </row>
    <row r="889" spans="1:34" ht="12.75">
      <c r="A889" s="45" t="str">
        <f ca="1">IFERROR(__xludf.DUMMYFUNCTION("""COMPUTED_VALUE"""),"Colombo")</f>
        <v>Colombo</v>
      </c>
      <c r="B889" s="45"/>
      <c r="C889" s="45">
        <f ca="1">IFERROR(__xludf.DUMMYFUNCTION("""COMPUTED_VALUE"""),3259528)</f>
        <v>3259528</v>
      </c>
      <c r="D889" s="45"/>
      <c r="E889" s="45" t="str">
        <f ca="1">IFERROR(__xludf.DUMMYFUNCTION("""COMPUTED_VALUE"""),"CFS")</f>
        <v>CFS</v>
      </c>
      <c r="F889" s="45" t="str">
        <f ca="1">IFERROR(__xludf.DUMMYFUNCTION("""COMPUTED_VALUE"""),"Bodyline Trading (Private) Limited")</f>
        <v>Bodyline Trading (Private) Limited</v>
      </c>
      <c r="G889" s="45" t="str">
        <f ca="1">IFERROR(__xludf.DUMMYFUNCTION("""COMPUTED_VALUE"""),"Bodyline (Private) Limited")</f>
        <v>Bodyline (Private) Limited</v>
      </c>
      <c r="H889" s="43">
        <f ca="1">IFERROR(__xludf.DUMMYFUNCTION("""COMPUTED_VALUE"""),456402255151)</f>
        <v>456402255151</v>
      </c>
      <c r="I889" s="45">
        <f ca="1">IFERROR(__xludf.DUMMYFUNCTION("""COMPUTED_VALUE"""),19877624)</f>
        <v>19877624</v>
      </c>
      <c r="J889" s="45" t="str">
        <f ca="1">IFERROR(__xludf.DUMMYFUNCTION("""COMPUTED_VALUE"""),"LW2EF9S")</f>
        <v>LW2EF9S</v>
      </c>
      <c r="K889" s="45" t="str">
        <f ca="1">IFERROR(__xludf.DUMMYFUNCTION("""COMPUTED_VALUE"""),"LW2EF9S-071226")</f>
        <v>LW2EF9S-071226</v>
      </c>
      <c r="L889" s="45">
        <f ca="1">IFERROR(__xludf.DUMMYFUNCTION("""COMPUTED_VALUE"""),8)</f>
        <v>8</v>
      </c>
      <c r="M889" s="45">
        <f ca="1">IFERROR(__xludf.DUMMYFUNCTION("""COMPUTED_VALUE"""),366)</f>
        <v>366</v>
      </c>
      <c r="N889" s="45">
        <f ca="1">IFERROR(__xludf.DUMMYFUNCTION("""COMPUTED_VALUE"""),52.527)</f>
        <v>52.527000000000001</v>
      </c>
      <c r="O889" s="45">
        <f ca="1">IFERROR(__xludf.DUMMYFUNCTION("""COMPUTED_VALUE"""),0.608)</f>
        <v>0.60799999999999998</v>
      </c>
      <c r="P889" s="45" t="str">
        <f ca="1">IFERROR(__xludf.DUMMYFUNCTION("""COMPUTED_VALUE"""),"Colombo, LK")</f>
        <v>Colombo, LK</v>
      </c>
      <c r="Q889" s="45" t="str">
        <f ca="1">IFERROR(__xludf.DUMMYFUNCTION("""COMPUTED_VALUE"""),"New York, NY, US")</f>
        <v>New York, NY, US</v>
      </c>
      <c r="R889" s="44">
        <f ca="1">IFERROR(__xludf.DUMMYFUNCTION("""COMPUTED_VALUE"""),45838)</f>
        <v>45838</v>
      </c>
      <c r="S889" s="44">
        <f ca="1">IFERROR(__xludf.DUMMYFUNCTION("""COMPUTED_VALUE"""),45897)</f>
        <v>45897</v>
      </c>
      <c r="T889" s="45" t="str">
        <f ca="1">IFERROR(__xludf.DUMMYFUNCTION("""COMPUTED_VALUE"""),"Mississauga, ON, CA")</f>
        <v>Mississauga, ON, CA</v>
      </c>
      <c r="U889" s="45"/>
      <c r="V889" s="45"/>
      <c r="W889" s="45"/>
      <c r="X889" s="45"/>
      <c r="Y889" s="46">
        <f ca="1">IFERROR(__xludf.DUMMYFUNCTION("""COMPUTED_VALUE"""),45845)</f>
        <v>45845</v>
      </c>
      <c r="Z889" s="46">
        <f ca="1">IFERROR(__xludf.DUMMYFUNCTION("""COMPUTED_VALUE"""),45866)</f>
        <v>45866</v>
      </c>
      <c r="AA889" s="46">
        <f ca="1">IFERROR(__xludf.DUMMYFUNCTION("""COMPUTED_VALUE"""),45866)</f>
        <v>45866</v>
      </c>
      <c r="AB889" s="45" t="str">
        <f ca="1">IFERROR(__xludf.DUMMYFUNCTION("""COMPUTED_VALUE"""),"3500 Argentia Road")</f>
        <v>3500 Argentia Road</v>
      </c>
      <c r="AC889" s="45"/>
      <c r="AD889" s="45" t="str">
        <f ca="1">IFERROR(__xludf.DUMMYFUNCTION("""COMPUTED_VALUE"""),"OCEAN")</f>
        <v>OCEAN</v>
      </c>
      <c r="AE889" s="45" t="str">
        <f ca="1">IFERROR(__xludf.DUMMYFUNCTION("""COMPUTED_VALUE"""),"N")</f>
        <v>N</v>
      </c>
      <c r="AF889" s="45" t="str">
        <f ca="1">IFERROR(__xludf.DUMMYFUNCTION("""COMPUTED_VALUE"""),"New Booking")</f>
        <v>New Booking</v>
      </c>
      <c r="AG889" s="49" t="str">
        <f ca="1">IFERROR(__xludf.DUMMYFUNCTION("IFNA(vlookup(H889,IMPORTRANGE(""1vUGwO1n0QQGx9kKbO0_M5gmuhXZ6-LaxQxgrmJnzgP0"",""'TP# look up'!A:C""),3,0),"""")"),"")</f>
        <v/>
      </c>
      <c r="AH889" s="49" t="str">
        <f t="shared" ca="1" si="13"/>
        <v>LW</v>
      </c>
    </row>
    <row r="890" spans="1:34" ht="12.75">
      <c r="A890" s="45" t="str">
        <f ca="1">IFERROR(__xludf.DUMMYFUNCTION("""COMPUTED_VALUE"""),"Colombo")</f>
        <v>Colombo</v>
      </c>
      <c r="B890" s="45"/>
      <c r="C890" s="45">
        <f ca="1">IFERROR(__xludf.DUMMYFUNCTION("""COMPUTED_VALUE"""),3259528)</f>
        <v>3259528</v>
      </c>
      <c r="D890" s="45"/>
      <c r="E890" s="45" t="str">
        <f ca="1">IFERROR(__xludf.DUMMYFUNCTION("""COMPUTED_VALUE"""),"CFS")</f>
        <v>CFS</v>
      </c>
      <c r="F890" s="45" t="str">
        <f ca="1">IFERROR(__xludf.DUMMYFUNCTION("""COMPUTED_VALUE"""),"Bodyline Trading (Private) Limited")</f>
        <v>Bodyline Trading (Private) Limited</v>
      </c>
      <c r="G890" s="45" t="str">
        <f ca="1">IFERROR(__xludf.DUMMYFUNCTION("""COMPUTED_VALUE"""),"Bodyline (Private) Limited")</f>
        <v>Bodyline (Private) Limited</v>
      </c>
      <c r="H890" s="43">
        <f ca="1">IFERROR(__xludf.DUMMYFUNCTION("""COMPUTED_VALUE"""),456403901144)</f>
        <v>456403901144</v>
      </c>
      <c r="I890" s="45">
        <f ca="1">IFERROR(__xludf.DUMMYFUNCTION("""COMPUTED_VALUE"""),19843839)</f>
        <v>19843839</v>
      </c>
      <c r="J890" s="45" t="str">
        <f ca="1">IFERROR(__xludf.DUMMYFUNCTION("""COMPUTED_VALUE"""),"LW1FF7S")</f>
        <v>LW1FF7S</v>
      </c>
      <c r="K890" s="45" t="str">
        <f ca="1">IFERROR(__xludf.DUMMYFUNCTION("""COMPUTED_VALUE"""),"LW1FF7S-041179")</f>
        <v>LW1FF7S-041179</v>
      </c>
      <c r="L890" s="45">
        <f ca="1">IFERROR(__xludf.DUMMYFUNCTION("""COMPUTED_VALUE"""),12)</f>
        <v>12</v>
      </c>
      <c r="M890" s="45">
        <f ca="1">IFERROR(__xludf.DUMMYFUNCTION("""COMPUTED_VALUE"""),397)</f>
        <v>397</v>
      </c>
      <c r="N890" s="45">
        <f ca="1">IFERROR(__xludf.DUMMYFUNCTION("""COMPUTED_VALUE"""),58.497)</f>
        <v>58.497</v>
      </c>
      <c r="O890" s="45">
        <f ca="1">IFERROR(__xludf.DUMMYFUNCTION("""COMPUTED_VALUE"""),0.527)</f>
        <v>0.52700000000000002</v>
      </c>
      <c r="P890" s="45" t="str">
        <f ca="1">IFERROR(__xludf.DUMMYFUNCTION("""COMPUTED_VALUE"""),"Colombo, LK")</f>
        <v>Colombo, LK</v>
      </c>
      <c r="Q890" s="45" t="str">
        <f ca="1">IFERROR(__xludf.DUMMYFUNCTION("""COMPUTED_VALUE"""),"New York, NY, US")</f>
        <v>New York, NY, US</v>
      </c>
      <c r="R890" s="44">
        <f ca="1">IFERROR(__xludf.DUMMYFUNCTION("""COMPUTED_VALUE"""),45838)</f>
        <v>45838</v>
      </c>
      <c r="S890" s="44">
        <f ca="1">IFERROR(__xludf.DUMMYFUNCTION("""COMPUTED_VALUE"""),45897)</f>
        <v>45897</v>
      </c>
      <c r="T890" s="45" t="str">
        <f ca="1">IFERROR(__xludf.DUMMYFUNCTION("""COMPUTED_VALUE"""),"Mississauga, ON, CA")</f>
        <v>Mississauga, ON, CA</v>
      </c>
      <c r="U890" s="45"/>
      <c r="V890" s="45"/>
      <c r="W890" s="45"/>
      <c r="X890" s="45"/>
      <c r="Y890" s="46">
        <f ca="1">IFERROR(__xludf.DUMMYFUNCTION("""COMPUTED_VALUE"""),45845)</f>
        <v>45845</v>
      </c>
      <c r="Z890" s="46">
        <f ca="1">IFERROR(__xludf.DUMMYFUNCTION("""COMPUTED_VALUE"""),45866)</f>
        <v>45866</v>
      </c>
      <c r="AA890" s="46">
        <f ca="1">IFERROR(__xludf.DUMMYFUNCTION("""COMPUTED_VALUE"""),45866)</f>
        <v>45866</v>
      </c>
      <c r="AB890" s="45" t="str">
        <f ca="1">IFERROR(__xludf.DUMMYFUNCTION("""COMPUTED_VALUE"""),"3500 Argentia Road")</f>
        <v>3500 Argentia Road</v>
      </c>
      <c r="AC890" s="45"/>
      <c r="AD890" s="45" t="str">
        <f ca="1">IFERROR(__xludf.DUMMYFUNCTION("""COMPUTED_VALUE"""),"OCEAN")</f>
        <v>OCEAN</v>
      </c>
      <c r="AE890" s="45" t="str">
        <f ca="1">IFERROR(__xludf.DUMMYFUNCTION("""COMPUTED_VALUE"""),"N")</f>
        <v>N</v>
      </c>
      <c r="AF890" s="45" t="str">
        <f ca="1">IFERROR(__xludf.DUMMYFUNCTION("""COMPUTED_VALUE"""),"New Booking")</f>
        <v>New Booking</v>
      </c>
      <c r="AG890" s="49" t="str">
        <f ca="1">IFERROR(__xludf.DUMMYFUNCTION("IFNA(vlookup(H890,IMPORTRANGE(""1vUGwO1n0QQGx9kKbO0_M5gmuhXZ6-LaxQxgrmJnzgP0"",""'TP# look up'!A:C""),3,0),"""")"),"")</f>
        <v/>
      </c>
      <c r="AH890" s="49" t="str">
        <f t="shared" ca="1" si="13"/>
        <v>LW</v>
      </c>
    </row>
    <row r="891" spans="1:34" ht="12.75">
      <c r="A891" s="45" t="str">
        <f ca="1">IFERROR(__xludf.DUMMYFUNCTION("""COMPUTED_VALUE"""),"Colombo")</f>
        <v>Colombo</v>
      </c>
      <c r="B891" s="45"/>
      <c r="C891" s="45">
        <f ca="1">IFERROR(__xludf.DUMMYFUNCTION("""COMPUTED_VALUE"""),3259528)</f>
        <v>3259528</v>
      </c>
      <c r="D891" s="45"/>
      <c r="E891" s="45" t="str">
        <f ca="1">IFERROR(__xludf.DUMMYFUNCTION("""COMPUTED_VALUE"""),"CFS")</f>
        <v>CFS</v>
      </c>
      <c r="F891" s="45" t="str">
        <f ca="1">IFERROR(__xludf.DUMMYFUNCTION("""COMPUTED_VALUE"""),"Bodyline Trading (Private) Limited")</f>
        <v>Bodyline Trading (Private) Limited</v>
      </c>
      <c r="G891" s="45" t="str">
        <f ca="1">IFERROR(__xludf.DUMMYFUNCTION("""COMPUTED_VALUE"""),"Bodyline (Private) Limited")</f>
        <v>Bodyline (Private) Limited</v>
      </c>
      <c r="H891" s="43">
        <f ca="1">IFERROR(__xludf.DUMMYFUNCTION("""COMPUTED_VALUE"""),456404301861)</f>
        <v>456404301861</v>
      </c>
      <c r="I891" s="45">
        <f ca="1">IFERROR(__xludf.DUMMYFUNCTION("""COMPUTED_VALUE"""),19843741)</f>
        <v>19843741</v>
      </c>
      <c r="J891" s="45" t="str">
        <f ca="1">IFERROR(__xludf.DUMMYFUNCTION("""COMPUTED_VALUE"""),"LW1FF7S")</f>
        <v>LW1FF7S</v>
      </c>
      <c r="K891" s="45" t="str">
        <f ca="1">IFERROR(__xludf.DUMMYFUNCTION("""COMPUTED_VALUE"""),"LW1FF7S-041179")</f>
        <v>LW1FF7S-041179</v>
      </c>
      <c r="L891" s="45">
        <f ca="1">IFERROR(__xludf.DUMMYFUNCTION("""COMPUTED_VALUE"""),5)</f>
        <v>5</v>
      </c>
      <c r="M891" s="45">
        <f ca="1">IFERROR(__xludf.DUMMYFUNCTION("""COMPUTED_VALUE"""),136)</f>
        <v>136</v>
      </c>
      <c r="N891" s="45">
        <f ca="1">IFERROR(__xludf.DUMMYFUNCTION("""COMPUTED_VALUE"""),21.011)</f>
        <v>21.010999999999999</v>
      </c>
      <c r="O891" s="45">
        <f ca="1">IFERROR(__xludf.DUMMYFUNCTION("""COMPUTED_VALUE"""),0.22)</f>
        <v>0.22</v>
      </c>
      <c r="P891" s="45" t="str">
        <f ca="1">IFERROR(__xludf.DUMMYFUNCTION("""COMPUTED_VALUE"""),"Colombo, LK")</f>
        <v>Colombo, LK</v>
      </c>
      <c r="Q891" s="45" t="str">
        <f ca="1">IFERROR(__xludf.DUMMYFUNCTION("""COMPUTED_VALUE"""),"New York, NY, US")</f>
        <v>New York, NY, US</v>
      </c>
      <c r="R891" s="44">
        <f ca="1">IFERROR(__xludf.DUMMYFUNCTION("""COMPUTED_VALUE"""),45838)</f>
        <v>45838</v>
      </c>
      <c r="S891" s="44">
        <f ca="1">IFERROR(__xludf.DUMMYFUNCTION("""COMPUTED_VALUE"""),45897)</f>
        <v>45897</v>
      </c>
      <c r="T891" s="45" t="str">
        <f ca="1">IFERROR(__xludf.DUMMYFUNCTION("""COMPUTED_VALUE"""),"Mississauga, ON, CA")</f>
        <v>Mississauga, ON, CA</v>
      </c>
      <c r="U891" s="45"/>
      <c r="V891" s="45"/>
      <c r="W891" s="45"/>
      <c r="X891" s="45"/>
      <c r="Y891" s="46">
        <f ca="1">IFERROR(__xludf.DUMMYFUNCTION("""COMPUTED_VALUE"""),45845)</f>
        <v>45845</v>
      </c>
      <c r="Z891" s="46">
        <f ca="1">IFERROR(__xludf.DUMMYFUNCTION("""COMPUTED_VALUE"""),45866)</f>
        <v>45866</v>
      </c>
      <c r="AA891" s="46">
        <f ca="1">IFERROR(__xludf.DUMMYFUNCTION("""COMPUTED_VALUE"""),45866)</f>
        <v>45866</v>
      </c>
      <c r="AB891" s="45" t="str">
        <f ca="1">IFERROR(__xludf.DUMMYFUNCTION("""COMPUTED_VALUE"""),"3500 Argentia Road")</f>
        <v>3500 Argentia Road</v>
      </c>
      <c r="AC891" s="45"/>
      <c r="AD891" s="45" t="str">
        <f ca="1">IFERROR(__xludf.DUMMYFUNCTION("""COMPUTED_VALUE"""),"OCEAN")</f>
        <v>OCEAN</v>
      </c>
      <c r="AE891" s="45" t="str">
        <f ca="1">IFERROR(__xludf.DUMMYFUNCTION("""COMPUTED_VALUE"""),"N")</f>
        <v>N</v>
      </c>
      <c r="AF891" s="45" t="str">
        <f ca="1">IFERROR(__xludf.DUMMYFUNCTION("""COMPUTED_VALUE"""),"New Booking")</f>
        <v>New Booking</v>
      </c>
      <c r="AG891" s="49" t="str">
        <f ca="1">IFERROR(__xludf.DUMMYFUNCTION("IFNA(vlookup(H891,IMPORTRANGE(""1vUGwO1n0QQGx9kKbO0_M5gmuhXZ6-LaxQxgrmJnzgP0"",""'TP# look up'!A:C""),3,0),"""")"),"")</f>
        <v/>
      </c>
      <c r="AH891" s="49" t="str">
        <f t="shared" ca="1" si="13"/>
        <v>LW</v>
      </c>
    </row>
    <row r="892" spans="1:34" ht="12.75">
      <c r="A892" s="45" t="str">
        <f ca="1">IFERROR(__xludf.DUMMYFUNCTION("""COMPUTED_VALUE"""),"Colombo")</f>
        <v>Colombo</v>
      </c>
      <c r="B892" s="45"/>
      <c r="C892" s="45">
        <f ca="1">IFERROR(__xludf.DUMMYFUNCTION("""COMPUTED_VALUE"""),3259528)</f>
        <v>3259528</v>
      </c>
      <c r="D892" s="45"/>
      <c r="E892" s="45" t="str">
        <f ca="1">IFERROR(__xludf.DUMMYFUNCTION("""COMPUTED_VALUE"""),"CFS")</f>
        <v>CFS</v>
      </c>
      <c r="F892" s="45" t="str">
        <f ca="1">IFERROR(__xludf.DUMMYFUNCTION("""COMPUTED_VALUE"""),"Bodyline Trading (Private) Limited")</f>
        <v>Bodyline Trading (Private) Limited</v>
      </c>
      <c r="G892" s="45" t="str">
        <f ca="1">IFERROR(__xludf.DUMMYFUNCTION("""COMPUTED_VALUE"""),"Bodyline (Private) Limited")</f>
        <v>Bodyline (Private) Limited</v>
      </c>
      <c r="H892" s="43">
        <f ca="1">IFERROR(__xludf.DUMMYFUNCTION("""COMPUTED_VALUE"""),456404304549)</f>
        <v>456404304549</v>
      </c>
      <c r="I892" s="45">
        <f ca="1">IFERROR(__xludf.DUMMYFUNCTION("""COMPUTED_VALUE"""),19843763)</f>
        <v>19843763</v>
      </c>
      <c r="J892" s="45" t="str">
        <f ca="1">IFERROR(__xludf.DUMMYFUNCTION("""COMPUTED_VALUE"""),"LW1FM7S")</f>
        <v>LW1FM7S</v>
      </c>
      <c r="K892" s="45" t="str">
        <f ca="1">IFERROR(__xludf.DUMMYFUNCTION("""COMPUTED_VALUE"""),"LW1FM7S-041179")</f>
        <v>LW1FM7S-041179</v>
      </c>
      <c r="L892" s="45">
        <f ca="1">IFERROR(__xludf.DUMMYFUNCTION("""COMPUTED_VALUE"""),6)</f>
        <v>6</v>
      </c>
      <c r="M892" s="45">
        <f ca="1">IFERROR(__xludf.DUMMYFUNCTION("""COMPUTED_VALUE"""),285)</f>
        <v>285</v>
      </c>
      <c r="N892" s="45">
        <f ca="1">IFERROR(__xludf.DUMMYFUNCTION("""COMPUTED_VALUE"""),29.421)</f>
        <v>29.420999999999999</v>
      </c>
      <c r="O892" s="45">
        <f ca="1">IFERROR(__xludf.DUMMYFUNCTION("""COMPUTED_VALUE"""),0.264)</f>
        <v>0.26400000000000001</v>
      </c>
      <c r="P892" s="45" t="str">
        <f ca="1">IFERROR(__xludf.DUMMYFUNCTION("""COMPUTED_VALUE"""),"Colombo, LK")</f>
        <v>Colombo, LK</v>
      </c>
      <c r="Q892" s="45" t="str">
        <f ca="1">IFERROR(__xludf.DUMMYFUNCTION("""COMPUTED_VALUE"""),"New York, NY, US")</f>
        <v>New York, NY, US</v>
      </c>
      <c r="R892" s="44">
        <f ca="1">IFERROR(__xludf.DUMMYFUNCTION("""COMPUTED_VALUE"""),45838)</f>
        <v>45838</v>
      </c>
      <c r="S892" s="44">
        <f ca="1">IFERROR(__xludf.DUMMYFUNCTION("""COMPUTED_VALUE"""),45897)</f>
        <v>45897</v>
      </c>
      <c r="T892" s="45" t="str">
        <f ca="1">IFERROR(__xludf.DUMMYFUNCTION("""COMPUTED_VALUE"""),"Mississauga, ON, CA")</f>
        <v>Mississauga, ON, CA</v>
      </c>
      <c r="U892" s="45"/>
      <c r="V892" s="45"/>
      <c r="W892" s="45"/>
      <c r="X892" s="45"/>
      <c r="Y892" s="46">
        <f ca="1">IFERROR(__xludf.DUMMYFUNCTION("""COMPUTED_VALUE"""),45845)</f>
        <v>45845</v>
      </c>
      <c r="Z892" s="46">
        <f ca="1">IFERROR(__xludf.DUMMYFUNCTION("""COMPUTED_VALUE"""),45866)</f>
        <v>45866</v>
      </c>
      <c r="AA892" s="46">
        <f ca="1">IFERROR(__xludf.DUMMYFUNCTION("""COMPUTED_VALUE"""),45866)</f>
        <v>45866</v>
      </c>
      <c r="AB892" s="45" t="str">
        <f ca="1">IFERROR(__xludf.DUMMYFUNCTION("""COMPUTED_VALUE"""),"3500 Argentia Road")</f>
        <v>3500 Argentia Road</v>
      </c>
      <c r="AC892" s="45"/>
      <c r="AD892" s="45" t="str">
        <f ca="1">IFERROR(__xludf.DUMMYFUNCTION("""COMPUTED_VALUE"""),"OCEAN")</f>
        <v>OCEAN</v>
      </c>
      <c r="AE892" s="45" t="str">
        <f ca="1">IFERROR(__xludf.DUMMYFUNCTION("""COMPUTED_VALUE"""),"N")</f>
        <v>N</v>
      </c>
      <c r="AF892" s="45" t="str">
        <f ca="1">IFERROR(__xludf.DUMMYFUNCTION("""COMPUTED_VALUE"""),"New Booking")</f>
        <v>New Booking</v>
      </c>
      <c r="AG892" s="49" t="str">
        <f ca="1">IFERROR(__xludf.DUMMYFUNCTION("IFNA(vlookup(H892,IMPORTRANGE(""1vUGwO1n0QQGx9kKbO0_M5gmuhXZ6-LaxQxgrmJnzgP0"",""'TP# look up'!A:C""),3,0),"""")"),"")</f>
        <v/>
      </c>
      <c r="AH892" s="49" t="str">
        <f t="shared" ca="1" si="13"/>
        <v>LW</v>
      </c>
    </row>
    <row r="893" spans="1:34" ht="12.75">
      <c r="A893" s="45" t="str">
        <f ca="1">IFERROR(__xludf.DUMMYFUNCTION("""COMPUTED_VALUE"""),"Colombo")</f>
        <v>Colombo</v>
      </c>
      <c r="B893" s="45"/>
      <c r="C893" s="45">
        <f ca="1">IFERROR(__xludf.DUMMYFUNCTION("""COMPUTED_VALUE"""),3259528)</f>
        <v>3259528</v>
      </c>
      <c r="D893" s="45"/>
      <c r="E893" s="45" t="str">
        <f ca="1">IFERROR(__xludf.DUMMYFUNCTION("""COMPUTED_VALUE"""),"CFS")</f>
        <v>CFS</v>
      </c>
      <c r="F893" s="45" t="str">
        <f ca="1">IFERROR(__xludf.DUMMYFUNCTION("""COMPUTED_VALUE"""),"Bodyline Trading (Private) Limited")</f>
        <v>Bodyline Trading (Private) Limited</v>
      </c>
      <c r="G893" s="45" t="str">
        <f ca="1">IFERROR(__xludf.DUMMYFUNCTION("""COMPUTED_VALUE"""),"Bodyline (Private) Limited")</f>
        <v>Bodyline (Private) Limited</v>
      </c>
      <c r="H893" s="43">
        <f ca="1">IFERROR(__xludf.DUMMYFUNCTION("""COMPUTED_VALUE"""),456406205944)</f>
        <v>456406205944</v>
      </c>
      <c r="I893" s="45">
        <f ca="1">IFERROR(__xludf.DUMMYFUNCTION("""COMPUTED_VALUE"""),19843880)</f>
        <v>19843880</v>
      </c>
      <c r="J893" s="45" t="str">
        <f ca="1">IFERROR(__xludf.DUMMYFUNCTION("""COMPUTED_VALUE"""),"LW1FM7S")</f>
        <v>LW1FM7S</v>
      </c>
      <c r="K893" s="45" t="str">
        <f ca="1">IFERROR(__xludf.DUMMYFUNCTION("""COMPUTED_VALUE"""),"LW1FM7S-041179")</f>
        <v>LW1FM7S-041179</v>
      </c>
      <c r="L893" s="45">
        <f ca="1">IFERROR(__xludf.DUMMYFUNCTION("""COMPUTED_VALUE"""),15)</f>
        <v>15</v>
      </c>
      <c r="M893" s="45">
        <f ca="1">IFERROR(__xludf.DUMMYFUNCTION("""COMPUTED_VALUE"""),816)</f>
        <v>816</v>
      </c>
      <c r="N893" s="45">
        <f ca="1">IFERROR(__xludf.DUMMYFUNCTION("""COMPUTED_VALUE"""),82.266)</f>
        <v>82.266000000000005</v>
      </c>
      <c r="O893" s="45">
        <f ca="1">IFERROR(__xludf.DUMMYFUNCTION("""COMPUTED_VALUE"""),0.659)</f>
        <v>0.65900000000000003</v>
      </c>
      <c r="P893" s="45" t="str">
        <f ca="1">IFERROR(__xludf.DUMMYFUNCTION("""COMPUTED_VALUE"""),"Colombo, LK")</f>
        <v>Colombo, LK</v>
      </c>
      <c r="Q893" s="45" t="str">
        <f ca="1">IFERROR(__xludf.DUMMYFUNCTION("""COMPUTED_VALUE"""),"New York, NY, US")</f>
        <v>New York, NY, US</v>
      </c>
      <c r="R893" s="44">
        <f ca="1">IFERROR(__xludf.DUMMYFUNCTION("""COMPUTED_VALUE"""),45838)</f>
        <v>45838</v>
      </c>
      <c r="S893" s="44">
        <f ca="1">IFERROR(__xludf.DUMMYFUNCTION("""COMPUTED_VALUE"""),45897)</f>
        <v>45897</v>
      </c>
      <c r="T893" s="45" t="str">
        <f ca="1">IFERROR(__xludf.DUMMYFUNCTION("""COMPUTED_VALUE"""),"Mississauga, ON, CA")</f>
        <v>Mississauga, ON, CA</v>
      </c>
      <c r="U893" s="45"/>
      <c r="V893" s="45"/>
      <c r="W893" s="45"/>
      <c r="X893" s="45"/>
      <c r="Y893" s="46">
        <f ca="1">IFERROR(__xludf.DUMMYFUNCTION("""COMPUTED_VALUE"""),45845)</f>
        <v>45845</v>
      </c>
      <c r="Z893" s="46">
        <f ca="1">IFERROR(__xludf.DUMMYFUNCTION("""COMPUTED_VALUE"""),45866)</f>
        <v>45866</v>
      </c>
      <c r="AA893" s="46">
        <f ca="1">IFERROR(__xludf.DUMMYFUNCTION("""COMPUTED_VALUE"""),45866)</f>
        <v>45866</v>
      </c>
      <c r="AB893" s="45" t="str">
        <f ca="1">IFERROR(__xludf.DUMMYFUNCTION("""COMPUTED_VALUE"""),"3500 Argentia Road")</f>
        <v>3500 Argentia Road</v>
      </c>
      <c r="AC893" s="45"/>
      <c r="AD893" s="45" t="str">
        <f ca="1">IFERROR(__xludf.DUMMYFUNCTION("""COMPUTED_VALUE"""),"OCEAN")</f>
        <v>OCEAN</v>
      </c>
      <c r="AE893" s="45" t="str">
        <f ca="1">IFERROR(__xludf.DUMMYFUNCTION("""COMPUTED_VALUE"""),"N")</f>
        <v>N</v>
      </c>
      <c r="AF893" s="45" t="str">
        <f ca="1">IFERROR(__xludf.DUMMYFUNCTION("""COMPUTED_VALUE"""),"New Booking")</f>
        <v>New Booking</v>
      </c>
      <c r="AG893" s="49" t="str">
        <f ca="1">IFERROR(__xludf.DUMMYFUNCTION("IFNA(vlookup(H893,IMPORTRANGE(""1vUGwO1n0QQGx9kKbO0_M5gmuhXZ6-LaxQxgrmJnzgP0"",""'TP# look up'!A:C""),3,0),"""")"),"")</f>
        <v/>
      </c>
      <c r="AH893" s="49" t="str">
        <f t="shared" ca="1" si="13"/>
        <v>LW</v>
      </c>
    </row>
    <row r="894" spans="1:34" ht="12.75">
      <c r="A894" s="45" t="str">
        <f ca="1">IFERROR(__xludf.DUMMYFUNCTION("""COMPUTED_VALUE"""),"Colombo")</f>
        <v>Colombo</v>
      </c>
      <c r="B894" s="45"/>
      <c r="C894" s="45">
        <f ca="1">IFERROR(__xludf.DUMMYFUNCTION("""COMPUTED_VALUE"""),3259528)</f>
        <v>3259528</v>
      </c>
      <c r="D894" s="45"/>
      <c r="E894" s="45" t="str">
        <f ca="1">IFERROR(__xludf.DUMMYFUNCTION("""COMPUTED_VALUE"""),"CFS")</f>
        <v>CFS</v>
      </c>
      <c r="F894" s="45" t="str">
        <f ca="1">IFERROR(__xludf.DUMMYFUNCTION("""COMPUTED_VALUE"""),"Bodyline Trading (Private) Limited")</f>
        <v>Bodyline Trading (Private) Limited</v>
      </c>
      <c r="G894" s="45" t="str">
        <f ca="1">IFERROR(__xludf.DUMMYFUNCTION("""COMPUTED_VALUE"""),"Bodyline (Private) Limited")</f>
        <v>Bodyline (Private) Limited</v>
      </c>
      <c r="H894" s="43">
        <f ca="1">IFERROR(__xludf.DUMMYFUNCTION("""COMPUTED_VALUE"""),456407816056)</f>
        <v>456407816056</v>
      </c>
      <c r="I894" s="45">
        <f ca="1">IFERROR(__xludf.DUMMYFUNCTION("""COMPUTED_VALUE"""),19878522)</f>
        <v>19878522</v>
      </c>
      <c r="J894" s="45" t="str">
        <f ca="1">IFERROR(__xludf.DUMMYFUNCTION("""COMPUTED_VALUE"""),"LW2DPNS")</f>
        <v>LW2DPNS</v>
      </c>
      <c r="K894" s="45" t="str">
        <f ca="1">IFERROR(__xludf.DUMMYFUNCTION("""COMPUTED_VALUE"""),"LW2DPNS-041179")</f>
        <v>LW2DPNS-041179</v>
      </c>
      <c r="L894" s="45">
        <f ca="1">IFERROR(__xludf.DUMMYFUNCTION("""COMPUTED_VALUE"""),2)</f>
        <v>2</v>
      </c>
      <c r="M894" s="45">
        <f ca="1">IFERROR(__xludf.DUMMYFUNCTION("""COMPUTED_VALUE"""),65)</f>
        <v>65</v>
      </c>
      <c r="N894" s="45">
        <f ca="1">IFERROR(__xludf.DUMMYFUNCTION("""COMPUTED_VALUE"""),8.658)</f>
        <v>8.6579999999999995</v>
      </c>
      <c r="O894" s="45">
        <f ca="1">IFERROR(__xludf.DUMMYFUNCTION("""COMPUTED_VALUE"""),0.124)</f>
        <v>0.124</v>
      </c>
      <c r="P894" s="45" t="str">
        <f ca="1">IFERROR(__xludf.DUMMYFUNCTION("""COMPUTED_VALUE"""),"Colombo, LK")</f>
        <v>Colombo, LK</v>
      </c>
      <c r="Q894" s="45" t="str">
        <f ca="1">IFERROR(__xludf.DUMMYFUNCTION("""COMPUTED_VALUE"""),"New York, NY, US")</f>
        <v>New York, NY, US</v>
      </c>
      <c r="R894" s="44">
        <f ca="1">IFERROR(__xludf.DUMMYFUNCTION("""COMPUTED_VALUE"""),45838)</f>
        <v>45838</v>
      </c>
      <c r="S894" s="44">
        <f ca="1">IFERROR(__xludf.DUMMYFUNCTION("""COMPUTED_VALUE"""),45897)</f>
        <v>45897</v>
      </c>
      <c r="T894" s="45" t="str">
        <f ca="1">IFERROR(__xludf.DUMMYFUNCTION("""COMPUTED_VALUE"""),"Mississauga, ON, CA")</f>
        <v>Mississauga, ON, CA</v>
      </c>
      <c r="U894" s="45"/>
      <c r="V894" s="45"/>
      <c r="W894" s="45"/>
      <c r="X894" s="45"/>
      <c r="Y894" s="46">
        <f ca="1">IFERROR(__xludf.DUMMYFUNCTION("""COMPUTED_VALUE"""),45845)</f>
        <v>45845</v>
      </c>
      <c r="Z894" s="46">
        <f ca="1">IFERROR(__xludf.DUMMYFUNCTION("""COMPUTED_VALUE"""),45866)</f>
        <v>45866</v>
      </c>
      <c r="AA894" s="46">
        <f ca="1">IFERROR(__xludf.DUMMYFUNCTION("""COMPUTED_VALUE"""),45866)</f>
        <v>45866</v>
      </c>
      <c r="AB894" s="45" t="str">
        <f ca="1">IFERROR(__xludf.DUMMYFUNCTION("""COMPUTED_VALUE"""),"3500 Argentia Road")</f>
        <v>3500 Argentia Road</v>
      </c>
      <c r="AC894" s="45"/>
      <c r="AD894" s="45" t="str">
        <f ca="1">IFERROR(__xludf.DUMMYFUNCTION("""COMPUTED_VALUE"""),"OCEAN")</f>
        <v>OCEAN</v>
      </c>
      <c r="AE894" s="45" t="str">
        <f ca="1">IFERROR(__xludf.DUMMYFUNCTION("""COMPUTED_VALUE"""),"N")</f>
        <v>N</v>
      </c>
      <c r="AF894" s="45" t="str">
        <f ca="1">IFERROR(__xludf.DUMMYFUNCTION("""COMPUTED_VALUE"""),"New Booking")</f>
        <v>New Booking</v>
      </c>
      <c r="AG894" s="49" t="str">
        <f ca="1">IFERROR(__xludf.DUMMYFUNCTION("IFNA(vlookup(H894,IMPORTRANGE(""1vUGwO1n0QQGx9kKbO0_M5gmuhXZ6-LaxQxgrmJnzgP0"",""'TP# look up'!A:C""),3,0),"""")"),"")</f>
        <v/>
      </c>
      <c r="AH894" s="49" t="str">
        <f t="shared" ca="1" si="13"/>
        <v>LW</v>
      </c>
    </row>
    <row r="895" spans="1:34" ht="12.75">
      <c r="A895" s="45" t="str">
        <f ca="1">IFERROR(__xludf.DUMMYFUNCTION("""COMPUTED_VALUE"""),"Colombo")</f>
        <v>Colombo</v>
      </c>
      <c r="B895" s="45"/>
      <c r="C895" s="45">
        <f ca="1">IFERROR(__xludf.DUMMYFUNCTION("""COMPUTED_VALUE"""),3259528)</f>
        <v>3259528</v>
      </c>
      <c r="D895" s="45"/>
      <c r="E895" s="45" t="str">
        <f ca="1">IFERROR(__xludf.DUMMYFUNCTION("""COMPUTED_VALUE"""),"CFS")</f>
        <v>CFS</v>
      </c>
      <c r="F895" s="45" t="str">
        <f ca="1">IFERROR(__xludf.DUMMYFUNCTION("""COMPUTED_VALUE"""),"Bodyline Trading (Private) Limited")</f>
        <v>Bodyline Trading (Private) Limited</v>
      </c>
      <c r="G895" s="45" t="str">
        <f ca="1">IFERROR(__xludf.DUMMYFUNCTION("""COMPUTED_VALUE"""),"Bodyline (Private) Limited")</f>
        <v>Bodyline (Private) Limited</v>
      </c>
      <c r="H895" s="43">
        <f ca="1">IFERROR(__xludf.DUMMYFUNCTION("""COMPUTED_VALUE"""),456407883838)</f>
        <v>456407883838</v>
      </c>
      <c r="I895" s="45">
        <f ca="1">IFERROR(__xludf.DUMMYFUNCTION("""COMPUTED_VALUE"""),19878521)</f>
        <v>19878521</v>
      </c>
      <c r="J895" s="45" t="str">
        <f ca="1">IFERROR(__xludf.DUMMYFUNCTION("""COMPUTED_VALUE"""),"LW2DPNS")</f>
        <v>LW2DPNS</v>
      </c>
      <c r="K895" s="45" t="str">
        <f ca="1">IFERROR(__xludf.DUMMYFUNCTION("""COMPUTED_VALUE"""),"LW2DPNS-041179")</f>
        <v>LW2DPNS-041179</v>
      </c>
      <c r="L895" s="45">
        <f ca="1">IFERROR(__xludf.DUMMYFUNCTION("""COMPUTED_VALUE"""),3)</f>
        <v>3</v>
      </c>
      <c r="M895" s="45">
        <f ca="1">IFERROR(__xludf.DUMMYFUNCTION("""COMPUTED_VALUE"""),137)</f>
        <v>137</v>
      </c>
      <c r="N895" s="45">
        <f ca="1">IFERROR(__xludf.DUMMYFUNCTION("""COMPUTED_VALUE"""),17.178)</f>
        <v>17.178000000000001</v>
      </c>
      <c r="O895" s="45">
        <f ca="1">IFERROR(__xludf.DUMMYFUNCTION("""COMPUTED_VALUE"""),0.205)</f>
        <v>0.20499999999999999</v>
      </c>
      <c r="P895" s="45" t="str">
        <f ca="1">IFERROR(__xludf.DUMMYFUNCTION("""COMPUTED_VALUE"""),"Colombo, LK")</f>
        <v>Colombo, LK</v>
      </c>
      <c r="Q895" s="45" t="str">
        <f ca="1">IFERROR(__xludf.DUMMYFUNCTION("""COMPUTED_VALUE"""),"New York, NY, US")</f>
        <v>New York, NY, US</v>
      </c>
      <c r="R895" s="44">
        <f ca="1">IFERROR(__xludf.DUMMYFUNCTION("""COMPUTED_VALUE"""),45838)</f>
        <v>45838</v>
      </c>
      <c r="S895" s="44">
        <f ca="1">IFERROR(__xludf.DUMMYFUNCTION("""COMPUTED_VALUE"""),45897)</f>
        <v>45897</v>
      </c>
      <c r="T895" s="45" t="str">
        <f ca="1">IFERROR(__xludf.DUMMYFUNCTION("""COMPUTED_VALUE"""),"Mississauga, ON, CA")</f>
        <v>Mississauga, ON, CA</v>
      </c>
      <c r="U895" s="45"/>
      <c r="V895" s="45"/>
      <c r="W895" s="45"/>
      <c r="X895" s="45"/>
      <c r="Y895" s="46">
        <f ca="1">IFERROR(__xludf.DUMMYFUNCTION("""COMPUTED_VALUE"""),45845)</f>
        <v>45845</v>
      </c>
      <c r="Z895" s="46">
        <f ca="1">IFERROR(__xludf.DUMMYFUNCTION("""COMPUTED_VALUE"""),45866)</f>
        <v>45866</v>
      </c>
      <c r="AA895" s="46">
        <f ca="1">IFERROR(__xludf.DUMMYFUNCTION("""COMPUTED_VALUE"""),45866)</f>
        <v>45866</v>
      </c>
      <c r="AB895" s="45" t="str">
        <f ca="1">IFERROR(__xludf.DUMMYFUNCTION("""COMPUTED_VALUE"""),"3500 Argentia Road")</f>
        <v>3500 Argentia Road</v>
      </c>
      <c r="AC895" s="45"/>
      <c r="AD895" s="45" t="str">
        <f ca="1">IFERROR(__xludf.DUMMYFUNCTION("""COMPUTED_VALUE"""),"OCEAN")</f>
        <v>OCEAN</v>
      </c>
      <c r="AE895" s="45" t="str">
        <f ca="1">IFERROR(__xludf.DUMMYFUNCTION("""COMPUTED_VALUE"""),"N")</f>
        <v>N</v>
      </c>
      <c r="AF895" s="45" t="str">
        <f ca="1">IFERROR(__xludf.DUMMYFUNCTION("""COMPUTED_VALUE"""),"New Booking")</f>
        <v>New Booking</v>
      </c>
      <c r="AG895" s="49" t="str">
        <f ca="1">IFERROR(__xludf.DUMMYFUNCTION("IFNA(vlookup(H895,IMPORTRANGE(""1vUGwO1n0QQGx9kKbO0_M5gmuhXZ6-LaxQxgrmJnzgP0"",""'TP# look up'!A:C""),3,0),"""")"),"")</f>
        <v/>
      </c>
      <c r="AH895" s="49" t="str">
        <f t="shared" ca="1" si="13"/>
        <v>LW</v>
      </c>
    </row>
    <row r="896" spans="1:34" ht="12.75">
      <c r="A896" s="45" t="str">
        <f ca="1">IFERROR(__xludf.DUMMYFUNCTION("""COMPUTED_VALUE"""),"Colombo")</f>
        <v>Colombo</v>
      </c>
      <c r="B896" s="45"/>
      <c r="C896" s="45">
        <f ca="1">IFERROR(__xludf.DUMMYFUNCTION("""COMPUTED_VALUE"""),3259528)</f>
        <v>3259528</v>
      </c>
      <c r="D896" s="45"/>
      <c r="E896" s="45" t="str">
        <f ca="1">IFERROR(__xludf.DUMMYFUNCTION("""COMPUTED_VALUE"""),"CFS")</f>
        <v>CFS</v>
      </c>
      <c r="F896" s="45" t="str">
        <f ca="1">IFERROR(__xludf.DUMMYFUNCTION("""COMPUTED_VALUE"""),"Bodyline Trading (Private) Limited")</f>
        <v>Bodyline Trading (Private) Limited</v>
      </c>
      <c r="G896" s="45" t="str">
        <f ca="1">IFERROR(__xludf.DUMMYFUNCTION("""COMPUTED_VALUE"""),"Bodyline (Private) Limited")</f>
        <v>Bodyline (Private) Limited</v>
      </c>
      <c r="H896" s="43">
        <f ca="1">IFERROR(__xludf.DUMMYFUNCTION("""COMPUTED_VALUE"""),456409214798)</f>
        <v>456409214798</v>
      </c>
      <c r="I896" s="45">
        <f ca="1">IFERROR(__xludf.DUMMYFUNCTION("""COMPUTED_VALUE"""),19878755)</f>
        <v>19878755</v>
      </c>
      <c r="J896" s="45" t="str">
        <f ca="1">IFERROR(__xludf.DUMMYFUNCTION("""COMPUTED_VALUE"""),"LW2DPNS")</f>
        <v>LW2DPNS</v>
      </c>
      <c r="K896" s="45" t="str">
        <f ca="1">IFERROR(__xludf.DUMMYFUNCTION("""COMPUTED_VALUE"""),"LW2DPNS-041179")</f>
        <v>LW2DPNS-041179</v>
      </c>
      <c r="L896" s="45">
        <f ca="1">IFERROR(__xludf.DUMMYFUNCTION("""COMPUTED_VALUE"""),4)</f>
        <v>4</v>
      </c>
      <c r="M896" s="45">
        <f ca="1">IFERROR(__xludf.DUMMYFUNCTION("""COMPUTED_VALUE"""),258)</f>
        <v>258</v>
      </c>
      <c r="N896" s="45">
        <f ca="1">IFERROR(__xludf.DUMMYFUNCTION("""COMPUTED_VALUE"""),30.887)</f>
        <v>30.887</v>
      </c>
      <c r="O896" s="45">
        <f ca="1">IFERROR(__xludf.DUMMYFUNCTION("""COMPUTED_VALUE"""),0.322)</f>
        <v>0.32200000000000001</v>
      </c>
      <c r="P896" s="45" t="str">
        <f ca="1">IFERROR(__xludf.DUMMYFUNCTION("""COMPUTED_VALUE"""),"Colombo, LK")</f>
        <v>Colombo, LK</v>
      </c>
      <c r="Q896" s="45" t="str">
        <f ca="1">IFERROR(__xludf.DUMMYFUNCTION("""COMPUTED_VALUE"""),"New York, NY, US")</f>
        <v>New York, NY, US</v>
      </c>
      <c r="R896" s="44">
        <f ca="1">IFERROR(__xludf.DUMMYFUNCTION("""COMPUTED_VALUE"""),45838)</f>
        <v>45838</v>
      </c>
      <c r="S896" s="44">
        <f ca="1">IFERROR(__xludf.DUMMYFUNCTION("""COMPUTED_VALUE"""),45897)</f>
        <v>45897</v>
      </c>
      <c r="T896" s="45" t="str">
        <f ca="1">IFERROR(__xludf.DUMMYFUNCTION("""COMPUTED_VALUE"""),"Mississauga, ON, CA")</f>
        <v>Mississauga, ON, CA</v>
      </c>
      <c r="U896" s="45"/>
      <c r="V896" s="45"/>
      <c r="W896" s="45"/>
      <c r="X896" s="45"/>
      <c r="Y896" s="46">
        <f ca="1">IFERROR(__xludf.DUMMYFUNCTION("""COMPUTED_VALUE"""),45845)</f>
        <v>45845</v>
      </c>
      <c r="Z896" s="46">
        <f ca="1">IFERROR(__xludf.DUMMYFUNCTION("""COMPUTED_VALUE"""),45866)</f>
        <v>45866</v>
      </c>
      <c r="AA896" s="46">
        <f ca="1">IFERROR(__xludf.DUMMYFUNCTION("""COMPUTED_VALUE"""),45866)</f>
        <v>45866</v>
      </c>
      <c r="AB896" s="45" t="str">
        <f ca="1">IFERROR(__xludf.DUMMYFUNCTION("""COMPUTED_VALUE"""),"3500 Argentia Road")</f>
        <v>3500 Argentia Road</v>
      </c>
      <c r="AC896" s="45"/>
      <c r="AD896" s="45" t="str">
        <f ca="1">IFERROR(__xludf.DUMMYFUNCTION("""COMPUTED_VALUE"""),"OCEAN")</f>
        <v>OCEAN</v>
      </c>
      <c r="AE896" s="45" t="str">
        <f ca="1">IFERROR(__xludf.DUMMYFUNCTION("""COMPUTED_VALUE"""),"N")</f>
        <v>N</v>
      </c>
      <c r="AF896" s="45" t="str">
        <f ca="1">IFERROR(__xludf.DUMMYFUNCTION("""COMPUTED_VALUE"""),"New Booking")</f>
        <v>New Booking</v>
      </c>
      <c r="AG896" s="49" t="str">
        <f ca="1">IFERROR(__xludf.DUMMYFUNCTION("IFNA(vlookup(H896,IMPORTRANGE(""1vUGwO1n0QQGx9kKbO0_M5gmuhXZ6-LaxQxgrmJnzgP0"",""'TP# look up'!A:C""),3,0),"""")"),"")</f>
        <v/>
      </c>
      <c r="AH896" s="49" t="str">
        <f t="shared" ca="1" si="13"/>
        <v>LW</v>
      </c>
    </row>
    <row r="897" spans="1:34" ht="12.75">
      <c r="A897" s="45" t="str">
        <f ca="1">IFERROR(__xludf.DUMMYFUNCTION("""COMPUTED_VALUE"""),"Colombo")</f>
        <v>Colombo</v>
      </c>
      <c r="B897" s="45"/>
      <c r="C897" s="45">
        <f ca="1">IFERROR(__xludf.DUMMYFUNCTION("""COMPUTED_VALUE"""),3259528)</f>
        <v>3259528</v>
      </c>
      <c r="D897" s="45"/>
      <c r="E897" s="45" t="str">
        <f ca="1">IFERROR(__xludf.DUMMYFUNCTION("""COMPUTED_VALUE"""),"CFS")</f>
        <v>CFS</v>
      </c>
      <c r="F897" s="45" t="str">
        <f ca="1">IFERROR(__xludf.DUMMYFUNCTION("""COMPUTED_VALUE"""),"Bodyline Trading (Private) Limited")</f>
        <v>Bodyline Trading (Private) Limited</v>
      </c>
      <c r="G897" s="45" t="str">
        <f ca="1">IFERROR(__xludf.DUMMYFUNCTION("""COMPUTED_VALUE"""),"Bodyline (Private) Limited")</f>
        <v>Bodyline (Private) Limited</v>
      </c>
      <c r="H897" s="43">
        <f ca="1">IFERROR(__xludf.DUMMYFUNCTION("""COMPUTED_VALUE"""),456409968435)</f>
        <v>456409968435</v>
      </c>
      <c r="I897" s="45">
        <f ca="1">IFERROR(__xludf.DUMMYFUNCTION("""COMPUTED_VALUE"""),19878759)</f>
        <v>19878759</v>
      </c>
      <c r="J897" s="45" t="str">
        <f ca="1">IFERROR(__xludf.DUMMYFUNCTION("""COMPUTED_VALUE"""),"LW2DPNS")</f>
        <v>LW2DPNS</v>
      </c>
      <c r="K897" s="45" t="str">
        <f ca="1">IFERROR(__xludf.DUMMYFUNCTION("""COMPUTED_VALUE"""),"LW2DPNS-041179")</f>
        <v>LW2DPNS-041179</v>
      </c>
      <c r="L897" s="45">
        <f ca="1">IFERROR(__xludf.DUMMYFUNCTION("""COMPUTED_VALUE"""),3)</f>
        <v>3</v>
      </c>
      <c r="M897" s="45">
        <f ca="1">IFERROR(__xludf.DUMMYFUNCTION("""COMPUTED_VALUE"""),125)</f>
        <v>125</v>
      </c>
      <c r="N897" s="45">
        <f ca="1">IFERROR(__xludf.DUMMYFUNCTION("""COMPUTED_VALUE"""),15.722)</f>
        <v>15.722</v>
      </c>
      <c r="O897" s="45">
        <f ca="1">IFERROR(__xludf.DUMMYFUNCTION("""COMPUTED_VALUE"""),0.168)</f>
        <v>0.16800000000000001</v>
      </c>
      <c r="P897" s="45" t="str">
        <f ca="1">IFERROR(__xludf.DUMMYFUNCTION("""COMPUTED_VALUE"""),"Colombo, LK")</f>
        <v>Colombo, LK</v>
      </c>
      <c r="Q897" s="45" t="str">
        <f ca="1">IFERROR(__xludf.DUMMYFUNCTION("""COMPUTED_VALUE"""),"New York, NY, US")</f>
        <v>New York, NY, US</v>
      </c>
      <c r="R897" s="44">
        <f ca="1">IFERROR(__xludf.DUMMYFUNCTION("""COMPUTED_VALUE"""),45838)</f>
        <v>45838</v>
      </c>
      <c r="S897" s="44">
        <f ca="1">IFERROR(__xludf.DUMMYFUNCTION("""COMPUTED_VALUE"""),45897)</f>
        <v>45897</v>
      </c>
      <c r="T897" s="45" t="str">
        <f ca="1">IFERROR(__xludf.DUMMYFUNCTION("""COMPUTED_VALUE"""),"Mississauga, ON, CA")</f>
        <v>Mississauga, ON, CA</v>
      </c>
      <c r="U897" s="45"/>
      <c r="V897" s="45"/>
      <c r="W897" s="45"/>
      <c r="X897" s="45"/>
      <c r="Y897" s="46">
        <f ca="1">IFERROR(__xludf.DUMMYFUNCTION("""COMPUTED_VALUE"""),45845)</f>
        <v>45845</v>
      </c>
      <c r="Z897" s="46">
        <f ca="1">IFERROR(__xludf.DUMMYFUNCTION("""COMPUTED_VALUE"""),45866)</f>
        <v>45866</v>
      </c>
      <c r="AA897" s="46">
        <f ca="1">IFERROR(__xludf.DUMMYFUNCTION("""COMPUTED_VALUE"""),45866)</f>
        <v>45866</v>
      </c>
      <c r="AB897" s="45" t="str">
        <f ca="1">IFERROR(__xludf.DUMMYFUNCTION("""COMPUTED_VALUE"""),"3500 Argentia Road")</f>
        <v>3500 Argentia Road</v>
      </c>
      <c r="AC897" s="45"/>
      <c r="AD897" s="45" t="str">
        <f ca="1">IFERROR(__xludf.DUMMYFUNCTION("""COMPUTED_VALUE"""),"OCEAN")</f>
        <v>OCEAN</v>
      </c>
      <c r="AE897" s="45" t="str">
        <f ca="1">IFERROR(__xludf.DUMMYFUNCTION("""COMPUTED_VALUE"""),"N")</f>
        <v>N</v>
      </c>
      <c r="AF897" s="45" t="str">
        <f ca="1">IFERROR(__xludf.DUMMYFUNCTION("""COMPUTED_VALUE"""),"New Booking")</f>
        <v>New Booking</v>
      </c>
      <c r="AG897" s="49" t="str">
        <f ca="1">IFERROR(__xludf.DUMMYFUNCTION("IFNA(vlookup(H897,IMPORTRANGE(""1vUGwO1n0QQGx9kKbO0_M5gmuhXZ6-LaxQxgrmJnzgP0"",""'TP# look up'!A:C""),3,0),"""")"),"")</f>
        <v/>
      </c>
      <c r="AH897" s="49" t="str">
        <f t="shared" ca="1" si="13"/>
        <v>LW</v>
      </c>
    </row>
    <row r="898" spans="1:34" ht="12.75">
      <c r="A898" s="45" t="str">
        <f ca="1">IFERROR(__xludf.DUMMYFUNCTION("""COMPUTED_VALUE"""),"Colombo")</f>
        <v>Colombo</v>
      </c>
      <c r="B898" s="45"/>
      <c r="C898" s="45">
        <f ca="1">IFERROR(__xludf.DUMMYFUNCTION("""COMPUTED_VALUE"""),3259528)</f>
        <v>3259528</v>
      </c>
      <c r="D898" s="45"/>
      <c r="E898" s="45" t="str">
        <f ca="1">IFERROR(__xludf.DUMMYFUNCTION("""COMPUTED_VALUE"""),"CFS")</f>
        <v>CFS</v>
      </c>
      <c r="F898" s="45" t="str">
        <f ca="1">IFERROR(__xludf.DUMMYFUNCTION("""COMPUTED_VALUE"""),"Bodyline Trading (Private) Limited")</f>
        <v>Bodyline Trading (Private) Limited</v>
      </c>
      <c r="G898" s="45" t="str">
        <f ca="1">IFERROR(__xludf.DUMMYFUNCTION("""COMPUTED_VALUE"""),"Bodyline (Private) Limited")</f>
        <v>Bodyline (Private) Limited</v>
      </c>
      <c r="H898" s="43">
        <f ca="1">IFERROR(__xludf.DUMMYFUNCTION("""COMPUTED_VALUE"""),456410091861)</f>
        <v>456410091861</v>
      </c>
      <c r="I898" s="45">
        <f ca="1">IFERROR(__xludf.DUMMYFUNCTION("""COMPUTED_VALUE"""),19878541)</f>
        <v>19878541</v>
      </c>
      <c r="J898" s="45" t="str">
        <f ca="1">IFERROR(__xludf.DUMMYFUNCTION("""COMPUTED_VALUE"""),"LW2DPOS")</f>
        <v>LW2DPOS</v>
      </c>
      <c r="K898" s="45" t="str">
        <f ca="1">IFERROR(__xludf.DUMMYFUNCTION("""COMPUTED_VALUE"""),"LW2DPOS-071150")</f>
        <v>LW2DPOS-071150</v>
      </c>
      <c r="L898" s="45">
        <f ca="1">IFERROR(__xludf.DUMMYFUNCTION("""COMPUTED_VALUE"""),8)</f>
        <v>8</v>
      </c>
      <c r="M898" s="45">
        <f ca="1">IFERROR(__xludf.DUMMYFUNCTION("""COMPUTED_VALUE"""),350)</f>
        <v>350</v>
      </c>
      <c r="N898" s="45">
        <f ca="1">IFERROR(__xludf.DUMMYFUNCTION("""COMPUTED_VALUE"""),51.635)</f>
        <v>51.634999999999998</v>
      </c>
      <c r="O898" s="45">
        <f ca="1">IFERROR(__xludf.DUMMYFUNCTION("""COMPUTED_VALUE"""),0.498)</f>
        <v>0.498</v>
      </c>
      <c r="P898" s="45" t="str">
        <f ca="1">IFERROR(__xludf.DUMMYFUNCTION("""COMPUTED_VALUE"""),"Colombo, LK")</f>
        <v>Colombo, LK</v>
      </c>
      <c r="Q898" s="45" t="str">
        <f ca="1">IFERROR(__xludf.DUMMYFUNCTION("""COMPUTED_VALUE"""),"New York, NY, US")</f>
        <v>New York, NY, US</v>
      </c>
      <c r="R898" s="44">
        <f ca="1">IFERROR(__xludf.DUMMYFUNCTION("""COMPUTED_VALUE"""),45838)</f>
        <v>45838</v>
      </c>
      <c r="S898" s="44">
        <f ca="1">IFERROR(__xludf.DUMMYFUNCTION("""COMPUTED_VALUE"""),45897)</f>
        <v>45897</v>
      </c>
      <c r="T898" s="45" t="str">
        <f ca="1">IFERROR(__xludf.DUMMYFUNCTION("""COMPUTED_VALUE"""),"Mississauga, ON, CA")</f>
        <v>Mississauga, ON, CA</v>
      </c>
      <c r="U898" s="45"/>
      <c r="V898" s="45"/>
      <c r="W898" s="45"/>
      <c r="X898" s="45"/>
      <c r="Y898" s="46">
        <f ca="1">IFERROR(__xludf.DUMMYFUNCTION("""COMPUTED_VALUE"""),45845)</f>
        <v>45845</v>
      </c>
      <c r="Z898" s="46">
        <f ca="1">IFERROR(__xludf.DUMMYFUNCTION("""COMPUTED_VALUE"""),45866)</f>
        <v>45866</v>
      </c>
      <c r="AA898" s="46">
        <f ca="1">IFERROR(__xludf.DUMMYFUNCTION("""COMPUTED_VALUE"""),45866)</f>
        <v>45866</v>
      </c>
      <c r="AB898" s="45" t="str">
        <f ca="1">IFERROR(__xludf.DUMMYFUNCTION("""COMPUTED_VALUE"""),"3500 Argentia Road")</f>
        <v>3500 Argentia Road</v>
      </c>
      <c r="AC898" s="45"/>
      <c r="AD898" s="45" t="str">
        <f ca="1">IFERROR(__xludf.DUMMYFUNCTION("""COMPUTED_VALUE"""),"OCEAN")</f>
        <v>OCEAN</v>
      </c>
      <c r="AE898" s="45" t="str">
        <f ca="1">IFERROR(__xludf.DUMMYFUNCTION("""COMPUTED_VALUE"""),"N")</f>
        <v>N</v>
      </c>
      <c r="AF898" s="45" t="str">
        <f ca="1">IFERROR(__xludf.DUMMYFUNCTION("""COMPUTED_VALUE"""),"New Booking")</f>
        <v>New Booking</v>
      </c>
      <c r="AG898" s="49" t="str">
        <f ca="1">IFERROR(__xludf.DUMMYFUNCTION("IFNA(vlookup(H898,IMPORTRANGE(""1vUGwO1n0QQGx9kKbO0_M5gmuhXZ6-LaxQxgrmJnzgP0"",""'TP# look up'!A:C""),3,0),"""")"),"")</f>
        <v/>
      </c>
      <c r="AH898" s="49" t="str">
        <f t="shared" ref="AH898:AH961" ca="1" si="14">LEFT(J898,2)</f>
        <v>LW</v>
      </c>
    </row>
    <row r="899" spans="1:34" ht="12.75">
      <c r="A899" s="45" t="str">
        <f ca="1">IFERROR(__xludf.DUMMYFUNCTION("""COMPUTED_VALUE"""),"Colombo")</f>
        <v>Colombo</v>
      </c>
      <c r="B899" s="45"/>
      <c r="C899" s="45">
        <f ca="1">IFERROR(__xludf.DUMMYFUNCTION("""COMPUTED_VALUE"""),3259528)</f>
        <v>3259528</v>
      </c>
      <c r="D899" s="45"/>
      <c r="E899" s="45" t="str">
        <f ca="1">IFERROR(__xludf.DUMMYFUNCTION("""COMPUTED_VALUE"""),"CFS")</f>
        <v>CFS</v>
      </c>
      <c r="F899" s="45" t="str">
        <f ca="1">IFERROR(__xludf.DUMMYFUNCTION("""COMPUTED_VALUE"""),"Bodyline Trading (Private) Limited")</f>
        <v>Bodyline Trading (Private) Limited</v>
      </c>
      <c r="G899" s="45" t="str">
        <f ca="1">IFERROR(__xludf.DUMMYFUNCTION("""COMPUTED_VALUE"""),"Bodyline (Private) Limited")</f>
        <v>Bodyline (Private) Limited</v>
      </c>
      <c r="H899" s="43">
        <f ca="1">IFERROR(__xludf.DUMMYFUNCTION("""COMPUTED_VALUE"""),456411081704)</f>
        <v>456411081704</v>
      </c>
      <c r="I899" s="45">
        <f ca="1">IFERROR(__xludf.DUMMYFUNCTION("""COMPUTED_VALUE"""),19843784)</f>
        <v>19843784</v>
      </c>
      <c r="J899" s="45" t="str">
        <f ca="1">IFERROR(__xludf.DUMMYFUNCTION("""COMPUTED_VALUE"""),"LW2DPOS")</f>
        <v>LW2DPOS</v>
      </c>
      <c r="K899" s="45" t="str">
        <f ca="1">IFERROR(__xludf.DUMMYFUNCTION("""COMPUTED_VALUE"""),"LW2DPOS-071150")</f>
        <v>LW2DPOS-071150</v>
      </c>
      <c r="L899" s="45">
        <f ca="1">IFERROR(__xludf.DUMMYFUNCTION("""COMPUTED_VALUE"""),2)</f>
        <v>2</v>
      </c>
      <c r="M899" s="45">
        <f ca="1">IFERROR(__xludf.DUMMYFUNCTION("""COMPUTED_VALUE"""),74)</f>
        <v>74</v>
      </c>
      <c r="N899" s="45">
        <f ca="1">IFERROR(__xludf.DUMMYFUNCTION("""COMPUTED_VALUE"""),10.988)</f>
        <v>10.988</v>
      </c>
      <c r="O899" s="45">
        <f ca="1">IFERROR(__xludf.DUMMYFUNCTION("""COMPUTED_VALUE"""),0.124)</f>
        <v>0.124</v>
      </c>
      <c r="P899" s="45" t="str">
        <f ca="1">IFERROR(__xludf.DUMMYFUNCTION("""COMPUTED_VALUE"""),"Colombo, LK")</f>
        <v>Colombo, LK</v>
      </c>
      <c r="Q899" s="45" t="str">
        <f ca="1">IFERROR(__xludf.DUMMYFUNCTION("""COMPUTED_VALUE"""),"New York, NY, US")</f>
        <v>New York, NY, US</v>
      </c>
      <c r="R899" s="44">
        <f ca="1">IFERROR(__xludf.DUMMYFUNCTION("""COMPUTED_VALUE"""),45838)</f>
        <v>45838</v>
      </c>
      <c r="S899" s="44">
        <f ca="1">IFERROR(__xludf.DUMMYFUNCTION("""COMPUTED_VALUE"""),45897)</f>
        <v>45897</v>
      </c>
      <c r="T899" s="45" t="str">
        <f ca="1">IFERROR(__xludf.DUMMYFUNCTION("""COMPUTED_VALUE"""),"Milton, ON, CA")</f>
        <v>Milton, ON, CA</v>
      </c>
      <c r="U899" s="45"/>
      <c r="V899" s="45"/>
      <c r="W899" s="45"/>
      <c r="X899" s="45"/>
      <c r="Y899" s="46">
        <f ca="1">IFERROR(__xludf.DUMMYFUNCTION("""COMPUTED_VALUE"""),45845)</f>
        <v>45845</v>
      </c>
      <c r="Z899" s="46">
        <f ca="1">IFERROR(__xludf.DUMMYFUNCTION("""COMPUTED_VALUE"""),45866)</f>
        <v>45866</v>
      </c>
      <c r="AA899" s="46">
        <f ca="1">IFERROR(__xludf.DUMMYFUNCTION("""COMPUTED_VALUE"""),45866)</f>
        <v>45866</v>
      </c>
      <c r="AB899" s="45" t="str">
        <f ca="1">IFERROR(__xludf.DUMMYFUNCTION("""COMPUTED_VALUE"""),"7211 Fifth Line")</f>
        <v>7211 Fifth Line</v>
      </c>
      <c r="AC899" s="45"/>
      <c r="AD899" s="45" t="str">
        <f ca="1">IFERROR(__xludf.DUMMYFUNCTION("""COMPUTED_VALUE"""),"OCEAN")</f>
        <v>OCEAN</v>
      </c>
      <c r="AE899" s="45" t="str">
        <f ca="1">IFERROR(__xludf.DUMMYFUNCTION("""COMPUTED_VALUE"""),"N")</f>
        <v>N</v>
      </c>
      <c r="AF899" s="45" t="str">
        <f ca="1">IFERROR(__xludf.DUMMYFUNCTION("""COMPUTED_VALUE"""),"New Booking")</f>
        <v>New Booking</v>
      </c>
      <c r="AG899" s="49" t="str">
        <f ca="1">IFERROR(__xludf.DUMMYFUNCTION("IFNA(vlookup(H899,IMPORTRANGE(""1vUGwO1n0QQGx9kKbO0_M5gmuhXZ6-LaxQxgrmJnzgP0"",""'TP# look up'!A:C""),3,0),"""")"),"")</f>
        <v/>
      </c>
      <c r="AH899" s="49" t="str">
        <f t="shared" ca="1" si="14"/>
        <v>LW</v>
      </c>
    </row>
    <row r="900" spans="1:34" ht="12.75">
      <c r="A900" s="45" t="str">
        <f ca="1">IFERROR(__xludf.DUMMYFUNCTION("""COMPUTED_VALUE"""),"Colombo")</f>
        <v>Colombo</v>
      </c>
      <c r="B900" s="45"/>
      <c r="C900" s="45">
        <f ca="1">IFERROR(__xludf.DUMMYFUNCTION("""COMPUTED_VALUE"""),3259528)</f>
        <v>3259528</v>
      </c>
      <c r="D900" s="45"/>
      <c r="E900" s="45" t="str">
        <f ca="1">IFERROR(__xludf.DUMMYFUNCTION("""COMPUTED_VALUE"""),"CFS")</f>
        <v>CFS</v>
      </c>
      <c r="F900" s="45" t="str">
        <f ca="1">IFERROR(__xludf.DUMMYFUNCTION("""COMPUTED_VALUE"""),"Bodyline Trading (Private) Limited")</f>
        <v>Bodyline Trading (Private) Limited</v>
      </c>
      <c r="G900" s="45" t="str">
        <f ca="1">IFERROR(__xludf.DUMMYFUNCTION("""COMPUTED_VALUE"""),"Bodyline (Private) Limited")</f>
        <v>Bodyline (Private) Limited</v>
      </c>
      <c r="H900" s="43">
        <f ca="1">IFERROR(__xludf.DUMMYFUNCTION("""COMPUTED_VALUE"""),456411355202)</f>
        <v>456411355202</v>
      </c>
      <c r="I900" s="45">
        <f ca="1">IFERROR(__xludf.DUMMYFUNCTION("""COMPUTED_VALUE"""),19878787)</f>
        <v>19878787</v>
      </c>
      <c r="J900" s="45" t="str">
        <f ca="1">IFERROR(__xludf.DUMMYFUNCTION("""COMPUTED_VALUE"""),"LW2DPOS")</f>
        <v>LW2DPOS</v>
      </c>
      <c r="K900" s="45" t="str">
        <f ca="1">IFERROR(__xludf.DUMMYFUNCTION("""COMPUTED_VALUE"""),"LW2DPOS-071150")</f>
        <v>LW2DPOS-071150</v>
      </c>
      <c r="L900" s="45">
        <f ca="1">IFERROR(__xludf.DUMMYFUNCTION("""COMPUTED_VALUE"""),12)</f>
        <v>12</v>
      </c>
      <c r="M900" s="45">
        <f ca="1">IFERROR(__xludf.DUMMYFUNCTION("""COMPUTED_VALUE"""),665)</f>
        <v>665</v>
      </c>
      <c r="N900" s="45">
        <f ca="1">IFERROR(__xludf.DUMMYFUNCTION("""COMPUTED_VALUE"""),96.154)</f>
        <v>96.153999999999996</v>
      </c>
      <c r="O900" s="45">
        <f ca="1">IFERROR(__xludf.DUMMYFUNCTION("""COMPUTED_VALUE"""),0.966)</f>
        <v>0.96599999999999997</v>
      </c>
      <c r="P900" s="45" t="str">
        <f ca="1">IFERROR(__xludf.DUMMYFUNCTION("""COMPUTED_VALUE"""),"Colombo, LK")</f>
        <v>Colombo, LK</v>
      </c>
      <c r="Q900" s="45" t="str">
        <f ca="1">IFERROR(__xludf.DUMMYFUNCTION("""COMPUTED_VALUE"""),"New York, NY, US")</f>
        <v>New York, NY, US</v>
      </c>
      <c r="R900" s="44">
        <f ca="1">IFERROR(__xludf.DUMMYFUNCTION("""COMPUTED_VALUE"""),45838)</f>
        <v>45838</v>
      </c>
      <c r="S900" s="44">
        <f ca="1">IFERROR(__xludf.DUMMYFUNCTION("""COMPUTED_VALUE"""),45897)</f>
        <v>45897</v>
      </c>
      <c r="T900" s="45" t="str">
        <f ca="1">IFERROR(__xludf.DUMMYFUNCTION("""COMPUTED_VALUE"""),"Mississauga, ON, CA")</f>
        <v>Mississauga, ON, CA</v>
      </c>
      <c r="U900" s="45"/>
      <c r="V900" s="45"/>
      <c r="W900" s="45"/>
      <c r="X900" s="45"/>
      <c r="Y900" s="46">
        <f ca="1">IFERROR(__xludf.DUMMYFUNCTION("""COMPUTED_VALUE"""),45845)</f>
        <v>45845</v>
      </c>
      <c r="Z900" s="46">
        <f ca="1">IFERROR(__xludf.DUMMYFUNCTION("""COMPUTED_VALUE"""),45866)</f>
        <v>45866</v>
      </c>
      <c r="AA900" s="46">
        <f ca="1">IFERROR(__xludf.DUMMYFUNCTION("""COMPUTED_VALUE"""),45866)</f>
        <v>45866</v>
      </c>
      <c r="AB900" s="45" t="str">
        <f ca="1">IFERROR(__xludf.DUMMYFUNCTION("""COMPUTED_VALUE"""),"3500 Argentia Road")</f>
        <v>3500 Argentia Road</v>
      </c>
      <c r="AC900" s="45"/>
      <c r="AD900" s="45" t="str">
        <f ca="1">IFERROR(__xludf.DUMMYFUNCTION("""COMPUTED_VALUE"""),"OCEAN")</f>
        <v>OCEAN</v>
      </c>
      <c r="AE900" s="45" t="str">
        <f ca="1">IFERROR(__xludf.DUMMYFUNCTION("""COMPUTED_VALUE"""),"N")</f>
        <v>N</v>
      </c>
      <c r="AF900" s="45" t="str">
        <f ca="1">IFERROR(__xludf.DUMMYFUNCTION("""COMPUTED_VALUE"""),"New Booking")</f>
        <v>New Booking</v>
      </c>
      <c r="AG900" s="49" t="str">
        <f ca="1">IFERROR(__xludf.DUMMYFUNCTION("IFNA(vlookup(H900,IMPORTRANGE(""1vUGwO1n0QQGx9kKbO0_M5gmuhXZ6-LaxQxgrmJnzgP0"",""'TP# look up'!A:C""),3,0),"""")"),"")</f>
        <v/>
      </c>
      <c r="AH900" s="49" t="str">
        <f t="shared" ca="1" si="14"/>
        <v>LW</v>
      </c>
    </row>
    <row r="901" spans="1:34" ht="12.75">
      <c r="A901" s="45" t="str">
        <f ca="1">IFERROR(__xludf.DUMMYFUNCTION("""COMPUTED_VALUE"""),"Colombo")</f>
        <v>Colombo</v>
      </c>
      <c r="B901" s="45"/>
      <c r="C901" s="45">
        <f ca="1">IFERROR(__xludf.DUMMYFUNCTION("""COMPUTED_VALUE"""),3259528)</f>
        <v>3259528</v>
      </c>
      <c r="D901" s="45"/>
      <c r="E901" s="45" t="str">
        <f ca="1">IFERROR(__xludf.DUMMYFUNCTION("""COMPUTED_VALUE"""),"CFS")</f>
        <v>CFS</v>
      </c>
      <c r="F901" s="45" t="str">
        <f ca="1">IFERROR(__xludf.DUMMYFUNCTION("""COMPUTED_VALUE"""),"Bodyline Trading (Private) Limited")</f>
        <v>Bodyline Trading (Private) Limited</v>
      </c>
      <c r="G901" s="45" t="str">
        <f ca="1">IFERROR(__xludf.DUMMYFUNCTION("""COMPUTED_VALUE"""),"Bodyline (Private) Limited")</f>
        <v>Bodyline (Private) Limited</v>
      </c>
      <c r="H901" s="43">
        <f ca="1">IFERROR(__xludf.DUMMYFUNCTION("""COMPUTED_VALUE"""),456412496488)</f>
        <v>456412496488</v>
      </c>
      <c r="I901" s="45">
        <f ca="1">IFERROR(__xludf.DUMMYFUNCTION("""COMPUTED_VALUE"""),19878547)</f>
        <v>19878547</v>
      </c>
      <c r="J901" s="45" t="str">
        <f ca="1">IFERROR(__xludf.DUMMYFUNCTION("""COMPUTED_VALUE"""),"LW2DPOS")</f>
        <v>LW2DPOS</v>
      </c>
      <c r="K901" s="45" t="str">
        <f ca="1">IFERROR(__xludf.DUMMYFUNCTION("""COMPUTED_VALUE"""),"LW2DPOS-041179")</f>
        <v>LW2DPOS-041179</v>
      </c>
      <c r="L901" s="45">
        <f ca="1">IFERROR(__xludf.DUMMYFUNCTION("""COMPUTED_VALUE"""),5)</f>
        <v>5</v>
      </c>
      <c r="M901" s="45">
        <f ca="1">IFERROR(__xludf.DUMMYFUNCTION("""COMPUTED_VALUE"""),213)</f>
        <v>213</v>
      </c>
      <c r="N901" s="45">
        <f ca="1">IFERROR(__xludf.DUMMYFUNCTION("""COMPUTED_VALUE"""),31.888)</f>
        <v>31.888000000000002</v>
      </c>
      <c r="O901" s="45">
        <f ca="1">IFERROR(__xludf.DUMMYFUNCTION("""COMPUTED_VALUE"""),0.366)</f>
        <v>0.36599999999999999</v>
      </c>
      <c r="P901" s="45" t="str">
        <f ca="1">IFERROR(__xludf.DUMMYFUNCTION("""COMPUTED_VALUE"""),"Colombo, LK")</f>
        <v>Colombo, LK</v>
      </c>
      <c r="Q901" s="45" t="str">
        <f ca="1">IFERROR(__xludf.DUMMYFUNCTION("""COMPUTED_VALUE"""),"New York, NY, US")</f>
        <v>New York, NY, US</v>
      </c>
      <c r="R901" s="44">
        <f ca="1">IFERROR(__xludf.DUMMYFUNCTION("""COMPUTED_VALUE"""),45838)</f>
        <v>45838</v>
      </c>
      <c r="S901" s="44">
        <f ca="1">IFERROR(__xludf.DUMMYFUNCTION("""COMPUTED_VALUE"""),45897)</f>
        <v>45897</v>
      </c>
      <c r="T901" s="45" t="str">
        <f ca="1">IFERROR(__xludf.DUMMYFUNCTION("""COMPUTED_VALUE"""),"Mississauga, ON, CA")</f>
        <v>Mississauga, ON, CA</v>
      </c>
      <c r="U901" s="45"/>
      <c r="V901" s="45"/>
      <c r="W901" s="45"/>
      <c r="X901" s="45"/>
      <c r="Y901" s="46">
        <f ca="1">IFERROR(__xludf.DUMMYFUNCTION("""COMPUTED_VALUE"""),45845)</f>
        <v>45845</v>
      </c>
      <c r="Z901" s="46">
        <f ca="1">IFERROR(__xludf.DUMMYFUNCTION("""COMPUTED_VALUE"""),45866)</f>
        <v>45866</v>
      </c>
      <c r="AA901" s="46">
        <f ca="1">IFERROR(__xludf.DUMMYFUNCTION("""COMPUTED_VALUE"""),45866)</f>
        <v>45866</v>
      </c>
      <c r="AB901" s="45" t="str">
        <f ca="1">IFERROR(__xludf.DUMMYFUNCTION("""COMPUTED_VALUE"""),"3500 Argentia Road")</f>
        <v>3500 Argentia Road</v>
      </c>
      <c r="AC901" s="45"/>
      <c r="AD901" s="45" t="str">
        <f ca="1">IFERROR(__xludf.DUMMYFUNCTION("""COMPUTED_VALUE"""),"OCEAN")</f>
        <v>OCEAN</v>
      </c>
      <c r="AE901" s="45" t="str">
        <f ca="1">IFERROR(__xludf.DUMMYFUNCTION("""COMPUTED_VALUE"""),"N")</f>
        <v>N</v>
      </c>
      <c r="AF901" s="45" t="str">
        <f ca="1">IFERROR(__xludf.DUMMYFUNCTION("""COMPUTED_VALUE"""),"New Booking")</f>
        <v>New Booking</v>
      </c>
      <c r="AG901" s="49" t="str">
        <f ca="1">IFERROR(__xludf.DUMMYFUNCTION("IFNA(vlookup(H901,IMPORTRANGE(""1vUGwO1n0QQGx9kKbO0_M5gmuhXZ6-LaxQxgrmJnzgP0"",""'TP# look up'!A:C""),3,0),"""")"),"")</f>
        <v/>
      </c>
      <c r="AH901" s="49" t="str">
        <f t="shared" ca="1" si="14"/>
        <v>LW</v>
      </c>
    </row>
    <row r="902" spans="1:34" ht="12.75">
      <c r="A902" s="45" t="str">
        <f ca="1">IFERROR(__xludf.DUMMYFUNCTION("""COMPUTED_VALUE"""),"Colombo")</f>
        <v>Colombo</v>
      </c>
      <c r="B902" s="45"/>
      <c r="C902" s="45">
        <f ca="1">IFERROR(__xludf.DUMMYFUNCTION("""COMPUTED_VALUE"""),3259528)</f>
        <v>3259528</v>
      </c>
      <c r="D902" s="45"/>
      <c r="E902" s="45" t="str">
        <f ca="1">IFERROR(__xludf.DUMMYFUNCTION("""COMPUTED_VALUE"""),"CFS")</f>
        <v>CFS</v>
      </c>
      <c r="F902" s="45" t="str">
        <f ca="1">IFERROR(__xludf.DUMMYFUNCTION("""COMPUTED_VALUE"""),"Bodyline Trading (Private) Limited")</f>
        <v>Bodyline Trading (Private) Limited</v>
      </c>
      <c r="G902" s="45" t="str">
        <f ca="1">IFERROR(__xludf.DUMMYFUNCTION("""COMPUTED_VALUE"""),"Bodyline (Private) Limited")</f>
        <v>Bodyline (Private) Limited</v>
      </c>
      <c r="H902" s="43">
        <f ca="1">IFERROR(__xludf.DUMMYFUNCTION("""COMPUTED_VALUE"""),456413602237)</f>
        <v>456413602237</v>
      </c>
      <c r="I902" s="45">
        <f ca="1">IFERROR(__xludf.DUMMYFUNCTION("""COMPUTED_VALUE"""),19878548)</f>
        <v>19878548</v>
      </c>
      <c r="J902" s="45" t="str">
        <f ca="1">IFERROR(__xludf.DUMMYFUNCTION("""COMPUTED_VALUE"""),"LW2DPOS")</f>
        <v>LW2DPOS</v>
      </c>
      <c r="K902" s="45" t="str">
        <f ca="1">IFERROR(__xludf.DUMMYFUNCTION("""COMPUTED_VALUE"""),"LW2DPOS-041179")</f>
        <v>LW2DPOS-041179</v>
      </c>
      <c r="L902" s="45">
        <f ca="1">IFERROR(__xludf.DUMMYFUNCTION("""COMPUTED_VALUE"""),3)</f>
        <v>3</v>
      </c>
      <c r="M902" s="45">
        <f ca="1">IFERROR(__xludf.DUMMYFUNCTION("""COMPUTED_VALUE"""),100)</f>
        <v>100</v>
      </c>
      <c r="N902" s="45">
        <f ca="1">IFERROR(__xludf.DUMMYFUNCTION("""COMPUTED_VALUE"""),15.375)</f>
        <v>15.375</v>
      </c>
      <c r="O902" s="45">
        <f ca="1">IFERROR(__xludf.DUMMYFUNCTION("""COMPUTED_VALUE"""),0.168)</f>
        <v>0.16800000000000001</v>
      </c>
      <c r="P902" s="45" t="str">
        <f ca="1">IFERROR(__xludf.DUMMYFUNCTION("""COMPUTED_VALUE"""),"Colombo, LK")</f>
        <v>Colombo, LK</v>
      </c>
      <c r="Q902" s="45" t="str">
        <f ca="1">IFERROR(__xludf.DUMMYFUNCTION("""COMPUTED_VALUE"""),"New York, NY, US")</f>
        <v>New York, NY, US</v>
      </c>
      <c r="R902" s="44">
        <f ca="1">IFERROR(__xludf.DUMMYFUNCTION("""COMPUTED_VALUE"""),45838)</f>
        <v>45838</v>
      </c>
      <c r="S902" s="44">
        <f ca="1">IFERROR(__xludf.DUMMYFUNCTION("""COMPUTED_VALUE"""),45897)</f>
        <v>45897</v>
      </c>
      <c r="T902" s="45" t="str">
        <f ca="1">IFERROR(__xludf.DUMMYFUNCTION("""COMPUTED_VALUE"""),"Mississauga, ON, CA")</f>
        <v>Mississauga, ON, CA</v>
      </c>
      <c r="U902" s="45"/>
      <c r="V902" s="45"/>
      <c r="W902" s="45"/>
      <c r="X902" s="45"/>
      <c r="Y902" s="46">
        <f ca="1">IFERROR(__xludf.DUMMYFUNCTION("""COMPUTED_VALUE"""),45845)</f>
        <v>45845</v>
      </c>
      <c r="Z902" s="46">
        <f ca="1">IFERROR(__xludf.DUMMYFUNCTION("""COMPUTED_VALUE"""),45866)</f>
        <v>45866</v>
      </c>
      <c r="AA902" s="46">
        <f ca="1">IFERROR(__xludf.DUMMYFUNCTION("""COMPUTED_VALUE"""),45866)</f>
        <v>45866</v>
      </c>
      <c r="AB902" s="45" t="str">
        <f ca="1">IFERROR(__xludf.DUMMYFUNCTION("""COMPUTED_VALUE"""),"3500 Argentia Road")</f>
        <v>3500 Argentia Road</v>
      </c>
      <c r="AC902" s="45"/>
      <c r="AD902" s="45" t="str">
        <f ca="1">IFERROR(__xludf.DUMMYFUNCTION("""COMPUTED_VALUE"""),"OCEAN")</f>
        <v>OCEAN</v>
      </c>
      <c r="AE902" s="45" t="str">
        <f ca="1">IFERROR(__xludf.DUMMYFUNCTION("""COMPUTED_VALUE"""),"N")</f>
        <v>N</v>
      </c>
      <c r="AF902" s="45" t="str">
        <f ca="1">IFERROR(__xludf.DUMMYFUNCTION("""COMPUTED_VALUE"""),"New Booking")</f>
        <v>New Booking</v>
      </c>
      <c r="AG902" s="49" t="str">
        <f ca="1">IFERROR(__xludf.DUMMYFUNCTION("IFNA(vlookup(H902,IMPORTRANGE(""1vUGwO1n0QQGx9kKbO0_M5gmuhXZ6-LaxQxgrmJnzgP0"",""'TP# look up'!A:C""),3,0),"""")"),"")</f>
        <v/>
      </c>
      <c r="AH902" s="49" t="str">
        <f t="shared" ca="1" si="14"/>
        <v>LW</v>
      </c>
    </row>
    <row r="903" spans="1:34" ht="12.75">
      <c r="A903" s="45" t="str">
        <f ca="1">IFERROR(__xludf.DUMMYFUNCTION("""COMPUTED_VALUE"""),"Colombo")</f>
        <v>Colombo</v>
      </c>
      <c r="B903" s="45"/>
      <c r="C903" s="45">
        <f ca="1">IFERROR(__xludf.DUMMYFUNCTION("""COMPUTED_VALUE"""),3259528)</f>
        <v>3259528</v>
      </c>
      <c r="D903" s="45"/>
      <c r="E903" s="45" t="str">
        <f ca="1">IFERROR(__xludf.DUMMYFUNCTION("""COMPUTED_VALUE"""),"CFS")</f>
        <v>CFS</v>
      </c>
      <c r="F903" s="45" t="str">
        <f ca="1">IFERROR(__xludf.DUMMYFUNCTION("""COMPUTED_VALUE"""),"Bodyline Trading (Private) Limited")</f>
        <v>Bodyline Trading (Private) Limited</v>
      </c>
      <c r="G903" s="45" t="str">
        <f ca="1">IFERROR(__xludf.DUMMYFUNCTION("""COMPUTED_VALUE"""),"Bodyline (Private) Limited")</f>
        <v>Bodyline (Private) Limited</v>
      </c>
      <c r="H903" s="43">
        <f ca="1">IFERROR(__xludf.DUMMYFUNCTION("""COMPUTED_VALUE"""),456413641444)</f>
        <v>456413641444</v>
      </c>
      <c r="I903" s="45">
        <f ca="1">IFERROR(__xludf.DUMMYFUNCTION("""COMPUTED_VALUE"""),19878791)</f>
        <v>19878791</v>
      </c>
      <c r="J903" s="45" t="str">
        <f ca="1">IFERROR(__xludf.DUMMYFUNCTION("""COMPUTED_VALUE"""),"LW2DPOS")</f>
        <v>LW2DPOS</v>
      </c>
      <c r="K903" s="45" t="str">
        <f ca="1">IFERROR(__xludf.DUMMYFUNCTION("""COMPUTED_VALUE"""),"LW2DPOS-041179")</f>
        <v>LW2DPOS-041179</v>
      </c>
      <c r="L903" s="45">
        <f ca="1">IFERROR(__xludf.DUMMYFUNCTION("""COMPUTED_VALUE"""),8)</f>
        <v>8</v>
      </c>
      <c r="M903" s="45">
        <f ca="1">IFERROR(__xludf.DUMMYFUNCTION("""COMPUTED_VALUE"""),400)</f>
        <v>400</v>
      </c>
      <c r="N903" s="45">
        <f ca="1">IFERROR(__xludf.DUMMYFUNCTION("""COMPUTED_VALUE"""),58.663)</f>
        <v>58.662999999999997</v>
      </c>
      <c r="O903" s="45">
        <f ca="1">IFERROR(__xludf.DUMMYFUNCTION("""COMPUTED_VALUE"""),0.644)</f>
        <v>0.64400000000000002</v>
      </c>
      <c r="P903" s="45" t="str">
        <f ca="1">IFERROR(__xludf.DUMMYFUNCTION("""COMPUTED_VALUE"""),"Colombo, LK")</f>
        <v>Colombo, LK</v>
      </c>
      <c r="Q903" s="45" t="str">
        <f ca="1">IFERROR(__xludf.DUMMYFUNCTION("""COMPUTED_VALUE"""),"New York, NY, US")</f>
        <v>New York, NY, US</v>
      </c>
      <c r="R903" s="44">
        <f ca="1">IFERROR(__xludf.DUMMYFUNCTION("""COMPUTED_VALUE"""),45838)</f>
        <v>45838</v>
      </c>
      <c r="S903" s="44">
        <f ca="1">IFERROR(__xludf.DUMMYFUNCTION("""COMPUTED_VALUE"""),45897)</f>
        <v>45897</v>
      </c>
      <c r="T903" s="45" t="str">
        <f ca="1">IFERROR(__xludf.DUMMYFUNCTION("""COMPUTED_VALUE"""),"Mississauga, ON, CA")</f>
        <v>Mississauga, ON, CA</v>
      </c>
      <c r="U903" s="45"/>
      <c r="V903" s="45"/>
      <c r="W903" s="45"/>
      <c r="X903" s="45"/>
      <c r="Y903" s="46">
        <f ca="1">IFERROR(__xludf.DUMMYFUNCTION("""COMPUTED_VALUE"""),45845)</f>
        <v>45845</v>
      </c>
      <c r="Z903" s="46">
        <f ca="1">IFERROR(__xludf.DUMMYFUNCTION("""COMPUTED_VALUE"""),45866)</f>
        <v>45866</v>
      </c>
      <c r="AA903" s="46">
        <f ca="1">IFERROR(__xludf.DUMMYFUNCTION("""COMPUTED_VALUE"""),45866)</f>
        <v>45866</v>
      </c>
      <c r="AB903" s="45" t="str">
        <f ca="1">IFERROR(__xludf.DUMMYFUNCTION("""COMPUTED_VALUE"""),"3500 Argentia Road")</f>
        <v>3500 Argentia Road</v>
      </c>
      <c r="AC903" s="45"/>
      <c r="AD903" s="45" t="str">
        <f ca="1">IFERROR(__xludf.DUMMYFUNCTION("""COMPUTED_VALUE"""),"OCEAN")</f>
        <v>OCEAN</v>
      </c>
      <c r="AE903" s="45" t="str">
        <f ca="1">IFERROR(__xludf.DUMMYFUNCTION("""COMPUTED_VALUE"""),"N")</f>
        <v>N</v>
      </c>
      <c r="AF903" s="45" t="str">
        <f ca="1">IFERROR(__xludf.DUMMYFUNCTION("""COMPUTED_VALUE"""),"New Booking")</f>
        <v>New Booking</v>
      </c>
      <c r="AG903" s="49" t="str">
        <f ca="1">IFERROR(__xludf.DUMMYFUNCTION("IFNA(vlookup(H903,IMPORTRANGE(""1vUGwO1n0QQGx9kKbO0_M5gmuhXZ6-LaxQxgrmJnzgP0"",""'TP# look up'!A:C""),3,0),"""")"),"")</f>
        <v/>
      </c>
      <c r="AH903" s="49" t="str">
        <f t="shared" ca="1" si="14"/>
        <v>LW</v>
      </c>
    </row>
    <row r="904" spans="1:34" ht="12.75">
      <c r="A904" s="45" t="str">
        <f ca="1">IFERROR(__xludf.DUMMYFUNCTION("""COMPUTED_VALUE"""),"Colombo")</f>
        <v>Colombo</v>
      </c>
      <c r="B904" s="45"/>
      <c r="C904" s="45">
        <f ca="1">IFERROR(__xludf.DUMMYFUNCTION("""COMPUTED_VALUE"""),3259528)</f>
        <v>3259528</v>
      </c>
      <c r="D904" s="45"/>
      <c r="E904" s="45" t="str">
        <f ca="1">IFERROR(__xludf.DUMMYFUNCTION("""COMPUTED_VALUE"""),"CFS")</f>
        <v>CFS</v>
      </c>
      <c r="F904" s="45" t="str">
        <f ca="1">IFERROR(__xludf.DUMMYFUNCTION("""COMPUTED_VALUE"""),"Bodyline Trading (Private) Limited")</f>
        <v>Bodyline Trading (Private) Limited</v>
      </c>
      <c r="G904" s="45" t="str">
        <f ca="1">IFERROR(__xludf.DUMMYFUNCTION("""COMPUTED_VALUE"""),"Bodyline (Private) Limited")</f>
        <v>Bodyline (Private) Limited</v>
      </c>
      <c r="H904" s="43">
        <f ca="1">IFERROR(__xludf.DUMMYFUNCTION("""COMPUTED_VALUE"""),456414043614)</f>
        <v>456414043614</v>
      </c>
      <c r="I904" s="45">
        <f ca="1">IFERROR(__xludf.DUMMYFUNCTION("""COMPUTED_VALUE"""),19878795)</f>
        <v>19878795</v>
      </c>
      <c r="J904" s="45" t="str">
        <f ca="1">IFERROR(__xludf.DUMMYFUNCTION("""COMPUTED_VALUE"""),"LW2DPOS")</f>
        <v>LW2DPOS</v>
      </c>
      <c r="K904" s="45" t="str">
        <f ca="1">IFERROR(__xludf.DUMMYFUNCTION("""COMPUTED_VALUE"""),"LW2DPOS-041179")</f>
        <v>LW2DPOS-041179</v>
      </c>
      <c r="L904" s="45">
        <f ca="1">IFERROR(__xludf.DUMMYFUNCTION("""COMPUTED_VALUE"""),5)</f>
        <v>5</v>
      </c>
      <c r="M904" s="45">
        <f ca="1">IFERROR(__xludf.DUMMYFUNCTION("""COMPUTED_VALUE"""),195)</f>
        <v>195</v>
      </c>
      <c r="N904" s="45">
        <f ca="1">IFERROR(__xludf.DUMMYFUNCTION("""COMPUTED_VALUE"""),29.597)</f>
        <v>29.597000000000001</v>
      </c>
      <c r="O904" s="45">
        <f ca="1">IFERROR(__xludf.DUMMYFUNCTION("""COMPUTED_VALUE"""),0.366)</f>
        <v>0.36599999999999999</v>
      </c>
      <c r="P904" s="45" t="str">
        <f ca="1">IFERROR(__xludf.DUMMYFUNCTION("""COMPUTED_VALUE"""),"Colombo, LK")</f>
        <v>Colombo, LK</v>
      </c>
      <c r="Q904" s="45" t="str">
        <f ca="1">IFERROR(__xludf.DUMMYFUNCTION("""COMPUTED_VALUE"""),"New York, NY, US")</f>
        <v>New York, NY, US</v>
      </c>
      <c r="R904" s="44">
        <f ca="1">IFERROR(__xludf.DUMMYFUNCTION("""COMPUTED_VALUE"""),45838)</f>
        <v>45838</v>
      </c>
      <c r="S904" s="44">
        <f ca="1">IFERROR(__xludf.DUMMYFUNCTION("""COMPUTED_VALUE"""),45897)</f>
        <v>45897</v>
      </c>
      <c r="T904" s="45" t="str">
        <f ca="1">IFERROR(__xludf.DUMMYFUNCTION("""COMPUTED_VALUE"""),"Mississauga, ON, CA")</f>
        <v>Mississauga, ON, CA</v>
      </c>
      <c r="U904" s="45"/>
      <c r="V904" s="45"/>
      <c r="W904" s="45"/>
      <c r="X904" s="45"/>
      <c r="Y904" s="46">
        <f ca="1">IFERROR(__xludf.DUMMYFUNCTION("""COMPUTED_VALUE"""),45845)</f>
        <v>45845</v>
      </c>
      <c r="Z904" s="46">
        <f ca="1">IFERROR(__xludf.DUMMYFUNCTION("""COMPUTED_VALUE"""),45866)</f>
        <v>45866</v>
      </c>
      <c r="AA904" s="46">
        <f ca="1">IFERROR(__xludf.DUMMYFUNCTION("""COMPUTED_VALUE"""),45866)</f>
        <v>45866</v>
      </c>
      <c r="AB904" s="45" t="str">
        <f ca="1">IFERROR(__xludf.DUMMYFUNCTION("""COMPUTED_VALUE"""),"3500 Argentia Road")</f>
        <v>3500 Argentia Road</v>
      </c>
      <c r="AC904" s="45"/>
      <c r="AD904" s="45" t="str">
        <f ca="1">IFERROR(__xludf.DUMMYFUNCTION("""COMPUTED_VALUE"""),"OCEAN")</f>
        <v>OCEAN</v>
      </c>
      <c r="AE904" s="45" t="str">
        <f ca="1">IFERROR(__xludf.DUMMYFUNCTION("""COMPUTED_VALUE"""),"N")</f>
        <v>N</v>
      </c>
      <c r="AF904" s="45" t="str">
        <f ca="1">IFERROR(__xludf.DUMMYFUNCTION("""COMPUTED_VALUE"""),"New Booking")</f>
        <v>New Booking</v>
      </c>
      <c r="AG904" s="49" t="str">
        <f ca="1">IFERROR(__xludf.DUMMYFUNCTION("IFNA(vlookup(H904,IMPORTRANGE(""1vUGwO1n0QQGx9kKbO0_M5gmuhXZ6-LaxQxgrmJnzgP0"",""'TP# look up'!A:C""),3,0),"""")"),"")</f>
        <v/>
      </c>
      <c r="AH904" s="49" t="str">
        <f t="shared" ca="1" si="14"/>
        <v>LW</v>
      </c>
    </row>
    <row r="905" spans="1:34" ht="12.75">
      <c r="A905" s="45" t="str">
        <f ca="1">IFERROR(__xludf.DUMMYFUNCTION("""COMPUTED_VALUE"""),"Colombo")</f>
        <v>Colombo</v>
      </c>
      <c r="B905" s="45"/>
      <c r="C905" s="45">
        <f ca="1">IFERROR(__xludf.DUMMYFUNCTION("""COMPUTED_VALUE"""),3259528)</f>
        <v>3259528</v>
      </c>
      <c r="D905" s="45"/>
      <c r="E905" s="45" t="str">
        <f ca="1">IFERROR(__xludf.DUMMYFUNCTION("""COMPUTED_VALUE"""),"CFS")</f>
        <v>CFS</v>
      </c>
      <c r="F905" s="45" t="str">
        <f ca="1">IFERROR(__xludf.DUMMYFUNCTION("""COMPUTED_VALUE"""),"Bodyline Trading (Private) Limited")</f>
        <v>Bodyline Trading (Private) Limited</v>
      </c>
      <c r="G905" s="45" t="str">
        <f ca="1">IFERROR(__xludf.DUMMYFUNCTION("""COMPUTED_VALUE"""),"Bodyline (Private) Limited")</f>
        <v>Bodyline (Private) Limited</v>
      </c>
      <c r="H905" s="43">
        <f ca="1">IFERROR(__xludf.DUMMYFUNCTION("""COMPUTED_VALUE"""),456415375909)</f>
        <v>456415375909</v>
      </c>
      <c r="I905" s="45">
        <f ca="1">IFERROR(__xludf.DUMMYFUNCTION("""COMPUTED_VALUE"""),19878747)</f>
        <v>19878747</v>
      </c>
      <c r="J905" s="45" t="str">
        <f ca="1">IFERROR(__xludf.DUMMYFUNCTION("""COMPUTED_VALUE"""),"LW2DPNS")</f>
        <v>LW2DPNS</v>
      </c>
      <c r="K905" s="45" t="str">
        <f ca="1">IFERROR(__xludf.DUMMYFUNCTION("""COMPUTED_VALUE"""),"LW2DPNS-071150")</f>
        <v>LW2DPNS-071150</v>
      </c>
      <c r="L905" s="45">
        <f ca="1">IFERROR(__xludf.DUMMYFUNCTION("""COMPUTED_VALUE"""),8)</f>
        <v>8</v>
      </c>
      <c r="M905" s="45">
        <f ca="1">IFERROR(__xludf.DUMMYFUNCTION("""COMPUTED_VALUE"""),621)</f>
        <v>621</v>
      </c>
      <c r="N905" s="45">
        <f ca="1">IFERROR(__xludf.DUMMYFUNCTION("""COMPUTED_VALUE"""),72.526)</f>
        <v>72.525999999999996</v>
      </c>
      <c r="O905" s="45">
        <f ca="1">IFERROR(__xludf.DUMMYFUNCTION("""COMPUTED_VALUE"""),0.644)</f>
        <v>0.64400000000000002</v>
      </c>
      <c r="P905" s="45" t="str">
        <f ca="1">IFERROR(__xludf.DUMMYFUNCTION("""COMPUTED_VALUE"""),"Colombo, LK")</f>
        <v>Colombo, LK</v>
      </c>
      <c r="Q905" s="45" t="str">
        <f ca="1">IFERROR(__xludf.DUMMYFUNCTION("""COMPUTED_VALUE"""),"New York, NY, US")</f>
        <v>New York, NY, US</v>
      </c>
      <c r="R905" s="44">
        <f ca="1">IFERROR(__xludf.DUMMYFUNCTION("""COMPUTED_VALUE"""),45838)</f>
        <v>45838</v>
      </c>
      <c r="S905" s="44">
        <f ca="1">IFERROR(__xludf.DUMMYFUNCTION("""COMPUTED_VALUE"""),45897)</f>
        <v>45897</v>
      </c>
      <c r="T905" s="45" t="str">
        <f ca="1">IFERROR(__xludf.DUMMYFUNCTION("""COMPUTED_VALUE"""),"Mississauga, ON, CA")</f>
        <v>Mississauga, ON, CA</v>
      </c>
      <c r="U905" s="45"/>
      <c r="V905" s="45"/>
      <c r="W905" s="45"/>
      <c r="X905" s="45"/>
      <c r="Y905" s="46">
        <f ca="1">IFERROR(__xludf.DUMMYFUNCTION("""COMPUTED_VALUE"""),45845)</f>
        <v>45845</v>
      </c>
      <c r="Z905" s="46">
        <f ca="1">IFERROR(__xludf.DUMMYFUNCTION("""COMPUTED_VALUE"""),45866)</f>
        <v>45866</v>
      </c>
      <c r="AA905" s="46">
        <f ca="1">IFERROR(__xludf.DUMMYFUNCTION("""COMPUTED_VALUE"""),45866)</f>
        <v>45866</v>
      </c>
      <c r="AB905" s="45" t="str">
        <f ca="1">IFERROR(__xludf.DUMMYFUNCTION("""COMPUTED_VALUE"""),"3500 Argentia Road")</f>
        <v>3500 Argentia Road</v>
      </c>
      <c r="AC905" s="45"/>
      <c r="AD905" s="45" t="str">
        <f ca="1">IFERROR(__xludf.DUMMYFUNCTION("""COMPUTED_VALUE"""),"OCEAN")</f>
        <v>OCEAN</v>
      </c>
      <c r="AE905" s="45" t="str">
        <f ca="1">IFERROR(__xludf.DUMMYFUNCTION("""COMPUTED_VALUE"""),"N")</f>
        <v>N</v>
      </c>
      <c r="AF905" s="45" t="str">
        <f ca="1">IFERROR(__xludf.DUMMYFUNCTION("""COMPUTED_VALUE"""),"New Booking")</f>
        <v>New Booking</v>
      </c>
      <c r="AG905" s="49" t="str">
        <f ca="1">IFERROR(__xludf.DUMMYFUNCTION("IFNA(vlookup(H905,IMPORTRANGE(""1vUGwO1n0QQGx9kKbO0_M5gmuhXZ6-LaxQxgrmJnzgP0"",""'TP# look up'!A:C""),3,0),"""")"),"")</f>
        <v/>
      </c>
      <c r="AH905" s="49" t="str">
        <f t="shared" ca="1" si="14"/>
        <v>LW</v>
      </c>
    </row>
    <row r="906" spans="1:34" ht="12.75">
      <c r="A906" s="45" t="str">
        <f ca="1">IFERROR(__xludf.DUMMYFUNCTION("""COMPUTED_VALUE"""),"Colombo")</f>
        <v>Colombo</v>
      </c>
      <c r="B906" s="45"/>
      <c r="C906" s="45">
        <f ca="1">IFERROR(__xludf.DUMMYFUNCTION("""COMPUTED_VALUE"""),3259528)</f>
        <v>3259528</v>
      </c>
      <c r="D906" s="45"/>
      <c r="E906" s="45" t="str">
        <f ca="1">IFERROR(__xludf.DUMMYFUNCTION("""COMPUTED_VALUE"""),"CFS")</f>
        <v>CFS</v>
      </c>
      <c r="F906" s="45" t="str">
        <f ca="1">IFERROR(__xludf.DUMMYFUNCTION("""COMPUTED_VALUE"""),"Bodyline Trading (Private) Limited")</f>
        <v>Bodyline Trading (Private) Limited</v>
      </c>
      <c r="G906" s="45" t="str">
        <f ca="1">IFERROR(__xludf.DUMMYFUNCTION("""COMPUTED_VALUE"""),"Bodyline (Private) Limited")</f>
        <v>Bodyline (Private) Limited</v>
      </c>
      <c r="H906" s="43">
        <f ca="1">IFERROR(__xludf.DUMMYFUNCTION("""COMPUTED_VALUE"""),456415462375)</f>
        <v>456415462375</v>
      </c>
      <c r="I906" s="45">
        <f ca="1">IFERROR(__xludf.DUMMYFUNCTION("""COMPUTED_VALUE"""),19878519)</f>
        <v>19878519</v>
      </c>
      <c r="J906" s="45" t="str">
        <f ca="1">IFERROR(__xludf.DUMMYFUNCTION("""COMPUTED_VALUE"""),"LW2DPNS")</f>
        <v>LW2DPNS</v>
      </c>
      <c r="K906" s="45" t="str">
        <f ca="1">IFERROR(__xludf.DUMMYFUNCTION("""COMPUTED_VALUE"""),"LW2DPNS-071150")</f>
        <v>LW2DPNS-071150</v>
      </c>
      <c r="L906" s="45">
        <f ca="1">IFERROR(__xludf.DUMMYFUNCTION("""COMPUTED_VALUE"""),5)</f>
        <v>5</v>
      </c>
      <c r="M906" s="45">
        <f ca="1">IFERROR(__xludf.DUMMYFUNCTION("""COMPUTED_VALUE"""),329)</f>
        <v>329</v>
      </c>
      <c r="N906" s="45">
        <f ca="1">IFERROR(__xludf.DUMMYFUNCTION("""COMPUTED_VALUE"""),39.101)</f>
        <v>39.100999999999999</v>
      </c>
      <c r="O906" s="45">
        <f ca="1">IFERROR(__xludf.DUMMYFUNCTION("""COMPUTED_VALUE"""),0.366)</f>
        <v>0.36599999999999999</v>
      </c>
      <c r="P906" s="45" t="str">
        <f ca="1">IFERROR(__xludf.DUMMYFUNCTION("""COMPUTED_VALUE"""),"Colombo, LK")</f>
        <v>Colombo, LK</v>
      </c>
      <c r="Q906" s="45" t="str">
        <f ca="1">IFERROR(__xludf.DUMMYFUNCTION("""COMPUTED_VALUE"""),"New York, NY, US")</f>
        <v>New York, NY, US</v>
      </c>
      <c r="R906" s="44">
        <f ca="1">IFERROR(__xludf.DUMMYFUNCTION("""COMPUTED_VALUE"""),45838)</f>
        <v>45838</v>
      </c>
      <c r="S906" s="44">
        <f ca="1">IFERROR(__xludf.DUMMYFUNCTION("""COMPUTED_VALUE"""),45897)</f>
        <v>45897</v>
      </c>
      <c r="T906" s="45" t="str">
        <f ca="1">IFERROR(__xludf.DUMMYFUNCTION("""COMPUTED_VALUE"""),"Mississauga, ON, CA")</f>
        <v>Mississauga, ON, CA</v>
      </c>
      <c r="U906" s="45"/>
      <c r="V906" s="45"/>
      <c r="W906" s="45"/>
      <c r="X906" s="45"/>
      <c r="Y906" s="46">
        <f ca="1">IFERROR(__xludf.DUMMYFUNCTION("""COMPUTED_VALUE"""),45845)</f>
        <v>45845</v>
      </c>
      <c r="Z906" s="46">
        <f ca="1">IFERROR(__xludf.DUMMYFUNCTION("""COMPUTED_VALUE"""),45866)</f>
        <v>45866</v>
      </c>
      <c r="AA906" s="46">
        <f ca="1">IFERROR(__xludf.DUMMYFUNCTION("""COMPUTED_VALUE"""),45866)</f>
        <v>45866</v>
      </c>
      <c r="AB906" s="45" t="str">
        <f ca="1">IFERROR(__xludf.DUMMYFUNCTION("""COMPUTED_VALUE"""),"3500 Argentia Road")</f>
        <v>3500 Argentia Road</v>
      </c>
      <c r="AC906" s="45"/>
      <c r="AD906" s="45" t="str">
        <f ca="1">IFERROR(__xludf.DUMMYFUNCTION("""COMPUTED_VALUE"""),"OCEAN")</f>
        <v>OCEAN</v>
      </c>
      <c r="AE906" s="45" t="str">
        <f ca="1">IFERROR(__xludf.DUMMYFUNCTION("""COMPUTED_VALUE"""),"N")</f>
        <v>N</v>
      </c>
      <c r="AF906" s="45" t="str">
        <f ca="1">IFERROR(__xludf.DUMMYFUNCTION("""COMPUTED_VALUE"""),"New Booking")</f>
        <v>New Booking</v>
      </c>
      <c r="AG906" s="49" t="str">
        <f ca="1">IFERROR(__xludf.DUMMYFUNCTION("IFNA(vlookup(H906,IMPORTRANGE(""1vUGwO1n0QQGx9kKbO0_M5gmuhXZ6-LaxQxgrmJnzgP0"",""'TP# look up'!A:C""),3,0),"""")"),"")</f>
        <v/>
      </c>
      <c r="AH906" s="49" t="str">
        <f t="shared" ca="1" si="14"/>
        <v>LW</v>
      </c>
    </row>
    <row r="907" spans="1:34" ht="12.75">
      <c r="A907" s="45" t="str">
        <f ca="1">IFERROR(__xludf.DUMMYFUNCTION("""COMPUTED_VALUE"""),"Colombo")</f>
        <v>Colombo</v>
      </c>
      <c r="B907" s="45"/>
      <c r="C907" s="45">
        <f ca="1">IFERROR(__xludf.DUMMYFUNCTION("""COMPUTED_VALUE"""),3259528)</f>
        <v>3259528</v>
      </c>
      <c r="D907" s="45"/>
      <c r="E907" s="45" t="str">
        <f ca="1">IFERROR(__xludf.DUMMYFUNCTION("""COMPUTED_VALUE"""),"CFS")</f>
        <v>CFS</v>
      </c>
      <c r="F907" s="45" t="str">
        <f ca="1">IFERROR(__xludf.DUMMYFUNCTION("""COMPUTED_VALUE"""),"Bodyline Trading (Private) Limited")</f>
        <v>Bodyline Trading (Private) Limited</v>
      </c>
      <c r="G907" s="45" t="str">
        <f ca="1">IFERROR(__xludf.DUMMYFUNCTION("""COMPUTED_VALUE"""),"Bodyline (Private) Limited")</f>
        <v>Bodyline (Private) Limited</v>
      </c>
      <c r="H907" s="43">
        <f ca="1">IFERROR(__xludf.DUMMYFUNCTION("""COMPUTED_VALUE"""),456420647483)</f>
        <v>456420647483</v>
      </c>
      <c r="I907" s="45">
        <f ca="1">IFERROR(__xludf.DUMMYFUNCTION("""COMPUTED_VALUE"""),19878675)</f>
        <v>19878675</v>
      </c>
      <c r="J907" s="45" t="str">
        <f ca="1">IFERROR(__xludf.DUMMYFUNCTION("""COMPUTED_VALUE"""),"LW2DZVS")</f>
        <v>LW2DZVS</v>
      </c>
      <c r="K907" s="45" t="str">
        <f ca="1">IFERROR(__xludf.DUMMYFUNCTION("""COMPUTED_VALUE"""),"LW2DZVS-041179")</f>
        <v>LW2DZVS-041179</v>
      </c>
      <c r="L907" s="45">
        <f ca="1">IFERROR(__xludf.DUMMYFUNCTION("""COMPUTED_VALUE"""),3)</f>
        <v>3</v>
      </c>
      <c r="M907" s="45">
        <f ca="1">IFERROR(__xludf.DUMMYFUNCTION("""COMPUTED_VALUE"""),138)</f>
        <v>138</v>
      </c>
      <c r="N907" s="45">
        <f ca="1">IFERROR(__xludf.DUMMYFUNCTION("""COMPUTED_VALUE"""),25.327)</f>
        <v>25.327000000000002</v>
      </c>
      <c r="O907" s="45">
        <f ca="1">IFERROR(__xludf.DUMMYFUNCTION("""COMPUTED_VALUE"""),0.242)</f>
        <v>0.24199999999999999</v>
      </c>
      <c r="P907" s="45" t="str">
        <f ca="1">IFERROR(__xludf.DUMMYFUNCTION("""COMPUTED_VALUE"""),"Colombo, LK")</f>
        <v>Colombo, LK</v>
      </c>
      <c r="Q907" s="45" t="str">
        <f ca="1">IFERROR(__xludf.DUMMYFUNCTION("""COMPUTED_VALUE"""),"New York, NY, US")</f>
        <v>New York, NY, US</v>
      </c>
      <c r="R907" s="44">
        <f ca="1">IFERROR(__xludf.DUMMYFUNCTION("""COMPUTED_VALUE"""),45838)</f>
        <v>45838</v>
      </c>
      <c r="S907" s="44">
        <f ca="1">IFERROR(__xludf.DUMMYFUNCTION("""COMPUTED_VALUE"""),45897)</f>
        <v>45897</v>
      </c>
      <c r="T907" s="45" t="str">
        <f ca="1">IFERROR(__xludf.DUMMYFUNCTION("""COMPUTED_VALUE"""),"Mississauga, ON, CA")</f>
        <v>Mississauga, ON, CA</v>
      </c>
      <c r="U907" s="45"/>
      <c r="V907" s="45"/>
      <c r="W907" s="45"/>
      <c r="X907" s="45"/>
      <c r="Y907" s="46">
        <f ca="1">IFERROR(__xludf.DUMMYFUNCTION("""COMPUTED_VALUE"""),45845)</f>
        <v>45845</v>
      </c>
      <c r="Z907" s="46">
        <f ca="1">IFERROR(__xludf.DUMMYFUNCTION("""COMPUTED_VALUE"""),45866)</f>
        <v>45866</v>
      </c>
      <c r="AA907" s="46">
        <f ca="1">IFERROR(__xludf.DUMMYFUNCTION("""COMPUTED_VALUE"""),45866)</f>
        <v>45866</v>
      </c>
      <c r="AB907" s="45" t="str">
        <f ca="1">IFERROR(__xludf.DUMMYFUNCTION("""COMPUTED_VALUE"""),"3500 Argentia Road")</f>
        <v>3500 Argentia Road</v>
      </c>
      <c r="AC907" s="45"/>
      <c r="AD907" s="45" t="str">
        <f ca="1">IFERROR(__xludf.DUMMYFUNCTION("""COMPUTED_VALUE"""),"OCEAN")</f>
        <v>OCEAN</v>
      </c>
      <c r="AE907" s="45" t="str">
        <f ca="1">IFERROR(__xludf.DUMMYFUNCTION("""COMPUTED_VALUE"""),"N")</f>
        <v>N</v>
      </c>
      <c r="AF907" s="45" t="str">
        <f ca="1">IFERROR(__xludf.DUMMYFUNCTION("""COMPUTED_VALUE"""),"New Booking")</f>
        <v>New Booking</v>
      </c>
      <c r="AG907" s="49" t="str">
        <f ca="1">IFERROR(__xludf.DUMMYFUNCTION("IFNA(vlookup(H907,IMPORTRANGE(""1vUGwO1n0QQGx9kKbO0_M5gmuhXZ6-LaxQxgrmJnzgP0"",""'TP# look up'!A:C""),3,0),"""")"),"")</f>
        <v/>
      </c>
      <c r="AH907" s="49" t="str">
        <f t="shared" ca="1" si="14"/>
        <v>LW</v>
      </c>
    </row>
    <row r="908" spans="1:34" ht="12.75">
      <c r="A908" s="45" t="str">
        <f ca="1">IFERROR(__xludf.DUMMYFUNCTION("""COMPUTED_VALUE"""),"Colombo")</f>
        <v>Colombo</v>
      </c>
      <c r="B908" s="45"/>
      <c r="C908" s="45">
        <f ca="1">IFERROR(__xludf.DUMMYFUNCTION("""COMPUTED_VALUE"""),3259528)</f>
        <v>3259528</v>
      </c>
      <c r="D908" s="45"/>
      <c r="E908" s="45" t="str">
        <f ca="1">IFERROR(__xludf.DUMMYFUNCTION("""COMPUTED_VALUE"""),"CFS")</f>
        <v>CFS</v>
      </c>
      <c r="F908" s="45" t="str">
        <f ca="1">IFERROR(__xludf.DUMMYFUNCTION("""COMPUTED_VALUE"""),"Bodyline Trading (Private) Limited")</f>
        <v>Bodyline Trading (Private) Limited</v>
      </c>
      <c r="G908" s="45" t="str">
        <f ca="1">IFERROR(__xludf.DUMMYFUNCTION("""COMPUTED_VALUE"""),"Bodyline (Private) Limited")</f>
        <v>Bodyline (Private) Limited</v>
      </c>
      <c r="H908" s="43">
        <f ca="1">IFERROR(__xludf.DUMMYFUNCTION("""COMPUTED_VALUE"""),456420793213)</f>
        <v>456420793213</v>
      </c>
      <c r="I908" s="45">
        <f ca="1">IFERROR(__xludf.DUMMYFUNCTION("""COMPUTED_VALUE"""),19878676)</f>
        <v>19878676</v>
      </c>
      <c r="J908" s="45" t="str">
        <f ca="1">IFERROR(__xludf.DUMMYFUNCTION("""COMPUTED_VALUE"""),"LW2DZVS")</f>
        <v>LW2DZVS</v>
      </c>
      <c r="K908" s="45" t="str">
        <f ca="1">IFERROR(__xludf.DUMMYFUNCTION("""COMPUTED_VALUE"""),"LW2DZVS-041179")</f>
        <v>LW2DZVS-041179</v>
      </c>
      <c r="L908" s="45">
        <f ca="1">IFERROR(__xludf.DUMMYFUNCTION("""COMPUTED_VALUE"""),2)</f>
        <v>2</v>
      </c>
      <c r="M908" s="45">
        <f ca="1">IFERROR(__xludf.DUMMYFUNCTION("""COMPUTED_VALUE"""),65)</f>
        <v>65</v>
      </c>
      <c r="N908" s="45">
        <f ca="1">IFERROR(__xludf.DUMMYFUNCTION("""COMPUTED_VALUE"""),12.398)</f>
        <v>12.398</v>
      </c>
      <c r="O908" s="45">
        <f ca="1">IFERROR(__xludf.DUMMYFUNCTION("""COMPUTED_VALUE"""),0.124)</f>
        <v>0.124</v>
      </c>
      <c r="P908" s="45" t="str">
        <f ca="1">IFERROR(__xludf.DUMMYFUNCTION("""COMPUTED_VALUE"""),"Colombo, LK")</f>
        <v>Colombo, LK</v>
      </c>
      <c r="Q908" s="45" t="str">
        <f ca="1">IFERROR(__xludf.DUMMYFUNCTION("""COMPUTED_VALUE"""),"New York, NY, US")</f>
        <v>New York, NY, US</v>
      </c>
      <c r="R908" s="44">
        <f ca="1">IFERROR(__xludf.DUMMYFUNCTION("""COMPUTED_VALUE"""),45838)</f>
        <v>45838</v>
      </c>
      <c r="S908" s="44">
        <f ca="1">IFERROR(__xludf.DUMMYFUNCTION("""COMPUTED_VALUE"""),45897)</f>
        <v>45897</v>
      </c>
      <c r="T908" s="45" t="str">
        <f ca="1">IFERROR(__xludf.DUMMYFUNCTION("""COMPUTED_VALUE"""),"Mississauga, ON, CA")</f>
        <v>Mississauga, ON, CA</v>
      </c>
      <c r="U908" s="45"/>
      <c r="V908" s="45"/>
      <c r="W908" s="45"/>
      <c r="X908" s="45"/>
      <c r="Y908" s="46">
        <f ca="1">IFERROR(__xludf.DUMMYFUNCTION("""COMPUTED_VALUE"""),45845)</f>
        <v>45845</v>
      </c>
      <c r="Z908" s="46">
        <f ca="1">IFERROR(__xludf.DUMMYFUNCTION("""COMPUTED_VALUE"""),45866)</f>
        <v>45866</v>
      </c>
      <c r="AA908" s="46">
        <f ca="1">IFERROR(__xludf.DUMMYFUNCTION("""COMPUTED_VALUE"""),45866)</f>
        <v>45866</v>
      </c>
      <c r="AB908" s="45" t="str">
        <f ca="1">IFERROR(__xludf.DUMMYFUNCTION("""COMPUTED_VALUE"""),"3500 Argentia Road")</f>
        <v>3500 Argentia Road</v>
      </c>
      <c r="AC908" s="45"/>
      <c r="AD908" s="45" t="str">
        <f ca="1">IFERROR(__xludf.DUMMYFUNCTION("""COMPUTED_VALUE"""),"OCEAN")</f>
        <v>OCEAN</v>
      </c>
      <c r="AE908" s="45" t="str">
        <f ca="1">IFERROR(__xludf.DUMMYFUNCTION("""COMPUTED_VALUE"""),"N")</f>
        <v>N</v>
      </c>
      <c r="AF908" s="45" t="str">
        <f ca="1">IFERROR(__xludf.DUMMYFUNCTION("""COMPUTED_VALUE"""),"New Booking")</f>
        <v>New Booking</v>
      </c>
      <c r="AG908" s="49" t="str">
        <f ca="1">IFERROR(__xludf.DUMMYFUNCTION("IFNA(vlookup(H908,IMPORTRANGE(""1vUGwO1n0QQGx9kKbO0_M5gmuhXZ6-LaxQxgrmJnzgP0"",""'TP# look up'!A:C""),3,0),"""")"),"")</f>
        <v/>
      </c>
      <c r="AH908" s="49" t="str">
        <f t="shared" ca="1" si="14"/>
        <v>LW</v>
      </c>
    </row>
    <row r="909" spans="1:34" ht="12.75">
      <c r="A909" s="45" t="str">
        <f ca="1">IFERROR(__xludf.DUMMYFUNCTION("""COMPUTED_VALUE"""),"Colombo")</f>
        <v>Colombo</v>
      </c>
      <c r="B909" s="45"/>
      <c r="C909" s="45">
        <f ca="1">IFERROR(__xludf.DUMMYFUNCTION("""COMPUTED_VALUE"""),3259528)</f>
        <v>3259528</v>
      </c>
      <c r="D909" s="45"/>
      <c r="E909" s="45" t="str">
        <f ca="1">IFERROR(__xludf.DUMMYFUNCTION("""COMPUTED_VALUE"""),"CFS")</f>
        <v>CFS</v>
      </c>
      <c r="F909" s="45" t="str">
        <f ca="1">IFERROR(__xludf.DUMMYFUNCTION("""COMPUTED_VALUE"""),"Bodyline Trading (Private) Limited")</f>
        <v>Bodyline Trading (Private) Limited</v>
      </c>
      <c r="G909" s="45" t="str">
        <f ca="1">IFERROR(__xludf.DUMMYFUNCTION("""COMPUTED_VALUE"""),"Bodyline (Private) Limited")</f>
        <v>Bodyline (Private) Limited</v>
      </c>
      <c r="H909" s="43">
        <f ca="1">IFERROR(__xludf.DUMMYFUNCTION("""COMPUTED_VALUE"""),456421346935)</f>
        <v>456421346935</v>
      </c>
      <c r="I909" s="45">
        <f ca="1">IFERROR(__xludf.DUMMYFUNCTION("""COMPUTED_VALUE"""),19878891)</f>
        <v>19878891</v>
      </c>
      <c r="J909" s="45" t="str">
        <f ca="1">IFERROR(__xludf.DUMMYFUNCTION("""COMPUTED_VALUE"""),"LW2DZVS")</f>
        <v>LW2DZVS</v>
      </c>
      <c r="K909" s="45" t="str">
        <f ca="1">IFERROR(__xludf.DUMMYFUNCTION("""COMPUTED_VALUE"""),"LW2DZVS-041179")</f>
        <v>LW2DZVS-041179</v>
      </c>
      <c r="L909" s="45">
        <f ca="1">IFERROR(__xludf.DUMMYFUNCTION("""COMPUTED_VALUE"""),6)</f>
        <v>6</v>
      </c>
      <c r="M909" s="45">
        <f ca="1">IFERROR(__xludf.DUMMYFUNCTION("""COMPUTED_VALUE"""),260)</f>
        <v>260</v>
      </c>
      <c r="N909" s="45">
        <f ca="1">IFERROR(__xludf.DUMMYFUNCTION("""COMPUTED_VALUE"""),47.667)</f>
        <v>47.667000000000002</v>
      </c>
      <c r="O909" s="45">
        <f ca="1">IFERROR(__xludf.DUMMYFUNCTION("""COMPUTED_VALUE"""),0.41)</f>
        <v>0.41</v>
      </c>
      <c r="P909" s="45" t="str">
        <f ca="1">IFERROR(__xludf.DUMMYFUNCTION("""COMPUTED_VALUE"""),"Colombo, LK")</f>
        <v>Colombo, LK</v>
      </c>
      <c r="Q909" s="45" t="str">
        <f ca="1">IFERROR(__xludf.DUMMYFUNCTION("""COMPUTED_VALUE"""),"New York, NY, US")</f>
        <v>New York, NY, US</v>
      </c>
      <c r="R909" s="44">
        <f ca="1">IFERROR(__xludf.DUMMYFUNCTION("""COMPUTED_VALUE"""),45838)</f>
        <v>45838</v>
      </c>
      <c r="S909" s="44">
        <f ca="1">IFERROR(__xludf.DUMMYFUNCTION("""COMPUTED_VALUE"""),45897)</f>
        <v>45897</v>
      </c>
      <c r="T909" s="45" t="str">
        <f ca="1">IFERROR(__xludf.DUMMYFUNCTION("""COMPUTED_VALUE"""),"Mississauga, ON, CA")</f>
        <v>Mississauga, ON, CA</v>
      </c>
      <c r="U909" s="45"/>
      <c r="V909" s="45"/>
      <c r="W909" s="45"/>
      <c r="X909" s="45"/>
      <c r="Y909" s="46">
        <f ca="1">IFERROR(__xludf.DUMMYFUNCTION("""COMPUTED_VALUE"""),45845)</f>
        <v>45845</v>
      </c>
      <c r="Z909" s="46">
        <f ca="1">IFERROR(__xludf.DUMMYFUNCTION("""COMPUTED_VALUE"""),45866)</f>
        <v>45866</v>
      </c>
      <c r="AA909" s="46">
        <f ca="1">IFERROR(__xludf.DUMMYFUNCTION("""COMPUTED_VALUE"""),45866)</f>
        <v>45866</v>
      </c>
      <c r="AB909" s="45" t="str">
        <f ca="1">IFERROR(__xludf.DUMMYFUNCTION("""COMPUTED_VALUE"""),"3500 Argentia Road")</f>
        <v>3500 Argentia Road</v>
      </c>
      <c r="AC909" s="45"/>
      <c r="AD909" s="45" t="str">
        <f ca="1">IFERROR(__xludf.DUMMYFUNCTION("""COMPUTED_VALUE"""),"OCEAN")</f>
        <v>OCEAN</v>
      </c>
      <c r="AE909" s="45" t="str">
        <f ca="1">IFERROR(__xludf.DUMMYFUNCTION("""COMPUTED_VALUE"""),"N")</f>
        <v>N</v>
      </c>
      <c r="AF909" s="45" t="str">
        <f ca="1">IFERROR(__xludf.DUMMYFUNCTION("""COMPUTED_VALUE"""),"New Booking")</f>
        <v>New Booking</v>
      </c>
      <c r="AG909" s="49" t="str">
        <f ca="1">IFERROR(__xludf.DUMMYFUNCTION("IFNA(vlookup(H909,IMPORTRANGE(""1vUGwO1n0QQGx9kKbO0_M5gmuhXZ6-LaxQxgrmJnzgP0"",""'TP# look up'!A:C""),3,0),"""")"),"")</f>
        <v/>
      </c>
      <c r="AH909" s="49" t="str">
        <f t="shared" ca="1" si="14"/>
        <v>LW</v>
      </c>
    </row>
    <row r="910" spans="1:34" ht="12.75">
      <c r="A910" s="45" t="str">
        <f ca="1">IFERROR(__xludf.DUMMYFUNCTION("""COMPUTED_VALUE"""),"Colombo")</f>
        <v>Colombo</v>
      </c>
      <c r="B910" s="45"/>
      <c r="C910" s="45">
        <f ca="1">IFERROR(__xludf.DUMMYFUNCTION("""COMPUTED_VALUE"""),3259528)</f>
        <v>3259528</v>
      </c>
      <c r="D910" s="45"/>
      <c r="E910" s="45" t="str">
        <f ca="1">IFERROR(__xludf.DUMMYFUNCTION("""COMPUTED_VALUE"""),"CFS")</f>
        <v>CFS</v>
      </c>
      <c r="F910" s="45" t="str">
        <f ca="1">IFERROR(__xludf.DUMMYFUNCTION("""COMPUTED_VALUE"""),"Bodyline Trading (Private) Limited")</f>
        <v>Bodyline Trading (Private) Limited</v>
      </c>
      <c r="G910" s="45" t="str">
        <f ca="1">IFERROR(__xludf.DUMMYFUNCTION("""COMPUTED_VALUE"""),"Bodyline (Private) Limited")</f>
        <v>Bodyline (Private) Limited</v>
      </c>
      <c r="H910" s="43">
        <f ca="1">IFERROR(__xludf.DUMMYFUNCTION("""COMPUTED_VALUE"""),456422455090)</f>
        <v>456422455090</v>
      </c>
      <c r="I910" s="45">
        <f ca="1">IFERROR(__xludf.DUMMYFUNCTION("""COMPUTED_VALUE"""),19878895)</f>
        <v>19878895</v>
      </c>
      <c r="J910" s="45" t="str">
        <f ca="1">IFERROR(__xludf.DUMMYFUNCTION("""COMPUTED_VALUE"""),"LW2DZVS")</f>
        <v>LW2DZVS</v>
      </c>
      <c r="K910" s="45" t="str">
        <f ca="1">IFERROR(__xludf.DUMMYFUNCTION("""COMPUTED_VALUE"""),"LW2DZVS-041179")</f>
        <v>LW2DZVS-041179</v>
      </c>
      <c r="L910" s="45">
        <f ca="1">IFERROR(__xludf.DUMMYFUNCTION("""COMPUTED_VALUE"""),3)</f>
        <v>3</v>
      </c>
      <c r="M910" s="45">
        <f ca="1">IFERROR(__xludf.DUMMYFUNCTION("""COMPUTED_VALUE"""),126)</f>
        <v>126</v>
      </c>
      <c r="N910" s="45">
        <f ca="1">IFERROR(__xludf.DUMMYFUNCTION("""COMPUTED_VALUE"""),23.393)</f>
        <v>23.393000000000001</v>
      </c>
      <c r="O910" s="45">
        <f ca="1">IFERROR(__xludf.DUMMYFUNCTION("""COMPUTED_VALUE"""),0.242)</f>
        <v>0.24199999999999999</v>
      </c>
      <c r="P910" s="45" t="str">
        <f ca="1">IFERROR(__xludf.DUMMYFUNCTION("""COMPUTED_VALUE"""),"Colombo, LK")</f>
        <v>Colombo, LK</v>
      </c>
      <c r="Q910" s="45" t="str">
        <f ca="1">IFERROR(__xludf.DUMMYFUNCTION("""COMPUTED_VALUE"""),"New York, NY, US")</f>
        <v>New York, NY, US</v>
      </c>
      <c r="R910" s="44">
        <f ca="1">IFERROR(__xludf.DUMMYFUNCTION("""COMPUTED_VALUE"""),45838)</f>
        <v>45838</v>
      </c>
      <c r="S910" s="44">
        <f ca="1">IFERROR(__xludf.DUMMYFUNCTION("""COMPUTED_VALUE"""),45897)</f>
        <v>45897</v>
      </c>
      <c r="T910" s="45" t="str">
        <f ca="1">IFERROR(__xludf.DUMMYFUNCTION("""COMPUTED_VALUE"""),"Mississauga, ON, CA")</f>
        <v>Mississauga, ON, CA</v>
      </c>
      <c r="U910" s="45"/>
      <c r="V910" s="45"/>
      <c r="W910" s="45"/>
      <c r="X910" s="45"/>
      <c r="Y910" s="46">
        <f ca="1">IFERROR(__xludf.DUMMYFUNCTION("""COMPUTED_VALUE"""),45845)</f>
        <v>45845</v>
      </c>
      <c r="Z910" s="46">
        <f ca="1">IFERROR(__xludf.DUMMYFUNCTION("""COMPUTED_VALUE"""),45866)</f>
        <v>45866</v>
      </c>
      <c r="AA910" s="46">
        <f ca="1">IFERROR(__xludf.DUMMYFUNCTION("""COMPUTED_VALUE"""),45866)</f>
        <v>45866</v>
      </c>
      <c r="AB910" s="45" t="str">
        <f ca="1">IFERROR(__xludf.DUMMYFUNCTION("""COMPUTED_VALUE"""),"3500 Argentia Road")</f>
        <v>3500 Argentia Road</v>
      </c>
      <c r="AC910" s="45"/>
      <c r="AD910" s="45" t="str">
        <f ca="1">IFERROR(__xludf.DUMMYFUNCTION("""COMPUTED_VALUE"""),"OCEAN")</f>
        <v>OCEAN</v>
      </c>
      <c r="AE910" s="45" t="str">
        <f ca="1">IFERROR(__xludf.DUMMYFUNCTION("""COMPUTED_VALUE"""),"N")</f>
        <v>N</v>
      </c>
      <c r="AF910" s="45" t="str">
        <f ca="1">IFERROR(__xludf.DUMMYFUNCTION("""COMPUTED_VALUE"""),"New Booking")</f>
        <v>New Booking</v>
      </c>
      <c r="AG910" s="49" t="str">
        <f ca="1">IFERROR(__xludf.DUMMYFUNCTION("IFNA(vlookup(H910,IMPORTRANGE(""1vUGwO1n0QQGx9kKbO0_M5gmuhXZ6-LaxQxgrmJnzgP0"",""'TP# look up'!A:C""),3,0),"""")"),"")</f>
        <v/>
      </c>
      <c r="AH910" s="49" t="str">
        <f t="shared" ca="1" si="14"/>
        <v>LW</v>
      </c>
    </row>
    <row r="911" spans="1:34" ht="12.75">
      <c r="A911" s="45" t="str">
        <f ca="1">IFERROR(__xludf.DUMMYFUNCTION("""COMPUTED_VALUE"""),"Colombo")</f>
        <v>Colombo</v>
      </c>
      <c r="B911" s="45"/>
      <c r="C911" s="45">
        <f ca="1">IFERROR(__xludf.DUMMYFUNCTION("""COMPUTED_VALUE"""),3259528)</f>
        <v>3259528</v>
      </c>
      <c r="D911" s="45"/>
      <c r="E911" s="45" t="str">
        <f ca="1">IFERROR(__xludf.DUMMYFUNCTION("""COMPUTED_VALUE"""),"CFS")</f>
        <v>CFS</v>
      </c>
      <c r="F911" s="45" t="str">
        <f ca="1">IFERROR(__xludf.DUMMYFUNCTION("""COMPUTED_VALUE"""),"Bodyline Trading (Private) Limited")</f>
        <v>Bodyline Trading (Private) Limited</v>
      </c>
      <c r="G911" s="45" t="str">
        <f ca="1">IFERROR(__xludf.DUMMYFUNCTION("""COMPUTED_VALUE"""),"Bodyline (Private) Limited")</f>
        <v>Bodyline (Private) Limited</v>
      </c>
      <c r="H911" s="43">
        <f ca="1">IFERROR(__xludf.DUMMYFUNCTION("""COMPUTED_VALUE"""),456440059857)</f>
        <v>456440059857</v>
      </c>
      <c r="I911" s="45">
        <f ca="1">IFERROR(__xludf.DUMMYFUNCTION("""COMPUTED_VALUE"""),19878463)</f>
        <v>19878463</v>
      </c>
      <c r="J911" s="45" t="str">
        <f ca="1">IFERROR(__xludf.DUMMYFUNCTION("""COMPUTED_VALUE"""),"LW2CRHS")</f>
        <v>LW2CRHS</v>
      </c>
      <c r="K911" s="45" t="str">
        <f ca="1">IFERROR(__xludf.DUMMYFUNCTION("""COMPUTED_VALUE"""),"LW2CRHS-041179")</f>
        <v>LW2CRHS-041179</v>
      </c>
      <c r="L911" s="45">
        <f ca="1">IFERROR(__xludf.DUMMYFUNCTION("""COMPUTED_VALUE"""),6)</f>
        <v>6</v>
      </c>
      <c r="M911" s="45">
        <f ca="1">IFERROR(__xludf.DUMMYFUNCTION("""COMPUTED_VALUE"""),287)</f>
        <v>287</v>
      </c>
      <c r="N911" s="45">
        <f ca="1">IFERROR(__xludf.DUMMYFUNCTION("""COMPUTED_VALUE"""),35.528)</f>
        <v>35.527999999999999</v>
      </c>
      <c r="O911" s="45">
        <f ca="1">IFERROR(__xludf.DUMMYFUNCTION("""COMPUTED_VALUE"""),0.447)</f>
        <v>0.44700000000000001</v>
      </c>
      <c r="P911" s="45" t="str">
        <f ca="1">IFERROR(__xludf.DUMMYFUNCTION("""COMPUTED_VALUE"""),"Colombo, LK")</f>
        <v>Colombo, LK</v>
      </c>
      <c r="Q911" s="45" t="str">
        <f ca="1">IFERROR(__xludf.DUMMYFUNCTION("""COMPUTED_VALUE"""),"New York, NY, US")</f>
        <v>New York, NY, US</v>
      </c>
      <c r="R911" s="44">
        <f ca="1">IFERROR(__xludf.DUMMYFUNCTION("""COMPUTED_VALUE"""),45838)</f>
        <v>45838</v>
      </c>
      <c r="S911" s="44">
        <f ca="1">IFERROR(__xludf.DUMMYFUNCTION("""COMPUTED_VALUE"""),45897)</f>
        <v>45897</v>
      </c>
      <c r="T911" s="45" t="str">
        <f ca="1">IFERROR(__xludf.DUMMYFUNCTION("""COMPUTED_VALUE"""),"Mississauga, ON, CA")</f>
        <v>Mississauga, ON, CA</v>
      </c>
      <c r="U911" s="45"/>
      <c r="V911" s="45"/>
      <c r="W911" s="45"/>
      <c r="X911" s="45"/>
      <c r="Y911" s="46">
        <f ca="1">IFERROR(__xludf.DUMMYFUNCTION("""COMPUTED_VALUE"""),45845)</f>
        <v>45845</v>
      </c>
      <c r="Z911" s="46">
        <f ca="1">IFERROR(__xludf.DUMMYFUNCTION("""COMPUTED_VALUE"""),45866)</f>
        <v>45866</v>
      </c>
      <c r="AA911" s="46">
        <f ca="1">IFERROR(__xludf.DUMMYFUNCTION("""COMPUTED_VALUE"""),45866)</f>
        <v>45866</v>
      </c>
      <c r="AB911" s="45" t="str">
        <f ca="1">IFERROR(__xludf.DUMMYFUNCTION("""COMPUTED_VALUE"""),"3500 Argentia Road")</f>
        <v>3500 Argentia Road</v>
      </c>
      <c r="AC911" s="45"/>
      <c r="AD911" s="45" t="str">
        <f ca="1">IFERROR(__xludf.DUMMYFUNCTION("""COMPUTED_VALUE"""),"OCEAN")</f>
        <v>OCEAN</v>
      </c>
      <c r="AE911" s="45" t="str">
        <f ca="1">IFERROR(__xludf.DUMMYFUNCTION("""COMPUTED_VALUE"""),"N")</f>
        <v>N</v>
      </c>
      <c r="AF911" s="45" t="str">
        <f ca="1">IFERROR(__xludf.DUMMYFUNCTION("""COMPUTED_VALUE"""),"New Booking")</f>
        <v>New Booking</v>
      </c>
      <c r="AG911" s="49" t="str">
        <f ca="1">IFERROR(__xludf.DUMMYFUNCTION("IFNA(vlookup(H911,IMPORTRANGE(""1vUGwO1n0QQGx9kKbO0_M5gmuhXZ6-LaxQxgrmJnzgP0"",""'TP# look up'!A:C""),3,0),"""")"),"")</f>
        <v/>
      </c>
      <c r="AH911" s="49" t="str">
        <f t="shared" ca="1" si="14"/>
        <v>LW</v>
      </c>
    </row>
    <row r="912" spans="1:34" ht="12.75">
      <c r="A912" s="45" t="str">
        <f ca="1">IFERROR(__xludf.DUMMYFUNCTION("""COMPUTED_VALUE"""),"Colombo")</f>
        <v>Colombo</v>
      </c>
      <c r="B912" s="45"/>
      <c r="C912" s="45">
        <f ca="1">IFERROR(__xludf.DUMMYFUNCTION("""COMPUTED_VALUE"""),3259528)</f>
        <v>3259528</v>
      </c>
      <c r="D912" s="45"/>
      <c r="E912" s="45" t="str">
        <f ca="1">IFERROR(__xludf.DUMMYFUNCTION("""COMPUTED_VALUE"""),"CFS")</f>
        <v>CFS</v>
      </c>
      <c r="F912" s="45" t="str">
        <f ca="1">IFERROR(__xludf.DUMMYFUNCTION("""COMPUTED_VALUE"""),"Bodyline Trading (Private) Limited")</f>
        <v>Bodyline Trading (Private) Limited</v>
      </c>
      <c r="G912" s="45" t="str">
        <f ca="1">IFERROR(__xludf.DUMMYFUNCTION("""COMPUTED_VALUE"""),"Bodyline (Private) Limited")</f>
        <v>Bodyline (Private) Limited</v>
      </c>
      <c r="H912" s="43">
        <f ca="1">IFERROR(__xludf.DUMMYFUNCTION("""COMPUTED_VALUE"""),456441869483)</f>
        <v>456441869483</v>
      </c>
      <c r="I912" s="45">
        <f ca="1">IFERROR(__xludf.DUMMYFUNCTION("""COMPUTED_VALUE"""),19878681)</f>
        <v>19878681</v>
      </c>
      <c r="J912" s="45" t="str">
        <f ca="1">IFERROR(__xludf.DUMMYFUNCTION("""COMPUTED_VALUE"""),"LW2CRHS")</f>
        <v>LW2CRHS</v>
      </c>
      <c r="K912" s="45" t="str">
        <f ca="1">IFERROR(__xludf.DUMMYFUNCTION("""COMPUTED_VALUE"""),"LW2CRHS-071150")</f>
        <v>LW2CRHS-071150</v>
      </c>
      <c r="L912" s="45">
        <f ca="1">IFERROR(__xludf.DUMMYFUNCTION("""COMPUTED_VALUE"""),20)</f>
        <v>20</v>
      </c>
      <c r="M912" s="45">
        <f ca="1">IFERROR(__xludf.DUMMYFUNCTION("""COMPUTED_VALUE"""),1164)</f>
        <v>1164</v>
      </c>
      <c r="N912" s="45">
        <f ca="1">IFERROR(__xludf.DUMMYFUNCTION("""COMPUTED_VALUE"""),137.691)</f>
        <v>137.691</v>
      </c>
      <c r="O912" s="45">
        <f ca="1">IFERROR(__xludf.DUMMYFUNCTION("""COMPUTED_VALUE"""),1.537)</f>
        <v>1.5369999999999999</v>
      </c>
      <c r="P912" s="45" t="str">
        <f ca="1">IFERROR(__xludf.DUMMYFUNCTION("""COMPUTED_VALUE"""),"Colombo, LK")</f>
        <v>Colombo, LK</v>
      </c>
      <c r="Q912" s="45" t="str">
        <f ca="1">IFERROR(__xludf.DUMMYFUNCTION("""COMPUTED_VALUE"""),"New York, NY, US")</f>
        <v>New York, NY, US</v>
      </c>
      <c r="R912" s="44">
        <f ca="1">IFERROR(__xludf.DUMMYFUNCTION("""COMPUTED_VALUE"""),45838)</f>
        <v>45838</v>
      </c>
      <c r="S912" s="44">
        <f ca="1">IFERROR(__xludf.DUMMYFUNCTION("""COMPUTED_VALUE"""),45897)</f>
        <v>45897</v>
      </c>
      <c r="T912" s="45" t="str">
        <f ca="1">IFERROR(__xludf.DUMMYFUNCTION("""COMPUTED_VALUE"""),"Mississauga, ON, CA")</f>
        <v>Mississauga, ON, CA</v>
      </c>
      <c r="U912" s="45"/>
      <c r="V912" s="45"/>
      <c r="W912" s="45"/>
      <c r="X912" s="45"/>
      <c r="Y912" s="46">
        <f ca="1">IFERROR(__xludf.DUMMYFUNCTION("""COMPUTED_VALUE"""),45845)</f>
        <v>45845</v>
      </c>
      <c r="Z912" s="46">
        <f ca="1">IFERROR(__xludf.DUMMYFUNCTION("""COMPUTED_VALUE"""),45866)</f>
        <v>45866</v>
      </c>
      <c r="AA912" s="46">
        <f ca="1">IFERROR(__xludf.DUMMYFUNCTION("""COMPUTED_VALUE"""),45866)</f>
        <v>45866</v>
      </c>
      <c r="AB912" s="45" t="str">
        <f ca="1">IFERROR(__xludf.DUMMYFUNCTION("""COMPUTED_VALUE"""),"3500 Argentia Road")</f>
        <v>3500 Argentia Road</v>
      </c>
      <c r="AC912" s="45"/>
      <c r="AD912" s="45" t="str">
        <f ca="1">IFERROR(__xludf.DUMMYFUNCTION("""COMPUTED_VALUE"""),"OCEAN")</f>
        <v>OCEAN</v>
      </c>
      <c r="AE912" s="45" t="str">
        <f ca="1">IFERROR(__xludf.DUMMYFUNCTION("""COMPUTED_VALUE"""),"N")</f>
        <v>N</v>
      </c>
      <c r="AF912" s="45" t="str">
        <f ca="1">IFERROR(__xludf.DUMMYFUNCTION("""COMPUTED_VALUE"""),"New Booking")</f>
        <v>New Booking</v>
      </c>
      <c r="AG912" s="49" t="str">
        <f ca="1">IFERROR(__xludf.DUMMYFUNCTION("IFNA(vlookup(H912,IMPORTRANGE(""1vUGwO1n0QQGx9kKbO0_M5gmuhXZ6-LaxQxgrmJnzgP0"",""'TP# look up'!A:C""),3,0),"""")"),"")</f>
        <v/>
      </c>
      <c r="AH912" s="49" t="str">
        <f t="shared" ca="1" si="14"/>
        <v>LW</v>
      </c>
    </row>
    <row r="913" spans="1:34" ht="12.75">
      <c r="A913" s="45" t="str">
        <f ca="1">IFERROR(__xludf.DUMMYFUNCTION("""COMPUTED_VALUE"""),"Colombo")</f>
        <v>Colombo</v>
      </c>
      <c r="B913" s="45"/>
      <c r="C913" s="45">
        <f ca="1">IFERROR(__xludf.DUMMYFUNCTION("""COMPUTED_VALUE"""),3259528)</f>
        <v>3259528</v>
      </c>
      <c r="D913" s="45"/>
      <c r="E913" s="45" t="str">
        <f ca="1">IFERROR(__xludf.DUMMYFUNCTION("""COMPUTED_VALUE"""),"CFS")</f>
        <v>CFS</v>
      </c>
      <c r="F913" s="45" t="str">
        <f ca="1">IFERROR(__xludf.DUMMYFUNCTION("""COMPUTED_VALUE"""),"Bodyline Trading (Private) Limited")</f>
        <v>Bodyline Trading (Private) Limited</v>
      </c>
      <c r="G913" s="45" t="str">
        <f ca="1">IFERROR(__xludf.DUMMYFUNCTION("""COMPUTED_VALUE"""),"Bodyline (Private) Limited")</f>
        <v>Bodyline (Private) Limited</v>
      </c>
      <c r="H913" s="43">
        <f ca="1">IFERROR(__xludf.DUMMYFUNCTION("""COMPUTED_VALUE"""),456442947945)</f>
        <v>456442947945</v>
      </c>
      <c r="I913" s="45">
        <f ca="1">IFERROR(__xludf.DUMMYFUNCTION("""COMPUTED_VALUE"""),19878610)</f>
        <v>19878610</v>
      </c>
      <c r="J913" s="45" t="str">
        <f ca="1">IFERROR(__xludf.DUMMYFUNCTION("""COMPUTED_VALUE"""),"LW2DQ0S")</f>
        <v>LW2DQ0S</v>
      </c>
      <c r="K913" s="45" t="str">
        <f ca="1">IFERROR(__xludf.DUMMYFUNCTION("""COMPUTED_VALUE"""),"LW2DQ0S-041179")</f>
        <v>LW2DQ0S-041179</v>
      </c>
      <c r="L913" s="45">
        <f ca="1">IFERROR(__xludf.DUMMYFUNCTION("""COMPUTED_VALUE"""),3)</f>
        <v>3</v>
      </c>
      <c r="M913" s="45">
        <f ca="1">IFERROR(__xludf.DUMMYFUNCTION("""COMPUTED_VALUE"""),131)</f>
        <v>131</v>
      </c>
      <c r="N913" s="45">
        <f ca="1">IFERROR(__xludf.DUMMYFUNCTION("""COMPUTED_VALUE"""),16.088)</f>
        <v>16.088000000000001</v>
      </c>
      <c r="O913" s="45">
        <f ca="1">IFERROR(__xludf.DUMMYFUNCTION("""COMPUTED_VALUE"""),0.205)</f>
        <v>0.20499999999999999</v>
      </c>
      <c r="P913" s="45" t="str">
        <f ca="1">IFERROR(__xludf.DUMMYFUNCTION("""COMPUTED_VALUE"""),"Colombo, LK")</f>
        <v>Colombo, LK</v>
      </c>
      <c r="Q913" s="45" t="str">
        <f ca="1">IFERROR(__xludf.DUMMYFUNCTION("""COMPUTED_VALUE"""),"New York, NY, US")</f>
        <v>New York, NY, US</v>
      </c>
      <c r="R913" s="44">
        <f ca="1">IFERROR(__xludf.DUMMYFUNCTION("""COMPUTED_VALUE"""),45838)</f>
        <v>45838</v>
      </c>
      <c r="S913" s="44">
        <f ca="1">IFERROR(__xludf.DUMMYFUNCTION("""COMPUTED_VALUE"""),45897)</f>
        <v>45897</v>
      </c>
      <c r="T913" s="45" t="str">
        <f ca="1">IFERROR(__xludf.DUMMYFUNCTION("""COMPUTED_VALUE"""),"Mississauga, ON, CA")</f>
        <v>Mississauga, ON, CA</v>
      </c>
      <c r="U913" s="45"/>
      <c r="V913" s="45"/>
      <c r="W913" s="45"/>
      <c r="X913" s="45"/>
      <c r="Y913" s="46">
        <f ca="1">IFERROR(__xludf.DUMMYFUNCTION("""COMPUTED_VALUE"""),45845)</f>
        <v>45845</v>
      </c>
      <c r="Z913" s="46">
        <f ca="1">IFERROR(__xludf.DUMMYFUNCTION("""COMPUTED_VALUE"""),45866)</f>
        <v>45866</v>
      </c>
      <c r="AA913" s="46">
        <f ca="1">IFERROR(__xludf.DUMMYFUNCTION("""COMPUTED_VALUE"""),45866)</f>
        <v>45866</v>
      </c>
      <c r="AB913" s="45" t="str">
        <f ca="1">IFERROR(__xludf.DUMMYFUNCTION("""COMPUTED_VALUE"""),"3500 Argentia Road")</f>
        <v>3500 Argentia Road</v>
      </c>
      <c r="AC913" s="45"/>
      <c r="AD913" s="45" t="str">
        <f ca="1">IFERROR(__xludf.DUMMYFUNCTION("""COMPUTED_VALUE"""),"OCEAN")</f>
        <v>OCEAN</v>
      </c>
      <c r="AE913" s="45" t="str">
        <f ca="1">IFERROR(__xludf.DUMMYFUNCTION("""COMPUTED_VALUE"""),"N")</f>
        <v>N</v>
      </c>
      <c r="AF913" s="45" t="str">
        <f ca="1">IFERROR(__xludf.DUMMYFUNCTION("""COMPUTED_VALUE"""),"New Booking")</f>
        <v>New Booking</v>
      </c>
      <c r="AG913" s="49" t="str">
        <f ca="1">IFERROR(__xludf.DUMMYFUNCTION("IFNA(vlookup(H913,IMPORTRANGE(""1vUGwO1n0QQGx9kKbO0_M5gmuhXZ6-LaxQxgrmJnzgP0"",""'TP# look up'!A:C""),3,0),"""")"),"")</f>
        <v/>
      </c>
      <c r="AH913" s="49" t="str">
        <f t="shared" ca="1" si="14"/>
        <v>LW</v>
      </c>
    </row>
    <row r="914" spans="1:34" ht="12.75">
      <c r="A914" s="45" t="str">
        <f ca="1">IFERROR(__xludf.DUMMYFUNCTION("""COMPUTED_VALUE"""),"Colombo")</f>
        <v>Colombo</v>
      </c>
      <c r="B914" s="45"/>
      <c r="C914" s="45">
        <f ca="1">IFERROR(__xludf.DUMMYFUNCTION("""COMPUTED_VALUE"""),3259528)</f>
        <v>3259528</v>
      </c>
      <c r="D914" s="45"/>
      <c r="E914" s="45" t="str">
        <f ca="1">IFERROR(__xludf.DUMMYFUNCTION("""COMPUTED_VALUE"""),"CFS")</f>
        <v>CFS</v>
      </c>
      <c r="F914" s="45" t="str">
        <f ca="1">IFERROR(__xludf.DUMMYFUNCTION("""COMPUTED_VALUE"""),"Bodyline Trading (Private) Limited")</f>
        <v>Bodyline Trading (Private) Limited</v>
      </c>
      <c r="G914" s="45" t="str">
        <f ca="1">IFERROR(__xludf.DUMMYFUNCTION("""COMPUTED_VALUE"""),"Bodyline (Private) Limited")</f>
        <v>Bodyline (Private) Limited</v>
      </c>
      <c r="H914" s="43">
        <f ca="1">IFERROR(__xludf.DUMMYFUNCTION("""COMPUTED_VALUE"""),456444203530)</f>
        <v>456444203530</v>
      </c>
      <c r="I914" s="45">
        <f ca="1">IFERROR(__xludf.DUMMYFUNCTION("""COMPUTED_VALUE"""),19878828)</f>
        <v>19878828</v>
      </c>
      <c r="J914" s="45" t="str">
        <f ca="1">IFERROR(__xludf.DUMMYFUNCTION("""COMPUTED_VALUE"""),"LW2DQ0S")</f>
        <v>LW2DQ0S</v>
      </c>
      <c r="K914" s="45" t="str">
        <f ca="1">IFERROR(__xludf.DUMMYFUNCTION("""COMPUTED_VALUE"""),"LW2DQ0S-041179")</f>
        <v>LW2DQ0S-041179</v>
      </c>
      <c r="L914" s="45">
        <f ca="1">IFERROR(__xludf.DUMMYFUNCTION("""COMPUTED_VALUE"""),6)</f>
        <v>6</v>
      </c>
      <c r="M914" s="45">
        <f ca="1">IFERROR(__xludf.DUMMYFUNCTION("""COMPUTED_VALUE"""),287)</f>
        <v>287</v>
      </c>
      <c r="N914" s="45">
        <f ca="1">IFERROR(__xludf.DUMMYFUNCTION("""COMPUTED_VALUE"""),34.647)</f>
        <v>34.646999999999998</v>
      </c>
      <c r="O914" s="45">
        <f ca="1">IFERROR(__xludf.DUMMYFUNCTION("""COMPUTED_VALUE"""),0.447)</f>
        <v>0.44700000000000001</v>
      </c>
      <c r="P914" s="45" t="str">
        <f ca="1">IFERROR(__xludf.DUMMYFUNCTION("""COMPUTED_VALUE"""),"Colombo, LK")</f>
        <v>Colombo, LK</v>
      </c>
      <c r="Q914" s="45" t="str">
        <f ca="1">IFERROR(__xludf.DUMMYFUNCTION("""COMPUTED_VALUE"""),"New York, NY, US")</f>
        <v>New York, NY, US</v>
      </c>
      <c r="R914" s="44">
        <f ca="1">IFERROR(__xludf.DUMMYFUNCTION("""COMPUTED_VALUE"""),45838)</f>
        <v>45838</v>
      </c>
      <c r="S914" s="44">
        <f ca="1">IFERROR(__xludf.DUMMYFUNCTION("""COMPUTED_VALUE"""),45897)</f>
        <v>45897</v>
      </c>
      <c r="T914" s="45" t="str">
        <f ca="1">IFERROR(__xludf.DUMMYFUNCTION("""COMPUTED_VALUE"""),"Mississauga, ON, CA")</f>
        <v>Mississauga, ON, CA</v>
      </c>
      <c r="U914" s="45"/>
      <c r="V914" s="45"/>
      <c r="W914" s="45"/>
      <c r="X914" s="45"/>
      <c r="Y914" s="46">
        <f ca="1">IFERROR(__xludf.DUMMYFUNCTION("""COMPUTED_VALUE"""),45845)</f>
        <v>45845</v>
      </c>
      <c r="Z914" s="46">
        <f ca="1">IFERROR(__xludf.DUMMYFUNCTION("""COMPUTED_VALUE"""),45866)</f>
        <v>45866</v>
      </c>
      <c r="AA914" s="46">
        <f ca="1">IFERROR(__xludf.DUMMYFUNCTION("""COMPUTED_VALUE"""),45866)</f>
        <v>45866</v>
      </c>
      <c r="AB914" s="45" t="str">
        <f ca="1">IFERROR(__xludf.DUMMYFUNCTION("""COMPUTED_VALUE"""),"3500 Argentia Road")</f>
        <v>3500 Argentia Road</v>
      </c>
      <c r="AC914" s="45"/>
      <c r="AD914" s="45" t="str">
        <f ca="1">IFERROR(__xludf.DUMMYFUNCTION("""COMPUTED_VALUE"""),"OCEAN")</f>
        <v>OCEAN</v>
      </c>
      <c r="AE914" s="45" t="str">
        <f ca="1">IFERROR(__xludf.DUMMYFUNCTION("""COMPUTED_VALUE"""),"N")</f>
        <v>N</v>
      </c>
      <c r="AF914" s="45" t="str">
        <f ca="1">IFERROR(__xludf.DUMMYFUNCTION("""COMPUTED_VALUE"""),"New Booking")</f>
        <v>New Booking</v>
      </c>
      <c r="AG914" s="49" t="str">
        <f ca="1">IFERROR(__xludf.DUMMYFUNCTION("IFNA(vlookup(H914,IMPORTRANGE(""1vUGwO1n0QQGx9kKbO0_M5gmuhXZ6-LaxQxgrmJnzgP0"",""'TP# look up'!A:C""),3,0),"""")"),"")</f>
        <v/>
      </c>
      <c r="AH914" s="49" t="str">
        <f t="shared" ca="1" si="14"/>
        <v>LW</v>
      </c>
    </row>
    <row r="915" spans="1:34" ht="12.75">
      <c r="A915" s="45" t="str">
        <f ca="1">IFERROR(__xludf.DUMMYFUNCTION("""COMPUTED_VALUE"""),"Colombo")</f>
        <v>Colombo</v>
      </c>
      <c r="B915" s="45"/>
      <c r="C915" s="45">
        <f ca="1">IFERROR(__xludf.DUMMYFUNCTION("""COMPUTED_VALUE"""),3259528)</f>
        <v>3259528</v>
      </c>
      <c r="D915" s="45"/>
      <c r="E915" s="45" t="str">
        <f ca="1">IFERROR(__xludf.DUMMYFUNCTION("""COMPUTED_VALUE"""),"CFS")</f>
        <v>CFS</v>
      </c>
      <c r="F915" s="45" t="str">
        <f ca="1">IFERROR(__xludf.DUMMYFUNCTION("""COMPUTED_VALUE"""),"Inqube Global (PVT) Ltd")</f>
        <v>Inqube Global (PVT) Ltd</v>
      </c>
      <c r="G915" s="45" t="str">
        <f ca="1">IFERROR(__xludf.DUMMYFUNCTION("""COMPUTED_VALUE"""),"BRANDIX APPAREL SOLUTION LTD - GIRITALE")</f>
        <v>BRANDIX APPAREL SOLUTION LTD - GIRITALE</v>
      </c>
      <c r="H915" s="43">
        <f ca="1">IFERROR(__xludf.DUMMYFUNCTION("""COMPUTED_VALUE"""),456554138302)</f>
        <v>456554138302</v>
      </c>
      <c r="I915" s="45">
        <f ca="1">IFERROR(__xludf.DUMMYFUNCTION("""COMPUTED_VALUE"""),19855836)</f>
        <v>19855836</v>
      </c>
      <c r="J915" s="45" t="str">
        <f ca="1">IFERROR(__xludf.DUMMYFUNCTION("""COMPUTED_VALUE"""),"LM5BL3S")</f>
        <v>LM5BL3S</v>
      </c>
      <c r="K915" s="45" t="str">
        <f ca="1">IFERROR(__xludf.DUMMYFUNCTION("""COMPUTED_VALUE"""),"LM5BL3S-071148")</f>
        <v>LM5BL3S-071148</v>
      </c>
      <c r="L915" s="45">
        <f ca="1">IFERROR(__xludf.DUMMYFUNCTION("""COMPUTED_VALUE"""),8)</f>
        <v>8</v>
      </c>
      <c r="M915" s="45">
        <f ca="1">IFERROR(__xludf.DUMMYFUNCTION("""COMPUTED_VALUE"""),240)</f>
        <v>240</v>
      </c>
      <c r="N915" s="45">
        <f ca="1">IFERROR(__xludf.DUMMYFUNCTION("""COMPUTED_VALUE"""),96.86)</f>
        <v>96.86</v>
      </c>
      <c r="O915" s="45">
        <f ca="1">IFERROR(__xludf.DUMMYFUNCTION("""COMPUTED_VALUE"""),0.66)</f>
        <v>0.66</v>
      </c>
      <c r="P915" s="45" t="str">
        <f ca="1">IFERROR(__xludf.DUMMYFUNCTION("""COMPUTED_VALUE"""),"Colombo, LK")</f>
        <v>Colombo, LK</v>
      </c>
      <c r="Q915" s="45" t="str">
        <f ca="1">IFERROR(__xludf.DUMMYFUNCTION("""COMPUTED_VALUE"""),"New York, NY, US")</f>
        <v>New York, NY, US</v>
      </c>
      <c r="R915" s="44">
        <f ca="1">IFERROR(__xludf.DUMMYFUNCTION("""COMPUTED_VALUE"""),45838)</f>
        <v>45838</v>
      </c>
      <c r="S915" s="44">
        <f ca="1">IFERROR(__xludf.DUMMYFUNCTION("""COMPUTED_VALUE"""),45897)</f>
        <v>45897</v>
      </c>
      <c r="T915" s="45" t="str">
        <f ca="1">IFERROR(__xludf.DUMMYFUNCTION("""COMPUTED_VALUE"""),"Milton, ON, CA")</f>
        <v>Milton, ON, CA</v>
      </c>
      <c r="U915" s="45"/>
      <c r="V915" s="45"/>
      <c r="W915" s="45"/>
      <c r="X915" s="45"/>
      <c r="Y915" s="46">
        <f ca="1">IFERROR(__xludf.DUMMYFUNCTION("""COMPUTED_VALUE"""),45845)</f>
        <v>45845</v>
      </c>
      <c r="Z915" s="46">
        <f ca="1">IFERROR(__xludf.DUMMYFUNCTION("""COMPUTED_VALUE"""),45866)</f>
        <v>45866</v>
      </c>
      <c r="AA915" s="46">
        <f ca="1">IFERROR(__xludf.DUMMYFUNCTION("""COMPUTED_VALUE"""),45866)</f>
        <v>45866</v>
      </c>
      <c r="AB915" s="45" t="str">
        <f ca="1">IFERROR(__xludf.DUMMYFUNCTION("""COMPUTED_VALUE"""),"7211 Fifth Line")</f>
        <v>7211 Fifth Line</v>
      </c>
      <c r="AC915" s="45"/>
      <c r="AD915" s="45" t="str">
        <f ca="1">IFERROR(__xludf.DUMMYFUNCTION("""COMPUTED_VALUE"""),"OCEAN")</f>
        <v>OCEAN</v>
      </c>
      <c r="AE915" s="45" t="str">
        <f ca="1">IFERROR(__xludf.DUMMYFUNCTION("""COMPUTED_VALUE"""),"N")</f>
        <v>N</v>
      </c>
      <c r="AF915" s="45" t="str">
        <f ca="1">IFERROR(__xludf.DUMMYFUNCTION("""COMPUTED_VALUE"""),"New Booking")</f>
        <v>New Booking</v>
      </c>
      <c r="AG915" s="49" t="str">
        <f ca="1">IFERROR(__xludf.DUMMYFUNCTION("IFNA(vlookup(H915,IMPORTRANGE(""1vUGwO1n0QQGx9kKbO0_M5gmuhXZ6-LaxQxgrmJnzgP0"",""'TP# look up'!A:C""),3,0),"""")"),"")</f>
        <v/>
      </c>
      <c r="AH915" s="49" t="str">
        <f t="shared" ca="1" si="14"/>
        <v>LM</v>
      </c>
    </row>
    <row r="916" spans="1:34" ht="12.75">
      <c r="A916" s="45" t="str">
        <f ca="1">IFERROR(__xludf.DUMMYFUNCTION("""COMPUTED_VALUE"""),"Colombo")</f>
        <v>Colombo</v>
      </c>
      <c r="B916" s="45"/>
      <c r="C916" s="45">
        <f ca="1">IFERROR(__xludf.DUMMYFUNCTION("""COMPUTED_VALUE"""),3259528)</f>
        <v>3259528</v>
      </c>
      <c r="D916" s="45"/>
      <c r="E916" s="45" t="str">
        <f ca="1">IFERROR(__xludf.DUMMYFUNCTION("""COMPUTED_VALUE"""),"CFS")</f>
        <v>CFS</v>
      </c>
      <c r="F916" s="45" t="str">
        <f ca="1">IFERROR(__xludf.DUMMYFUNCTION("""COMPUTED_VALUE"""),"Inqube Global (PVT) Ltd")</f>
        <v>Inqube Global (PVT) Ltd</v>
      </c>
      <c r="G916" s="45" t="str">
        <f ca="1">IFERROR(__xludf.DUMMYFUNCTION("""COMPUTED_VALUE"""),"BRANDIX APPAREL SOLUTION LTD - GIRITALE")</f>
        <v>BRANDIX APPAREL SOLUTION LTD - GIRITALE</v>
      </c>
      <c r="H916" s="43">
        <f ca="1">IFERROR(__xludf.DUMMYFUNCTION("""COMPUTED_VALUE"""),456554901324)</f>
        <v>456554901324</v>
      </c>
      <c r="I916" s="45">
        <f ca="1">IFERROR(__xludf.DUMMYFUNCTION("""COMPUTED_VALUE"""),19855837)</f>
        <v>19855837</v>
      </c>
      <c r="J916" s="45" t="str">
        <f ca="1">IFERROR(__xludf.DUMMYFUNCTION("""COMPUTED_VALUE"""),"LM5BL3S")</f>
        <v>LM5BL3S</v>
      </c>
      <c r="K916" s="45" t="str">
        <f ca="1">IFERROR(__xludf.DUMMYFUNCTION("""COMPUTED_VALUE"""),"LM5BL3S-071148")</f>
        <v>LM5BL3S-071148</v>
      </c>
      <c r="L916" s="45">
        <f ca="1">IFERROR(__xludf.DUMMYFUNCTION("""COMPUTED_VALUE"""),5)</f>
        <v>5</v>
      </c>
      <c r="M916" s="45">
        <f ca="1">IFERROR(__xludf.DUMMYFUNCTION("""COMPUTED_VALUE"""),91)</f>
        <v>91</v>
      </c>
      <c r="N916" s="45">
        <f ca="1">IFERROR(__xludf.DUMMYFUNCTION("""COMPUTED_VALUE"""),38.52)</f>
        <v>38.520000000000003</v>
      </c>
      <c r="O916" s="45">
        <f ca="1">IFERROR(__xludf.DUMMYFUNCTION("""COMPUTED_VALUE"""),0.373)</f>
        <v>0.373</v>
      </c>
      <c r="P916" s="45" t="str">
        <f ca="1">IFERROR(__xludf.DUMMYFUNCTION("""COMPUTED_VALUE"""),"Colombo, LK")</f>
        <v>Colombo, LK</v>
      </c>
      <c r="Q916" s="45" t="str">
        <f ca="1">IFERROR(__xludf.DUMMYFUNCTION("""COMPUTED_VALUE"""),"New York, NY, US")</f>
        <v>New York, NY, US</v>
      </c>
      <c r="R916" s="44">
        <f ca="1">IFERROR(__xludf.DUMMYFUNCTION("""COMPUTED_VALUE"""),45838)</f>
        <v>45838</v>
      </c>
      <c r="S916" s="44">
        <f ca="1">IFERROR(__xludf.DUMMYFUNCTION("""COMPUTED_VALUE"""),45897)</f>
        <v>45897</v>
      </c>
      <c r="T916" s="45" t="str">
        <f ca="1">IFERROR(__xludf.DUMMYFUNCTION("""COMPUTED_VALUE"""),"Milton, ON, CA")</f>
        <v>Milton, ON, CA</v>
      </c>
      <c r="U916" s="45"/>
      <c r="V916" s="45"/>
      <c r="W916" s="45"/>
      <c r="X916" s="45"/>
      <c r="Y916" s="46">
        <f ca="1">IFERROR(__xludf.DUMMYFUNCTION("""COMPUTED_VALUE"""),45845)</f>
        <v>45845</v>
      </c>
      <c r="Z916" s="46">
        <f ca="1">IFERROR(__xludf.DUMMYFUNCTION("""COMPUTED_VALUE"""),45866)</f>
        <v>45866</v>
      </c>
      <c r="AA916" s="46">
        <f ca="1">IFERROR(__xludf.DUMMYFUNCTION("""COMPUTED_VALUE"""),45866)</f>
        <v>45866</v>
      </c>
      <c r="AB916" s="45" t="str">
        <f ca="1">IFERROR(__xludf.DUMMYFUNCTION("""COMPUTED_VALUE"""),"7211 Fifth Line")</f>
        <v>7211 Fifth Line</v>
      </c>
      <c r="AC916" s="45"/>
      <c r="AD916" s="45" t="str">
        <f ca="1">IFERROR(__xludf.DUMMYFUNCTION("""COMPUTED_VALUE"""),"OCEAN")</f>
        <v>OCEAN</v>
      </c>
      <c r="AE916" s="45" t="str">
        <f ca="1">IFERROR(__xludf.DUMMYFUNCTION("""COMPUTED_VALUE"""),"N")</f>
        <v>N</v>
      </c>
      <c r="AF916" s="45" t="str">
        <f ca="1">IFERROR(__xludf.DUMMYFUNCTION("""COMPUTED_VALUE"""),"New Booking")</f>
        <v>New Booking</v>
      </c>
      <c r="AG916" s="49" t="str">
        <f ca="1">IFERROR(__xludf.DUMMYFUNCTION("IFNA(vlookup(H916,IMPORTRANGE(""1vUGwO1n0QQGx9kKbO0_M5gmuhXZ6-LaxQxgrmJnzgP0"",""'TP# look up'!A:C""),3,0),"""")"),"")</f>
        <v/>
      </c>
      <c r="AH916" s="49" t="str">
        <f t="shared" ca="1" si="14"/>
        <v>LM</v>
      </c>
    </row>
    <row r="917" spans="1:34" ht="12.75">
      <c r="A917" s="45" t="str">
        <f ca="1">IFERROR(__xludf.DUMMYFUNCTION("""COMPUTED_VALUE"""),"Colombo")</f>
        <v>Colombo</v>
      </c>
      <c r="B917" s="45"/>
      <c r="C917" s="45">
        <f ca="1">IFERROR(__xludf.DUMMYFUNCTION("""COMPUTED_VALUE"""),3259528)</f>
        <v>3259528</v>
      </c>
      <c r="D917" s="45"/>
      <c r="E917" s="45" t="str">
        <f ca="1">IFERROR(__xludf.DUMMYFUNCTION("""COMPUTED_VALUE"""),"CFS")</f>
        <v>CFS</v>
      </c>
      <c r="F917" s="45" t="str">
        <f ca="1">IFERROR(__xludf.DUMMYFUNCTION("""COMPUTED_VALUE"""),"Inqube Global (PVT) Ltd")</f>
        <v>Inqube Global (PVT) Ltd</v>
      </c>
      <c r="G917" s="45" t="str">
        <f ca="1">IFERROR(__xludf.DUMMYFUNCTION("""COMPUTED_VALUE"""),"BRANDIX APPAREL SOLUTION LTD - GIRITALE")</f>
        <v>BRANDIX APPAREL SOLUTION LTD - GIRITALE</v>
      </c>
      <c r="H917" s="43">
        <f ca="1">IFERROR(__xludf.DUMMYFUNCTION("""COMPUTED_VALUE"""),456555144282)</f>
        <v>456555144282</v>
      </c>
      <c r="I917" s="45">
        <f ca="1">IFERROR(__xludf.DUMMYFUNCTION("""COMPUTED_VALUE"""),19855842)</f>
        <v>19855842</v>
      </c>
      <c r="J917" s="45" t="str">
        <f ca="1">IFERROR(__xludf.DUMMYFUNCTION("""COMPUTED_VALUE"""),"LM5BL3S")</f>
        <v>LM5BL3S</v>
      </c>
      <c r="K917" s="45" t="str">
        <f ca="1">IFERROR(__xludf.DUMMYFUNCTION("""COMPUTED_VALUE"""),"LM5BL3S-071148")</f>
        <v>LM5BL3S-071148</v>
      </c>
      <c r="L917" s="45">
        <f ca="1">IFERROR(__xludf.DUMMYFUNCTION("""COMPUTED_VALUE"""),2)</f>
        <v>2</v>
      </c>
      <c r="M917" s="45">
        <f ca="1">IFERROR(__xludf.DUMMYFUNCTION("""COMPUTED_VALUE"""),40)</f>
        <v>40</v>
      </c>
      <c r="N917" s="45">
        <f ca="1">IFERROR(__xludf.DUMMYFUNCTION("""COMPUTED_VALUE"""),16.39)</f>
        <v>16.39</v>
      </c>
      <c r="O917" s="45">
        <f ca="1">IFERROR(__xludf.DUMMYFUNCTION("""COMPUTED_VALUE"""),0.125)</f>
        <v>0.125</v>
      </c>
      <c r="P917" s="45" t="str">
        <f ca="1">IFERROR(__xludf.DUMMYFUNCTION("""COMPUTED_VALUE"""),"Colombo, LK")</f>
        <v>Colombo, LK</v>
      </c>
      <c r="Q917" s="45" t="str">
        <f ca="1">IFERROR(__xludf.DUMMYFUNCTION("""COMPUTED_VALUE"""),"New York, NY, US")</f>
        <v>New York, NY, US</v>
      </c>
      <c r="R917" s="44">
        <f ca="1">IFERROR(__xludf.DUMMYFUNCTION("""COMPUTED_VALUE"""),45838)</f>
        <v>45838</v>
      </c>
      <c r="S917" s="44">
        <f ca="1">IFERROR(__xludf.DUMMYFUNCTION("""COMPUTED_VALUE"""),45897)</f>
        <v>45897</v>
      </c>
      <c r="T917" s="45" t="str">
        <f ca="1">IFERROR(__xludf.DUMMYFUNCTION("""COMPUTED_VALUE"""),"Mississauga, ON, CA")</f>
        <v>Mississauga, ON, CA</v>
      </c>
      <c r="U917" s="45"/>
      <c r="V917" s="45"/>
      <c r="W917" s="45"/>
      <c r="X917" s="45"/>
      <c r="Y917" s="46">
        <f ca="1">IFERROR(__xludf.DUMMYFUNCTION("""COMPUTED_VALUE"""),45845)</f>
        <v>45845</v>
      </c>
      <c r="Z917" s="46">
        <f ca="1">IFERROR(__xludf.DUMMYFUNCTION("""COMPUTED_VALUE"""),45866)</f>
        <v>45866</v>
      </c>
      <c r="AA917" s="46">
        <f ca="1">IFERROR(__xludf.DUMMYFUNCTION("""COMPUTED_VALUE"""),45866)</f>
        <v>45866</v>
      </c>
      <c r="AB917" s="45" t="str">
        <f ca="1">IFERROR(__xludf.DUMMYFUNCTION("""COMPUTED_VALUE"""),"3500 Argentia Road")</f>
        <v>3500 Argentia Road</v>
      </c>
      <c r="AC917" s="45"/>
      <c r="AD917" s="45" t="str">
        <f ca="1">IFERROR(__xludf.DUMMYFUNCTION("""COMPUTED_VALUE"""),"OCEAN")</f>
        <v>OCEAN</v>
      </c>
      <c r="AE917" s="45" t="str">
        <f ca="1">IFERROR(__xludf.DUMMYFUNCTION("""COMPUTED_VALUE"""),"N")</f>
        <v>N</v>
      </c>
      <c r="AF917" s="45" t="str">
        <f ca="1">IFERROR(__xludf.DUMMYFUNCTION("""COMPUTED_VALUE"""),"New Booking")</f>
        <v>New Booking</v>
      </c>
      <c r="AG917" s="49" t="str">
        <f ca="1">IFERROR(__xludf.DUMMYFUNCTION("IFNA(vlookup(H917,IMPORTRANGE(""1vUGwO1n0QQGx9kKbO0_M5gmuhXZ6-LaxQxgrmJnzgP0"",""'TP# look up'!A:C""),3,0),"""")"),"")</f>
        <v/>
      </c>
      <c r="AH917" s="49" t="str">
        <f t="shared" ca="1" si="14"/>
        <v>LM</v>
      </c>
    </row>
    <row r="918" spans="1:34" ht="12.75">
      <c r="A918" s="45" t="str">
        <f ca="1">IFERROR(__xludf.DUMMYFUNCTION("""COMPUTED_VALUE"""),"Colombo")</f>
        <v>Colombo</v>
      </c>
      <c r="B918" s="45"/>
      <c r="C918" s="45">
        <f ca="1">IFERROR(__xludf.DUMMYFUNCTION("""COMPUTED_VALUE"""),3259528)</f>
        <v>3259528</v>
      </c>
      <c r="D918" s="45"/>
      <c r="E918" s="45" t="str">
        <f ca="1">IFERROR(__xludf.DUMMYFUNCTION("""COMPUTED_VALUE"""),"CFS")</f>
        <v>CFS</v>
      </c>
      <c r="F918" s="45" t="str">
        <f ca="1">IFERROR(__xludf.DUMMYFUNCTION("""COMPUTED_VALUE"""),"Inqube Global (PVT) Ltd")</f>
        <v>Inqube Global (PVT) Ltd</v>
      </c>
      <c r="G918" s="45" t="str">
        <f ca="1">IFERROR(__xludf.DUMMYFUNCTION("""COMPUTED_VALUE"""),"BRANDIX APPAREL SOLUTION LTD - GIRITALE")</f>
        <v>BRANDIX APPAREL SOLUTION LTD - GIRITALE</v>
      </c>
      <c r="H918" s="43">
        <f ca="1">IFERROR(__xludf.DUMMYFUNCTION("""COMPUTED_VALUE"""),456556700071)</f>
        <v>456556700071</v>
      </c>
      <c r="I918" s="45">
        <f ca="1">IFERROR(__xludf.DUMMYFUNCTION("""COMPUTED_VALUE"""),19855843)</f>
        <v>19855843</v>
      </c>
      <c r="J918" s="45" t="str">
        <f ca="1">IFERROR(__xludf.DUMMYFUNCTION("""COMPUTED_VALUE"""),"LM5BL3S")</f>
        <v>LM5BL3S</v>
      </c>
      <c r="K918" s="45" t="str">
        <f ca="1">IFERROR(__xludf.DUMMYFUNCTION("""COMPUTED_VALUE"""),"LM5BL3S-071148")</f>
        <v>LM5BL3S-071148</v>
      </c>
      <c r="L918" s="45">
        <f ca="1">IFERROR(__xludf.DUMMYFUNCTION("""COMPUTED_VALUE"""),4)</f>
        <v>4</v>
      </c>
      <c r="M918" s="45">
        <f ca="1">IFERROR(__xludf.DUMMYFUNCTION("""COMPUTED_VALUE"""),61)</f>
        <v>61</v>
      </c>
      <c r="N918" s="45">
        <f ca="1">IFERROR(__xludf.DUMMYFUNCTION("""COMPUTED_VALUE"""),25.65)</f>
        <v>25.65</v>
      </c>
      <c r="O918" s="45">
        <f ca="1">IFERROR(__xludf.DUMMYFUNCTION("""COMPUTED_VALUE"""),0.21)</f>
        <v>0.21</v>
      </c>
      <c r="P918" s="45" t="str">
        <f ca="1">IFERROR(__xludf.DUMMYFUNCTION("""COMPUTED_VALUE"""),"Colombo, LK")</f>
        <v>Colombo, LK</v>
      </c>
      <c r="Q918" s="45" t="str">
        <f ca="1">IFERROR(__xludf.DUMMYFUNCTION("""COMPUTED_VALUE"""),"New York, NY, US")</f>
        <v>New York, NY, US</v>
      </c>
      <c r="R918" s="44">
        <f ca="1">IFERROR(__xludf.DUMMYFUNCTION("""COMPUTED_VALUE"""),45838)</f>
        <v>45838</v>
      </c>
      <c r="S918" s="44">
        <f ca="1">IFERROR(__xludf.DUMMYFUNCTION("""COMPUTED_VALUE"""),45897)</f>
        <v>45897</v>
      </c>
      <c r="T918" s="45" t="str">
        <f ca="1">IFERROR(__xludf.DUMMYFUNCTION("""COMPUTED_VALUE"""),"Mississauga, ON, CA")</f>
        <v>Mississauga, ON, CA</v>
      </c>
      <c r="U918" s="45"/>
      <c r="V918" s="45"/>
      <c r="W918" s="45"/>
      <c r="X918" s="45"/>
      <c r="Y918" s="46">
        <f ca="1">IFERROR(__xludf.DUMMYFUNCTION("""COMPUTED_VALUE"""),45845)</f>
        <v>45845</v>
      </c>
      <c r="Z918" s="46">
        <f ca="1">IFERROR(__xludf.DUMMYFUNCTION("""COMPUTED_VALUE"""),45866)</f>
        <v>45866</v>
      </c>
      <c r="AA918" s="46">
        <f ca="1">IFERROR(__xludf.DUMMYFUNCTION("""COMPUTED_VALUE"""),45866)</f>
        <v>45866</v>
      </c>
      <c r="AB918" s="45" t="str">
        <f ca="1">IFERROR(__xludf.DUMMYFUNCTION("""COMPUTED_VALUE"""),"3500 Argentia Road")</f>
        <v>3500 Argentia Road</v>
      </c>
      <c r="AC918" s="45"/>
      <c r="AD918" s="45" t="str">
        <f ca="1">IFERROR(__xludf.DUMMYFUNCTION("""COMPUTED_VALUE"""),"OCEAN")</f>
        <v>OCEAN</v>
      </c>
      <c r="AE918" s="45" t="str">
        <f ca="1">IFERROR(__xludf.DUMMYFUNCTION("""COMPUTED_VALUE"""),"N")</f>
        <v>N</v>
      </c>
      <c r="AF918" s="45" t="str">
        <f ca="1">IFERROR(__xludf.DUMMYFUNCTION("""COMPUTED_VALUE"""),"New Booking")</f>
        <v>New Booking</v>
      </c>
      <c r="AG918" s="49" t="str">
        <f ca="1">IFERROR(__xludf.DUMMYFUNCTION("IFNA(vlookup(H918,IMPORTRANGE(""1vUGwO1n0QQGx9kKbO0_M5gmuhXZ6-LaxQxgrmJnzgP0"",""'TP# look up'!A:C""),3,0),"""")"),"")</f>
        <v/>
      </c>
      <c r="AH918" s="49" t="str">
        <f t="shared" ca="1" si="14"/>
        <v>LM</v>
      </c>
    </row>
    <row r="919" spans="1:34" ht="12.75">
      <c r="A919" s="45" t="str">
        <f ca="1">IFERROR(__xludf.DUMMYFUNCTION("""COMPUTED_VALUE"""),"Colombo")</f>
        <v>Colombo</v>
      </c>
      <c r="B919" s="45"/>
      <c r="C919" s="45">
        <f ca="1">IFERROR(__xludf.DUMMYFUNCTION("""COMPUTED_VALUE"""),3259528)</f>
        <v>3259528</v>
      </c>
      <c r="D919" s="45"/>
      <c r="E919" s="45" t="str">
        <f ca="1">IFERROR(__xludf.DUMMYFUNCTION("""COMPUTED_VALUE"""),"CFS")</f>
        <v>CFS</v>
      </c>
      <c r="F919" s="45" t="str">
        <f ca="1">IFERROR(__xludf.DUMMYFUNCTION("""COMPUTED_VALUE"""),"Inqube Global (PVT) Ltd")</f>
        <v>Inqube Global (PVT) Ltd</v>
      </c>
      <c r="G919" s="45" t="str">
        <f ca="1">IFERROR(__xludf.DUMMYFUNCTION("""COMPUTED_VALUE"""),"BRANDIX APPAREL SOLUTION LTD - GIRITALE")</f>
        <v>BRANDIX APPAREL SOLUTION LTD - GIRITALE</v>
      </c>
      <c r="H919" s="43">
        <f ca="1">IFERROR(__xludf.DUMMYFUNCTION("""COMPUTED_VALUE"""),456632533604)</f>
        <v>456632533604</v>
      </c>
      <c r="I919" s="45">
        <f ca="1">IFERROR(__xludf.DUMMYFUNCTION("""COMPUTED_VALUE"""),19856579)</f>
        <v>19856579</v>
      </c>
      <c r="J919" s="45" t="str">
        <f ca="1">IFERROR(__xludf.DUMMYFUNCTION("""COMPUTED_VALUE"""),"LM5BL3S")</f>
        <v>LM5BL3S</v>
      </c>
      <c r="K919" s="45" t="str">
        <f ca="1">IFERROR(__xludf.DUMMYFUNCTION("""COMPUTED_VALUE"""),"LM5BL3S-071148")</f>
        <v>LM5BL3S-071148</v>
      </c>
      <c r="L919" s="45">
        <f ca="1">IFERROR(__xludf.DUMMYFUNCTION("""COMPUTED_VALUE"""),7)</f>
        <v>7</v>
      </c>
      <c r="M919" s="45">
        <f ca="1">IFERROR(__xludf.DUMMYFUNCTION("""COMPUTED_VALUE"""),175)</f>
        <v>175</v>
      </c>
      <c r="N919" s="45">
        <f ca="1">IFERROR(__xludf.DUMMYFUNCTION("""COMPUTED_VALUE"""),70.12)</f>
        <v>70.12</v>
      </c>
      <c r="O919" s="45">
        <f ca="1">IFERROR(__xludf.DUMMYFUNCTION("""COMPUTED_VALUE"""),0.458)</f>
        <v>0.45800000000000002</v>
      </c>
      <c r="P919" s="45" t="str">
        <f ca="1">IFERROR(__xludf.DUMMYFUNCTION("""COMPUTED_VALUE"""),"Colombo, LK")</f>
        <v>Colombo, LK</v>
      </c>
      <c r="Q919" s="45" t="str">
        <f ca="1">IFERROR(__xludf.DUMMYFUNCTION("""COMPUTED_VALUE"""),"New York, NY, US")</f>
        <v>New York, NY, US</v>
      </c>
      <c r="R919" s="44">
        <f ca="1">IFERROR(__xludf.DUMMYFUNCTION("""COMPUTED_VALUE"""),45838)</f>
        <v>45838</v>
      </c>
      <c r="S919" s="44">
        <f ca="1">IFERROR(__xludf.DUMMYFUNCTION("""COMPUTED_VALUE"""),45897)</f>
        <v>45897</v>
      </c>
      <c r="T919" s="45" t="str">
        <f ca="1">IFERROR(__xludf.DUMMYFUNCTION("""COMPUTED_VALUE"""),"Mississauga, ON, CA")</f>
        <v>Mississauga, ON, CA</v>
      </c>
      <c r="U919" s="45"/>
      <c r="V919" s="45"/>
      <c r="W919" s="45"/>
      <c r="X919" s="45"/>
      <c r="Y919" s="46">
        <f ca="1">IFERROR(__xludf.DUMMYFUNCTION("""COMPUTED_VALUE"""),45845)</f>
        <v>45845</v>
      </c>
      <c r="Z919" s="46">
        <f ca="1">IFERROR(__xludf.DUMMYFUNCTION("""COMPUTED_VALUE"""),45866)</f>
        <v>45866</v>
      </c>
      <c r="AA919" s="46">
        <f ca="1">IFERROR(__xludf.DUMMYFUNCTION("""COMPUTED_VALUE"""),45866)</f>
        <v>45866</v>
      </c>
      <c r="AB919" s="45" t="str">
        <f ca="1">IFERROR(__xludf.DUMMYFUNCTION("""COMPUTED_VALUE"""),"3500 Argentia Road")</f>
        <v>3500 Argentia Road</v>
      </c>
      <c r="AC919" s="45"/>
      <c r="AD919" s="45" t="str">
        <f ca="1">IFERROR(__xludf.DUMMYFUNCTION("""COMPUTED_VALUE"""),"OCEAN")</f>
        <v>OCEAN</v>
      </c>
      <c r="AE919" s="45" t="str">
        <f ca="1">IFERROR(__xludf.DUMMYFUNCTION("""COMPUTED_VALUE"""),"N")</f>
        <v>N</v>
      </c>
      <c r="AF919" s="45" t="str">
        <f ca="1">IFERROR(__xludf.DUMMYFUNCTION("""COMPUTED_VALUE"""),"New Booking")</f>
        <v>New Booking</v>
      </c>
      <c r="AG919" s="49" t="str">
        <f ca="1">IFERROR(__xludf.DUMMYFUNCTION("IFNA(vlookup(H919,IMPORTRANGE(""1vUGwO1n0QQGx9kKbO0_M5gmuhXZ6-LaxQxgrmJnzgP0"",""'TP# look up'!A:C""),3,0),"""")"),"")</f>
        <v/>
      </c>
      <c r="AH919" s="49" t="str">
        <f t="shared" ca="1" si="14"/>
        <v>LM</v>
      </c>
    </row>
    <row r="920" spans="1:34" ht="12.75">
      <c r="A920" s="45" t="str">
        <f ca="1">IFERROR(__xludf.DUMMYFUNCTION("""COMPUTED_VALUE"""),"Colombo")</f>
        <v>Colombo</v>
      </c>
      <c r="B920" s="45"/>
      <c r="C920" s="45">
        <f ca="1">IFERROR(__xludf.DUMMYFUNCTION("""COMPUTED_VALUE"""),3259528)</f>
        <v>3259528</v>
      </c>
      <c r="D920" s="45"/>
      <c r="E920" s="45" t="str">
        <f ca="1">IFERROR(__xludf.DUMMYFUNCTION("""COMPUTED_VALUE"""),"CFS")</f>
        <v>CFS</v>
      </c>
      <c r="F920" s="45" t="str">
        <f ca="1">IFERROR(__xludf.DUMMYFUNCTION("""COMPUTED_VALUE"""),"Inqube Global (PVT) Ltd")</f>
        <v>Inqube Global (PVT) Ltd</v>
      </c>
      <c r="G920" s="45" t="str">
        <f ca="1">IFERROR(__xludf.DUMMYFUNCTION("""COMPUTED_VALUE"""),"BRANDIX APPAREL SOLUTION LTD - GIRITALE")</f>
        <v>BRANDIX APPAREL SOLUTION LTD - GIRITALE</v>
      </c>
      <c r="H920" s="43">
        <f ca="1">IFERROR(__xludf.DUMMYFUNCTION("""COMPUTED_VALUE"""),456633041844)</f>
        <v>456633041844</v>
      </c>
      <c r="I920" s="45">
        <f ca="1">IFERROR(__xludf.DUMMYFUNCTION("""COMPUTED_VALUE"""),19856583)</f>
        <v>19856583</v>
      </c>
      <c r="J920" s="45" t="str">
        <f ca="1">IFERROR(__xludf.DUMMYFUNCTION("""COMPUTED_VALUE"""),"LM5BL3S")</f>
        <v>LM5BL3S</v>
      </c>
      <c r="K920" s="45" t="str">
        <f ca="1">IFERROR(__xludf.DUMMYFUNCTION("""COMPUTED_VALUE"""),"LM5BL3S-071148")</f>
        <v>LM5BL3S-071148</v>
      </c>
      <c r="L920" s="45">
        <f ca="1">IFERROR(__xludf.DUMMYFUNCTION("""COMPUTED_VALUE"""),7)</f>
        <v>7</v>
      </c>
      <c r="M920" s="45">
        <f ca="1">IFERROR(__xludf.DUMMYFUNCTION("""COMPUTED_VALUE"""),170)</f>
        <v>170</v>
      </c>
      <c r="N920" s="45">
        <f ca="1">IFERROR(__xludf.DUMMYFUNCTION("""COMPUTED_VALUE"""),68.34)</f>
        <v>68.34</v>
      </c>
      <c r="O920" s="45">
        <f ca="1">IFERROR(__xludf.DUMMYFUNCTION("""COMPUTED_VALUE"""),0.458)</f>
        <v>0.45800000000000002</v>
      </c>
      <c r="P920" s="45" t="str">
        <f ca="1">IFERROR(__xludf.DUMMYFUNCTION("""COMPUTED_VALUE"""),"Colombo, LK")</f>
        <v>Colombo, LK</v>
      </c>
      <c r="Q920" s="45" t="str">
        <f ca="1">IFERROR(__xludf.DUMMYFUNCTION("""COMPUTED_VALUE"""),"New York, NY, US")</f>
        <v>New York, NY, US</v>
      </c>
      <c r="R920" s="44">
        <f ca="1">IFERROR(__xludf.DUMMYFUNCTION("""COMPUTED_VALUE"""),45838)</f>
        <v>45838</v>
      </c>
      <c r="S920" s="44">
        <f ca="1">IFERROR(__xludf.DUMMYFUNCTION("""COMPUTED_VALUE"""),45897)</f>
        <v>45897</v>
      </c>
      <c r="T920" s="45" t="str">
        <f ca="1">IFERROR(__xludf.DUMMYFUNCTION("""COMPUTED_VALUE"""),"Mississauga, ON, CA")</f>
        <v>Mississauga, ON, CA</v>
      </c>
      <c r="U920" s="45"/>
      <c r="V920" s="45"/>
      <c r="W920" s="45"/>
      <c r="X920" s="45"/>
      <c r="Y920" s="46">
        <f ca="1">IFERROR(__xludf.DUMMYFUNCTION("""COMPUTED_VALUE"""),45845)</f>
        <v>45845</v>
      </c>
      <c r="Z920" s="46">
        <f ca="1">IFERROR(__xludf.DUMMYFUNCTION("""COMPUTED_VALUE"""),45866)</f>
        <v>45866</v>
      </c>
      <c r="AA920" s="46">
        <f ca="1">IFERROR(__xludf.DUMMYFUNCTION("""COMPUTED_VALUE"""),45866)</f>
        <v>45866</v>
      </c>
      <c r="AB920" s="45" t="str">
        <f ca="1">IFERROR(__xludf.DUMMYFUNCTION("""COMPUTED_VALUE"""),"3500 Argentia Road")</f>
        <v>3500 Argentia Road</v>
      </c>
      <c r="AC920" s="45"/>
      <c r="AD920" s="45" t="str">
        <f ca="1">IFERROR(__xludf.DUMMYFUNCTION("""COMPUTED_VALUE"""),"OCEAN")</f>
        <v>OCEAN</v>
      </c>
      <c r="AE920" s="45" t="str">
        <f ca="1">IFERROR(__xludf.DUMMYFUNCTION("""COMPUTED_VALUE"""),"N")</f>
        <v>N</v>
      </c>
      <c r="AF920" s="45" t="str">
        <f ca="1">IFERROR(__xludf.DUMMYFUNCTION("""COMPUTED_VALUE"""),"New Booking")</f>
        <v>New Booking</v>
      </c>
      <c r="AG920" s="49" t="str">
        <f ca="1">IFERROR(__xludf.DUMMYFUNCTION("IFNA(vlookup(H920,IMPORTRANGE(""1vUGwO1n0QQGx9kKbO0_M5gmuhXZ6-LaxQxgrmJnzgP0"",""'TP# look up'!A:C""),3,0),"""")"),"")</f>
        <v/>
      </c>
      <c r="AH920" s="49" t="str">
        <f t="shared" ca="1" si="14"/>
        <v>LM</v>
      </c>
    </row>
    <row r="921" spans="1:34" ht="12.75">
      <c r="A921" s="45" t="str">
        <f ca="1">IFERROR(__xludf.DUMMYFUNCTION("""COMPUTED_VALUE"""),"Colombo")</f>
        <v>Colombo</v>
      </c>
      <c r="B921" s="45"/>
      <c r="C921" s="45">
        <f ca="1">IFERROR(__xludf.DUMMYFUNCTION("""COMPUTED_VALUE"""),3259528)</f>
        <v>3259528</v>
      </c>
      <c r="D921" s="45"/>
      <c r="E921" s="45" t="str">
        <f ca="1">IFERROR(__xludf.DUMMYFUNCTION("""COMPUTED_VALUE"""),"CFS")</f>
        <v>CFS</v>
      </c>
      <c r="F921" s="45" t="str">
        <f ca="1">IFERROR(__xludf.DUMMYFUNCTION("""COMPUTED_VALUE"""),"Inqube Global (PVT) Ltd")</f>
        <v>Inqube Global (PVT) Ltd</v>
      </c>
      <c r="G921" s="45" t="str">
        <f ca="1">IFERROR(__xludf.DUMMYFUNCTION("""COMPUTED_VALUE"""),"Brandix Apparel Solutions Limited - Minuwangoda")</f>
        <v>Brandix Apparel Solutions Limited - Minuwangoda</v>
      </c>
      <c r="H921" s="43">
        <f ca="1">IFERROR(__xludf.DUMMYFUNCTION("""COMPUTED_VALUE"""),456593481002)</f>
        <v>456593481002</v>
      </c>
      <c r="I921" s="45">
        <f ca="1">IFERROR(__xludf.DUMMYFUNCTION("""COMPUTED_VALUE"""),19855056)</f>
        <v>19855056</v>
      </c>
      <c r="J921" s="45" t="str">
        <f ca="1">IFERROR(__xludf.DUMMYFUNCTION("""COMPUTED_VALUE"""),"LW3ISOS")</f>
        <v>LW3ISOS</v>
      </c>
      <c r="K921" s="45" t="str">
        <f ca="1">IFERROR(__xludf.DUMMYFUNCTION("""COMPUTED_VALUE"""),"LW3ISOS-020392")</f>
        <v>LW3ISOS-020392</v>
      </c>
      <c r="L921" s="45">
        <f ca="1">IFERROR(__xludf.DUMMYFUNCTION("""COMPUTED_VALUE"""),3)</f>
        <v>3</v>
      </c>
      <c r="M921" s="45">
        <f ca="1">IFERROR(__xludf.DUMMYFUNCTION("""COMPUTED_VALUE"""),137)</f>
        <v>137</v>
      </c>
      <c r="N921" s="45">
        <f ca="1">IFERROR(__xludf.DUMMYFUNCTION("""COMPUTED_VALUE"""),25.23)</f>
        <v>25.23</v>
      </c>
      <c r="O921" s="45">
        <f ca="1">IFERROR(__xludf.DUMMYFUNCTION("""COMPUTED_VALUE"""),0.236)</f>
        <v>0.23599999999999999</v>
      </c>
      <c r="P921" s="45" t="str">
        <f ca="1">IFERROR(__xludf.DUMMYFUNCTION("""COMPUTED_VALUE"""),"Colombo, LK")</f>
        <v>Colombo, LK</v>
      </c>
      <c r="Q921" s="45" t="str">
        <f ca="1">IFERROR(__xludf.DUMMYFUNCTION("""COMPUTED_VALUE"""),"New York, NY, US")</f>
        <v>New York, NY, US</v>
      </c>
      <c r="R921" s="44">
        <f ca="1">IFERROR(__xludf.DUMMYFUNCTION("""COMPUTED_VALUE"""),45838)</f>
        <v>45838</v>
      </c>
      <c r="S921" s="44">
        <f ca="1">IFERROR(__xludf.DUMMYFUNCTION("""COMPUTED_VALUE"""),45897)</f>
        <v>45897</v>
      </c>
      <c r="T921" s="45" t="str">
        <f ca="1">IFERROR(__xludf.DUMMYFUNCTION("""COMPUTED_VALUE"""),"Mississauga, ON, CA")</f>
        <v>Mississauga, ON, CA</v>
      </c>
      <c r="U921" s="45"/>
      <c r="V921" s="45"/>
      <c r="W921" s="45"/>
      <c r="X921" s="45"/>
      <c r="Y921" s="46">
        <f ca="1">IFERROR(__xludf.DUMMYFUNCTION("""COMPUTED_VALUE"""),45845)</f>
        <v>45845</v>
      </c>
      <c r="Z921" s="46">
        <f ca="1">IFERROR(__xludf.DUMMYFUNCTION("""COMPUTED_VALUE"""),45866)</f>
        <v>45866</v>
      </c>
      <c r="AA921" s="46">
        <f ca="1">IFERROR(__xludf.DUMMYFUNCTION("""COMPUTED_VALUE"""),45866)</f>
        <v>45866</v>
      </c>
      <c r="AB921" s="45" t="str">
        <f ca="1">IFERROR(__xludf.DUMMYFUNCTION("""COMPUTED_VALUE"""),"3500 Argentia Road")</f>
        <v>3500 Argentia Road</v>
      </c>
      <c r="AC921" s="45"/>
      <c r="AD921" s="45" t="str">
        <f ca="1">IFERROR(__xludf.DUMMYFUNCTION("""COMPUTED_VALUE"""),"OCEAN")</f>
        <v>OCEAN</v>
      </c>
      <c r="AE921" s="45" t="str">
        <f ca="1">IFERROR(__xludf.DUMMYFUNCTION("""COMPUTED_VALUE"""),"N")</f>
        <v>N</v>
      </c>
      <c r="AF921" s="45" t="str">
        <f ca="1">IFERROR(__xludf.DUMMYFUNCTION("""COMPUTED_VALUE"""),"New Booking")</f>
        <v>New Booking</v>
      </c>
      <c r="AG921" s="49" t="str">
        <f ca="1">IFERROR(__xludf.DUMMYFUNCTION("IFNA(vlookup(H921,IMPORTRANGE(""1vUGwO1n0QQGx9kKbO0_M5gmuhXZ6-LaxQxgrmJnzgP0"",""'TP# look up'!A:C""),3,0),"""")"),"")</f>
        <v/>
      </c>
      <c r="AH921" s="49" t="str">
        <f t="shared" ca="1" si="14"/>
        <v>LW</v>
      </c>
    </row>
    <row r="922" spans="1:34" ht="12.75">
      <c r="A922" s="45" t="str">
        <f ca="1">IFERROR(__xludf.DUMMYFUNCTION("""COMPUTED_VALUE"""),"Colombo")</f>
        <v>Colombo</v>
      </c>
      <c r="B922" s="45"/>
      <c r="C922" s="45">
        <f ca="1">IFERROR(__xludf.DUMMYFUNCTION("""COMPUTED_VALUE"""),3259528)</f>
        <v>3259528</v>
      </c>
      <c r="D922" s="45"/>
      <c r="E922" s="45" t="str">
        <f ca="1">IFERROR(__xludf.DUMMYFUNCTION("""COMPUTED_VALUE"""),"CFS")</f>
        <v>CFS</v>
      </c>
      <c r="F922" s="45" t="str">
        <f ca="1">IFERROR(__xludf.DUMMYFUNCTION("""COMPUTED_VALUE"""),"Inqube Global (PVT) Ltd")</f>
        <v>Inqube Global (PVT) Ltd</v>
      </c>
      <c r="G922" s="45" t="str">
        <f ca="1">IFERROR(__xludf.DUMMYFUNCTION("""COMPUTED_VALUE"""),"Brandix Apparel Solutions Limited - Minuwangoda")</f>
        <v>Brandix Apparel Solutions Limited - Minuwangoda</v>
      </c>
      <c r="H922" s="43">
        <f ca="1">IFERROR(__xludf.DUMMYFUNCTION("""COMPUTED_VALUE"""),456595082140)</f>
        <v>456595082140</v>
      </c>
      <c r="I922" s="45">
        <f ca="1">IFERROR(__xludf.DUMMYFUNCTION("""COMPUTED_VALUE"""),19855152)</f>
        <v>19855152</v>
      </c>
      <c r="J922" s="45" t="str">
        <f ca="1">IFERROR(__xludf.DUMMYFUNCTION("""COMPUTED_VALUE"""),"LW3ISOS")</f>
        <v>LW3ISOS</v>
      </c>
      <c r="K922" s="45" t="str">
        <f ca="1">IFERROR(__xludf.DUMMYFUNCTION("""COMPUTED_VALUE"""),"LW3ISOS-020392")</f>
        <v>LW3ISOS-020392</v>
      </c>
      <c r="L922" s="45">
        <f ca="1">IFERROR(__xludf.DUMMYFUNCTION("""COMPUTED_VALUE"""),3)</f>
        <v>3</v>
      </c>
      <c r="M922" s="45">
        <f ca="1">IFERROR(__xludf.DUMMYFUNCTION("""COMPUTED_VALUE"""),217)</f>
        <v>217</v>
      </c>
      <c r="N922" s="45">
        <f ca="1">IFERROR(__xludf.DUMMYFUNCTION("""COMPUTED_VALUE"""),38.16)</f>
        <v>38.159999999999997</v>
      </c>
      <c r="O922" s="45">
        <f ca="1">IFERROR(__xludf.DUMMYFUNCTION("""COMPUTED_VALUE"""),0.236)</f>
        <v>0.23599999999999999</v>
      </c>
      <c r="P922" s="45" t="str">
        <f ca="1">IFERROR(__xludf.DUMMYFUNCTION("""COMPUTED_VALUE"""),"Colombo, LK")</f>
        <v>Colombo, LK</v>
      </c>
      <c r="Q922" s="45" t="str">
        <f ca="1">IFERROR(__xludf.DUMMYFUNCTION("""COMPUTED_VALUE"""),"New York, NY, US")</f>
        <v>New York, NY, US</v>
      </c>
      <c r="R922" s="44">
        <f ca="1">IFERROR(__xludf.DUMMYFUNCTION("""COMPUTED_VALUE"""),45838)</f>
        <v>45838</v>
      </c>
      <c r="S922" s="44">
        <f ca="1">IFERROR(__xludf.DUMMYFUNCTION("""COMPUTED_VALUE"""),45897)</f>
        <v>45897</v>
      </c>
      <c r="T922" s="45" t="str">
        <f ca="1">IFERROR(__xludf.DUMMYFUNCTION("""COMPUTED_VALUE"""),"Mississauga, ON, CA")</f>
        <v>Mississauga, ON, CA</v>
      </c>
      <c r="U922" s="45"/>
      <c r="V922" s="45"/>
      <c r="W922" s="45"/>
      <c r="X922" s="45"/>
      <c r="Y922" s="46">
        <f ca="1">IFERROR(__xludf.DUMMYFUNCTION("""COMPUTED_VALUE"""),45845)</f>
        <v>45845</v>
      </c>
      <c r="Z922" s="46">
        <f ca="1">IFERROR(__xludf.DUMMYFUNCTION("""COMPUTED_VALUE"""),45866)</f>
        <v>45866</v>
      </c>
      <c r="AA922" s="46">
        <f ca="1">IFERROR(__xludf.DUMMYFUNCTION("""COMPUTED_VALUE"""),45866)</f>
        <v>45866</v>
      </c>
      <c r="AB922" s="45" t="str">
        <f ca="1">IFERROR(__xludf.DUMMYFUNCTION("""COMPUTED_VALUE"""),"3500 Argentia Road")</f>
        <v>3500 Argentia Road</v>
      </c>
      <c r="AC922" s="45"/>
      <c r="AD922" s="45" t="str">
        <f ca="1">IFERROR(__xludf.DUMMYFUNCTION("""COMPUTED_VALUE"""),"OCEAN")</f>
        <v>OCEAN</v>
      </c>
      <c r="AE922" s="45" t="str">
        <f ca="1">IFERROR(__xludf.DUMMYFUNCTION("""COMPUTED_VALUE"""),"N")</f>
        <v>N</v>
      </c>
      <c r="AF922" s="45" t="str">
        <f ca="1">IFERROR(__xludf.DUMMYFUNCTION("""COMPUTED_VALUE"""),"New Booking")</f>
        <v>New Booking</v>
      </c>
      <c r="AG922" s="49" t="str">
        <f ca="1">IFERROR(__xludf.DUMMYFUNCTION("IFNA(vlookup(H922,IMPORTRANGE(""1vUGwO1n0QQGx9kKbO0_M5gmuhXZ6-LaxQxgrmJnzgP0"",""'TP# look up'!A:C""),3,0),"""")"),"")</f>
        <v/>
      </c>
      <c r="AH922" s="49" t="str">
        <f t="shared" ca="1" si="14"/>
        <v>LW</v>
      </c>
    </row>
    <row r="923" spans="1:34" ht="12.75">
      <c r="A923" s="45" t="str">
        <f ca="1">IFERROR(__xludf.DUMMYFUNCTION("""COMPUTED_VALUE"""),"Colombo")</f>
        <v>Colombo</v>
      </c>
      <c r="B923" s="45"/>
      <c r="C923" s="45">
        <f ca="1">IFERROR(__xludf.DUMMYFUNCTION("""COMPUTED_VALUE"""),3259528)</f>
        <v>3259528</v>
      </c>
      <c r="D923" s="45"/>
      <c r="E923" s="45" t="str">
        <f ca="1">IFERROR(__xludf.DUMMYFUNCTION("""COMPUTED_VALUE"""),"CFS")</f>
        <v>CFS</v>
      </c>
      <c r="F923" s="45" t="str">
        <f ca="1">IFERROR(__xludf.DUMMYFUNCTION("""COMPUTED_VALUE"""),"Inqube Global (PVT) Ltd")</f>
        <v>Inqube Global (PVT) Ltd</v>
      </c>
      <c r="G923" s="45" t="str">
        <f ca="1">IFERROR(__xludf.DUMMYFUNCTION("""COMPUTED_VALUE"""),"Brandix Apparel Solutions Limited - Minuwangoda")</f>
        <v>Brandix Apparel Solutions Limited - Minuwangoda</v>
      </c>
      <c r="H923" s="43">
        <f ca="1">IFERROR(__xludf.DUMMYFUNCTION("""COMPUTED_VALUE"""),456597296786)</f>
        <v>456597296786</v>
      </c>
      <c r="I923" s="45">
        <f ca="1">IFERROR(__xludf.DUMMYFUNCTION("""COMPUTED_VALUE"""),19855060)</f>
        <v>19855060</v>
      </c>
      <c r="J923" s="45" t="str">
        <f ca="1">IFERROR(__xludf.DUMMYFUNCTION("""COMPUTED_VALUE"""),"LW3ISOS")</f>
        <v>LW3ISOS</v>
      </c>
      <c r="K923" s="45" t="str">
        <f ca="1">IFERROR(__xludf.DUMMYFUNCTION("""COMPUTED_VALUE"""),"LW3ISOS-070108")</f>
        <v>LW3ISOS-070108</v>
      </c>
      <c r="L923" s="45">
        <f ca="1">IFERROR(__xludf.DUMMYFUNCTION("""COMPUTED_VALUE"""),5)</f>
        <v>5</v>
      </c>
      <c r="M923" s="45">
        <f ca="1">IFERROR(__xludf.DUMMYFUNCTION("""COMPUTED_VALUE"""),453)</f>
        <v>453</v>
      </c>
      <c r="N923" s="45">
        <f ca="1">IFERROR(__xludf.DUMMYFUNCTION("""COMPUTED_VALUE"""),78.68)</f>
        <v>78.680000000000007</v>
      </c>
      <c r="O923" s="45">
        <f ca="1">IFERROR(__xludf.DUMMYFUNCTION("""COMPUTED_VALUE"""),0.393)</f>
        <v>0.39300000000000002</v>
      </c>
      <c r="P923" s="45" t="str">
        <f ca="1">IFERROR(__xludf.DUMMYFUNCTION("""COMPUTED_VALUE"""),"Colombo, LK")</f>
        <v>Colombo, LK</v>
      </c>
      <c r="Q923" s="45" t="str">
        <f ca="1">IFERROR(__xludf.DUMMYFUNCTION("""COMPUTED_VALUE"""),"New York, NY, US")</f>
        <v>New York, NY, US</v>
      </c>
      <c r="R923" s="44">
        <f ca="1">IFERROR(__xludf.DUMMYFUNCTION("""COMPUTED_VALUE"""),45838)</f>
        <v>45838</v>
      </c>
      <c r="S923" s="44">
        <f ca="1">IFERROR(__xludf.DUMMYFUNCTION("""COMPUTED_VALUE"""),45897)</f>
        <v>45897</v>
      </c>
      <c r="T923" s="45" t="str">
        <f ca="1">IFERROR(__xludf.DUMMYFUNCTION("""COMPUTED_VALUE"""),"Milton, ON, CA")</f>
        <v>Milton, ON, CA</v>
      </c>
      <c r="U923" s="45"/>
      <c r="V923" s="45"/>
      <c r="W923" s="45"/>
      <c r="X923" s="45"/>
      <c r="Y923" s="46">
        <f ca="1">IFERROR(__xludf.DUMMYFUNCTION("""COMPUTED_VALUE"""),45845)</f>
        <v>45845</v>
      </c>
      <c r="Z923" s="46">
        <f ca="1">IFERROR(__xludf.DUMMYFUNCTION("""COMPUTED_VALUE"""),45866)</f>
        <v>45866</v>
      </c>
      <c r="AA923" s="46">
        <f ca="1">IFERROR(__xludf.DUMMYFUNCTION("""COMPUTED_VALUE"""),45866)</f>
        <v>45866</v>
      </c>
      <c r="AB923" s="45" t="str">
        <f ca="1">IFERROR(__xludf.DUMMYFUNCTION("""COMPUTED_VALUE"""),"7211 Fifth Line")</f>
        <v>7211 Fifth Line</v>
      </c>
      <c r="AC923" s="45"/>
      <c r="AD923" s="45" t="str">
        <f ca="1">IFERROR(__xludf.DUMMYFUNCTION("""COMPUTED_VALUE"""),"OCEAN")</f>
        <v>OCEAN</v>
      </c>
      <c r="AE923" s="45" t="str">
        <f ca="1">IFERROR(__xludf.DUMMYFUNCTION("""COMPUTED_VALUE"""),"N")</f>
        <v>N</v>
      </c>
      <c r="AF923" s="45" t="str">
        <f ca="1">IFERROR(__xludf.DUMMYFUNCTION("""COMPUTED_VALUE"""),"New Booking")</f>
        <v>New Booking</v>
      </c>
      <c r="AG923" s="49" t="str">
        <f ca="1">IFERROR(__xludf.DUMMYFUNCTION("IFNA(vlookup(H923,IMPORTRANGE(""1vUGwO1n0QQGx9kKbO0_M5gmuhXZ6-LaxQxgrmJnzgP0"",""'TP# look up'!A:C""),3,0),"""")"),"")</f>
        <v/>
      </c>
      <c r="AH923" s="49" t="str">
        <f t="shared" ca="1" si="14"/>
        <v>LW</v>
      </c>
    </row>
    <row r="924" spans="1:34" ht="12.75">
      <c r="A924" s="45" t="str">
        <f ca="1">IFERROR(__xludf.DUMMYFUNCTION("""COMPUTED_VALUE"""),"Colombo")</f>
        <v>Colombo</v>
      </c>
      <c r="B924" s="45"/>
      <c r="C924" s="45">
        <f ca="1">IFERROR(__xludf.DUMMYFUNCTION("""COMPUTED_VALUE"""),3259528)</f>
        <v>3259528</v>
      </c>
      <c r="D924" s="45"/>
      <c r="E924" s="45" t="str">
        <f ca="1">IFERROR(__xludf.DUMMYFUNCTION("""COMPUTED_VALUE"""),"CFS")</f>
        <v>CFS</v>
      </c>
      <c r="F924" s="45" t="str">
        <f ca="1">IFERROR(__xludf.DUMMYFUNCTION("""COMPUTED_VALUE"""),"Inqube Global (PVT) Ltd")</f>
        <v>Inqube Global (PVT) Ltd</v>
      </c>
      <c r="G924" s="45" t="str">
        <f ca="1">IFERROR(__xludf.DUMMYFUNCTION("""COMPUTED_VALUE"""),"Brandix Apparel Solutions Limited - Minuwangoda")</f>
        <v>Brandix Apparel Solutions Limited - Minuwangoda</v>
      </c>
      <c r="H924" s="43">
        <f ca="1">IFERROR(__xludf.DUMMYFUNCTION("""COMPUTED_VALUE"""),456598096331)</f>
        <v>456598096331</v>
      </c>
      <c r="I924" s="45">
        <f ca="1">IFERROR(__xludf.DUMMYFUNCTION("""COMPUTED_VALUE"""),19855062)</f>
        <v>19855062</v>
      </c>
      <c r="J924" s="45" t="str">
        <f ca="1">IFERROR(__xludf.DUMMYFUNCTION("""COMPUTED_VALUE"""),"LW3ISOS")</f>
        <v>LW3ISOS</v>
      </c>
      <c r="K924" s="45" t="str">
        <f ca="1">IFERROR(__xludf.DUMMYFUNCTION("""COMPUTED_VALUE"""),"LW3ISOS-070108")</f>
        <v>LW3ISOS-070108</v>
      </c>
      <c r="L924" s="45">
        <f ca="1">IFERROR(__xludf.DUMMYFUNCTION("""COMPUTED_VALUE"""),3)</f>
        <v>3</v>
      </c>
      <c r="M924" s="45">
        <f ca="1">IFERROR(__xludf.DUMMYFUNCTION("""COMPUTED_VALUE"""),186)</f>
        <v>186</v>
      </c>
      <c r="N924" s="45">
        <f ca="1">IFERROR(__xludf.DUMMYFUNCTION("""COMPUTED_VALUE"""),33.1)</f>
        <v>33.1</v>
      </c>
      <c r="O924" s="45">
        <f ca="1">IFERROR(__xludf.DUMMYFUNCTION("""COMPUTED_VALUE"""),0.236)</f>
        <v>0.23599999999999999</v>
      </c>
      <c r="P924" s="45" t="str">
        <f ca="1">IFERROR(__xludf.DUMMYFUNCTION("""COMPUTED_VALUE"""),"Colombo, LK")</f>
        <v>Colombo, LK</v>
      </c>
      <c r="Q924" s="45" t="str">
        <f ca="1">IFERROR(__xludf.DUMMYFUNCTION("""COMPUTED_VALUE"""),"New York, NY, US")</f>
        <v>New York, NY, US</v>
      </c>
      <c r="R924" s="44">
        <f ca="1">IFERROR(__xludf.DUMMYFUNCTION("""COMPUTED_VALUE"""),45838)</f>
        <v>45838</v>
      </c>
      <c r="S924" s="44">
        <f ca="1">IFERROR(__xludf.DUMMYFUNCTION("""COMPUTED_VALUE"""),45897)</f>
        <v>45897</v>
      </c>
      <c r="T924" s="45" t="str">
        <f ca="1">IFERROR(__xludf.DUMMYFUNCTION("""COMPUTED_VALUE"""),"Mississauga, ON, CA")</f>
        <v>Mississauga, ON, CA</v>
      </c>
      <c r="U924" s="45"/>
      <c r="V924" s="45"/>
      <c r="W924" s="45"/>
      <c r="X924" s="45"/>
      <c r="Y924" s="46">
        <f ca="1">IFERROR(__xludf.DUMMYFUNCTION("""COMPUTED_VALUE"""),45845)</f>
        <v>45845</v>
      </c>
      <c r="Z924" s="46">
        <f ca="1">IFERROR(__xludf.DUMMYFUNCTION("""COMPUTED_VALUE"""),45866)</f>
        <v>45866</v>
      </c>
      <c r="AA924" s="46">
        <f ca="1">IFERROR(__xludf.DUMMYFUNCTION("""COMPUTED_VALUE"""),45866)</f>
        <v>45866</v>
      </c>
      <c r="AB924" s="45" t="str">
        <f ca="1">IFERROR(__xludf.DUMMYFUNCTION("""COMPUTED_VALUE"""),"3500 Argentia Road")</f>
        <v>3500 Argentia Road</v>
      </c>
      <c r="AC924" s="45"/>
      <c r="AD924" s="45" t="str">
        <f ca="1">IFERROR(__xludf.DUMMYFUNCTION("""COMPUTED_VALUE"""),"OCEAN")</f>
        <v>OCEAN</v>
      </c>
      <c r="AE924" s="45" t="str">
        <f ca="1">IFERROR(__xludf.DUMMYFUNCTION("""COMPUTED_VALUE"""),"N")</f>
        <v>N</v>
      </c>
      <c r="AF924" s="45" t="str">
        <f ca="1">IFERROR(__xludf.DUMMYFUNCTION("""COMPUTED_VALUE"""),"New Booking")</f>
        <v>New Booking</v>
      </c>
      <c r="AG924" s="49" t="str">
        <f ca="1">IFERROR(__xludf.DUMMYFUNCTION("IFNA(vlookup(H924,IMPORTRANGE(""1vUGwO1n0QQGx9kKbO0_M5gmuhXZ6-LaxQxgrmJnzgP0"",""'TP# look up'!A:C""),3,0),"""")"),"")</f>
        <v/>
      </c>
      <c r="AH924" s="49" t="str">
        <f t="shared" ca="1" si="14"/>
        <v>LW</v>
      </c>
    </row>
    <row r="925" spans="1:34" ht="12.75">
      <c r="A925" s="45" t="str">
        <f ca="1">IFERROR(__xludf.DUMMYFUNCTION("""COMPUTED_VALUE"""),"Colombo")</f>
        <v>Colombo</v>
      </c>
      <c r="B925" s="45"/>
      <c r="C925" s="45">
        <f ca="1">IFERROR(__xludf.DUMMYFUNCTION("""COMPUTED_VALUE"""),3259528)</f>
        <v>3259528</v>
      </c>
      <c r="D925" s="45"/>
      <c r="E925" s="45" t="str">
        <f ca="1">IFERROR(__xludf.DUMMYFUNCTION("""COMPUTED_VALUE"""),"CFS")</f>
        <v>CFS</v>
      </c>
      <c r="F925" s="45" t="str">
        <f ca="1">IFERROR(__xludf.DUMMYFUNCTION("""COMPUTED_VALUE"""),"Inqube Global (PVT) Ltd")</f>
        <v>Inqube Global (PVT) Ltd</v>
      </c>
      <c r="G925" s="45" t="str">
        <f ca="1">IFERROR(__xludf.DUMMYFUNCTION("""COMPUTED_VALUE"""),"Brandix Apparel Solutions Limited - Minuwangoda")</f>
        <v>Brandix Apparel Solutions Limited - Minuwangoda</v>
      </c>
      <c r="H925" s="43">
        <f ca="1">IFERROR(__xludf.DUMMYFUNCTION("""COMPUTED_VALUE"""),456599341145)</f>
        <v>456599341145</v>
      </c>
      <c r="I925" s="45">
        <f ca="1">IFERROR(__xludf.DUMMYFUNCTION("""COMPUTED_VALUE"""),19855162)</f>
        <v>19855162</v>
      </c>
      <c r="J925" s="45" t="str">
        <f ca="1">IFERROR(__xludf.DUMMYFUNCTION("""COMPUTED_VALUE"""),"LW3ISOS")</f>
        <v>LW3ISOS</v>
      </c>
      <c r="K925" s="45" t="str">
        <f ca="1">IFERROR(__xludf.DUMMYFUNCTION("""COMPUTED_VALUE"""),"LW3ISOS-070108")</f>
        <v>LW3ISOS-070108</v>
      </c>
      <c r="L925" s="45">
        <f ca="1">IFERROR(__xludf.DUMMYFUNCTION("""COMPUTED_VALUE"""),4)</f>
        <v>4</v>
      </c>
      <c r="M925" s="45">
        <f ca="1">IFERROR(__xludf.DUMMYFUNCTION("""COMPUTED_VALUE"""),288)</f>
        <v>288</v>
      </c>
      <c r="N925" s="45">
        <f ca="1">IFERROR(__xludf.DUMMYFUNCTION("""COMPUTED_VALUE"""),50.64)</f>
        <v>50.64</v>
      </c>
      <c r="O925" s="45">
        <f ca="1">IFERROR(__xludf.DUMMYFUNCTION("""COMPUTED_VALUE"""),0.314)</f>
        <v>0.314</v>
      </c>
      <c r="P925" s="45" t="str">
        <f ca="1">IFERROR(__xludf.DUMMYFUNCTION("""COMPUTED_VALUE"""),"Colombo, LK")</f>
        <v>Colombo, LK</v>
      </c>
      <c r="Q925" s="45" t="str">
        <f ca="1">IFERROR(__xludf.DUMMYFUNCTION("""COMPUTED_VALUE"""),"New York, NY, US")</f>
        <v>New York, NY, US</v>
      </c>
      <c r="R925" s="44">
        <f ca="1">IFERROR(__xludf.DUMMYFUNCTION("""COMPUTED_VALUE"""),45838)</f>
        <v>45838</v>
      </c>
      <c r="S925" s="44">
        <f ca="1">IFERROR(__xludf.DUMMYFUNCTION("""COMPUTED_VALUE"""),45897)</f>
        <v>45897</v>
      </c>
      <c r="T925" s="45" t="str">
        <f ca="1">IFERROR(__xludf.DUMMYFUNCTION("""COMPUTED_VALUE"""),"Mississauga, ON, CA")</f>
        <v>Mississauga, ON, CA</v>
      </c>
      <c r="U925" s="45"/>
      <c r="V925" s="45"/>
      <c r="W925" s="45"/>
      <c r="X925" s="45"/>
      <c r="Y925" s="46">
        <f ca="1">IFERROR(__xludf.DUMMYFUNCTION("""COMPUTED_VALUE"""),45845)</f>
        <v>45845</v>
      </c>
      <c r="Z925" s="46">
        <f ca="1">IFERROR(__xludf.DUMMYFUNCTION("""COMPUTED_VALUE"""),45866)</f>
        <v>45866</v>
      </c>
      <c r="AA925" s="46">
        <f ca="1">IFERROR(__xludf.DUMMYFUNCTION("""COMPUTED_VALUE"""),45866)</f>
        <v>45866</v>
      </c>
      <c r="AB925" s="45" t="str">
        <f ca="1">IFERROR(__xludf.DUMMYFUNCTION("""COMPUTED_VALUE"""),"3500 Argentia Road")</f>
        <v>3500 Argentia Road</v>
      </c>
      <c r="AC925" s="45"/>
      <c r="AD925" s="45" t="str">
        <f ca="1">IFERROR(__xludf.DUMMYFUNCTION("""COMPUTED_VALUE"""),"OCEAN")</f>
        <v>OCEAN</v>
      </c>
      <c r="AE925" s="45" t="str">
        <f ca="1">IFERROR(__xludf.DUMMYFUNCTION("""COMPUTED_VALUE"""),"N")</f>
        <v>N</v>
      </c>
      <c r="AF925" s="45" t="str">
        <f ca="1">IFERROR(__xludf.DUMMYFUNCTION("""COMPUTED_VALUE"""),"New Booking")</f>
        <v>New Booking</v>
      </c>
      <c r="AG925" s="49" t="str">
        <f ca="1">IFERROR(__xludf.DUMMYFUNCTION("IFNA(vlookup(H925,IMPORTRANGE(""1vUGwO1n0QQGx9kKbO0_M5gmuhXZ6-LaxQxgrmJnzgP0"",""'TP# look up'!A:C""),3,0),"""")"),"")</f>
        <v/>
      </c>
      <c r="AH925" s="49" t="str">
        <f t="shared" ca="1" si="14"/>
        <v>LW</v>
      </c>
    </row>
    <row r="926" spans="1:34" ht="12.75">
      <c r="A926" s="45" t="str">
        <f ca="1">IFERROR(__xludf.DUMMYFUNCTION("""COMPUTED_VALUE"""),"Colombo")</f>
        <v>Colombo</v>
      </c>
      <c r="B926" s="45"/>
      <c r="C926" s="45">
        <f ca="1">IFERROR(__xludf.DUMMYFUNCTION("""COMPUTED_VALUE"""),3259528)</f>
        <v>3259528</v>
      </c>
      <c r="D926" s="45"/>
      <c r="E926" s="45" t="str">
        <f ca="1">IFERROR(__xludf.DUMMYFUNCTION("""COMPUTED_VALUE"""),"CFS")</f>
        <v>CFS</v>
      </c>
      <c r="F926" s="45" t="str">
        <f ca="1">IFERROR(__xludf.DUMMYFUNCTION("""COMPUTED_VALUE"""),"Inqube Global (PVT) Ltd")</f>
        <v>Inqube Global (PVT) Ltd</v>
      </c>
      <c r="G926" s="45" t="str">
        <f ca="1">IFERROR(__xludf.DUMMYFUNCTION("""COMPUTED_VALUE"""),"Brandix Apparel Solutions Limited - Minuwangoda")</f>
        <v>Brandix Apparel Solutions Limited - Minuwangoda</v>
      </c>
      <c r="H926" s="43">
        <f ca="1">IFERROR(__xludf.DUMMYFUNCTION("""COMPUTED_VALUE"""),456604308287)</f>
        <v>456604308287</v>
      </c>
      <c r="I926" s="45">
        <f ca="1">IFERROR(__xludf.DUMMYFUNCTION("""COMPUTED_VALUE"""),19897523)</f>
        <v>19897523</v>
      </c>
      <c r="J926" s="45" t="str">
        <f ca="1">IFERROR(__xludf.DUMMYFUNCTION("""COMPUTED_VALUE"""),"LW3ISQS")</f>
        <v>LW3ISQS</v>
      </c>
      <c r="K926" s="45" t="str">
        <f ca="1">IFERROR(__xludf.DUMMYFUNCTION("""COMPUTED_VALUE"""),"LW3ISQS-071168")</f>
        <v>LW3ISQS-071168</v>
      </c>
      <c r="L926" s="45">
        <f ca="1">IFERROR(__xludf.DUMMYFUNCTION("""COMPUTED_VALUE"""),16)</f>
        <v>16</v>
      </c>
      <c r="M926" s="45">
        <f ca="1">IFERROR(__xludf.DUMMYFUNCTION("""COMPUTED_VALUE"""),517)</f>
        <v>517</v>
      </c>
      <c r="N926" s="45">
        <f ca="1">IFERROR(__xludf.DUMMYFUNCTION("""COMPUTED_VALUE"""),114.99)</f>
        <v>114.99</v>
      </c>
      <c r="O926" s="45">
        <f ca="1">IFERROR(__xludf.DUMMYFUNCTION("""COMPUTED_VALUE"""),1.256)</f>
        <v>1.256</v>
      </c>
      <c r="P926" s="45" t="str">
        <f ca="1">IFERROR(__xludf.DUMMYFUNCTION("""COMPUTED_VALUE"""),"Colombo, LK")</f>
        <v>Colombo, LK</v>
      </c>
      <c r="Q926" s="45" t="str">
        <f ca="1">IFERROR(__xludf.DUMMYFUNCTION("""COMPUTED_VALUE"""),"New York, NY, US")</f>
        <v>New York, NY, US</v>
      </c>
      <c r="R926" s="44">
        <f ca="1">IFERROR(__xludf.DUMMYFUNCTION("""COMPUTED_VALUE"""),45838)</f>
        <v>45838</v>
      </c>
      <c r="S926" s="44">
        <f ca="1">IFERROR(__xludf.DUMMYFUNCTION("""COMPUTED_VALUE"""),45897)</f>
        <v>45897</v>
      </c>
      <c r="T926" s="45" t="str">
        <f ca="1">IFERROR(__xludf.DUMMYFUNCTION("""COMPUTED_VALUE"""),"Milton, ON, CA")</f>
        <v>Milton, ON, CA</v>
      </c>
      <c r="U926" s="45"/>
      <c r="V926" s="45"/>
      <c r="W926" s="45"/>
      <c r="X926" s="45"/>
      <c r="Y926" s="46">
        <f ca="1">IFERROR(__xludf.DUMMYFUNCTION("""COMPUTED_VALUE"""),45845)</f>
        <v>45845</v>
      </c>
      <c r="Z926" s="46">
        <f ca="1">IFERROR(__xludf.DUMMYFUNCTION("""COMPUTED_VALUE"""),45866)</f>
        <v>45866</v>
      </c>
      <c r="AA926" s="46">
        <f ca="1">IFERROR(__xludf.DUMMYFUNCTION("""COMPUTED_VALUE"""),45866)</f>
        <v>45866</v>
      </c>
      <c r="AB926" s="45" t="str">
        <f ca="1">IFERROR(__xludf.DUMMYFUNCTION("""COMPUTED_VALUE"""),"7211 Fifth Line")</f>
        <v>7211 Fifth Line</v>
      </c>
      <c r="AC926" s="45"/>
      <c r="AD926" s="45" t="str">
        <f ca="1">IFERROR(__xludf.DUMMYFUNCTION("""COMPUTED_VALUE"""),"OCEAN")</f>
        <v>OCEAN</v>
      </c>
      <c r="AE926" s="45" t="str">
        <f ca="1">IFERROR(__xludf.DUMMYFUNCTION("""COMPUTED_VALUE"""),"N")</f>
        <v>N</v>
      </c>
      <c r="AF926" s="45" t="str">
        <f ca="1">IFERROR(__xludf.DUMMYFUNCTION("""COMPUTED_VALUE"""),"New Booking")</f>
        <v>New Booking</v>
      </c>
      <c r="AG926" s="49" t="str">
        <f ca="1">IFERROR(__xludf.DUMMYFUNCTION("IFNA(vlookup(H926,IMPORTRANGE(""1vUGwO1n0QQGx9kKbO0_M5gmuhXZ6-LaxQxgrmJnzgP0"",""'TP# look up'!A:C""),3,0),"""")"),"")</f>
        <v/>
      </c>
      <c r="AH926" s="49" t="str">
        <f t="shared" ca="1" si="14"/>
        <v>LW</v>
      </c>
    </row>
    <row r="927" spans="1:34" ht="12.75">
      <c r="A927" s="45" t="str">
        <f ca="1">IFERROR(__xludf.DUMMYFUNCTION("""COMPUTED_VALUE"""),"Colombo")</f>
        <v>Colombo</v>
      </c>
      <c r="B927" s="45"/>
      <c r="C927" s="45">
        <f ca="1">IFERROR(__xludf.DUMMYFUNCTION("""COMPUTED_VALUE"""),3259528)</f>
        <v>3259528</v>
      </c>
      <c r="D927" s="45"/>
      <c r="E927" s="45" t="str">
        <f ca="1">IFERROR(__xludf.DUMMYFUNCTION("""COMPUTED_VALUE"""),"CFS")</f>
        <v>CFS</v>
      </c>
      <c r="F927" s="45" t="str">
        <f ca="1">IFERROR(__xludf.DUMMYFUNCTION("""COMPUTED_VALUE"""),"Inqube Global (PVT) Ltd")</f>
        <v>Inqube Global (PVT) Ltd</v>
      </c>
      <c r="G927" s="45" t="str">
        <f ca="1">IFERROR(__xludf.DUMMYFUNCTION("""COMPUTED_VALUE"""),"Brandix Apparel Solutions Limited - Minuwangoda")</f>
        <v>Brandix Apparel Solutions Limited - Minuwangoda</v>
      </c>
      <c r="H927" s="43">
        <f ca="1">IFERROR(__xludf.DUMMYFUNCTION("""COMPUTED_VALUE"""),456613427638)</f>
        <v>456613427638</v>
      </c>
      <c r="I927" s="45">
        <f ca="1">IFERROR(__xludf.DUMMYFUNCTION("""COMPUTED_VALUE"""),19897528)</f>
        <v>19897528</v>
      </c>
      <c r="J927" s="45" t="str">
        <f ca="1">IFERROR(__xludf.DUMMYFUNCTION("""COMPUTED_VALUE"""),"LW3KASS")</f>
        <v>LW3KASS</v>
      </c>
      <c r="K927" s="45" t="str">
        <f ca="1">IFERROR(__xludf.DUMMYFUNCTION("""COMPUTED_VALUE"""),"LW3KASS-070108")</f>
        <v>LW3KASS-070108</v>
      </c>
      <c r="L927" s="45">
        <f ca="1">IFERROR(__xludf.DUMMYFUNCTION("""COMPUTED_VALUE"""),6)</f>
        <v>6</v>
      </c>
      <c r="M927" s="45">
        <f ca="1">IFERROR(__xludf.DUMMYFUNCTION("""COMPUTED_VALUE"""),97)</f>
        <v>97</v>
      </c>
      <c r="N927" s="45">
        <f ca="1">IFERROR(__xludf.DUMMYFUNCTION("""COMPUTED_VALUE"""),32.375)</f>
        <v>32.375</v>
      </c>
      <c r="O927" s="45">
        <f ca="1">IFERROR(__xludf.DUMMYFUNCTION("""COMPUTED_VALUE"""),0.471)</f>
        <v>0.47099999999999997</v>
      </c>
      <c r="P927" s="45" t="str">
        <f ca="1">IFERROR(__xludf.DUMMYFUNCTION("""COMPUTED_VALUE"""),"Colombo, LK")</f>
        <v>Colombo, LK</v>
      </c>
      <c r="Q927" s="45" t="str">
        <f ca="1">IFERROR(__xludf.DUMMYFUNCTION("""COMPUTED_VALUE"""),"New York, NY, US")</f>
        <v>New York, NY, US</v>
      </c>
      <c r="R927" s="44">
        <f ca="1">IFERROR(__xludf.DUMMYFUNCTION("""COMPUTED_VALUE"""),45838)</f>
        <v>45838</v>
      </c>
      <c r="S927" s="44">
        <f ca="1">IFERROR(__xludf.DUMMYFUNCTION("""COMPUTED_VALUE"""),45897)</f>
        <v>45897</v>
      </c>
      <c r="T927" s="45" t="str">
        <f ca="1">IFERROR(__xludf.DUMMYFUNCTION("""COMPUTED_VALUE"""),"Milton, ON, CA")</f>
        <v>Milton, ON, CA</v>
      </c>
      <c r="U927" s="45"/>
      <c r="V927" s="45"/>
      <c r="W927" s="45"/>
      <c r="X927" s="45"/>
      <c r="Y927" s="46">
        <f ca="1">IFERROR(__xludf.DUMMYFUNCTION("""COMPUTED_VALUE"""),45845)</f>
        <v>45845</v>
      </c>
      <c r="Z927" s="46">
        <f ca="1">IFERROR(__xludf.DUMMYFUNCTION("""COMPUTED_VALUE"""),45866)</f>
        <v>45866</v>
      </c>
      <c r="AA927" s="46">
        <f ca="1">IFERROR(__xludf.DUMMYFUNCTION("""COMPUTED_VALUE"""),45866)</f>
        <v>45866</v>
      </c>
      <c r="AB927" s="45" t="str">
        <f ca="1">IFERROR(__xludf.DUMMYFUNCTION("""COMPUTED_VALUE"""),"7211 Fifth Line")</f>
        <v>7211 Fifth Line</v>
      </c>
      <c r="AC927" s="45"/>
      <c r="AD927" s="45" t="str">
        <f ca="1">IFERROR(__xludf.DUMMYFUNCTION("""COMPUTED_VALUE"""),"OCEAN")</f>
        <v>OCEAN</v>
      </c>
      <c r="AE927" s="45" t="str">
        <f ca="1">IFERROR(__xludf.DUMMYFUNCTION("""COMPUTED_VALUE"""),"N")</f>
        <v>N</v>
      </c>
      <c r="AF927" s="45" t="str">
        <f ca="1">IFERROR(__xludf.DUMMYFUNCTION("""COMPUTED_VALUE"""),"New Booking")</f>
        <v>New Booking</v>
      </c>
      <c r="AG927" s="49" t="str">
        <f ca="1">IFERROR(__xludf.DUMMYFUNCTION("IFNA(vlookup(H927,IMPORTRANGE(""1vUGwO1n0QQGx9kKbO0_M5gmuhXZ6-LaxQxgrmJnzgP0"",""'TP# look up'!A:C""),3,0),"""")"),"")</f>
        <v/>
      </c>
      <c r="AH927" s="49" t="str">
        <f t="shared" ca="1" si="14"/>
        <v>LW</v>
      </c>
    </row>
    <row r="928" spans="1:34" ht="12.75">
      <c r="A928" s="45" t="str">
        <f ca="1">IFERROR(__xludf.DUMMYFUNCTION("""COMPUTED_VALUE"""),"Colombo")</f>
        <v>Colombo</v>
      </c>
      <c r="B928" s="45"/>
      <c r="C928" s="45">
        <f ca="1">IFERROR(__xludf.DUMMYFUNCTION("""COMPUTED_VALUE"""),3259528)</f>
        <v>3259528</v>
      </c>
      <c r="D928" s="45"/>
      <c r="E928" s="45" t="str">
        <f ca="1">IFERROR(__xludf.DUMMYFUNCTION("""COMPUTED_VALUE"""),"CFS")</f>
        <v>CFS</v>
      </c>
      <c r="F928" s="45" t="str">
        <f ca="1">IFERROR(__xludf.DUMMYFUNCTION("""COMPUTED_VALUE"""),"Inqube Global (PVT) Ltd")</f>
        <v>Inqube Global (PVT) Ltd</v>
      </c>
      <c r="G928" s="45" t="str">
        <f ca="1">IFERROR(__xludf.DUMMYFUNCTION("""COMPUTED_VALUE"""),"Brandix Apparel Solutions Limited - Minuwangoda")</f>
        <v>Brandix Apparel Solutions Limited - Minuwangoda</v>
      </c>
      <c r="H928" s="43">
        <f ca="1">IFERROR(__xludf.DUMMYFUNCTION("""COMPUTED_VALUE"""),456614488947)</f>
        <v>456614488947</v>
      </c>
      <c r="I928" s="45">
        <f ca="1">IFERROR(__xludf.DUMMYFUNCTION("""COMPUTED_VALUE"""),19910251)</f>
        <v>19910251</v>
      </c>
      <c r="J928" s="45" t="str">
        <f ca="1">IFERROR(__xludf.DUMMYFUNCTION("""COMPUTED_VALUE"""),"LW3ISQS")</f>
        <v>LW3ISQS</v>
      </c>
      <c r="K928" s="45" t="str">
        <f ca="1">IFERROR(__xludf.DUMMYFUNCTION("""COMPUTED_VALUE"""),"LW3ISQS-071168")</f>
        <v>LW3ISQS-071168</v>
      </c>
      <c r="L928" s="45">
        <f ca="1">IFERROR(__xludf.DUMMYFUNCTION("""COMPUTED_VALUE"""),8)</f>
        <v>8</v>
      </c>
      <c r="M928" s="45">
        <f ca="1">IFERROR(__xludf.DUMMYFUNCTION("""COMPUTED_VALUE"""),204)</f>
        <v>204</v>
      </c>
      <c r="N928" s="45">
        <f ca="1">IFERROR(__xludf.DUMMYFUNCTION("""COMPUTED_VALUE"""),47.69)</f>
        <v>47.69</v>
      </c>
      <c r="O928" s="45">
        <f ca="1">IFERROR(__xludf.DUMMYFUNCTION("""COMPUTED_VALUE"""),0.628)</f>
        <v>0.628</v>
      </c>
      <c r="P928" s="45" t="str">
        <f ca="1">IFERROR(__xludf.DUMMYFUNCTION("""COMPUTED_VALUE"""),"Colombo, LK")</f>
        <v>Colombo, LK</v>
      </c>
      <c r="Q928" s="45" t="str">
        <f ca="1">IFERROR(__xludf.DUMMYFUNCTION("""COMPUTED_VALUE"""),"New York, NY, US")</f>
        <v>New York, NY, US</v>
      </c>
      <c r="R928" s="44">
        <f ca="1">IFERROR(__xludf.DUMMYFUNCTION("""COMPUTED_VALUE"""),45838)</f>
        <v>45838</v>
      </c>
      <c r="S928" s="44">
        <f ca="1">IFERROR(__xludf.DUMMYFUNCTION("""COMPUTED_VALUE"""),45897)</f>
        <v>45897</v>
      </c>
      <c r="T928" s="45" t="str">
        <f ca="1">IFERROR(__xludf.DUMMYFUNCTION("""COMPUTED_VALUE"""),"Mississauga, ON, CA")</f>
        <v>Mississauga, ON, CA</v>
      </c>
      <c r="U928" s="45"/>
      <c r="V928" s="45"/>
      <c r="W928" s="45"/>
      <c r="X928" s="45"/>
      <c r="Y928" s="46">
        <f ca="1">IFERROR(__xludf.DUMMYFUNCTION("""COMPUTED_VALUE"""),45845)</f>
        <v>45845</v>
      </c>
      <c r="Z928" s="46">
        <f ca="1">IFERROR(__xludf.DUMMYFUNCTION("""COMPUTED_VALUE"""),45866)</f>
        <v>45866</v>
      </c>
      <c r="AA928" s="46">
        <f ca="1">IFERROR(__xludf.DUMMYFUNCTION("""COMPUTED_VALUE"""),45866)</f>
        <v>45866</v>
      </c>
      <c r="AB928" s="45" t="str">
        <f ca="1">IFERROR(__xludf.DUMMYFUNCTION("""COMPUTED_VALUE"""),"3500 Argentia Road")</f>
        <v>3500 Argentia Road</v>
      </c>
      <c r="AC928" s="45"/>
      <c r="AD928" s="45" t="str">
        <f ca="1">IFERROR(__xludf.DUMMYFUNCTION("""COMPUTED_VALUE"""),"OCEAN")</f>
        <v>OCEAN</v>
      </c>
      <c r="AE928" s="45" t="str">
        <f ca="1">IFERROR(__xludf.DUMMYFUNCTION("""COMPUTED_VALUE"""),"N")</f>
        <v>N</v>
      </c>
      <c r="AF928" s="45" t="str">
        <f ca="1">IFERROR(__xludf.DUMMYFUNCTION("""COMPUTED_VALUE"""),"New Booking")</f>
        <v>New Booking</v>
      </c>
      <c r="AG928" s="49" t="str">
        <f ca="1">IFERROR(__xludf.DUMMYFUNCTION("IFNA(vlookup(H928,IMPORTRANGE(""1vUGwO1n0QQGx9kKbO0_M5gmuhXZ6-LaxQxgrmJnzgP0"",""'TP# look up'!A:C""),3,0),"""")"),"")</f>
        <v/>
      </c>
      <c r="AH928" s="49" t="str">
        <f t="shared" ca="1" si="14"/>
        <v>LW</v>
      </c>
    </row>
    <row r="929" spans="1:34" ht="12.75">
      <c r="A929" s="45" t="str">
        <f ca="1">IFERROR(__xludf.DUMMYFUNCTION("""COMPUTED_VALUE"""),"Colombo")</f>
        <v>Colombo</v>
      </c>
      <c r="B929" s="45"/>
      <c r="C929" s="45">
        <f ca="1">IFERROR(__xludf.DUMMYFUNCTION("""COMPUTED_VALUE"""),3259528)</f>
        <v>3259528</v>
      </c>
      <c r="D929" s="45"/>
      <c r="E929" s="45" t="str">
        <f ca="1">IFERROR(__xludf.DUMMYFUNCTION("""COMPUTED_VALUE"""),"CFS")</f>
        <v>CFS</v>
      </c>
      <c r="F929" s="45" t="str">
        <f ca="1">IFERROR(__xludf.DUMMYFUNCTION("""COMPUTED_VALUE"""),"Inqube Global (PVT) Ltd")</f>
        <v>Inqube Global (PVT) Ltd</v>
      </c>
      <c r="G929" s="45" t="str">
        <f ca="1">IFERROR(__xludf.DUMMYFUNCTION("""COMPUTED_VALUE"""),"Brandix Apparel Solutions Limited - Minuwangoda")</f>
        <v>Brandix Apparel Solutions Limited - Minuwangoda</v>
      </c>
      <c r="H929" s="43">
        <f ca="1">IFERROR(__xludf.DUMMYFUNCTION("""COMPUTED_VALUE"""),456616040872)</f>
        <v>456616040872</v>
      </c>
      <c r="I929" s="45">
        <f ca="1">IFERROR(__xludf.DUMMYFUNCTION("""COMPUTED_VALUE"""),19910328)</f>
        <v>19910328</v>
      </c>
      <c r="J929" s="45" t="str">
        <f ca="1">IFERROR(__xludf.DUMMYFUNCTION("""COMPUTED_VALUE"""),"LW3JNXS")</f>
        <v>LW3JNXS</v>
      </c>
      <c r="K929" s="45" t="str">
        <f ca="1">IFERROR(__xludf.DUMMYFUNCTION("""COMPUTED_VALUE"""),"LW3JNXS-033454")</f>
        <v>LW3JNXS-033454</v>
      </c>
      <c r="L929" s="45">
        <f ca="1">IFERROR(__xludf.DUMMYFUNCTION("""COMPUTED_VALUE"""),11)</f>
        <v>11</v>
      </c>
      <c r="M929" s="45">
        <f ca="1">IFERROR(__xludf.DUMMYFUNCTION("""COMPUTED_VALUE"""),304)</f>
        <v>304</v>
      </c>
      <c r="N929" s="45">
        <f ca="1">IFERROR(__xludf.DUMMYFUNCTION("""COMPUTED_VALUE"""),71.01)</f>
        <v>71.010000000000005</v>
      </c>
      <c r="O929" s="45">
        <f ca="1">IFERROR(__xludf.DUMMYFUNCTION("""COMPUTED_VALUE"""),0.864)</f>
        <v>0.86399999999999999</v>
      </c>
      <c r="P929" s="45" t="str">
        <f ca="1">IFERROR(__xludf.DUMMYFUNCTION("""COMPUTED_VALUE"""),"Colombo, LK")</f>
        <v>Colombo, LK</v>
      </c>
      <c r="Q929" s="45" t="str">
        <f ca="1">IFERROR(__xludf.DUMMYFUNCTION("""COMPUTED_VALUE"""),"New York, NY, US")</f>
        <v>New York, NY, US</v>
      </c>
      <c r="R929" s="44">
        <f ca="1">IFERROR(__xludf.DUMMYFUNCTION("""COMPUTED_VALUE"""),45838)</f>
        <v>45838</v>
      </c>
      <c r="S929" s="44">
        <f ca="1">IFERROR(__xludf.DUMMYFUNCTION("""COMPUTED_VALUE"""),45897)</f>
        <v>45897</v>
      </c>
      <c r="T929" s="45" t="str">
        <f ca="1">IFERROR(__xludf.DUMMYFUNCTION("""COMPUTED_VALUE"""),"Mississauga, ON, CA")</f>
        <v>Mississauga, ON, CA</v>
      </c>
      <c r="U929" s="45"/>
      <c r="V929" s="45"/>
      <c r="W929" s="45"/>
      <c r="X929" s="45"/>
      <c r="Y929" s="46">
        <f ca="1">IFERROR(__xludf.DUMMYFUNCTION("""COMPUTED_VALUE"""),45845)</f>
        <v>45845</v>
      </c>
      <c r="Z929" s="46">
        <f ca="1">IFERROR(__xludf.DUMMYFUNCTION("""COMPUTED_VALUE"""),45866)</f>
        <v>45866</v>
      </c>
      <c r="AA929" s="46">
        <f ca="1">IFERROR(__xludf.DUMMYFUNCTION("""COMPUTED_VALUE"""),45866)</f>
        <v>45866</v>
      </c>
      <c r="AB929" s="45" t="str">
        <f ca="1">IFERROR(__xludf.DUMMYFUNCTION("""COMPUTED_VALUE"""),"3500 Argentia Road")</f>
        <v>3500 Argentia Road</v>
      </c>
      <c r="AC929" s="45"/>
      <c r="AD929" s="45" t="str">
        <f ca="1">IFERROR(__xludf.DUMMYFUNCTION("""COMPUTED_VALUE"""),"OCEAN")</f>
        <v>OCEAN</v>
      </c>
      <c r="AE929" s="45" t="str">
        <f ca="1">IFERROR(__xludf.DUMMYFUNCTION("""COMPUTED_VALUE"""),"N")</f>
        <v>N</v>
      </c>
      <c r="AF929" s="45" t="str">
        <f ca="1">IFERROR(__xludf.DUMMYFUNCTION("""COMPUTED_VALUE"""),"New Booking")</f>
        <v>New Booking</v>
      </c>
      <c r="AG929" s="49" t="str">
        <f ca="1">IFERROR(__xludf.DUMMYFUNCTION("IFNA(vlookup(H929,IMPORTRANGE(""1vUGwO1n0QQGx9kKbO0_M5gmuhXZ6-LaxQxgrmJnzgP0"",""'TP# look up'!A:C""),3,0),"""")"),"")</f>
        <v/>
      </c>
      <c r="AH929" s="49" t="str">
        <f t="shared" ca="1" si="14"/>
        <v>LW</v>
      </c>
    </row>
    <row r="930" spans="1:34" ht="12.75">
      <c r="A930" s="45" t="str">
        <f ca="1">IFERROR(__xludf.DUMMYFUNCTION("""COMPUTED_VALUE"""),"Colombo")</f>
        <v>Colombo</v>
      </c>
      <c r="B930" s="45"/>
      <c r="C930" s="45">
        <f ca="1">IFERROR(__xludf.DUMMYFUNCTION("""COMPUTED_VALUE"""),3259528)</f>
        <v>3259528</v>
      </c>
      <c r="D930" s="45"/>
      <c r="E930" s="45" t="str">
        <f ca="1">IFERROR(__xludf.DUMMYFUNCTION("""COMPUTED_VALUE"""),"CFS")</f>
        <v>CFS</v>
      </c>
      <c r="F930" s="45" t="str">
        <f ca="1">IFERROR(__xludf.DUMMYFUNCTION("""COMPUTED_VALUE"""),"Inqube Global (PVT) Ltd")</f>
        <v>Inqube Global (PVT) Ltd</v>
      </c>
      <c r="G930" s="45" t="str">
        <f ca="1">IFERROR(__xludf.DUMMYFUNCTION("""COMPUTED_VALUE"""),"Brandix Apparel Solutions Limited - Minuwangoda")</f>
        <v>Brandix Apparel Solutions Limited - Minuwangoda</v>
      </c>
      <c r="H930" s="43">
        <f ca="1">IFERROR(__xludf.DUMMYFUNCTION("""COMPUTED_VALUE"""),456616041677)</f>
        <v>456616041677</v>
      </c>
      <c r="I930" s="45">
        <f ca="1">IFERROR(__xludf.DUMMYFUNCTION("""COMPUTED_VALUE"""),19910263)</f>
        <v>19910263</v>
      </c>
      <c r="J930" s="45" t="str">
        <f ca="1">IFERROR(__xludf.DUMMYFUNCTION("""COMPUTED_VALUE"""),"LW3KASS")</f>
        <v>LW3KASS</v>
      </c>
      <c r="K930" s="45" t="str">
        <f ca="1">IFERROR(__xludf.DUMMYFUNCTION("""COMPUTED_VALUE"""),"LW3KASS-070108")</f>
        <v>LW3KASS-070108</v>
      </c>
      <c r="L930" s="45">
        <f ca="1">IFERROR(__xludf.DUMMYFUNCTION("""COMPUTED_VALUE"""),5)</f>
        <v>5</v>
      </c>
      <c r="M930" s="45">
        <f ca="1">IFERROR(__xludf.DUMMYFUNCTION("""COMPUTED_VALUE"""),144)</f>
        <v>144</v>
      </c>
      <c r="N930" s="45">
        <f ca="1">IFERROR(__xludf.DUMMYFUNCTION("""COMPUTED_VALUE"""),43.84)</f>
        <v>43.84</v>
      </c>
      <c r="O930" s="45">
        <f ca="1">IFERROR(__xludf.DUMMYFUNCTION("""COMPUTED_VALUE"""),0.393)</f>
        <v>0.39300000000000002</v>
      </c>
      <c r="P930" s="45" t="str">
        <f ca="1">IFERROR(__xludf.DUMMYFUNCTION("""COMPUTED_VALUE"""),"Colombo, LK")</f>
        <v>Colombo, LK</v>
      </c>
      <c r="Q930" s="45" t="str">
        <f ca="1">IFERROR(__xludf.DUMMYFUNCTION("""COMPUTED_VALUE"""),"New York, NY, US")</f>
        <v>New York, NY, US</v>
      </c>
      <c r="R930" s="44">
        <f ca="1">IFERROR(__xludf.DUMMYFUNCTION("""COMPUTED_VALUE"""),45838)</f>
        <v>45838</v>
      </c>
      <c r="S930" s="44">
        <f ca="1">IFERROR(__xludf.DUMMYFUNCTION("""COMPUTED_VALUE"""),45897)</f>
        <v>45897</v>
      </c>
      <c r="T930" s="45" t="str">
        <f ca="1">IFERROR(__xludf.DUMMYFUNCTION("""COMPUTED_VALUE"""),"Mississauga, ON, CA")</f>
        <v>Mississauga, ON, CA</v>
      </c>
      <c r="U930" s="45"/>
      <c r="V930" s="45"/>
      <c r="W930" s="45"/>
      <c r="X930" s="45"/>
      <c r="Y930" s="46">
        <f ca="1">IFERROR(__xludf.DUMMYFUNCTION("""COMPUTED_VALUE"""),45845)</f>
        <v>45845</v>
      </c>
      <c r="Z930" s="46">
        <f ca="1">IFERROR(__xludf.DUMMYFUNCTION("""COMPUTED_VALUE"""),45866)</f>
        <v>45866</v>
      </c>
      <c r="AA930" s="46">
        <f ca="1">IFERROR(__xludf.DUMMYFUNCTION("""COMPUTED_VALUE"""),45866)</f>
        <v>45866</v>
      </c>
      <c r="AB930" s="45" t="str">
        <f ca="1">IFERROR(__xludf.DUMMYFUNCTION("""COMPUTED_VALUE"""),"3500 Argentia Road")</f>
        <v>3500 Argentia Road</v>
      </c>
      <c r="AC930" s="45"/>
      <c r="AD930" s="45" t="str">
        <f ca="1">IFERROR(__xludf.DUMMYFUNCTION("""COMPUTED_VALUE"""),"OCEAN")</f>
        <v>OCEAN</v>
      </c>
      <c r="AE930" s="45" t="str">
        <f ca="1">IFERROR(__xludf.DUMMYFUNCTION("""COMPUTED_VALUE"""),"N")</f>
        <v>N</v>
      </c>
      <c r="AF930" s="45" t="str">
        <f ca="1">IFERROR(__xludf.DUMMYFUNCTION("""COMPUTED_VALUE"""),"New Booking")</f>
        <v>New Booking</v>
      </c>
      <c r="AG930" s="49" t="str">
        <f ca="1">IFERROR(__xludf.DUMMYFUNCTION("IFNA(vlookup(H930,IMPORTRANGE(""1vUGwO1n0QQGx9kKbO0_M5gmuhXZ6-LaxQxgrmJnzgP0"",""'TP# look up'!A:C""),3,0),"""")"),"")</f>
        <v/>
      </c>
      <c r="AH930" s="49" t="str">
        <f t="shared" ca="1" si="14"/>
        <v>LW</v>
      </c>
    </row>
    <row r="931" spans="1:34" ht="12.75">
      <c r="A931" s="45" t="str">
        <f ca="1">IFERROR(__xludf.DUMMYFUNCTION("""COMPUTED_VALUE"""),"Colombo")</f>
        <v>Colombo</v>
      </c>
      <c r="B931" s="45"/>
      <c r="C931" s="45">
        <f ca="1">IFERROR(__xludf.DUMMYFUNCTION("""COMPUTED_VALUE"""),3259528)</f>
        <v>3259528</v>
      </c>
      <c r="D931" s="45"/>
      <c r="E931" s="45" t="str">
        <f ca="1">IFERROR(__xludf.DUMMYFUNCTION("""COMPUTED_VALUE"""),"CFS")</f>
        <v>CFS</v>
      </c>
      <c r="F931" s="45" t="str">
        <f ca="1">IFERROR(__xludf.DUMMYFUNCTION("""COMPUTED_VALUE"""),"Inqube Global (PVT) Ltd")</f>
        <v>Inqube Global (PVT) Ltd</v>
      </c>
      <c r="G931" s="45" t="str">
        <f ca="1">IFERROR(__xludf.DUMMYFUNCTION("""COMPUTED_VALUE"""),"Brandix Apparel Solutions Limited - Minuwangoda")</f>
        <v>Brandix Apparel Solutions Limited - Minuwangoda</v>
      </c>
      <c r="H931" s="43">
        <f ca="1">IFERROR(__xludf.DUMMYFUNCTION("""COMPUTED_VALUE"""),456617740010)</f>
        <v>456617740010</v>
      </c>
      <c r="I931" s="45">
        <f ca="1">IFERROR(__xludf.DUMMYFUNCTION("""COMPUTED_VALUE"""),19910340)</f>
        <v>19910340</v>
      </c>
      <c r="J931" s="45" t="str">
        <f ca="1">IFERROR(__xludf.DUMMYFUNCTION("""COMPUTED_VALUE"""),"LW3KASS")</f>
        <v>LW3KASS</v>
      </c>
      <c r="K931" s="45" t="str">
        <f ca="1">IFERROR(__xludf.DUMMYFUNCTION("""COMPUTED_VALUE"""),"LW3KASS-070108")</f>
        <v>LW3KASS-070108</v>
      </c>
      <c r="L931" s="45">
        <f ca="1">IFERROR(__xludf.DUMMYFUNCTION("""COMPUTED_VALUE"""),10)</f>
        <v>10</v>
      </c>
      <c r="M931" s="45">
        <f ca="1">IFERROR(__xludf.DUMMYFUNCTION("""COMPUTED_VALUE"""),270)</f>
        <v>270</v>
      </c>
      <c r="N931" s="45">
        <f ca="1">IFERROR(__xludf.DUMMYFUNCTION("""COMPUTED_VALUE"""),82.765)</f>
        <v>82.765000000000001</v>
      </c>
      <c r="O931" s="45">
        <f ca="1">IFERROR(__xludf.DUMMYFUNCTION("""COMPUTED_VALUE"""),0.785)</f>
        <v>0.78500000000000003</v>
      </c>
      <c r="P931" s="45" t="str">
        <f ca="1">IFERROR(__xludf.DUMMYFUNCTION("""COMPUTED_VALUE"""),"Colombo, LK")</f>
        <v>Colombo, LK</v>
      </c>
      <c r="Q931" s="45" t="str">
        <f ca="1">IFERROR(__xludf.DUMMYFUNCTION("""COMPUTED_VALUE"""),"New York, NY, US")</f>
        <v>New York, NY, US</v>
      </c>
      <c r="R931" s="44">
        <f ca="1">IFERROR(__xludf.DUMMYFUNCTION("""COMPUTED_VALUE"""),45838)</f>
        <v>45838</v>
      </c>
      <c r="S931" s="44">
        <f ca="1">IFERROR(__xludf.DUMMYFUNCTION("""COMPUTED_VALUE"""),45897)</f>
        <v>45897</v>
      </c>
      <c r="T931" s="45" t="str">
        <f ca="1">IFERROR(__xludf.DUMMYFUNCTION("""COMPUTED_VALUE"""),"Mississauga, ON, CA")</f>
        <v>Mississauga, ON, CA</v>
      </c>
      <c r="U931" s="45"/>
      <c r="V931" s="45"/>
      <c r="W931" s="45"/>
      <c r="X931" s="45"/>
      <c r="Y931" s="46">
        <f ca="1">IFERROR(__xludf.DUMMYFUNCTION("""COMPUTED_VALUE"""),45845)</f>
        <v>45845</v>
      </c>
      <c r="Z931" s="46">
        <f ca="1">IFERROR(__xludf.DUMMYFUNCTION("""COMPUTED_VALUE"""),45866)</f>
        <v>45866</v>
      </c>
      <c r="AA931" s="46">
        <f ca="1">IFERROR(__xludf.DUMMYFUNCTION("""COMPUTED_VALUE"""),45866)</f>
        <v>45866</v>
      </c>
      <c r="AB931" s="45" t="str">
        <f ca="1">IFERROR(__xludf.DUMMYFUNCTION("""COMPUTED_VALUE"""),"3500 Argentia Road")</f>
        <v>3500 Argentia Road</v>
      </c>
      <c r="AC931" s="45"/>
      <c r="AD931" s="45" t="str">
        <f ca="1">IFERROR(__xludf.DUMMYFUNCTION("""COMPUTED_VALUE"""),"OCEAN")</f>
        <v>OCEAN</v>
      </c>
      <c r="AE931" s="45" t="str">
        <f ca="1">IFERROR(__xludf.DUMMYFUNCTION("""COMPUTED_VALUE"""),"N")</f>
        <v>N</v>
      </c>
      <c r="AF931" s="45" t="str">
        <f ca="1">IFERROR(__xludf.DUMMYFUNCTION("""COMPUTED_VALUE"""),"New Booking")</f>
        <v>New Booking</v>
      </c>
      <c r="AG931" s="49" t="str">
        <f ca="1">IFERROR(__xludf.DUMMYFUNCTION("IFNA(vlookup(H931,IMPORTRANGE(""1vUGwO1n0QQGx9kKbO0_M5gmuhXZ6-LaxQxgrmJnzgP0"",""'TP# look up'!A:C""),3,0),"""")"),"")</f>
        <v/>
      </c>
      <c r="AH931" s="49" t="str">
        <f t="shared" ca="1" si="14"/>
        <v>LW</v>
      </c>
    </row>
    <row r="932" spans="1:34" ht="12.75">
      <c r="A932" s="45" t="str">
        <f ca="1">IFERROR(__xludf.DUMMYFUNCTION("""COMPUTED_VALUE"""),"Colombo")</f>
        <v>Colombo</v>
      </c>
      <c r="B932" s="45"/>
      <c r="C932" s="45">
        <f ca="1">IFERROR(__xludf.DUMMYFUNCTION("""COMPUTED_VALUE"""),3259528)</f>
        <v>3259528</v>
      </c>
      <c r="D932" s="45"/>
      <c r="E932" s="45" t="str">
        <f ca="1">IFERROR(__xludf.DUMMYFUNCTION("""COMPUTED_VALUE"""),"CFS")</f>
        <v>CFS</v>
      </c>
      <c r="F932" s="45" t="str">
        <f ca="1">IFERROR(__xludf.DUMMYFUNCTION("""COMPUTED_VALUE"""),"Inqube Global (PVT) Ltd")</f>
        <v>Inqube Global (PVT) Ltd</v>
      </c>
      <c r="G932" s="45" t="str">
        <f ca="1">IFERROR(__xludf.DUMMYFUNCTION("""COMPUTED_VALUE"""),"Brandix Apparel Solutions Limited - Minuwangoda")</f>
        <v>Brandix Apparel Solutions Limited - Minuwangoda</v>
      </c>
      <c r="H932" s="43">
        <f ca="1">IFERROR(__xludf.DUMMYFUNCTION("""COMPUTED_VALUE"""),456619827304)</f>
        <v>456619827304</v>
      </c>
      <c r="I932" s="45">
        <f ca="1">IFERROR(__xludf.DUMMYFUNCTION("""COMPUTED_VALUE"""),19925131)</f>
        <v>19925131</v>
      </c>
      <c r="J932" s="45" t="str">
        <f ca="1">IFERROR(__xludf.DUMMYFUNCTION("""COMPUTED_VALUE"""),"LW3ISQS")</f>
        <v>LW3ISQS</v>
      </c>
      <c r="K932" s="45" t="str">
        <f ca="1">IFERROR(__xludf.DUMMYFUNCTION("""COMPUTED_VALUE"""),"LW3ISQS-071168")</f>
        <v>LW3ISQS-071168</v>
      </c>
      <c r="L932" s="45">
        <f ca="1">IFERROR(__xludf.DUMMYFUNCTION("""COMPUTED_VALUE"""),13)</f>
        <v>13</v>
      </c>
      <c r="M932" s="45">
        <f ca="1">IFERROR(__xludf.DUMMYFUNCTION("""COMPUTED_VALUE"""),386)</f>
        <v>386</v>
      </c>
      <c r="N932" s="45">
        <f ca="1">IFERROR(__xludf.DUMMYFUNCTION("""COMPUTED_VALUE"""),88.49)</f>
        <v>88.49</v>
      </c>
      <c r="O932" s="45">
        <f ca="1">IFERROR(__xludf.DUMMYFUNCTION("""COMPUTED_VALUE"""),1.021)</f>
        <v>1.0209999999999999</v>
      </c>
      <c r="P932" s="45" t="str">
        <f ca="1">IFERROR(__xludf.DUMMYFUNCTION("""COMPUTED_VALUE"""),"Colombo, LK")</f>
        <v>Colombo, LK</v>
      </c>
      <c r="Q932" s="45" t="str">
        <f ca="1">IFERROR(__xludf.DUMMYFUNCTION("""COMPUTED_VALUE"""),"New York, NY, US")</f>
        <v>New York, NY, US</v>
      </c>
      <c r="R932" s="44">
        <f ca="1">IFERROR(__xludf.DUMMYFUNCTION("""COMPUTED_VALUE"""),45838)</f>
        <v>45838</v>
      </c>
      <c r="S932" s="44">
        <f ca="1">IFERROR(__xludf.DUMMYFUNCTION("""COMPUTED_VALUE"""),45897)</f>
        <v>45897</v>
      </c>
      <c r="T932" s="45" t="str">
        <f ca="1">IFERROR(__xludf.DUMMYFUNCTION("""COMPUTED_VALUE"""),"Mississauga, ON, CA")</f>
        <v>Mississauga, ON, CA</v>
      </c>
      <c r="U932" s="45"/>
      <c r="V932" s="45"/>
      <c r="W932" s="45"/>
      <c r="X932" s="45"/>
      <c r="Y932" s="46">
        <f ca="1">IFERROR(__xludf.DUMMYFUNCTION("""COMPUTED_VALUE"""),45845)</f>
        <v>45845</v>
      </c>
      <c r="Z932" s="46">
        <f ca="1">IFERROR(__xludf.DUMMYFUNCTION("""COMPUTED_VALUE"""),45866)</f>
        <v>45866</v>
      </c>
      <c r="AA932" s="46">
        <f ca="1">IFERROR(__xludf.DUMMYFUNCTION("""COMPUTED_VALUE"""),45866)</f>
        <v>45866</v>
      </c>
      <c r="AB932" s="45" t="str">
        <f ca="1">IFERROR(__xludf.DUMMYFUNCTION("""COMPUTED_VALUE"""),"3500 Argentia Road")</f>
        <v>3500 Argentia Road</v>
      </c>
      <c r="AC932" s="45"/>
      <c r="AD932" s="45" t="str">
        <f ca="1">IFERROR(__xludf.DUMMYFUNCTION("""COMPUTED_VALUE"""),"OCEAN")</f>
        <v>OCEAN</v>
      </c>
      <c r="AE932" s="45" t="str">
        <f ca="1">IFERROR(__xludf.DUMMYFUNCTION("""COMPUTED_VALUE"""),"N")</f>
        <v>N</v>
      </c>
      <c r="AF932" s="45" t="str">
        <f ca="1">IFERROR(__xludf.DUMMYFUNCTION("""COMPUTED_VALUE"""),"New Booking")</f>
        <v>New Booking</v>
      </c>
      <c r="AG932" s="49" t="str">
        <f ca="1">IFERROR(__xludf.DUMMYFUNCTION("IFNA(vlookup(H932,IMPORTRANGE(""1vUGwO1n0QQGx9kKbO0_M5gmuhXZ6-LaxQxgrmJnzgP0"",""'TP# look up'!A:C""),3,0),"""")"),"")</f>
        <v/>
      </c>
      <c r="AH932" s="49" t="str">
        <f t="shared" ca="1" si="14"/>
        <v>LW</v>
      </c>
    </row>
    <row r="933" spans="1:34" ht="12.75">
      <c r="A933" s="45" t="str">
        <f ca="1">IFERROR(__xludf.DUMMYFUNCTION("""COMPUTED_VALUE"""),"Colombo")</f>
        <v>Colombo</v>
      </c>
      <c r="B933" s="45"/>
      <c r="C933" s="45">
        <f ca="1">IFERROR(__xludf.DUMMYFUNCTION("""COMPUTED_VALUE"""),3259528)</f>
        <v>3259528</v>
      </c>
      <c r="D933" s="45"/>
      <c r="E933" s="45" t="str">
        <f ca="1">IFERROR(__xludf.DUMMYFUNCTION("""COMPUTED_VALUE"""),"CFS")</f>
        <v>CFS</v>
      </c>
      <c r="F933" s="45" t="str">
        <f ca="1">IFERROR(__xludf.DUMMYFUNCTION("""COMPUTED_VALUE"""),"Inqube Global (PVT) Ltd")</f>
        <v>Inqube Global (PVT) Ltd</v>
      </c>
      <c r="G933" s="45" t="str">
        <f ca="1">IFERROR(__xludf.DUMMYFUNCTION("""COMPUTED_VALUE"""),"Brandix Apparel Solutions Limited - Minuwangoda")</f>
        <v>Brandix Apparel Solutions Limited - Minuwangoda</v>
      </c>
      <c r="H933" s="43">
        <f ca="1">IFERROR(__xludf.DUMMYFUNCTION("""COMPUTED_VALUE"""),456621882516)</f>
        <v>456621882516</v>
      </c>
      <c r="I933" s="45">
        <f ca="1">IFERROR(__xludf.DUMMYFUNCTION("""COMPUTED_VALUE"""),19925017)</f>
        <v>19925017</v>
      </c>
      <c r="J933" s="45" t="str">
        <f ca="1">IFERROR(__xludf.DUMMYFUNCTION("""COMPUTED_VALUE"""),"LW3JNXS")</f>
        <v>LW3JNXS</v>
      </c>
      <c r="K933" s="45" t="str">
        <f ca="1">IFERROR(__xludf.DUMMYFUNCTION("""COMPUTED_VALUE"""),"LW3JNXS-033454")</f>
        <v>LW3JNXS-033454</v>
      </c>
      <c r="L933" s="45">
        <f ca="1">IFERROR(__xludf.DUMMYFUNCTION("""COMPUTED_VALUE"""),5)</f>
        <v>5</v>
      </c>
      <c r="M933" s="45">
        <f ca="1">IFERROR(__xludf.DUMMYFUNCTION("""COMPUTED_VALUE"""),138)</f>
        <v>138</v>
      </c>
      <c r="N933" s="45">
        <f ca="1">IFERROR(__xludf.DUMMYFUNCTION("""COMPUTED_VALUE"""),31.87)</f>
        <v>31.87</v>
      </c>
      <c r="O933" s="45">
        <f ca="1">IFERROR(__xludf.DUMMYFUNCTION("""COMPUTED_VALUE"""),0.393)</f>
        <v>0.39300000000000002</v>
      </c>
      <c r="P933" s="45" t="str">
        <f ca="1">IFERROR(__xludf.DUMMYFUNCTION("""COMPUTED_VALUE"""),"Colombo, LK")</f>
        <v>Colombo, LK</v>
      </c>
      <c r="Q933" s="45" t="str">
        <f ca="1">IFERROR(__xludf.DUMMYFUNCTION("""COMPUTED_VALUE"""),"New York, NY, US")</f>
        <v>New York, NY, US</v>
      </c>
      <c r="R933" s="44">
        <f ca="1">IFERROR(__xludf.DUMMYFUNCTION("""COMPUTED_VALUE"""),45838)</f>
        <v>45838</v>
      </c>
      <c r="S933" s="44">
        <f ca="1">IFERROR(__xludf.DUMMYFUNCTION("""COMPUTED_VALUE"""),45897)</f>
        <v>45897</v>
      </c>
      <c r="T933" s="45" t="str">
        <f ca="1">IFERROR(__xludf.DUMMYFUNCTION("""COMPUTED_VALUE"""),"Mississauga, ON, CA")</f>
        <v>Mississauga, ON, CA</v>
      </c>
      <c r="U933" s="45"/>
      <c r="V933" s="45"/>
      <c r="W933" s="45"/>
      <c r="X933" s="45"/>
      <c r="Y933" s="46">
        <f ca="1">IFERROR(__xludf.DUMMYFUNCTION("""COMPUTED_VALUE"""),45845)</f>
        <v>45845</v>
      </c>
      <c r="Z933" s="46">
        <f ca="1">IFERROR(__xludf.DUMMYFUNCTION("""COMPUTED_VALUE"""),45866)</f>
        <v>45866</v>
      </c>
      <c r="AA933" s="46">
        <f ca="1">IFERROR(__xludf.DUMMYFUNCTION("""COMPUTED_VALUE"""),45866)</f>
        <v>45866</v>
      </c>
      <c r="AB933" s="45" t="str">
        <f ca="1">IFERROR(__xludf.DUMMYFUNCTION("""COMPUTED_VALUE"""),"3500 Argentia Road")</f>
        <v>3500 Argentia Road</v>
      </c>
      <c r="AC933" s="45"/>
      <c r="AD933" s="45" t="str">
        <f ca="1">IFERROR(__xludf.DUMMYFUNCTION("""COMPUTED_VALUE"""),"OCEAN")</f>
        <v>OCEAN</v>
      </c>
      <c r="AE933" s="45" t="str">
        <f ca="1">IFERROR(__xludf.DUMMYFUNCTION("""COMPUTED_VALUE"""),"N")</f>
        <v>N</v>
      </c>
      <c r="AF933" s="45" t="str">
        <f ca="1">IFERROR(__xludf.DUMMYFUNCTION("""COMPUTED_VALUE"""),"New Booking")</f>
        <v>New Booking</v>
      </c>
      <c r="AG933" s="49" t="str">
        <f ca="1">IFERROR(__xludf.DUMMYFUNCTION("IFNA(vlookup(H933,IMPORTRANGE(""1vUGwO1n0QQGx9kKbO0_M5gmuhXZ6-LaxQxgrmJnzgP0"",""'TP# look up'!A:C""),3,0),"""")"),"")</f>
        <v/>
      </c>
      <c r="AH933" s="49" t="str">
        <f t="shared" ca="1" si="14"/>
        <v>LW</v>
      </c>
    </row>
    <row r="934" spans="1:34" ht="12.75">
      <c r="A934" s="45" t="str">
        <f ca="1">IFERROR(__xludf.DUMMYFUNCTION("""COMPUTED_VALUE"""),"Colombo")</f>
        <v>Colombo</v>
      </c>
      <c r="B934" s="45"/>
      <c r="C934" s="45">
        <f ca="1">IFERROR(__xludf.DUMMYFUNCTION("""COMPUTED_VALUE"""),3259528)</f>
        <v>3259528</v>
      </c>
      <c r="D934" s="45"/>
      <c r="E934" s="45" t="str">
        <f ca="1">IFERROR(__xludf.DUMMYFUNCTION("""COMPUTED_VALUE"""),"CFS")</f>
        <v>CFS</v>
      </c>
      <c r="F934" s="45" t="str">
        <f ca="1">IFERROR(__xludf.DUMMYFUNCTION("""COMPUTED_VALUE"""),"Inqube Global (PVT) Ltd")</f>
        <v>Inqube Global (PVT) Ltd</v>
      </c>
      <c r="G934" s="45" t="str">
        <f ca="1">IFERROR(__xludf.DUMMYFUNCTION("""COMPUTED_VALUE"""),"Brandix Apparel Solutions Limited - Minuwangoda")</f>
        <v>Brandix Apparel Solutions Limited - Minuwangoda</v>
      </c>
      <c r="H934" s="43">
        <f ca="1">IFERROR(__xludf.DUMMYFUNCTION("""COMPUTED_VALUE"""),456881501725)</f>
        <v>456881501725</v>
      </c>
      <c r="I934" s="45">
        <f ca="1">IFERROR(__xludf.DUMMYFUNCTION("""COMPUTED_VALUE"""),19897536)</f>
        <v>19897536</v>
      </c>
      <c r="J934" s="45" t="str">
        <f ca="1">IFERROR(__xludf.DUMMYFUNCTION("""COMPUTED_VALUE"""),"LW3KHXS")</f>
        <v>LW3KHXS</v>
      </c>
      <c r="K934" s="45" t="str">
        <f ca="1">IFERROR(__xludf.DUMMYFUNCTION("""COMPUTED_VALUE"""),"LW3KHXS-035486")</f>
        <v>LW3KHXS-035486</v>
      </c>
      <c r="L934" s="45">
        <f ca="1">IFERROR(__xludf.DUMMYFUNCTION("""COMPUTED_VALUE"""),26)</f>
        <v>26</v>
      </c>
      <c r="M934" s="45">
        <f ca="1">IFERROR(__xludf.DUMMYFUNCTION("""COMPUTED_VALUE"""),550)</f>
        <v>550</v>
      </c>
      <c r="N934" s="45">
        <f ca="1">IFERROR(__xludf.DUMMYFUNCTION("""COMPUTED_VALUE"""),182.03)</f>
        <v>182.03</v>
      </c>
      <c r="O934" s="45">
        <f ca="1">IFERROR(__xludf.DUMMYFUNCTION("""COMPUTED_VALUE"""),2.041)</f>
        <v>2.0409999999999999</v>
      </c>
      <c r="P934" s="45" t="str">
        <f ca="1">IFERROR(__xludf.DUMMYFUNCTION("""COMPUTED_VALUE"""),"Colombo, LK")</f>
        <v>Colombo, LK</v>
      </c>
      <c r="Q934" s="45" t="str">
        <f ca="1">IFERROR(__xludf.DUMMYFUNCTION("""COMPUTED_VALUE"""),"New York, NY, US")</f>
        <v>New York, NY, US</v>
      </c>
      <c r="R934" s="44">
        <f ca="1">IFERROR(__xludf.DUMMYFUNCTION("""COMPUTED_VALUE"""),45838)</f>
        <v>45838</v>
      </c>
      <c r="S934" s="44">
        <f ca="1">IFERROR(__xludf.DUMMYFUNCTION("""COMPUTED_VALUE"""),45897)</f>
        <v>45897</v>
      </c>
      <c r="T934" s="45" t="str">
        <f ca="1">IFERROR(__xludf.DUMMYFUNCTION("""COMPUTED_VALUE"""),"Milton, ON, CA")</f>
        <v>Milton, ON, CA</v>
      </c>
      <c r="U934" s="45"/>
      <c r="V934" s="45"/>
      <c r="W934" s="45"/>
      <c r="X934" s="45"/>
      <c r="Y934" s="46">
        <f ca="1">IFERROR(__xludf.DUMMYFUNCTION("""COMPUTED_VALUE"""),45845)</f>
        <v>45845</v>
      </c>
      <c r="Z934" s="46">
        <f ca="1">IFERROR(__xludf.DUMMYFUNCTION("""COMPUTED_VALUE"""),45861)</f>
        <v>45861</v>
      </c>
      <c r="AA934" s="46">
        <f ca="1">IFERROR(__xludf.DUMMYFUNCTION("""COMPUTED_VALUE"""),45861)</f>
        <v>45861</v>
      </c>
      <c r="AB934" s="45" t="str">
        <f ca="1">IFERROR(__xludf.DUMMYFUNCTION("""COMPUTED_VALUE"""),"7211 Fifth Line")</f>
        <v>7211 Fifth Line</v>
      </c>
      <c r="AC934" s="45"/>
      <c r="AD934" s="45" t="str">
        <f ca="1">IFERROR(__xludf.DUMMYFUNCTION("""COMPUTED_VALUE"""),"OCEAN")</f>
        <v>OCEAN</v>
      </c>
      <c r="AE934" s="45" t="str">
        <f ca="1">IFERROR(__xludf.DUMMYFUNCTION("""COMPUTED_VALUE"""),"N")</f>
        <v>N</v>
      </c>
      <c r="AF934" s="45" t="str">
        <f ca="1">IFERROR(__xludf.DUMMYFUNCTION("""COMPUTED_VALUE"""),"New Booking")</f>
        <v>New Booking</v>
      </c>
      <c r="AG934" s="49" t="str">
        <f ca="1">IFERROR(__xludf.DUMMYFUNCTION("IFNA(vlookup(H934,IMPORTRANGE(""1vUGwO1n0QQGx9kKbO0_M5gmuhXZ6-LaxQxgrmJnzgP0"",""'TP# look up'!A:C""),3,0),"""")"),"")</f>
        <v/>
      </c>
      <c r="AH934" s="49" t="str">
        <f t="shared" ca="1" si="14"/>
        <v>LW</v>
      </c>
    </row>
    <row r="935" spans="1:34" ht="12.75">
      <c r="A935" s="45" t="str">
        <f ca="1">IFERROR(__xludf.DUMMYFUNCTION("""COMPUTED_VALUE"""),"Colombo")</f>
        <v>Colombo</v>
      </c>
      <c r="B935" s="45"/>
      <c r="C935" s="45">
        <f ca="1">IFERROR(__xludf.DUMMYFUNCTION("""COMPUTED_VALUE"""),3259528)</f>
        <v>3259528</v>
      </c>
      <c r="D935" s="45"/>
      <c r="E935" s="45" t="str">
        <f ca="1">IFERROR(__xludf.DUMMYFUNCTION("""COMPUTED_VALUE"""),"CFS")</f>
        <v>CFS</v>
      </c>
      <c r="F935" s="45" t="str">
        <f ca="1">IFERROR(__xludf.DUMMYFUNCTION("""COMPUTED_VALUE"""),"Inqube Global (PVT) Ltd")</f>
        <v>Inqube Global (PVT) Ltd</v>
      </c>
      <c r="G935" s="45" t="str">
        <f ca="1">IFERROR(__xludf.DUMMYFUNCTION("""COMPUTED_VALUE"""),"Brandix Apparel Solutions Limited - Minuwangoda")</f>
        <v>Brandix Apparel Solutions Limited - Minuwangoda</v>
      </c>
      <c r="H935" s="43">
        <f ca="1">IFERROR(__xludf.DUMMYFUNCTION("""COMPUTED_VALUE"""),456884138091)</f>
        <v>456884138091</v>
      </c>
      <c r="I935" s="45">
        <f ca="1">IFERROR(__xludf.DUMMYFUNCTION("""COMPUTED_VALUE"""),19910459)</f>
        <v>19910459</v>
      </c>
      <c r="J935" s="45" t="str">
        <f ca="1">IFERROR(__xludf.DUMMYFUNCTION("""COMPUTED_VALUE"""),"LW3KHXS")</f>
        <v>LW3KHXS</v>
      </c>
      <c r="K935" s="45" t="str">
        <f ca="1">IFERROR(__xludf.DUMMYFUNCTION("""COMPUTED_VALUE"""),"LW3KHXS-035486")</f>
        <v>LW3KHXS-035486</v>
      </c>
      <c r="L935" s="45">
        <f ca="1">IFERROR(__xludf.DUMMYFUNCTION("""COMPUTED_VALUE"""),16)</f>
        <v>16</v>
      </c>
      <c r="M935" s="45">
        <f ca="1">IFERROR(__xludf.DUMMYFUNCTION("""COMPUTED_VALUE"""),331)</f>
        <v>331</v>
      </c>
      <c r="N935" s="45">
        <f ca="1">IFERROR(__xludf.DUMMYFUNCTION("""COMPUTED_VALUE"""),110.25)</f>
        <v>110.25</v>
      </c>
      <c r="O935" s="45">
        <f ca="1">IFERROR(__xludf.DUMMYFUNCTION("""COMPUTED_VALUE"""),1.256)</f>
        <v>1.256</v>
      </c>
      <c r="P935" s="45" t="str">
        <f ca="1">IFERROR(__xludf.DUMMYFUNCTION("""COMPUTED_VALUE"""),"Colombo, LK")</f>
        <v>Colombo, LK</v>
      </c>
      <c r="Q935" s="45" t="str">
        <f ca="1">IFERROR(__xludf.DUMMYFUNCTION("""COMPUTED_VALUE"""),"New York, NY, US")</f>
        <v>New York, NY, US</v>
      </c>
      <c r="R935" s="44">
        <f ca="1">IFERROR(__xludf.DUMMYFUNCTION("""COMPUTED_VALUE"""),45838)</f>
        <v>45838</v>
      </c>
      <c r="S935" s="44">
        <f ca="1">IFERROR(__xludf.DUMMYFUNCTION("""COMPUTED_VALUE"""),45897)</f>
        <v>45897</v>
      </c>
      <c r="T935" s="45" t="str">
        <f ca="1">IFERROR(__xludf.DUMMYFUNCTION("""COMPUTED_VALUE"""),"Mississauga, ON, CA")</f>
        <v>Mississauga, ON, CA</v>
      </c>
      <c r="U935" s="45"/>
      <c r="V935" s="45"/>
      <c r="W935" s="45"/>
      <c r="X935" s="45"/>
      <c r="Y935" s="46">
        <f ca="1">IFERROR(__xludf.DUMMYFUNCTION("""COMPUTED_VALUE"""),45845)</f>
        <v>45845</v>
      </c>
      <c r="Z935" s="46">
        <f ca="1">IFERROR(__xludf.DUMMYFUNCTION("""COMPUTED_VALUE"""),45861)</f>
        <v>45861</v>
      </c>
      <c r="AA935" s="46">
        <f ca="1">IFERROR(__xludf.DUMMYFUNCTION("""COMPUTED_VALUE"""),45861)</f>
        <v>45861</v>
      </c>
      <c r="AB935" s="45" t="str">
        <f ca="1">IFERROR(__xludf.DUMMYFUNCTION("""COMPUTED_VALUE"""),"3500 Argentia Road")</f>
        <v>3500 Argentia Road</v>
      </c>
      <c r="AC935" s="45"/>
      <c r="AD935" s="45" t="str">
        <f ca="1">IFERROR(__xludf.DUMMYFUNCTION("""COMPUTED_VALUE"""),"OCEAN")</f>
        <v>OCEAN</v>
      </c>
      <c r="AE935" s="45" t="str">
        <f ca="1">IFERROR(__xludf.DUMMYFUNCTION("""COMPUTED_VALUE"""),"N")</f>
        <v>N</v>
      </c>
      <c r="AF935" s="45" t="str">
        <f ca="1">IFERROR(__xludf.DUMMYFUNCTION("""COMPUTED_VALUE"""),"New Booking")</f>
        <v>New Booking</v>
      </c>
      <c r="AG935" s="49" t="str">
        <f ca="1">IFERROR(__xludf.DUMMYFUNCTION("IFNA(vlookup(H935,IMPORTRANGE(""1vUGwO1n0QQGx9kKbO0_M5gmuhXZ6-LaxQxgrmJnzgP0"",""'TP# look up'!A:C""),3,0),"""")"),"")</f>
        <v/>
      </c>
      <c r="AH935" s="49" t="str">
        <f t="shared" ca="1" si="14"/>
        <v>LW</v>
      </c>
    </row>
    <row r="936" spans="1:34" ht="12.75">
      <c r="A936" s="45" t="str">
        <f ca="1">IFERROR(__xludf.DUMMYFUNCTION("""COMPUTED_VALUE"""),"Colombo")</f>
        <v>Colombo</v>
      </c>
      <c r="B936" s="45"/>
      <c r="C936" s="45">
        <f ca="1">IFERROR(__xludf.DUMMYFUNCTION("""COMPUTED_VALUE"""),3259528)</f>
        <v>3259528</v>
      </c>
      <c r="D936" s="45"/>
      <c r="E936" s="45" t="str">
        <f ca="1">IFERROR(__xludf.DUMMYFUNCTION("""COMPUTED_VALUE"""),"CFS")</f>
        <v>CFS</v>
      </c>
      <c r="F936" s="45" t="str">
        <f ca="1">IFERROR(__xludf.DUMMYFUNCTION("""COMPUTED_VALUE"""),"Inqube Global (PVT) Ltd")</f>
        <v>Inqube Global (PVT) Ltd</v>
      </c>
      <c r="G936" s="45" t="str">
        <f ca="1">IFERROR(__xludf.DUMMYFUNCTION("""COMPUTED_VALUE"""),"Brandix Apparel Solutions Limited - Minuwangoda")</f>
        <v>Brandix Apparel Solutions Limited - Minuwangoda</v>
      </c>
      <c r="H936" s="43">
        <f ca="1">IFERROR(__xludf.DUMMYFUNCTION("""COMPUTED_VALUE"""),456884193173)</f>
        <v>456884193173</v>
      </c>
      <c r="I936" s="45">
        <f ca="1">IFERROR(__xludf.DUMMYFUNCTION("""COMPUTED_VALUE"""),19910267)</f>
        <v>19910267</v>
      </c>
      <c r="J936" s="45" t="str">
        <f ca="1">IFERROR(__xludf.DUMMYFUNCTION("""COMPUTED_VALUE"""),"LW3KHXS")</f>
        <v>LW3KHXS</v>
      </c>
      <c r="K936" s="45" t="str">
        <f ca="1">IFERROR(__xludf.DUMMYFUNCTION("""COMPUTED_VALUE"""),"LW3KHXS-035486")</f>
        <v>LW3KHXS-035486</v>
      </c>
      <c r="L936" s="45">
        <f ca="1">IFERROR(__xludf.DUMMYFUNCTION("""COMPUTED_VALUE"""),9)</f>
        <v>9</v>
      </c>
      <c r="M936" s="45">
        <f ca="1">IFERROR(__xludf.DUMMYFUNCTION("""COMPUTED_VALUE"""),172)</f>
        <v>172</v>
      </c>
      <c r="N936" s="45">
        <f ca="1">IFERROR(__xludf.DUMMYFUNCTION("""COMPUTED_VALUE"""),57.95)</f>
        <v>57.95</v>
      </c>
      <c r="O936" s="45">
        <f ca="1">IFERROR(__xludf.DUMMYFUNCTION("""COMPUTED_VALUE"""),0.707)</f>
        <v>0.70699999999999996</v>
      </c>
      <c r="P936" s="45" t="str">
        <f ca="1">IFERROR(__xludf.DUMMYFUNCTION("""COMPUTED_VALUE"""),"Colombo, LK")</f>
        <v>Colombo, LK</v>
      </c>
      <c r="Q936" s="45" t="str">
        <f ca="1">IFERROR(__xludf.DUMMYFUNCTION("""COMPUTED_VALUE"""),"New York, NY, US")</f>
        <v>New York, NY, US</v>
      </c>
      <c r="R936" s="44">
        <f ca="1">IFERROR(__xludf.DUMMYFUNCTION("""COMPUTED_VALUE"""),45838)</f>
        <v>45838</v>
      </c>
      <c r="S936" s="44">
        <f ca="1">IFERROR(__xludf.DUMMYFUNCTION("""COMPUTED_VALUE"""),45897)</f>
        <v>45897</v>
      </c>
      <c r="T936" s="45" t="str">
        <f ca="1">IFERROR(__xludf.DUMMYFUNCTION("""COMPUTED_VALUE"""),"Mississauga, ON, CA")</f>
        <v>Mississauga, ON, CA</v>
      </c>
      <c r="U936" s="45"/>
      <c r="V936" s="45"/>
      <c r="W936" s="45"/>
      <c r="X936" s="45"/>
      <c r="Y936" s="46">
        <f ca="1">IFERROR(__xludf.DUMMYFUNCTION("""COMPUTED_VALUE"""),45845)</f>
        <v>45845</v>
      </c>
      <c r="Z936" s="46">
        <f ca="1">IFERROR(__xludf.DUMMYFUNCTION("""COMPUTED_VALUE"""),45861)</f>
        <v>45861</v>
      </c>
      <c r="AA936" s="46">
        <f ca="1">IFERROR(__xludf.DUMMYFUNCTION("""COMPUTED_VALUE"""),45861)</f>
        <v>45861</v>
      </c>
      <c r="AB936" s="45" t="str">
        <f ca="1">IFERROR(__xludf.DUMMYFUNCTION("""COMPUTED_VALUE"""),"3500 Argentia Road")</f>
        <v>3500 Argentia Road</v>
      </c>
      <c r="AC936" s="45"/>
      <c r="AD936" s="45" t="str">
        <f ca="1">IFERROR(__xludf.DUMMYFUNCTION("""COMPUTED_VALUE"""),"OCEAN")</f>
        <v>OCEAN</v>
      </c>
      <c r="AE936" s="45" t="str">
        <f ca="1">IFERROR(__xludf.DUMMYFUNCTION("""COMPUTED_VALUE"""),"N")</f>
        <v>N</v>
      </c>
      <c r="AF936" s="45" t="str">
        <f ca="1">IFERROR(__xludf.DUMMYFUNCTION("""COMPUTED_VALUE"""),"New Booking")</f>
        <v>New Booking</v>
      </c>
      <c r="AG936" s="49" t="str">
        <f ca="1">IFERROR(__xludf.DUMMYFUNCTION("IFNA(vlookup(H936,IMPORTRANGE(""1vUGwO1n0QQGx9kKbO0_M5gmuhXZ6-LaxQxgrmJnzgP0"",""'TP# look up'!A:C""),3,0),"""")"),"")</f>
        <v/>
      </c>
      <c r="AH936" s="49" t="str">
        <f t="shared" ca="1" si="14"/>
        <v>LW</v>
      </c>
    </row>
    <row r="937" spans="1:34" ht="12.75">
      <c r="A937" s="45" t="str">
        <f ca="1">IFERROR(__xludf.DUMMYFUNCTION("""COMPUTED_VALUE"""),"Colombo")</f>
        <v>Colombo</v>
      </c>
      <c r="B937" s="45"/>
      <c r="C937" s="45">
        <f ca="1">IFERROR(__xludf.DUMMYFUNCTION("""COMPUTED_VALUE"""),3259528)</f>
        <v>3259528</v>
      </c>
      <c r="D937" s="45"/>
      <c r="E937" s="45" t="str">
        <f ca="1">IFERROR(__xludf.DUMMYFUNCTION("""COMPUTED_VALUE"""),"CFS")</f>
        <v>CFS</v>
      </c>
      <c r="F937" s="45" t="str">
        <f ca="1">IFERROR(__xludf.DUMMYFUNCTION("""COMPUTED_VALUE"""),"Inqube Global (PVT) Ltd")</f>
        <v>Inqube Global (PVT) Ltd</v>
      </c>
      <c r="G937" s="45" t="str">
        <f ca="1">IFERROR(__xludf.DUMMYFUNCTION("""COMPUTED_VALUE"""),"Brandix Apparel Solutions Limited - Minuwangoda")</f>
        <v>Brandix Apparel Solutions Limited - Minuwangoda</v>
      </c>
      <c r="H937" s="43">
        <f ca="1">IFERROR(__xludf.DUMMYFUNCTION("""COMPUTED_VALUE"""),456888715129)</f>
        <v>456888715129</v>
      </c>
      <c r="I937" s="45">
        <f ca="1">IFERROR(__xludf.DUMMYFUNCTION("""COMPUTED_VALUE"""),19855129)</f>
        <v>19855129</v>
      </c>
      <c r="J937" s="45" t="str">
        <f ca="1">IFERROR(__xludf.DUMMYFUNCTION("""COMPUTED_VALUE"""),"LW1FQ4S")</f>
        <v>LW1FQ4S</v>
      </c>
      <c r="K937" s="45" t="str">
        <f ca="1">IFERROR(__xludf.DUMMYFUNCTION("""COMPUTED_VALUE"""),"LW1FQ4S-041179")</f>
        <v>LW1FQ4S-041179</v>
      </c>
      <c r="L937" s="45">
        <f ca="1">IFERROR(__xludf.DUMMYFUNCTION("""COMPUTED_VALUE"""),6)</f>
        <v>6</v>
      </c>
      <c r="M937" s="45">
        <f ca="1">IFERROR(__xludf.DUMMYFUNCTION("""COMPUTED_VALUE"""),234)</f>
        <v>234</v>
      </c>
      <c r="N937" s="45">
        <f ca="1">IFERROR(__xludf.DUMMYFUNCTION("""COMPUTED_VALUE"""),45.946)</f>
        <v>45.945999999999998</v>
      </c>
      <c r="O937" s="45">
        <f ca="1">IFERROR(__xludf.DUMMYFUNCTION("""COMPUTED_VALUE"""),0.471)</f>
        <v>0.47099999999999997</v>
      </c>
      <c r="P937" s="45" t="str">
        <f ca="1">IFERROR(__xludf.DUMMYFUNCTION("""COMPUTED_VALUE"""),"Colombo, LK")</f>
        <v>Colombo, LK</v>
      </c>
      <c r="Q937" s="45" t="str">
        <f ca="1">IFERROR(__xludf.DUMMYFUNCTION("""COMPUTED_VALUE"""),"New York, NY, US")</f>
        <v>New York, NY, US</v>
      </c>
      <c r="R937" s="44">
        <f ca="1">IFERROR(__xludf.DUMMYFUNCTION("""COMPUTED_VALUE"""),45838)</f>
        <v>45838</v>
      </c>
      <c r="S937" s="44">
        <f ca="1">IFERROR(__xludf.DUMMYFUNCTION("""COMPUTED_VALUE"""),45897)</f>
        <v>45897</v>
      </c>
      <c r="T937" s="45" t="str">
        <f ca="1">IFERROR(__xludf.DUMMYFUNCTION("""COMPUTED_VALUE"""),"Mississauga, ON, CA")</f>
        <v>Mississauga, ON, CA</v>
      </c>
      <c r="U937" s="45"/>
      <c r="V937" s="45"/>
      <c r="W937" s="45"/>
      <c r="X937" s="45"/>
      <c r="Y937" s="46">
        <f ca="1">IFERROR(__xludf.DUMMYFUNCTION("""COMPUTED_VALUE"""),45845)</f>
        <v>45845</v>
      </c>
      <c r="Z937" s="46">
        <f ca="1">IFERROR(__xludf.DUMMYFUNCTION("""COMPUTED_VALUE"""),45861)</f>
        <v>45861</v>
      </c>
      <c r="AA937" s="46">
        <f ca="1">IFERROR(__xludf.DUMMYFUNCTION("""COMPUTED_VALUE"""),45861)</f>
        <v>45861</v>
      </c>
      <c r="AB937" s="45" t="str">
        <f ca="1">IFERROR(__xludf.DUMMYFUNCTION("""COMPUTED_VALUE"""),"3500 Argentia Road")</f>
        <v>3500 Argentia Road</v>
      </c>
      <c r="AC937" s="45"/>
      <c r="AD937" s="45" t="str">
        <f ca="1">IFERROR(__xludf.DUMMYFUNCTION("""COMPUTED_VALUE"""),"OCEAN")</f>
        <v>OCEAN</v>
      </c>
      <c r="AE937" s="45" t="str">
        <f ca="1">IFERROR(__xludf.DUMMYFUNCTION("""COMPUTED_VALUE"""),"N")</f>
        <v>N</v>
      </c>
      <c r="AF937" s="45" t="str">
        <f ca="1">IFERROR(__xludf.DUMMYFUNCTION("""COMPUTED_VALUE"""),"New Booking")</f>
        <v>New Booking</v>
      </c>
      <c r="AG937" s="49" t="str">
        <f ca="1">IFERROR(__xludf.DUMMYFUNCTION("IFNA(vlookup(H937,IMPORTRANGE(""1vUGwO1n0QQGx9kKbO0_M5gmuhXZ6-LaxQxgrmJnzgP0"",""'TP# look up'!A:C""),3,0),"""")"),"")</f>
        <v/>
      </c>
      <c r="AH937" s="49" t="str">
        <f t="shared" ca="1" si="14"/>
        <v>LW</v>
      </c>
    </row>
    <row r="938" spans="1:34" ht="12.75">
      <c r="A938" s="45" t="str">
        <f ca="1">IFERROR(__xludf.DUMMYFUNCTION("""COMPUTED_VALUE"""),"Colombo")</f>
        <v>Colombo</v>
      </c>
      <c r="B938" s="45"/>
      <c r="C938" s="45">
        <f ca="1">IFERROR(__xludf.DUMMYFUNCTION("""COMPUTED_VALUE"""),3259528)</f>
        <v>3259528</v>
      </c>
      <c r="D938" s="45"/>
      <c r="E938" s="45" t="str">
        <f ca="1">IFERROR(__xludf.DUMMYFUNCTION("""COMPUTED_VALUE"""),"CFS")</f>
        <v>CFS</v>
      </c>
      <c r="F938" s="45" t="str">
        <f ca="1">IFERROR(__xludf.DUMMYFUNCTION("""COMPUTED_VALUE"""),"Inqube Global (PVT) Ltd")</f>
        <v>Inqube Global (PVT) Ltd</v>
      </c>
      <c r="G938" s="45" t="str">
        <f ca="1">IFERROR(__xludf.DUMMYFUNCTION("""COMPUTED_VALUE"""),"Brandix Apparel Solutions Limited - Minuwangoda")</f>
        <v>Brandix Apparel Solutions Limited - Minuwangoda</v>
      </c>
      <c r="H938" s="43">
        <f ca="1">IFERROR(__xludf.DUMMYFUNCTION("""COMPUTED_VALUE"""),456890376361)</f>
        <v>456890376361</v>
      </c>
      <c r="I938" s="45">
        <f ca="1">IFERROR(__xludf.DUMMYFUNCTION("""COMPUTED_VALUE"""),19855043)</f>
        <v>19855043</v>
      </c>
      <c r="J938" s="45" t="str">
        <f ca="1">IFERROR(__xludf.DUMMYFUNCTION("""COMPUTED_VALUE"""),"LW1FQ4S")</f>
        <v>LW1FQ4S</v>
      </c>
      <c r="K938" s="45" t="str">
        <f ca="1">IFERROR(__xludf.DUMMYFUNCTION("""COMPUTED_VALUE"""),"LW1FQ4S-041179")</f>
        <v>LW1FQ4S-041179</v>
      </c>
      <c r="L938" s="45">
        <f ca="1">IFERROR(__xludf.DUMMYFUNCTION("""COMPUTED_VALUE"""),3)</f>
        <v>3</v>
      </c>
      <c r="M938" s="45">
        <f ca="1">IFERROR(__xludf.DUMMYFUNCTION("""COMPUTED_VALUE"""),83)</f>
        <v>83</v>
      </c>
      <c r="N938" s="45">
        <f ca="1">IFERROR(__xludf.DUMMYFUNCTION("""COMPUTED_VALUE"""),17.209)</f>
        <v>17.209</v>
      </c>
      <c r="O938" s="45">
        <f ca="1">IFERROR(__xludf.DUMMYFUNCTION("""COMPUTED_VALUE"""),0.236)</f>
        <v>0.23599999999999999</v>
      </c>
      <c r="P938" s="45" t="str">
        <f ca="1">IFERROR(__xludf.DUMMYFUNCTION("""COMPUTED_VALUE"""),"Colombo, LK")</f>
        <v>Colombo, LK</v>
      </c>
      <c r="Q938" s="45" t="str">
        <f ca="1">IFERROR(__xludf.DUMMYFUNCTION("""COMPUTED_VALUE"""),"New York, NY, US")</f>
        <v>New York, NY, US</v>
      </c>
      <c r="R938" s="44">
        <f ca="1">IFERROR(__xludf.DUMMYFUNCTION("""COMPUTED_VALUE"""),45838)</f>
        <v>45838</v>
      </c>
      <c r="S938" s="44">
        <f ca="1">IFERROR(__xludf.DUMMYFUNCTION("""COMPUTED_VALUE"""),45897)</f>
        <v>45897</v>
      </c>
      <c r="T938" s="45" t="str">
        <f ca="1">IFERROR(__xludf.DUMMYFUNCTION("""COMPUTED_VALUE"""),"Mississauga, ON, CA")</f>
        <v>Mississauga, ON, CA</v>
      </c>
      <c r="U938" s="45"/>
      <c r="V938" s="45"/>
      <c r="W938" s="45"/>
      <c r="X938" s="45"/>
      <c r="Y938" s="46">
        <f ca="1">IFERROR(__xludf.DUMMYFUNCTION("""COMPUTED_VALUE"""),45845)</f>
        <v>45845</v>
      </c>
      <c r="Z938" s="46">
        <f ca="1">IFERROR(__xludf.DUMMYFUNCTION("""COMPUTED_VALUE"""),45861)</f>
        <v>45861</v>
      </c>
      <c r="AA938" s="46">
        <f ca="1">IFERROR(__xludf.DUMMYFUNCTION("""COMPUTED_VALUE"""),45861)</f>
        <v>45861</v>
      </c>
      <c r="AB938" s="45" t="str">
        <f ca="1">IFERROR(__xludf.DUMMYFUNCTION("""COMPUTED_VALUE"""),"3500 Argentia Road")</f>
        <v>3500 Argentia Road</v>
      </c>
      <c r="AC938" s="45"/>
      <c r="AD938" s="45" t="str">
        <f ca="1">IFERROR(__xludf.DUMMYFUNCTION("""COMPUTED_VALUE"""),"OCEAN")</f>
        <v>OCEAN</v>
      </c>
      <c r="AE938" s="45" t="str">
        <f ca="1">IFERROR(__xludf.DUMMYFUNCTION("""COMPUTED_VALUE"""),"N")</f>
        <v>N</v>
      </c>
      <c r="AF938" s="45" t="str">
        <f ca="1">IFERROR(__xludf.DUMMYFUNCTION("""COMPUTED_VALUE"""),"New Booking")</f>
        <v>New Booking</v>
      </c>
      <c r="AG938" s="49" t="str">
        <f ca="1">IFERROR(__xludf.DUMMYFUNCTION("IFNA(vlookup(H938,IMPORTRANGE(""1vUGwO1n0QQGx9kKbO0_M5gmuhXZ6-LaxQxgrmJnzgP0"",""'TP# look up'!A:C""),3,0),"""")"),"")</f>
        <v/>
      </c>
      <c r="AH938" s="49" t="str">
        <f t="shared" ca="1" si="14"/>
        <v>LW</v>
      </c>
    </row>
    <row r="939" spans="1:34" ht="12.75">
      <c r="A939" s="45" t="str">
        <f ca="1">IFERROR(__xludf.DUMMYFUNCTION("""COMPUTED_VALUE"""),"Colombo")</f>
        <v>Colombo</v>
      </c>
      <c r="B939" s="45"/>
      <c r="C939" s="45">
        <f ca="1">IFERROR(__xludf.DUMMYFUNCTION("""COMPUTED_VALUE"""),3259528)</f>
        <v>3259528</v>
      </c>
      <c r="D939" s="45"/>
      <c r="E939" s="45" t="str">
        <f ca="1">IFERROR(__xludf.DUMMYFUNCTION("""COMPUTED_VALUE"""),"CFS")</f>
        <v>CFS</v>
      </c>
      <c r="F939" s="45" t="str">
        <f ca="1">IFERROR(__xludf.DUMMYFUNCTION("""COMPUTED_VALUE"""),"MAS AMITY PTE LTD")</f>
        <v>MAS AMITY PTE LTD</v>
      </c>
      <c r="G939" s="45" t="str">
        <f ca="1">IFERROR(__xludf.DUMMYFUNCTION("""COMPUTED_VALUE"""),"MAS Active (Pvt) Ltd – Shadowline")</f>
        <v>MAS Active (Pvt) Ltd – Shadowline</v>
      </c>
      <c r="H939" s="43">
        <f ca="1">IFERROR(__xludf.DUMMYFUNCTION("""COMPUTED_VALUE"""),457042295536)</f>
        <v>457042295536</v>
      </c>
      <c r="I939" s="45">
        <f ca="1">IFERROR(__xludf.DUMMYFUNCTION("""COMPUTED_VALUE"""),19923444)</f>
        <v>19923444</v>
      </c>
      <c r="J939" s="45" t="str">
        <f ca="1">IFERROR(__xludf.DUMMYFUNCTION("""COMPUTED_VALUE"""),"LW1EUDS")</f>
        <v>LW1EUDS</v>
      </c>
      <c r="K939" s="45" t="str">
        <f ca="1">IFERROR(__xludf.DUMMYFUNCTION("""COMPUTED_VALUE"""),"LW1EUDS-0002")</f>
        <v>LW1EUDS-0002</v>
      </c>
      <c r="L939" s="45">
        <f ca="1">IFERROR(__xludf.DUMMYFUNCTION("""COMPUTED_VALUE"""),3)</f>
        <v>3</v>
      </c>
      <c r="M939" s="45">
        <f ca="1">IFERROR(__xludf.DUMMYFUNCTION("""COMPUTED_VALUE"""),111)</f>
        <v>111</v>
      </c>
      <c r="N939" s="45">
        <f ca="1">IFERROR(__xludf.DUMMYFUNCTION("""COMPUTED_VALUE"""),22.253)</f>
        <v>22.253</v>
      </c>
      <c r="O939" s="45">
        <f ca="1">IFERROR(__xludf.DUMMYFUNCTION("""COMPUTED_VALUE"""),0.158)</f>
        <v>0.158</v>
      </c>
      <c r="P939" s="45" t="str">
        <f ca="1">IFERROR(__xludf.DUMMYFUNCTION("""COMPUTED_VALUE"""),"Colombo, LK")</f>
        <v>Colombo, LK</v>
      </c>
      <c r="Q939" s="45" t="str">
        <f ca="1">IFERROR(__xludf.DUMMYFUNCTION("""COMPUTED_VALUE"""),"New York, NY, US")</f>
        <v>New York, NY, US</v>
      </c>
      <c r="R939" s="44">
        <f ca="1">IFERROR(__xludf.DUMMYFUNCTION("""COMPUTED_VALUE"""),45838)</f>
        <v>45838</v>
      </c>
      <c r="S939" s="44">
        <f ca="1">IFERROR(__xludf.DUMMYFUNCTION("""COMPUTED_VALUE"""),45897)</f>
        <v>45897</v>
      </c>
      <c r="T939" s="45" t="str">
        <f ca="1">IFERROR(__xludf.DUMMYFUNCTION("""COMPUTED_VALUE"""),"Mississauga, ON, CA")</f>
        <v>Mississauga, ON, CA</v>
      </c>
      <c r="U939" s="45"/>
      <c r="V939" s="45"/>
      <c r="W939" s="45"/>
      <c r="X939" s="45"/>
      <c r="Y939" s="46">
        <f ca="1">IFERROR(__xludf.DUMMYFUNCTION("""COMPUTED_VALUE"""),45845)</f>
        <v>45845</v>
      </c>
      <c r="Z939" s="46">
        <f ca="1">IFERROR(__xludf.DUMMYFUNCTION("""COMPUTED_VALUE"""),45866)</f>
        <v>45866</v>
      </c>
      <c r="AA939" s="46">
        <f ca="1">IFERROR(__xludf.DUMMYFUNCTION("""COMPUTED_VALUE"""),45866)</f>
        <v>45866</v>
      </c>
      <c r="AB939" s="45" t="str">
        <f ca="1">IFERROR(__xludf.DUMMYFUNCTION("""COMPUTED_VALUE"""),"3500 Argentia Road")</f>
        <v>3500 Argentia Road</v>
      </c>
      <c r="AC939" s="45"/>
      <c r="AD939" s="45" t="str">
        <f ca="1">IFERROR(__xludf.DUMMYFUNCTION("""COMPUTED_VALUE"""),"OCEAN")</f>
        <v>OCEAN</v>
      </c>
      <c r="AE939" s="45" t="str">
        <f ca="1">IFERROR(__xludf.DUMMYFUNCTION("""COMPUTED_VALUE"""),"N")</f>
        <v>N</v>
      </c>
      <c r="AF939"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39" s="49" t="str">
        <f ca="1">IFERROR(__xludf.DUMMYFUNCTION("IFNA(vlookup(H939,IMPORTRANGE(""1vUGwO1n0QQGx9kKbO0_M5gmuhXZ6-LaxQxgrmJnzgP0"",""'TP# look up'!A:C""),3,0),"""")"),"")</f>
        <v/>
      </c>
      <c r="AH939" s="49" t="str">
        <f t="shared" ca="1" si="14"/>
        <v>LW</v>
      </c>
    </row>
    <row r="940" spans="1:34" ht="12.75">
      <c r="A940" s="45" t="str">
        <f ca="1">IFERROR(__xludf.DUMMYFUNCTION("""COMPUTED_VALUE"""),"Colombo")</f>
        <v>Colombo</v>
      </c>
      <c r="B940" s="45"/>
      <c r="C940" s="45">
        <f ca="1">IFERROR(__xludf.DUMMYFUNCTION("""COMPUTED_VALUE"""),3259528)</f>
        <v>3259528</v>
      </c>
      <c r="D940" s="45"/>
      <c r="E940" s="45" t="str">
        <f ca="1">IFERROR(__xludf.DUMMYFUNCTION("""COMPUTED_VALUE"""),"CFS")</f>
        <v>CFS</v>
      </c>
      <c r="F940" s="45" t="str">
        <f ca="1">IFERROR(__xludf.DUMMYFUNCTION("""COMPUTED_VALUE"""),"MAS AMITY PTE LTD")</f>
        <v>MAS AMITY PTE LTD</v>
      </c>
      <c r="G940" s="45" t="str">
        <f ca="1">IFERROR(__xludf.DUMMYFUNCTION("""COMPUTED_VALUE"""),"MAS Active (Pvt) Ltd – Shadowline")</f>
        <v>MAS Active (Pvt) Ltd – Shadowline</v>
      </c>
      <c r="H940" s="43">
        <f ca="1">IFERROR(__xludf.DUMMYFUNCTION("""COMPUTED_VALUE"""),457042295619)</f>
        <v>457042295619</v>
      </c>
      <c r="I940" s="45">
        <f ca="1">IFERROR(__xludf.DUMMYFUNCTION("""COMPUTED_VALUE"""),19923534)</f>
        <v>19923534</v>
      </c>
      <c r="J940" s="45" t="str">
        <f ca="1">IFERROR(__xludf.DUMMYFUNCTION("""COMPUTED_VALUE"""),"LW5FLOS")</f>
        <v>LW5FLOS</v>
      </c>
      <c r="K940" s="45" t="str">
        <f ca="1">IFERROR(__xludf.DUMMYFUNCTION("""COMPUTED_VALUE"""),"LW5FLOS-0001")</f>
        <v>LW5FLOS-0001</v>
      </c>
      <c r="L940" s="45">
        <f ca="1">IFERROR(__xludf.DUMMYFUNCTION("""COMPUTED_VALUE"""),9)</f>
        <v>9</v>
      </c>
      <c r="M940" s="45">
        <f ca="1">IFERROR(__xludf.DUMMYFUNCTION("""COMPUTED_VALUE"""),465)</f>
        <v>465</v>
      </c>
      <c r="N940" s="45">
        <f ca="1">IFERROR(__xludf.DUMMYFUNCTION("""COMPUTED_VALUE"""),103.08)</f>
        <v>103.08</v>
      </c>
      <c r="O940" s="45">
        <f ca="1">IFERROR(__xludf.DUMMYFUNCTION("""COMPUTED_VALUE"""),0.632)</f>
        <v>0.63200000000000001</v>
      </c>
      <c r="P940" s="45" t="str">
        <f ca="1">IFERROR(__xludf.DUMMYFUNCTION("""COMPUTED_VALUE"""),"Colombo, LK")</f>
        <v>Colombo, LK</v>
      </c>
      <c r="Q940" s="45" t="str">
        <f ca="1">IFERROR(__xludf.DUMMYFUNCTION("""COMPUTED_VALUE"""),"New York, NY, US")</f>
        <v>New York, NY, US</v>
      </c>
      <c r="R940" s="44">
        <f ca="1">IFERROR(__xludf.DUMMYFUNCTION("""COMPUTED_VALUE"""),45838)</f>
        <v>45838</v>
      </c>
      <c r="S940" s="44">
        <f ca="1">IFERROR(__xludf.DUMMYFUNCTION("""COMPUTED_VALUE"""),45897)</f>
        <v>45897</v>
      </c>
      <c r="T940" s="45" t="str">
        <f ca="1">IFERROR(__xludf.DUMMYFUNCTION("""COMPUTED_VALUE"""),"Mississauga, ON, CA")</f>
        <v>Mississauga, ON, CA</v>
      </c>
      <c r="U940" s="45"/>
      <c r="V940" s="45"/>
      <c r="W940" s="45"/>
      <c r="X940" s="45"/>
      <c r="Y940" s="46">
        <f ca="1">IFERROR(__xludf.DUMMYFUNCTION("""COMPUTED_VALUE"""),45845)</f>
        <v>45845</v>
      </c>
      <c r="Z940" s="46">
        <f ca="1">IFERROR(__xludf.DUMMYFUNCTION("""COMPUTED_VALUE"""),45866)</f>
        <v>45866</v>
      </c>
      <c r="AA940" s="46">
        <f ca="1">IFERROR(__xludf.DUMMYFUNCTION("""COMPUTED_VALUE"""),45866)</f>
        <v>45866</v>
      </c>
      <c r="AB940" s="45" t="str">
        <f ca="1">IFERROR(__xludf.DUMMYFUNCTION("""COMPUTED_VALUE"""),"3500 Argentia Road")</f>
        <v>3500 Argentia Road</v>
      </c>
      <c r="AC940" s="45"/>
      <c r="AD940" s="45" t="str">
        <f ca="1">IFERROR(__xludf.DUMMYFUNCTION("""COMPUTED_VALUE"""),"OCEAN")</f>
        <v>OCEAN</v>
      </c>
      <c r="AE940" s="45" t="str">
        <f ca="1">IFERROR(__xludf.DUMMYFUNCTION("""COMPUTED_VALUE"""),"N")</f>
        <v>N</v>
      </c>
      <c r="AF940"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0" s="49" t="str">
        <f ca="1">IFERROR(__xludf.DUMMYFUNCTION("IFNA(vlookup(H940,IMPORTRANGE(""1vUGwO1n0QQGx9kKbO0_M5gmuhXZ6-LaxQxgrmJnzgP0"",""'TP# look up'!A:C""),3,0),"""")"),"")</f>
        <v/>
      </c>
      <c r="AH940" s="49" t="str">
        <f t="shared" ca="1" si="14"/>
        <v>LW</v>
      </c>
    </row>
    <row r="941" spans="1:34" ht="12.75">
      <c r="A941" s="45" t="str">
        <f ca="1">IFERROR(__xludf.DUMMYFUNCTION("""COMPUTED_VALUE"""),"Colombo")</f>
        <v>Colombo</v>
      </c>
      <c r="B941" s="45"/>
      <c r="C941" s="45">
        <f ca="1">IFERROR(__xludf.DUMMYFUNCTION("""COMPUTED_VALUE"""),3259528)</f>
        <v>3259528</v>
      </c>
      <c r="D941" s="45"/>
      <c r="E941" s="45" t="str">
        <f ca="1">IFERROR(__xludf.DUMMYFUNCTION("""COMPUTED_VALUE"""),"CFS")</f>
        <v>CFS</v>
      </c>
      <c r="F941" s="45" t="str">
        <f ca="1">IFERROR(__xludf.DUMMYFUNCTION("""COMPUTED_VALUE"""),"MAS AMITY PTE LTD")</f>
        <v>MAS AMITY PTE LTD</v>
      </c>
      <c r="G941" s="45" t="str">
        <f ca="1">IFERROR(__xludf.DUMMYFUNCTION("""COMPUTED_VALUE"""),"MAS Active (Pvt) Ltd – Sleekline")</f>
        <v>MAS Active (Pvt) Ltd – Sleekline</v>
      </c>
      <c r="H941" s="43">
        <f ca="1">IFERROR(__xludf.DUMMYFUNCTION("""COMPUTED_VALUE"""),457028104800)</f>
        <v>457028104800</v>
      </c>
      <c r="I941" s="45">
        <f ca="1">IFERROR(__xludf.DUMMYFUNCTION("""COMPUTED_VALUE"""),19940864)</f>
        <v>19940864</v>
      </c>
      <c r="J941" s="45" t="str">
        <f ca="1">IFERROR(__xludf.DUMMYFUNCTION("""COMPUTED_VALUE"""),"LM9B91S")</f>
        <v>LM9B91S</v>
      </c>
      <c r="K941" s="45" t="str">
        <f ca="1">IFERROR(__xludf.DUMMYFUNCTION("""COMPUTED_VALUE"""),"LM9B91S-4310")</f>
        <v>LM9B91S-4310</v>
      </c>
      <c r="L941" s="45">
        <f ca="1">IFERROR(__xludf.DUMMYFUNCTION("""COMPUTED_VALUE"""),5)</f>
        <v>5</v>
      </c>
      <c r="M941" s="45">
        <f ca="1">IFERROR(__xludf.DUMMYFUNCTION("""COMPUTED_VALUE"""),186)</f>
        <v>186</v>
      </c>
      <c r="N941" s="45">
        <f ca="1">IFERROR(__xludf.DUMMYFUNCTION("""COMPUTED_VALUE"""),51.05)</f>
        <v>51.05</v>
      </c>
      <c r="O941" s="45">
        <f ca="1">IFERROR(__xludf.DUMMYFUNCTION("""COMPUTED_VALUE"""),0.357)</f>
        <v>0.35699999999999998</v>
      </c>
      <c r="P941" s="45" t="str">
        <f ca="1">IFERROR(__xludf.DUMMYFUNCTION("""COMPUTED_VALUE"""),"Colombo, LK")</f>
        <v>Colombo, LK</v>
      </c>
      <c r="Q941" s="45" t="str">
        <f ca="1">IFERROR(__xludf.DUMMYFUNCTION("""COMPUTED_VALUE"""),"New York, NY, US")</f>
        <v>New York, NY, US</v>
      </c>
      <c r="R941" s="44">
        <f ca="1">IFERROR(__xludf.DUMMYFUNCTION("""COMPUTED_VALUE"""),45838)</f>
        <v>45838</v>
      </c>
      <c r="S941" s="44">
        <f ca="1">IFERROR(__xludf.DUMMYFUNCTION("""COMPUTED_VALUE"""),45897)</f>
        <v>45897</v>
      </c>
      <c r="T941" s="45" t="str">
        <f ca="1">IFERROR(__xludf.DUMMYFUNCTION("""COMPUTED_VALUE"""),"Mississauga, ON, CA")</f>
        <v>Mississauga, ON, CA</v>
      </c>
      <c r="U941" s="45"/>
      <c r="V941" s="45"/>
      <c r="W941" s="45"/>
      <c r="X941" s="45"/>
      <c r="Y941" s="46">
        <f ca="1">IFERROR(__xludf.DUMMYFUNCTION("""COMPUTED_VALUE"""),45845)</f>
        <v>45845</v>
      </c>
      <c r="Z941" s="46">
        <f ca="1">IFERROR(__xludf.DUMMYFUNCTION("""COMPUTED_VALUE"""),45866)</f>
        <v>45866</v>
      </c>
      <c r="AA941" s="46">
        <f ca="1">IFERROR(__xludf.DUMMYFUNCTION("""COMPUTED_VALUE"""),45866)</f>
        <v>45866</v>
      </c>
      <c r="AB941" s="45" t="str">
        <f ca="1">IFERROR(__xludf.DUMMYFUNCTION("""COMPUTED_VALUE"""),"3500 Argentia Road")</f>
        <v>3500 Argentia Road</v>
      </c>
      <c r="AC941" s="45"/>
      <c r="AD941" s="45" t="str">
        <f ca="1">IFERROR(__xludf.DUMMYFUNCTION("""COMPUTED_VALUE"""),"OCEAN")</f>
        <v>OCEAN</v>
      </c>
      <c r="AE941" s="45" t="str">
        <f ca="1">IFERROR(__xludf.DUMMYFUNCTION("""COMPUTED_VALUE"""),"N")</f>
        <v>N</v>
      </c>
      <c r="AF941"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1" s="49" t="str">
        <f ca="1">IFERROR(__xludf.DUMMYFUNCTION("IFNA(vlookup(H941,IMPORTRANGE(""1vUGwO1n0QQGx9kKbO0_M5gmuhXZ6-LaxQxgrmJnzgP0"",""'TP# look up'!A:C""),3,0),"""")"),"")</f>
        <v/>
      </c>
      <c r="AH941" s="49" t="str">
        <f t="shared" ca="1" si="14"/>
        <v>LM</v>
      </c>
    </row>
    <row r="942" spans="1:34" ht="12.75">
      <c r="A942" s="45" t="str">
        <f ca="1">IFERROR(__xludf.DUMMYFUNCTION("""COMPUTED_VALUE"""),"Colombo")</f>
        <v>Colombo</v>
      </c>
      <c r="B942" s="45"/>
      <c r="C942" s="45">
        <f ca="1">IFERROR(__xludf.DUMMYFUNCTION("""COMPUTED_VALUE"""),3259528)</f>
        <v>3259528</v>
      </c>
      <c r="D942" s="45"/>
      <c r="E942" s="45" t="str">
        <f ca="1">IFERROR(__xludf.DUMMYFUNCTION("""COMPUTED_VALUE"""),"CFS")</f>
        <v>CFS</v>
      </c>
      <c r="F942" s="45" t="str">
        <f ca="1">IFERROR(__xludf.DUMMYFUNCTION("""COMPUTED_VALUE"""),"MAS AMITY PTE LTD")</f>
        <v>MAS AMITY PTE LTD</v>
      </c>
      <c r="G942" s="45" t="str">
        <f ca="1">IFERROR(__xludf.DUMMYFUNCTION("""COMPUTED_VALUE"""),"MAS Active (Pvt) Ltd – Sleekline")</f>
        <v>MAS Active (Pvt) Ltd – Sleekline</v>
      </c>
      <c r="H942" s="43">
        <f ca="1">IFERROR(__xludf.DUMMYFUNCTION("""COMPUTED_VALUE"""),457035534565)</f>
        <v>457035534565</v>
      </c>
      <c r="I942" s="45">
        <f ca="1">IFERROR(__xludf.DUMMYFUNCTION("""COMPUTED_VALUE"""),19935899)</f>
        <v>19935899</v>
      </c>
      <c r="J942" s="45" t="str">
        <f ca="1">IFERROR(__xludf.DUMMYFUNCTION("""COMPUTED_VALUE"""),"LM9AXZS")</f>
        <v>LM9AXZS</v>
      </c>
      <c r="K942" s="45" t="str">
        <f ca="1">IFERROR(__xludf.DUMMYFUNCTION("""COMPUTED_VALUE"""),"LM9AXZS-072460")</f>
        <v>LM9AXZS-072460</v>
      </c>
      <c r="L942" s="45">
        <f ca="1">IFERROR(__xludf.DUMMYFUNCTION("""COMPUTED_VALUE"""),1)</f>
        <v>1</v>
      </c>
      <c r="M942" s="45">
        <f ca="1">IFERROR(__xludf.DUMMYFUNCTION("""COMPUTED_VALUE"""),91)</f>
        <v>91</v>
      </c>
      <c r="N942" s="45">
        <f ca="1">IFERROR(__xludf.DUMMYFUNCTION("""COMPUTED_VALUE"""),10.42)</f>
        <v>10.42</v>
      </c>
      <c r="O942" s="45">
        <f ca="1">IFERROR(__xludf.DUMMYFUNCTION("""COMPUTED_VALUE"""),0.079)</f>
        <v>7.9000000000000001E-2</v>
      </c>
      <c r="P942" s="45" t="str">
        <f ca="1">IFERROR(__xludf.DUMMYFUNCTION("""COMPUTED_VALUE"""),"Colombo, LK")</f>
        <v>Colombo, LK</v>
      </c>
      <c r="Q942" s="45" t="str">
        <f ca="1">IFERROR(__xludf.DUMMYFUNCTION("""COMPUTED_VALUE"""),"New York, NY, US")</f>
        <v>New York, NY, US</v>
      </c>
      <c r="R942" s="44">
        <f ca="1">IFERROR(__xludf.DUMMYFUNCTION("""COMPUTED_VALUE"""),45838)</f>
        <v>45838</v>
      </c>
      <c r="S942" s="44">
        <f ca="1">IFERROR(__xludf.DUMMYFUNCTION("""COMPUTED_VALUE"""),45897)</f>
        <v>45897</v>
      </c>
      <c r="T942" s="45" t="str">
        <f ca="1">IFERROR(__xludf.DUMMYFUNCTION("""COMPUTED_VALUE"""),"Mississauga, ON, CA")</f>
        <v>Mississauga, ON, CA</v>
      </c>
      <c r="U942" s="45"/>
      <c r="V942" s="45"/>
      <c r="W942" s="45"/>
      <c r="X942" s="45"/>
      <c r="Y942" s="46">
        <f ca="1">IFERROR(__xludf.DUMMYFUNCTION("""COMPUTED_VALUE"""),45845)</f>
        <v>45845</v>
      </c>
      <c r="Z942" s="46">
        <f ca="1">IFERROR(__xludf.DUMMYFUNCTION("""COMPUTED_VALUE"""),45866)</f>
        <v>45866</v>
      </c>
      <c r="AA942" s="46">
        <f ca="1">IFERROR(__xludf.DUMMYFUNCTION("""COMPUTED_VALUE"""),45866)</f>
        <v>45866</v>
      </c>
      <c r="AB942" s="45" t="str">
        <f ca="1">IFERROR(__xludf.DUMMYFUNCTION("""COMPUTED_VALUE"""),"3500 Argentia Road")</f>
        <v>3500 Argentia Road</v>
      </c>
      <c r="AC942" s="45"/>
      <c r="AD942" s="45" t="str">
        <f ca="1">IFERROR(__xludf.DUMMYFUNCTION("""COMPUTED_VALUE"""),"OCEAN")</f>
        <v>OCEAN</v>
      </c>
      <c r="AE942" s="45" t="str">
        <f ca="1">IFERROR(__xludf.DUMMYFUNCTION("""COMPUTED_VALUE"""),"N")</f>
        <v>N</v>
      </c>
      <c r="AF942"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2" s="49" t="str">
        <f ca="1">IFERROR(__xludf.DUMMYFUNCTION("IFNA(vlookup(H942,IMPORTRANGE(""1vUGwO1n0QQGx9kKbO0_M5gmuhXZ6-LaxQxgrmJnzgP0"",""'TP# look up'!A:C""),3,0),"""")"),"")</f>
        <v/>
      </c>
      <c r="AH942" s="49" t="str">
        <f t="shared" ca="1" si="14"/>
        <v>LM</v>
      </c>
    </row>
    <row r="943" spans="1:34" ht="12.75">
      <c r="A943" s="45" t="str">
        <f ca="1">IFERROR(__xludf.DUMMYFUNCTION("""COMPUTED_VALUE"""),"Colombo")</f>
        <v>Colombo</v>
      </c>
      <c r="B943" s="45"/>
      <c r="C943" s="45">
        <f ca="1">IFERROR(__xludf.DUMMYFUNCTION("""COMPUTED_VALUE"""),3259528)</f>
        <v>3259528</v>
      </c>
      <c r="D943" s="45"/>
      <c r="E943" s="45" t="str">
        <f ca="1">IFERROR(__xludf.DUMMYFUNCTION("""COMPUTED_VALUE"""),"CFS")</f>
        <v>CFS</v>
      </c>
      <c r="F943" s="45" t="str">
        <f ca="1">IFERROR(__xludf.DUMMYFUNCTION("""COMPUTED_VALUE"""),"MAS AMITY PTE LTD")</f>
        <v>MAS AMITY PTE LTD</v>
      </c>
      <c r="G943" s="45" t="str">
        <f ca="1">IFERROR(__xludf.DUMMYFUNCTION("""COMPUTED_VALUE"""),"MAS Active (Pvt) Ltd – Sleekline")</f>
        <v>MAS Active (Pvt) Ltd – Sleekline</v>
      </c>
      <c r="H943" s="43">
        <f ca="1">IFERROR(__xludf.DUMMYFUNCTION("""COMPUTED_VALUE"""),457036881844)</f>
        <v>457036881844</v>
      </c>
      <c r="I943" s="45">
        <f ca="1">IFERROR(__xludf.DUMMYFUNCTION("""COMPUTED_VALUE"""),19940674)</f>
        <v>19940674</v>
      </c>
      <c r="J943" s="45" t="str">
        <f ca="1">IFERROR(__xludf.DUMMYFUNCTION("""COMPUTED_VALUE"""),"LM9AXZS")</f>
        <v>LM9AXZS</v>
      </c>
      <c r="K943" s="45" t="str">
        <f ca="1">IFERROR(__xludf.DUMMYFUNCTION("""COMPUTED_VALUE"""),"LM9AXZS-072460")</f>
        <v>LM9AXZS-072460</v>
      </c>
      <c r="L943" s="45">
        <f ca="1">IFERROR(__xludf.DUMMYFUNCTION("""COMPUTED_VALUE"""),3)</f>
        <v>3</v>
      </c>
      <c r="M943" s="45">
        <f ca="1">IFERROR(__xludf.DUMMYFUNCTION("""COMPUTED_VALUE"""),207)</f>
        <v>207</v>
      </c>
      <c r="N943" s="45">
        <f ca="1">IFERROR(__xludf.DUMMYFUNCTION("""COMPUTED_VALUE"""),24.03)</f>
        <v>24.03</v>
      </c>
      <c r="O943" s="45">
        <f ca="1">IFERROR(__xludf.DUMMYFUNCTION("""COMPUTED_VALUE"""),0.159)</f>
        <v>0.159</v>
      </c>
      <c r="P943" s="45" t="str">
        <f ca="1">IFERROR(__xludf.DUMMYFUNCTION("""COMPUTED_VALUE"""),"Colombo, LK")</f>
        <v>Colombo, LK</v>
      </c>
      <c r="Q943" s="45" t="str">
        <f ca="1">IFERROR(__xludf.DUMMYFUNCTION("""COMPUTED_VALUE"""),"New York, NY, US")</f>
        <v>New York, NY, US</v>
      </c>
      <c r="R943" s="44">
        <f ca="1">IFERROR(__xludf.DUMMYFUNCTION("""COMPUTED_VALUE"""),45838)</f>
        <v>45838</v>
      </c>
      <c r="S943" s="44">
        <f ca="1">IFERROR(__xludf.DUMMYFUNCTION("""COMPUTED_VALUE"""),45897)</f>
        <v>45897</v>
      </c>
      <c r="T943" s="45" t="str">
        <f ca="1">IFERROR(__xludf.DUMMYFUNCTION("""COMPUTED_VALUE"""),"Mississauga, ON, CA")</f>
        <v>Mississauga, ON, CA</v>
      </c>
      <c r="U943" s="45"/>
      <c r="V943" s="45"/>
      <c r="W943" s="45"/>
      <c r="X943" s="45"/>
      <c r="Y943" s="46">
        <f ca="1">IFERROR(__xludf.DUMMYFUNCTION("""COMPUTED_VALUE"""),45845)</f>
        <v>45845</v>
      </c>
      <c r="Z943" s="46">
        <f ca="1">IFERROR(__xludf.DUMMYFUNCTION("""COMPUTED_VALUE"""),45866)</f>
        <v>45866</v>
      </c>
      <c r="AA943" s="46">
        <f ca="1">IFERROR(__xludf.DUMMYFUNCTION("""COMPUTED_VALUE"""),45866)</f>
        <v>45866</v>
      </c>
      <c r="AB943" s="45" t="str">
        <f ca="1">IFERROR(__xludf.DUMMYFUNCTION("""COMPUTED_VALUE"""),"3500 Argentia Road")</f>
        <v>3500 Argentia Road</v>
      </c>
      <c r="AC943" s="45"/>
      <c r="AD943" s="45" t="str">
        <f ca="1">IFERROR(__xludf.DUMMYFUNCTION("""COMPUTED_VALUE"""),"OCEAN")</f>
        <v>OCEAN</v>
      </c>
      <c r="AE943" s="45" t="str">
        <f ca="1">IFERROR(__xludf.DUMMYFUNCTION("""COMPUTED_VALUE"""),"N")</f>
        <v>N</v>
      </c>
      <c r="AF943"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3" s="49" t="str">
        <f ca="1">IFERROR(__xludf.DUMMYFUNCTION("IFNA(vlookup(H943,IMPORTRANGE(""1vUGwO1n0QQGx9kKbO0_M5gmuhXZ6-LaxQxgrmJnzgP0"",""'TP# look up'!A:C""),3,0),"""")"),"")</f>
        <v/>
      </c>
      <c r="AH943" s="49" t="str">
        <f t="shared" ca="1" si="14"/>
        <v>LM</v>
      </c>
    </row>
    <row r="944" spans="1:34" ht="12.75">
      <c r="A944" s="45" t="str">
        <f ca="1">IFERROR(__xludf.DUMMYFUNCTION("""COMPUTED_VALUE"""),"Colombo")</f>
        <v>Colombo</v>
      </c>
      <c r="B944" s="45"/>
      <c r="C944" s="45">
        <f ca="1">IFERROR(__xludf.DUMMYFUNCTION("""COMPUTED_VALUE"""),3259528)</f>
        <v>3259528</v>
      </c>
      <c r="D944" s="45"/>
      <c r="E944" s="45" t="str">
        <f ca="1">IFERROR(__xludf.DUMMYFUNCTION("""COMPUTED_VALUE"""),"CFS")</f>
        <v>CFS</v>
      </c>
      <c r="F944" s="45" t="str">
        <f ca="1">IFERROR(__xludf.DUMMYFUNCTION("""COMPUTED_VALUE"""),"MAS AMITY PTE LTD")</f>
        <v>MAS AMITY PTE LTD</v>
      </c>
      <c r="G944" s="45" t="str">
        <f ca="1">IFERROR(__xludf.DUMMYFUNCTION("""COMPUTED_VALUE"""),"MAS Active (Pvt) Ltd – Sleekline")</f>
        <v>MAS Active (Pvt) Ltd – Sleekline</v>
      </c>
      <c r="H944" s="43">
        <f ca="1">IFERROR(__xludf.DUMMYFUNCTION("""COMPUTED_VALUE"""),457040480208)</f>
        <v>457040480208</v>
      </c>
      <c r="I944" s="45">
        <f ca="1">IFERROR(__xludf.DUMMYFUNCTION("""COMPUTED_VALUE"""),19926894)</f>
        <v>19926894</v>
      </c>
      <c r="J944" s="45" t="str">
        <f ca="1">IFERROR(__xludf.DUMMYFUNCTION("""COMPUTED_VALUE"""),"LM9B91S")</f>
        <v>LM9B91S</v>
      </c>
      <c r="K944" s="45" t="str">
        <f ca="1">IFERROR(__xludf.DUMMYFUNCTION("""COMPUTED_VALUE"""),"LM9B91S-4310")</f>
        <v>LM9B91S-4310</v>
      </c>
      <c r="L944" s="45">
        <f ca="1">IFERROR(__xludf.DUMMYFUNCTION("""COMPUTED_VALUE"""),3)</f>
        <v>3</v>
      </c>
      <c r="M944" s="45">
        <f ca="1">IFERROR(__xludf.DUMMYFUNCTION("""COMPUTED_VALUE"""),121)</f>
        <v>121</v>
      </c>
      <c r="N944" s="45">
        <f ca="1">IFERROR(__xludf.DUMMYFUNCTION("""COMPUTED_VALUE"""),32.77)</f>
        <v>32.770000000000003</v>
      </c>
      <c r="O944" s="45">
        <f ca="1">IFERROR(__xludf.DUMMYFUNCTION("""COMPUTED_VALUE"""),0.238)</f>
        <v>0.23799999999999999</v>
      </c>
      <c r="P944" s="45" t="str">
        <f ca="1">IFERROR(__xludf.DUMMYFUNCTION("""COMPUTED_VALUE"""),"Colombo, LK")</f>
        <v>Colombo, LK</v>
      </c>
      <c r="Q944" s="45" t="str">
        <f ca="1">IFERROR(__xludf.DUMMYFUNCTION("""COMPUTED_VALUE"""),"New York, NY, US")</f>
        <v>New York, NY, US</v>
      </c>
      <c r="R944" s="44">
        <f ca="1">IFERROR(__xludf.DUMMYFUNCTION("""COMPUTED_VALUE"""),45838)</f>
        <v>45838</v>
      </c>
      <c r="S944" s="44">
        <f ca="1">IFERROR(__xludf.DUMMYFUNCTION("""COMPUTED_VALUE"""),45897)</f>
        <v>45897</v>
      </c>
      <c r="T944" s="45" t="str">
        <f ca="1">IFERROR(__xludf.DUMMYFUNCTION("""COMPUTED_VALUE"""),"Mississauga, ON, CA")</f>
        <v>Mississauga, ON, CA</v>
      </c>
      <c r="U944" s="45"/>
      <c r="V944" s="45"/>
      <c r="W944" s="45"/>
      <c r="X944" s="45"/>
      <c r="Y944" s="46">
        <f ca="1">IFERROR(__xludf.DUMMYFUNCTION("""COMPUTED_VALUE"""),45845)</f>
        <v>45845</v>
      </c>
      <c r="Z944" s="46">
        <f ca="1">IFERROR(__xludf.DUMMYFUNCTION("""COMPUTED_VALUE"""),45866)</f>
        <v>45866</v>
      </c>
      <c r="AA944" s="46">
        <f ca="1">IFERROR(__xludf.DUMMYFUNCTION("""COMPUTED_VALUE"""),45866)</f>
        <v>45866</v>
      </c>
      <c r="AB944" s="45" t="str">
        <f ca="1">IFERROR(__xludf.DUMMYFUNCTION("""COMPUTED_VALUE"""),"3500 Argentia Road")</f>
        <v>3500 Argentia Road</v>
      </c>
      <c r="AC944" s="45"/>
      <c r="AD944" s="45" t="str">
        <f ca="1">IFERROR(__xludf.DUMMYFUNCTION("""COMPUTED_VALUE"""),"OCEAN")</f>
        <v>OCEAN</v>
      </c>
      <c r="AE944" s="45" t="str">
        <f ca="1">IFERROR(__xludf.DUMMYFUNCTION("""COMPUTED_VALUE"""),"N")</f>
        <v>N</v>
      </c>
      <c r="AF944"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4" s="49" t="str">
        <f ca="1">IFERROR(__xludf.DUMMYFUNCTION("IFNA(vlookup(H944,IMPORTRANGE(""1vUGwO1n0QQGx9kKbO0_M5gmuhXZ6-LaxQxgrmJnzgP0"",""'TP# look up'!A:C""),3,0),"""")"),"")</f>
        <v/>
      </c>
      <c r="AH944" s="49" t="str">
        <f t="shared" ca="1" si="14"/>
        <v>LM</v>
      </c>
    </row>
    <row r="945" spans="1:34" ht="12.75">
      <c r="A945" s="45" t="str">
        <f ca="1">IFERROR(__xludf.DUMMYFUNCTION("""COMPUTED_VALUE"""),"Colombo")</f>
        <v>Colombo</v>
      </c>
      <c r="B945" s="45"/>
      <c r="C945" s="45">
        <f ca="1">IFERROR(__xludf.DUMMYFUNCTION("""COMPUTED_VALUE"""),3259528)</f>
        <v>3259528</v>
      </c>
      <c r="D945" s="45"/>
      <c r="E945" s="45" t="str">
        <f ca="1">IFERROR(__xludf.DUMMYFUNCTION("""COMPUTED_VALUE"""),"CFS")</f>
        <v>CFS</v>
      </c>
      <c r="F945" s="45" t="str">
        <f ca="1">IFERROR(__xludf.DUMMYFUNCTION("""COMPUTED_VALUE"""),"MAS AMITY PTE LTD")</f>
        <v>MAS AMITY PTE LTD</v>
      </c>
      <c r="G945" s="45" t="str">
        <f ca="1">IFERROR(__xludf.DUMMYFUNCTION("""COMPUTED_VALUE"""),"MAS Active (Pvt) Ltd – Sleekline")</f>
        <v>MAS Active (Pvt) Ltd – Sleekline</v>
      </c>
      <c r="H945" s="43">
        <f ca="1">IFERROR(__xludf.DUMMYFUNCTION("""COMPUTED_VALUE"""),457040480257)</f>
        <v>457040480257</v>
      </c>
      <c r="I945" s="45">
        <f ca="1">IFERROR(__xludf.DUMMYFUNCTION("""COMPUTED_VALUE"""),19927026)</f>
        <v>19927026</v>
      </c>
      <c r="J945" s="45" t="str">
        <f ca="1">IFERROR(__xludf.DUMMYFUNCTION("""COMPUTED_VALUE"""),"LM9AN0S")</f>
        <v>LM9AN0S</v>
      </c>
      <c r="K945" s="45" t="str">
        <f ca="1">IFERROR(__xludf.DUMMYFUNCTION("""COMPUTED_VALUE"""),"LM9AN0S-072460")</f>
        <v>LM9AN0S-072460</v>
      </c>
      <c r="L945" s="45">
        <f ca="1">IFERROR(__xludf.DUMMYFUNCTION("""COMPUTED_VALUE"""),3)</f>
        <v>3</v>
      </c>
      <c r="M945" s="45">
        <f ca="1">IFERROR(__xludf.DUMMYFUNCTION("""COMPUTED_VALUE"""),244)</f>
        <v>244</v>
      </c>
      <c r="N945" s="45">
        <f ca="1">IFERROR(__xludf.DUMMYFUNCTION("""COMPUTED_VALUE"""),29.52)</f>
        <v>29.52</v>
      </c>
      <c r="O945" s="45">
        <f ca="1">IFERROR(__xludf.DUMMYFUNCTION("""COMPUTED_VALUE"""),0.238)</f>
        <v>0.23799999999999999</v>
      </c>
      <c r="P945" s="45" t="str">
        <f ca="1">IFERROR(__xludf.DUMMYFUNCTION("""COMPUTED_VALUE"""),"Colombo, LK")</f>
        <v>Colombo, LK</v>
      </c>
      <c r="Q945" s="45" t="str">
        <f ca="1">IFERROR(__xludf.DUMMYFUNCTION("""COMPUTED_VALUE"""),"New York, NY, US")</f>
        <v>New York, NY, US</v>
      </c>
      <c r="R945" s="44">
        <f ca="1">IFERROR(__xludf.DUMMYFUNCTION("""COMPUTED_VALUE"""),45838)</f>
        <v>45838</v>
      </c>
      <c r="S945" s="44">
        <f ca="1">IFERROR(__xludf.DUMMYFUNCTION("""COMPUTED_VALUE"""),45897)</f>
        <v>45897</v>
      </c>
      <c r="T945" s="45" t="str">
        <f ca="1">IFERROR(__xludf.DUMMYFUNCTION("""COMPUTED_VALUE"""),"Mississauga, ON, CA")</f>
        <v>Mississauga, ON, CA</v>
      </c>
      <c r="U945" s="45"/>
      <c r="V945" s="45"/>
      <c r="W945" s="45"/>
      <c r="X945" s="45"/>
      <c r="Y945" s="46">
        <f ca="1">IFERROR(__xludf.DUMMYFUNCTION("""COMPUTED_VALUE"""),45845)</f>
        <v>45845</v>
      </c>
      <c r="Z945" s="46">
        <f ca="1">IFERROR(__xludf.DUMMYFUNCTION("""COMPUTED_VALUE"""),45866)</f>
        <v>45866</v>
      </c>
      <c r="AA945" s="46">
        <f ca="1">IFERROR(__xludf.DUMMYFUNCTION("""COMPUTED_VALUE"""),45866)</f>
        <v>45866</v>
      </c>
      <c r="AB945" s="45" t="str">
        <f ca="1">IFERROR(__xludf.DUMMYFUNCTION("""COMPUTED_VALUE"""),"3500 Argentia Road")</f>
        <v>3500 Argentia Road</v>
      </c>
      <c r="AC945" s="45"/>
      <c r="AD945" s="45" t="str">
        <f ca="1">IFERROR(__xludf.DUMMYFUNCTION("""COMPUTED_VALUE"""),"OCEAN")</f>
        <v>OCEAN</v>
      </c>
      <c r="AE945" s="45" t="str">
        <f ca="1">IFERROR(__xludf.DUMMYFUNCTION("""COMPUTED_VALUE"""),"N")</f>
        <v>N</v>
      </c>
      <c r="AF945"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5" s="49" t="str">
        <f ca="1">IFERROR(__xludf.DUMMYFUNCTION("IFNA(vlookup(H945,IMPORTRANGE(""1vUGwO1n0QQGx9kKbO0_M5gmuhXZ6-LaxQxgrmJnzgP0"",""'TP# look up'!A:C""),3,0),"""")"),"")</f>
        <v/>
      </c>
      <c r="AH945" s="49" t="str">
        <f t="shared" ca="1" si="14"/>
        <v>LM</v>
      </c>
    </row>
    <row r="946" spans="1:34" ht="12.75">
      <c r="A946" s="45" t="str">
        <f ca="1">IFERROR(__xludf.DUMMYFUNCTION("""COMPUTED_VALUE"""),"Colombo")</f>
        <v>Colombo</v>
      </c>
      <c r="B946" s="45"/>
      <c r="C946" s="45">
        <f ca="1">IFERROR(__xludf.DUMMYFUNCTION("""COMPUTED_VALUE"""),3259528)</f>
        <v>3259528</v>
      </c>
      <c r="D946" s="45"/>
      <c r="E946" s="45" t="str">
        <f ca="1">IFERROR(__xludf.DUMMYFUNCTION("""COMPUTED_VALUE"""),"CFS")</f>
        <v>CFS</v>
      </c>
      <c r="F946" s="45" t="str">
        <f ca="1">IFERROR(__xludf.DUMMYFUNCTION("""COMPUTED_VALUE"""),"MAS AMITY PTE LTD")</f>
        <v>MAS AMITY PTE LTD</v>
      </c>
      <c r="G946" s="45" t="str">
        <f ca="1">IFERROR(__xludf.DUMMYFUNCTION("""COMPUTED_VALUE"""),"MAS Active (Pvt) Ltd – Sleekline")</f>
        <v>MAS Active (Pvt) Ltd – Sleekline</v>
      </c>
      <c r="H946" s="43">
        <f ca="1">IFERROR(__xludf.DUMMYFUNCTION("""COMPUTED_VALUE"""),457042295906)</f>
        <v>457042295906</v>
      </c>
      <c r="I946" s="45">
        <f ca="1">IFERROR(__xludf.DUMMYFUNCTION("""COMPUTED_VALUE"""),19935856)</f>
        <v>19935856</v>
      </c>
      <c r="J946" s="45" t="str">
        <f ca="1">IFERROR(__xludf.DUMMYFUNCTION("""COMPUTED_VALUE"""),"LM9AN0S")</f>
        <v>LM9AN0S</v>
      </c>
      <c r="K946" s="45" t="str">
        <f ca="1">IFERROR(__xludf.DUMMYFUNCTION("""COMPUTED_VALUE"""),"LM9AN0S-072460")</f>
        <v>LM9AN0S-072460</v>
      </c>
      <c r="L946" s="45">
        <f ca="1">IFERROR(__xludf.DUMMYFUNCTION("""COMPUTED_VALUE"""),1)</f>
        <v>1</v>
      </c>
      <c r="M946" s="45">
        <f ca="1">IFERROR(__xludf.DUMMYFUNCTION("""COMPUTED_VALUE"""),84)</f>
        <v>84</v>
      </c>
      <c r="N946" s="45">
        <f ca="1">IFERROR(__xludf.DUMMYFUNCTION("""COMPUTED_VALUE"""),10.11)</f>
        <v>10.11</v>
      </c>
      <c r="O946" s="45">
        <f ca="1">IFERROR(__xludf.DUMMYFUNCTION("""COMPUTED_VALUE"""),0.079)</f>
        <v>7.9000000000000001E-2</v>
      </c>
      <c r="P946" s="45" t="str">
        <f ca="1">IFERROR(__xludf.DUMMYFUNCTION("""COMPUTED_VALUE"""),"Colombo, LK")</f>
        <v>Colombo, LK</v>
      </c>
      <c r="Q946" s="45" t="str">
        <f ca="1">IFERROR(__xludf.DUMMYFUNCTION("""COMPUTED_VALUE"""),"New York, NY, US")</f>
        <v>New York, NY, US</v>
      </c>
      <c r="R946" s="44">
        <f ca="1">IFERROR(__xludf.DUMMYFUNCTION("""COMPUTED_VALUE"""),45838)</f>
        <v>45838</v>
      </c>
      <c r="S946" s="44">
        <f ca="1">IFERROR(__xludf.DUMMYFUNCTION("""COMPUTED_VALUE"""),45897)</f>
        <v>45897</v>
      </c>
      <c r="T946" s="45" t="str">
        <f ca="1">IFERROR(__xludf.DUMMYFUNCTION("""COMPUTED_VALUE"""),"Mississauga, ON, CA")</f>
        <v>Mississauga, ON, CA</v>
      </c>
      <c r="U946" s="45"/>
      <c r="V946" s="45"/>
      <c r="W946" s="45"/>
      <c r="X946" s="45"/>
      <c r="Y946" s="46">
        <f ca="1">IFERROR(__xludf.DUMMYFUNCTION("""COMPUTED_VALUE"""),45845)</f>
        <v>45845</v>
      </c>
      <c r="Z946" s="46">
        <f ca="1">IFERROR(__xludf.DUMMYFUNCTION("""COMPUTED_VALUE"""),45866)</f>
        <v>45866</v>
      </c>
      <c r="AA946" s="46">
        <f ca="1">IFERROR(__xludf.DUMMYFUNCTION("""COMPUTED_VALUE"""),45866)</f>
        <v>45866</v>
      </c>
      <c r="AB946" s="45" t="str">
        <f ca="1">IFERROR(__xludf.DUMMYFUNCTION("""COMPUTED_VALUE"""),"3500 Argentia Road")</f>
        <v>3500 Argentia Road</v>
      </c>
      <c r="AC946" s="45"/>
      <c r="AD946" s="45" t="str">
        <f ca="1">IFERROR(__xludf.DUMMYFUNCTION("""COMPUTED_VALUE"""),"OCEAN")</f>
        <v>OCEAN</v>
      </c>
      <c r="AE946" s="45" t="str">
        <f ca="1">IFERROR(__xludf.DUMMYFUNCTION("""COMPUTED_VALUE"""),"N")</f>
        <v>N</v>
      </c>
      <c r="AF946"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6" s="49" t="str">
        <f ca="1">IFERROR(__xludf.DUMMYFUNCTION("IFNA(vlookup(H946,IMPORTRANGE(""1vUGwO1n0QQGx9kKbO0_M5gmuhXZ6-LaxQxgrmJnzgP0"",""'TP# look up'!A:C""),3,0),"""")"),"")</f>
        <v/>
      </c>
      <c r="AH946" s="49" t="str">
        <f t="shared" ca="1" si="14"/>
        <v>LM</v>
      </c>
    </row>
    <row r="947" spans="1:34" ht="12.75">
      <c r="A947" s="45" t="str">
        <f ca="1">IFERROR(__xludf.DUMMYFUNCTION("""COMPUTED_VALUE"""),"Colombo")</f>
        <v>Colombo</v>
      </c>
      <c r="B947" s="45"/>
      <c r="C947" s="45">
        <f ca="1">IFERROR(__xludf.DUMMYFUNCTION("""COMPUTED_VALUE"""),3259528)</f>
        <v>3259528</v>
      </c>
      <c r="D947" s="45"/>
      <c r="E947" s="45" t="str">
        <f ca="1">IFERROR(__xludf.DUMMYFUNCTION("""COMPUTED_VALUE"""),"CFS")</f>
        <v>CFS</v>
      </c>
      <c r="F947" s="45" t="str">
        <f ca="1">IFERROR(__xludf.DUMMYFUNCTION("""COMPUTED_VALUE"""),"MAS AMITY PTE LTD")</f>
        <v>MAS AMITY PTE LTD</v>
      </c>
      <c r="G947" s="45" t="str">
        <f ca="1">IFERROR(__xludf.DUMMYFUNCTION("""COMPUTED_VALUE"""),"MAS Active (Pvt) Ltd – Sleekline")</f>
        <v>MAS Active (Pvt) Ltd – Sleekline</v>
      </c>
      <c r="H947" s="43">
        <f ca="1">IFERROR(__xludf.DUMMYFUNCTION("""COMPUTED_VALUE"""),457042296025)</f>
        <v>457042296025</v>
      </c>
      <c r="I947" s="45">
        <f ca="1">IFERROR(__xludf.DUMMYFUNCTION("""COMPUTED_VALUE"""),19936233)</f>
        <v>19936233</v>
      </c>
      <c r="J947" s="45" t="str">
        <f ca="1">IFERROR(__xludf.DUMMYFUNCTION("""COMPUTED_VALUE"""),"LM9B91S")</f>
        <v>LM9B91S</v>
      </c>
      <c r="K947" s="45" t="str">
        <f ca="1">IFERROR(__xludf.DUMMYFUNCTION("""COMPUTED_VALUE"""),"LM9B91S-072075")</f>
        <v>LM9B91S-072075</v>
      </c>
      <c r="L947" s="45">
        <f ca="1">IFERROR(__xludf.DUMMYFUNCTION("""COMPUTED_VALUE"""),3)</f>
        <v>3</v>
      </c>
      <c r="M947" s="45">
        <f ca="1">IFERROR(__xludf.DUMMYFUNCTION("""COMPUTED_VALUE"""),131)</f>
        <v>131</v>
      </c>
      <c r="N947" s="45">
        <f ca="1">IFERROR(__xludf.DUMMYFUNCTION("""COMPUTED_VALUE"""),35.37)</f>
        <v>35.369999999999997</v>
      </c>
      <c r="O947" s="45">
        <f ca="1">IFERROR(__xludf.DUMMYFUNCTION("""COMPUTED_VALUE"""),0.238)</f>
        <v>0.23799999999999999</v>
      </c>
      <c r="P947" s="45" t="str">
        <f ca="1">IFERROR(__xludf.DUMMYFUNCTION("""COMPUTED_VALUE"""),"Colombo, LK")</f>
        <v>Colombo, LK</v>
      </c>
      <c r="Q947" s="45" t="str">
        <f ca="1">IFERROR(__xludf.DUMMYFUNCTION("""COMPUTED_VALUE"""),"New York, NY, US")</f>
        <v>New York, NY, US</v>
      </c>
      <c r="R947" s="44">
        <f ca="1">IFERROR(__xludf.DUMMYFUNCTION("""COMPUTED_VALUE"""),45838)</f>
        <v>45838</v>
      </c>
      <c r="S947" s="44">
        <f ca="1">IFERROR(__xludf.DUMMYFUNCTION("""COMPUTED_VALUE"""),45897)</f>
        <v>45897</v>
      </c>
      <c r="T947" s="45" t="str">
        <f ca="1">IFERROR(__xludf.DUMMYFUNCTION("""COMPUTED_VALUE"""),"Mississauga, ON, CA")</f>
        <v>Mississauga, ON, CA</v>
      </c>
      <c r="U947" s="45"/>
      <c r="V947" s="45"/>
      <c r="W947" s="45"/>
      <c r="X947" s="45"/>
      <c r="Y947" s="46">
        <f ca="1">IFERROR(__xludf.DUMMYFUNCTION("""COMPUTED_VALUE"""),45845)</f>
        <v>45845</v>
      </c>
      <c r="Z947" s="46">
        <f ca="1">IFERROR(__xludf.DUMMYFUNCTION("""COMPUTED_VALUE"""),45866)</f>
        <v>45866</v>
      </c>
      <c r="AA947" s="46">
        <f ca="1">IFERROR(__xludf.DUMMYFUNCTION("""COMPUTED_VALUE"""),45866)</f>
        <v>45866</v>
      </c>
      <c r="AB947" s="45" t="str">
        <f ca="1">IFERROR(__xludf.DUMMYFUNCTION("""COMPUTED_VALUE"""),"3500 Argentia Road")</f>
        <v>3500 Argentia Road</v>
      </c>
      <c r="AC947" s="45"/>
      <c r="AD947" s="45" t="str">
        <f ca="1">IFERROR(__xludf.DUMMYFUNCTION("""COMPUTED_VALUE"""),"OCEAN")</f>
        <v>OCEAN</v>
      </c>
      <c r="AE947" s="45" t="str">
        <f ca="1">IFERROR(__xludf.DUMMYFUNCTION("""COMPUTED_VALUE"""),"N")</f>
        <v>N</v>
      </c>
      <c r="AF947"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7" s="49" t="str">
        <f ca="1">IFERROR(__xludf.DUMMYFUNCTION("IFNA(vlookup(H947,IMPORTRANGE(""1vUGwO1n0QQGx9kKbO0_M5gmuhXZ6-LaxQxgrmJnzgP0"",""'TP# look up'!A:C""),3,0),"""")"),"")</f>
        <v/>
      </c>
      <c r="AH947" s="49" t="str">
        <f t="shared" ca="1" si="14"/>
        <v>LM</v>
      </c>
    </row>
    <row r="948" spans="1:34" ht="12.75">
      <c r="A948" s="45" t="str">
        <f ca="1">IFERROR(__xludf.DUMMYFUNCTION("""COMPUTED_VALUE"""),"Colombo")</f>
        <v>Colombo</v>
      </c>
      <c r="B948" s="45"/>
      <c r="C948" s="45">
        <f ca="1">IFERROR(__xludf.DUMMYFUNCTION("""COMPUTED_VALUE"""),3259528)</f>
        <v>3259528</v>
      </c>
      <c r="D948" s="45"/>
      <c r="E948" s="45" t="str">
        <f ca="1">IFERROR(__xludf.DUMMYFUNCTION("""COMPUTED_VALUE"""),"CFS")</f>
        <v>CFS</v>
      </c>
      <c r="F948" s="45" t="str">
        <f ca="1">IFERROR(__xludf.DUMMYFUNCTION("""COMPUTED_VALUE"""),"MAS AMITY PTE LTD")</f>
        <v>MAS AMITY PTE LTD</v>
      </c>
      <c r="G948" s="45" t="str">
        <f ca="1">IFERROR(__xludf.DUMMYFUNCTION("""COMPUTED_VALUE"""),"MAS Active (Pvt) Ltd – Sleekline")</f>
        <v>MAS Active (Pvt) Ltd – Sleekline</v>
      </c>
      <c r="H948" s="43">
        <f ca="1">IFERROR(__xludf.DUMMYFUNCTION("""COMPUTED_VALUE"""),457043193266)</f>
        <v>457043193266</v>
      </c>
      <c r="I948" s="45">
        <f ca="1">IFERROR(__xludf.DUMMYFUNCTION("""COMPUTED_VALUE"""),19940605)</f>
        <v>19940605</v>
      </c>
      <c r="J948" s="45" t="str">
        <f ca="1">IFERROR(__xludf.DUMMYFUNCTION("""COMPUTED_VALUE"""),"LM9B90S")</f>
        <v>LM9B90S</v>
      </c>
      <c r="K948" s="45" t="str">
        <f ca="1">IFERROR(__xludf.DUMMYFUNCTION("""COMPUTED_VALUE"""),"LM9B90S-0001")</f>
        <v>LM9B90S-0001</v>
      </c>
      <c r="L948" s="45">
        <f ca="1">IFERROR(__xludf.DUMMYFUNCTION("""COMPUTED_VALUE"""),2)</f>
        <v>2</v>
      </c>
      <c r="M948" s="45">
        <f ca="1">IFERROR(__xludf.DUMMYFUNCTION("""COMPUTED_VALUE"""),153)</f>
        <v>153</v>
      </c>
      <c r="N948" s="45">
        <f ca="1">IFERROR(__xludf.DUMMYFUNCTION("""COMPUTED_VALUE"""),16.52)</f>
        <v>16.52</v>
      </c>
      <c r="O948" s="45">
        <f ca="1">IFERROR(__xludf.DUMMYFUNCTION("""COMPUTED_VALUE"""),0.119)</f>
        <v>0.11899999999999999</v>
      </c>
      <c r="P948" s="45" t="str">
        <f ca="1">IFERROR(__xludf.DUMMYFUNCTION("""COMPUTED_VALUE"""),"Colombo, LK")</f>
        <v>Colombo, LK</v>
      </c>
      <c r="Q948" s="45" t="str">
        <f ca="1">IFERROR(__xludf.DUMMYFUNCTION("""COMPUTED_VALUE"""),"New York, NY, US")</f>
        <v>New York, NY, US</v>
      </c>
      <c r="R948" s="44">
        <f ca="1">IFERROR(__xludf.DUMMYFUNCTION("""COMPUTED_VALUE"""),45838)</f>
        <v>45838</v>
      </c>
      <c r="S948" s="44">
        <f ca="1">IFERROR(__xludf.DUMMYFUNCTION("""COMPUTED_VALUE"""),45897)</f>
        <v>45897</v>
      </c>
      <c r="T948" s="45" t="str">
        <f ca="1">IFERROR(__xludf.DUMMYFUNCTION("""COMPUTED_VALUE"""),"Mississauga, ON, CA")</f>
        <v>Mississauga, ON, CA</v>
      </c>
      <c r="U948" s="45"/>
      <c r="V948" s="45"/>
      <c r="W948" s="45"/>
      <c r="X948" s="45"/>
      <c r="Y948" s="46">
        <f ca="1">IFERROR(__xludf.DUMMYFUNCTION("""COMPUTED_VALUE"""),45845)</f>
        <v>45845</v>
      </c>
      <c r="Z948" s="46">
        <f ca="1">IFERROR(__xludf.DUMMYFUNCTION("""COMPUTED_VALUE"""),45866)</f>
        <v>45866</v>
      </c>
      <c r="AA948" s="46">
        <f ca="1">IFERROR(__xludf.DUMMYFUNCTION("""COMPUTED_VALUE"""),45866)</f>
        <v>45866</v>
      </c>
      <c r="AB948" s="45" t="str">
        <f ca="1">IFERROR(__xludf.DUMMYFUNCTION("""COMPUTED_VALUE"""),"3500 Argentia Road")</f>
        <v>3500 Argentia Road</v>
      </c>
      <c r="AC948" s="45"/>
      <c r="AD948" s="45" t="str">
        <f ca="1">IFERROR(__xludf.DUMMYFUNCTION("""COMPUTED_VALUE"""),"OCEAN")</f>
        <v>OCEAN</v>
      </c>
      <c r="AE948" s="45" t="str">
        <f ca="1">IFERROR(__xludf.DUMMYFUNCTION("""COMPUTED_VALUE"""),"N")</f>
        <v>N</v>
      </c>
      <c r="AF948"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8" s="49" t="str">
        <f ca="1">IFERROR(__xludf.DUMMYFUNCTION("IFNA(vlookup(H948,IMPORTRANGE(""1vUGwO1n0QQGx9kKbO0_M5gmuhXZ6-LaxQxgrmJnzgP0"",""'TP# look up'!A:C""),3,0),"""")"),"")</f>
        <v/>
      </c>
      <c r="AH948" s="49" t="str">
        <f t="shared" ca="1" si="14"/>
        <v>LM</v>
      </c>
    </row>
    <row r="949" spans="1:34" ht="12.75">
      <c r="A949" s="45" t="str">
        <f ca="1">IFERROR(__xludf.DUMMYFUNCTION("""COMPUTED_VALUE"""),"Colombo")</f>
        <v>Colombo</v>
      </c>
      <c r="B949" s="45"/>
      <c r="C949" s="45">
        <f ca="1">IFERROR(__xludf.DUMMYFUNCTION("""COMPUTED_VALUE"""),3259528)</f>
        <v>3259528</v>
      </c>
      <c r="D949" s="45"/>
      <c r="E949" s="45" t="str">
        <f ca="1">IFERROR(__xludf.DUMMYFUNCTION("""COMPUTED_VALUE"""),"CFS")</f>
        <v>CFS</v>
      </c>
      <c r="F949" s="45" t="str">
        <f ca="1">IFERROR(__xludf.DUMMYFUNCTION("""COMPUTED_VALUE"""),"MAS AMITY PTE LTD")</f>
        <v>MAS AMITY PTE LTD</v>
      </c>
      <c r="G949" s="45" t="str">
        <f ca="1">IFERROR(__xludf.DUMMYFUNCTION("""COMPUTED_VALUE"""),"MAS Active (Pvt) Ltd – Sleekline")</f>
        <v>MAS Active (Pvt) Ltd – Sleekline</v>
      </c>
      <c r="H949" s="43">
        <f ca="1">IFERROR(__xludf.DUMMYFUNCTION("""COMPUTED_VALUE"""),457048399527)</f>
        <v>457048399527</v>
      </c>
      <c r="I949" s="45">
        <f ca="1">IFERROR(__xludf.DUMMYFUNCTION("""COMPUTED_VALUE"""),19926870)</f>
        <v>19926870</v>
      </c>
      <c r="J949" s="45" t="str">
        <f ca="1">IFERROR(__xludf.DUMMYFUNCTION("""COMPUTED_VALUE"""),"LM9B20S")</f>
        <v>LM9B20S</v>
      </c>
      <c r="K949" s="45" t="str">
        <f ca="1">IFERROR(__xludf.DUMMYFUNCTION("""COMPUTED_VALUE"""),"LM9B20S-072075")</f>
        <v>LM9B20S-072075</v>
      </c>
      <c r="L949" s="45">
        <f ca="1">IFERROR(__xludf.DUMMYFUNCTION("""COMPUTED_VALUE"""),3)</f>
        <v>3</v>
      </c>
      <c r="M949" s="45">
        <f ca="1">IFERROR(__xludf.DUMMYFUNCTION("""COMPUTED_VALUE"""),107)</f>
        <v>107</v>
      </c>
      <c r="N949" s="45">
        <f ca="1">IFERROR(__xludf.DUMMYFUNCTION("""COMPUTED_VALUE"""),33.96)</f>
        <v>33.96</v>
      </c>
      <c r="O949" s="45">
        <f ca="1">IFERROR(__xludf.DUMMYFUNCTION("""COMPUTED_VALUE"""),0.238)</f>
        <v>0.23799999999999999</v>
      </c>
      <c r="P949" s="45" t="str">
        <f ca="1">IFERROR(__xludf.DUMMYFUNCTION("""COMPUTED_VALUE"""),"Colombo, LK")</f>
        <v>Colombo, LK</v>
      </c>
      <c r="Q949" s="45" t="str">
        <f ca="1">IFERROR(__xludf.DUMMYFUNCTION("""COMPUTED_VALUE"""),"New York, NY, US")</f>
        <v>New York, NY, US</v>
      </c>
      <c r="R949" s="44">
        <f ca="1">IFERROR(__xludf.DUMMYFUNCTION("""COMPUTED_VALUE"""),45838)</f>
        <v>45838</v>
      </c>
      <c r="S949" s="44">
        <f ca="1">IFERROR(__xludf.DUMMYFUNCTION("""COMPUTED_VALUE"""),45897)</f>
        <v>45897</v>
      </c>
      <c r="T949" s="45" t="str">
        <f ca="1">IFERROR(__xludf.DUMMYFUNCTION("""COMPUTED_VALUE"""),"Mississauga, ON, CA")</f>
        <v>Mississauga, ON, CA</v>
      </c>
      <c r="U949" s="45"/>
      <c r="V949" s="45"/>
      <c r="W949" s="45"/>
      <c r="X949" s="45"/>
      <c r="Y949" s="46">
        <f ca="1">IFERROR(__xludf.DUMMYFUNCTION("""COMPUTED_VALUE"""),45845)</f>
        <v>45845</v>
      </c>
      <c r="Z949" s="46">
        <f ca="1">IFERROR(__xludf.DUMMYFUNCTION("""COMPUTED_VALUE"""),45866)</f>
        <v>45866</v>
      </c>
      <c r="AA949" s="46">
        <f ca="1">IFERROR(__xludf.DUMMYFUNCTION("""COMPUTED_VALUE"""),45866)</f>
        <v>45866</v>
      </c>
      <c r="AB949" s="45" t="str">
        <f ca="1">IFERROR(__xludf.DUMMYFUNCTION("""COMPUTED_VALUE"""),"3500 Argentia Road")</f>
        <v>3500 Argentia Road</v>
      </c>
      <c r="AC949" s="45"/>
      <c r="AD949" s="45" t="str">
        <f ca="1">IFERROR(__xludf.DUMMYFUNCTION("""COMPUTED_VALUE"""),"OCEAN")</f>
        <v>OCEAN</v>
      </c>
      <c r="AE949" s="45" t="str">
        <f ca="1">IFERROR(__xludf.DUMMYFUNCTION("""COMPUTED_VALUE"""),"N")</f>
        <v>N</v>
      </c>
      <c r="AF949"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49" s="49" t="str">
        <f ca="1">IFERROR(__xludf.DUMMYFUNCTION("IFNA(vlookup(H949,IMPORTRANGE(""1vUGwO1n0QQGx9kKbO0_M5gmuhXZ6-LaxQxgrmJnzgP0"",""'TP# look up'!A:C""),3,0),"""")"),"")</f>
        <v/>
      </c>
      <c r="AH949" s="49" t="str">
        <f t="shared" ca="1" si="14"/>
        <v>LM</v>
      </c>
    </row>
    <row r="950" spans="1:34" ht="12.75">
      <c r="A950" s="45" t="str">
        <f ca="1">IFERROR(__xludf.DUMMYFUNCTION("""COMPUTED_VALUE"""),"Colombo")</f>
        <v>Colombo</v>
      </c>
      <c r="B950" s="45"/>
      <c r="C950" s="45">
        <f ca="1">IFERROR(__xludf.DUMMYFUNCTION("""COMPUTED_VALUE"""),3259528)</f>
        <v>3259528</v>
      </c>
      <c r="D950" s="45"/>
      <c r="E950" s="45" t="str">
        <f ca="1">IFERROR(__xludf.DUMMYFUNCTION("""COMPUTED_VALUE"""),"CFS")</f>
        <v>CFS</v>
      </c>
      <c r="F950" s="45" t="str">
        <f ca="1">IFERROR(__xludf.DUMMYFUNCTION("""COMPUTED_VALUE"""),"MAS AMITY PTE LTD")</f>
        <v>MAS AMITY PTE LTD</v>
      </c>
      <c r="G950" s="45" t="str">
        <f ca="1">IFERROR(__xludf.DUMMYFUNCTION("""COMPUTED_VALUE"""),"MAS Active (Pvt) Ltd – Sleekline")</f>
        <v>MAS Active (Pvt) Ltd – Sleekline</v>
      </c>
      <c r="H950" s="43">
        <f ca="1">IFERROR(__xludf.DUMMYFUNCTION("""COMPUTED_VALUE"""),457048399847)</f>
        <v>457048399847</v>
      </c>
      <c r="I950" s="45">
        <f ca="1">IFERROR(__xludf.DUMMYFUNCTION("""COMPUTED_VALUE"""),19940695)</f>
        <v>19940695</v>
      </c>
      <c r="J950" s="45" t="str">
        <f ca="1">IFERROR(__xludf.DUMMYFUNCTION("""COMPUTED_VALUE"""),"LM9AY9S")</f>
        <v>LM9AY9S</v>
      </c>
      <c r="K950" s="45" t="str">
        <f ca="1">IFERROR(__xludf.DUMMYFUNCTION("""COMPUTED_VALUE"""),"LM9AY9S-042751")</f>
        <v>LM9AY9S-042751</v>
      </c>
      <c r="L950" s="45">
        <f ca="1">IFERROR(__xludf.DUMMYFUNCTION("""COMPUTED_VALUE"""),3)</f>
        <v>3</v>
      </c>
      <c r="M950" s="45">
        <f ca="1">IFERROR(__xludf.DUMMYFUNCTION("""COMPUTED_VALUE"""),138)</f>
        <v>138</v>
      </c>
      <c r="N950" s="45">
        <f ca="1">IFERROR(__xludf.DUMMYFUNCTION("""COMPUTED_VALUE"""),40.36)</f>
        <v>40.36</v>
      </c>
      <c r="O950" s="45">
        <f ca="1">IFERROR(__xludf.DUMMYFUNCTION("""COMPUTED_VALUE"""),0.238)</f>
        <v>0.23799999999999999</v>
      </c>
      <c r="P950" s="45" t="str">
        <f ca="1">IFERROR(__xludf.DUMMYFUNCTION("""COMPUTED_VALUE"""),"Colombo, LK")</f>
        <v>Colombo, LK</v>
      </c>
      <c r="Q950" s="45" t="str">
        <f ca="1">IFERROR(__xludf.DUMMYFUNCTION("""COMPUTED_VALUE"""),"New York, NY, US")</f>
        <v>New York, NY, US</v>
      </c>
      <c r="R950" s="44">
        <f ca="1">IFERROR(__xludf.DUMMYFUNCTION("""COMPUTED_VALUE"""),45838)</f>
        <v>45838</v>
      </c>
      <c r="S950" s="44">
        <f ca="1">IFERROR(__xludf.DUMMYFUNCTION("""COMPUTED_VALUE"""),45897)</f>
        <v>45897</v>
      </c>
      <c r="T950" s="45" t="str">
        <f ca="1">IFERROR(__xludf.DUMMYFUNCTION("""COMPUTED_VALUE"""),"Mississauga, ON, CA")</f>
        <v>Mississauga, ON, CA</v>
      </c>
      <c r="U950" s="45"/>
      <c r="V950" s="45"/>
      <c r="W950" s="45"/>
      <c r="X950" s="45"/>
      <c r="Y950" s="46">
        <f ca="1">IFERROR(__xludf.DUMMYFUNCTION("""COMPUTED_VALUE"""),45845)</f>
        <v>45845</v>
      </c>
      <c r="Z950" s="46">
        <f ca="1">IFERROR(__xludf.DUMMYFUNCTION("""COMPUTED_VALUE"""),45866)</f>
        <v>45866</v>
      </c>
      <c r="AA950" s="46">
        <f ca="1">IFERROR(__xludf.DUMMYFUNCTION("""COMPUTED_VALUE"""),45866)</f>
        <v>45866</v>
      </c>
      <c r="AB950" s="45" t="str">
        <f ca="1">IFERROR(__xludf.DUMMYFUNCTION("""COMPUTED_VALUE"""),"3500 Argentia Road")</f>
        <v>3500 Argentia Road</v>
      </c>
      <c r="AC950" s="45"/>
      <c r="AD950" s="45" t="str">
        <f ca="1">IFERROR(__xludf.DUMMYFUNCTION("""COMPUTED_VALUE"""),"OCEAN")</f>
        <v>OCEAN</v>
      </c>
      <c r="AE950" s="45" t="str">
        <f ca="1">IFERROR(__xludf.DUMMYFUNCTION("""COMPUTED_VALUE"""),"N")</f>
        <v>N</v>
      </c>
      <c r="AF950"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0" s="49" t="str">
        <f ca="1">IFERROR(__xludf.DUMMYFUNCTION("IFNA(vlookup(H950,IMPORTRANGE(""1vUGwO1n0QQGx9kKbO0_M5gmuhXZ6-LaxQxgrmJnzgP0"",""'TP# look up'!A:C""),3,0),"""")"),"")</f>
        <v/>
      </c>
      <c r="AH950" s="49" t="str">
        <f t="shared" ca="1" si="14"/>
        <v>LM</v>
      </c>
    </row>
    <row r="951" spans="1:34" ht="12.75">
      <c r="A951" s="45" t="str">
        <f ca="1">IFERROR(__xludf.DUMMYFUNCTION("""COMPUTED_VALUE"""),"Colombo")</f>
        <v>Colombo</v>
      </c>
      <c r="B951" s="45"/>
      <c r="C951" s="45">
        <f ca="1">IFERROR(__xludf.DUMMYFUNCTION("""COMPUTED_VALUE"""),3259528)</f>
        <v>3259528</v>
      </c>
      <c r="D951" s="45"/>
      <c r="E951" s="45" t="str">
        <f ca="1">IFERROR(__xludf.DUMMYFUNCTION("""COMPUTED_VALUE"""),"CFS")</f>
        <v>CFS</v>
      </c>
      <c r="F951" s="45" t="str">
        <f ca="1">IFERROR(__xludf.DUMMYFUNCTION("""COMPUTED_VALUE"""),"MAS AMITY PTE LTD")</f>
        <v>MAS AMITY PTE LTD</v>
      </c>
      <c r="G951" s="45" t="str">
        <f ca="1">IFERROR(__xludf.DUMMYFUNCTION("""COMPUTED_VALUE"""),"MAS Active (Pvt) Ltd – Sleekline")</f>
        <v>MAS Active (Pvt) Ltd – Sleekline</v>
      </c>
      <c r="H951" s="43">
        <f ca="1">IFERROR(__xludf.DUMMYFUNCTION("""COMPUTED_VALUE"""),457050478554)</f>
        <v>457050478554</v>
      </c>
      <c r="I951" s="45">
        <f ca="1">IFERROR(__xludf.DUMMYFUNCTION("""COMPUTED_VALUE"""),19927349)</f>
        <v>19927349</v>
      </c>
      <c r="J951" s="45" t="str">
        <f ca="1">IFERROR(__xludf.DUMMYFUNCTION("""COMPUTED_VALUE"""),"LM9B20S")</f>
        <v>LM9B20S</v>
      </c>
      <c r="K951" s="45" t="str">
        <f ca="1">IFERROR(__xludf.DUMMYFUNCTION("""COMPUTED_VALUE"""),"LM9B20S-072075")</f>
        <v>LM9B20S-072075</v>
      </c>
      <c r="L951" s="45">
        <f ca="1">IFERROR(__xludf.DUMMYFUNCTION("""COMPUTED_VALUE"""),4)</f>
        <v>4</v>
      </c>
      <c r="M951" s="45">
        <f ca="1">IFERROR(__xludf.DUMMYFUNCTION("""COMPUTED_VALUE"""),176)</f>
        <v>176</v>
      </c>
      <c r="N951" s="45">
        <f ca="1">IFERROR(__xludf.DUMMYFUNCTION("""COMPUTED_VALUE"""),54.56)</f>
        <v>54.56</v>
      </c>
      <c r="O951" s="45">
        <f ca="1">IFERROR(__xludf.DUMMYFUNCTION("""COMPUTED_VALUE"""),0.317)</f>
        <v>0.317</v>
      </c>
      <c r="P951" s="45" t="str">
        <f ca="1">IFERROR(__xludf.DUMMYFUNCTION("""COMPUTED_VALUE"""),"Colombo, LK")</f>
        <v>Colombo, LK</v>
      </c>
      <c r="Q951" s="45" t="str">
        <f ca="1">IFERROR(__xludf.DUMMYFUNCTION("""COMPUTED_VALUE"""),"New York, NY, US")</f>
        <v>New York, NY, US</v>
      </c>
      <c r="R951" s="44">
        <f ca="1">IFERROR(__xludf.DUMMYFUNCTION("""COMPUTED_VALUE"""),45838)</f>
        <v>45838</v>
      </c>
      <c r="S951" s="44">
        <f ca="1">IFERROR(__xludf.DUMMYFUNCTION("""COMPUTED_VALUE"""),45897)</f>
        <v>45897</v>
      </c>
      <c r="T951" s="45" t="str">
        <f ca="1">IFERROR(__xludf.DUMMYFUNCTION("""COMPUTED_VALUE"""),"Mississauga, ON, CA")</f>
        <v>Mississauga, ON, CA</v>
      </c>
      <c r="U951" s="45"/>
      <c r="V951" s="45"/>
      <c r="W951" s="45"/>
      <c r="X951" s="45"/>
      <c r="Y951" s="46">
        <f ca="1">IFERROR(__xludf.DUMMYFUNCTION("""COMPUTED_VALUE"""),45845)</f>
        <v>45845</v>
      </c>
      <c r="Z951" s="46">
        <f ca="1">IFERROR(__xludf.DUMMYFUNCTION("""COMPUTED_VALUE"""),45866)</f>
        <v>45866</v>
      </c>
      <c r="AA951" s="46">
        <f ca="1">IFERROR(__xludf.DUMMYFUNCTION("""COMPUTED_VALUE"""),45866)</f>
        <v>45866</v>
      </c>
      <c r="AB951" s="45" t="str">
        <f ca="1">IFERROR(__xludf.DUMMYFUNCTION("""COMPUTED_VALUE"""),"3500 Argentia Road")</f>
        <v>3500 Argentia Road</v>
      </c>
      <c r="AC951" s="45"/>
      <c r="AD951" s="45" t="str">
        <f ca="1">IFERROR(__xludf.DUMMYFUNCTION("""COMPUTED_VALUE"""),"OCEAN")</f>
        <v>OCEAN</v>
      </c>
      <c r="AE951" s="45" t="str">
        <f ca="1">IFERROR(__xludf.DUMMYFUNCTION("""COMPUTED_VALUE"""),"N")</f>
        <v>N</v>
      </c>
      <c r="AF951"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1" s="49" t="str">
        <f ca="1">IFERROR(__xludf.DUMMYFUNCTION("IFNA(vlookup(H951,IMPORTRANGE(""1vUGwO1n0QQGx9kKbO0_M5gmuhXZ6-LaxQxgrmJnzgP0"",""'TP# look up'!A:C""),3,0),"""")"),"")</f>
        <v/>
      </c>
      <c r="AH951" s="49" t="str">
        <f t="shared" ca="1" si="14"/>
        <v>LM</v>
      </c>
    </row>
    <row r="952" spans="1:34" ht="12.75">
      <c r="A952" s="45" t="str">
        <f ca="1">IFERROR(__xludf.DUMMYFUNCTION("""COMPUTED_VALUE"""),"Colombo")</f>
        <v>Colombo</v>
      </c>
      <c r="B952" s="45"/>
      <c r="C952" s="45">
        <f ca="1">IFERROR(__xludf.DUMMYFUNCTION("""COMPUTED_VALUE"""),3259528)</f>
        <v>3259528</v>
      </c>
      <c r="D952" s="45"/>
      <c r="E952" s="45" t="str">
        <f ca="1">IFERROR(__xludf.DUMMYFUNCTION("""COMPUTED_VALUE"""),"CFS")</f>
        <v>CFS</v>
      </c>
      <c r="F952" s="45" t="str">
        <f ca="1">IFERROR(__xludf.DUMMYFUNCTION("""COMPUTED_VALUE"""),"MAS AMITY PTE LTD")</f>
        <v>MAS AMITY PTE LTD</v>
      </c>
      <c r="G952" s="45" t="str">
        <f ca="1">IFERROR(__xludf.DUMMYFUNCTION("""COMPUTED_VALUE"""),"MAS Active (Pvt) Ltd – Sleekline")</f>
        <v>MAS Active (Pvt) Ltd – Sleekline</v>
      </c>
      <c r="H952" s="43">
        <f ca="1">IFERROR(__xludf.DUMMYFUNCTION("""COMPUTED_VALUE"""),457050478665)</f>
        <v>457050478665</v>
      </c>
      <c r="I952" s="45">
        <f ca="1">IFERROR(__xludf.DUMMYFUNCTION("""COMPUTED_VALUE"""),19940632)</f>
        <v>19940632</v>
      </c>
      <c r="J952" s="45" t="str">
        <f ca="1">IFERROR(__xludf.DUMMYFUNCTION("""COMPUTED_VALUE"""),"LM9B91S")</f>
        <v>LM9B91S</v>
      </c>
      <c r="K952" s="45" t="str">
        <f ca="1">IFERROR(__xludf.DUMMYFUNCTION("""COMPUTED_VALUE"""),"LM9B91S-072075")</f>
        <v>LM9B91S-072075</v>
      </c>
      <c r="L952" s="45">
        <f ca="1">IFERROR(__xludf.DUMMYFUNCTION("""COMPUTED_VALUE"""),3)</f>
        <v>3</v>
      </c>
      <c r="M952" s="45">
        <f ca="1">IFERROR(__xludf.DUMMYFUNCTION("""COMPUTED_VALUE"""),77)</f>
        <v>77</v>
      </c>
      <c r="N952" s="45">
        <f ca="1">IFERROR(__xludf.DUMMYFUNCTION("""COMPUTED_VALUE"""),21.84)</f>
        <v>21.84</v>
      </c>
      <c r="O952" s="45">
        <f ca="1">IFERROR(__xludf.DUMMYFUNCTION("""COMPUTED_VALUE"""),0.198)</f>
        <v>0.19800000000000001</v>
      </c>
      <c r="P952" s="45" t="str">
        <f ca="1">IFERROR(__xludf.DUMMYFUNCTION("""COMPUTED_VALUE"""),"Colombo, LK")</f>
        <v>Colombo, LK</v>
      </c>
      <c r="Q952" s="45" t="str">
        <f ca="1">IFERROR(__xludf.DUMMYFUNCTION("""COMPUTED_VALUE"""),"New York, NY, US")</f>
        <v>New York, NY, US</v>
      </c>
      <c r="R952" s="44">
        <f ca="1">IFERROR(__xludf.DUMMYFUNCTION("""COMPUTED_VALUE"""),45838)</f>
        <v>45838</v>
      </c>
      <c r="S952" s="44">
        <f ca="1">IFERROR(__xludf.DUMMYFUNCTION("""COMPUTED_VALUE"""),45897)</f>
        <v>45897</v>
      </c>
      <c r="T952" s="45" t="str">
        <f ca="1">IFERROR(__xludf.DUMMYFUNCTION("""COMPUTED_VALUE"""),"Mississauga, ON, CA")</f>
        <v>Mississauga, ON, CA</v>
      </c>
      <c r="U952" s="45"/>
      <c r="V952" s="45"/>
      <c r="W952" s="45"/>
      <c r="X952" s="45"/>
      <c r="Y952" s="46">
        <f ca="1">IFERROR(__xludf.DUMMYFUNCTION("""COMPUTED_VALUE"""),45845)</f>
        <v>45845</v>
      </c>
      <c r="Z952" s="46">
        <f ca="1">IFERROR(__xludf.DUMMYFUNCTION("""COMPUTED_VALUE"""),45866)</f>
        <v>45866</v>
      </c>
      <c r="AA952" s="46">
        <f ca="1">IFERROR(__xludf.DUMMYFUNCTION("""COMPUTED_VALUE"""),45866)</f>
        <v>45866</v>
      </c>
      <c r="AB952" s="45" t="str">
        <f ca="1">IFERROR(__xludf.DUMMYFUNCTION("""COMPUTED_VALUE"""),"3500 Argentia Road")</f>
        <v>3500 Argentia Road</v>
      </c>
      <c r="AC952" s="45"/>
      <c r="AD952" s="45" t="str">
        <f ca="1">IFERROR(__xludf.DUMMYFUNCTION("""COMPUTED_VALUE"""),"OCEAN")</f>
        <v>OCEAN</v>
      </c>
      <c r="AE952" s="45" t="str">
        <f ca="1">IFERROR(__xludf.DUMMYFUNCTION("""COMPUTED_VALUE"""),"N")</f>
        <v>N</v>
      </c>
      <c r="AF952"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2" s="49" t="str">
        <f ca="1">IFERROR(__xludf.DUMMYFUNCTION("IFNA(vlookup(H952,IMPORTRANGE(""1vUGwO1n0QQGx9kKbO0_M5gmuhXZ6-LaxQxgrmJnzgP0"",""'TP# look up'!A:C""),3,0),"""")"),"")</f>
        <v/>
      </c>
      <c r="AH952" s="49" t="str">
        <f t="shared" ca="1" si="14"/>
        <v>LM</v>
      </c>
    </row>
    <row r="953" spans="1:34" ht="12.75">
      <c r="A953" s="45" t="str">
        <f ca="1">IFERROR(__xludf.DUMMYFUNCTION("""COMPUTED_VALUE"""),"Colombo")</f>
        <v>Colombo</v>
      </c>
      <c r="B953" s="45"/>
      <c r="C953" s="45">
        <f ca="1">IFERROR(__xludf.DUMMYFUNCTION("""COMPUTED_VALUE"""),3259528)</f>
        <v>3259528</v>
      </c>
      <c r="D953" s="45"/>
      <c r="E953" s="45" t="str">
        <f ca="1">IFERROR(__xludf.DUMMYFUNCTION("""COMPUTED_VALUE"""),"CFS")</f>
        <v>CFS</v>
      </c>
      <c r="F953" s="45" t="str">
        <f ca="1">IFERROR(__xludf.DUMMYFUNCTION("""COMPUTED_VALUE"""),"MAS AMITY PTE LTD")</f>
        <v>MAS AMITY PTE LTD</v>
      </c>
      <c r="G953" s="45" t="str">
        <f ca="1">IFERROR(__xludf.DUMMYFUNCTION("""COMPUTED_VALUE"""),"MAS Active(Pvt) Ltd – CONTOURLINE")</f>
        <v>MAS Active(Pvt) Ltd – CONTOURLINE</v>
      </c>
      <c r="H953" s="43">
        <f ca="1">IFERROR(__xludf.DUMMYFUNCTION("""COMPUTED_VALUE"""),457028103824)</f>
        <v>457028103824</v>
      </c>
      <c r="I953" s="45">
        <f ca="1">IFERROR(__xludf.DUMMYFUNCTION("""COMPUTED_VALUE"""),19925189)</f>
        <v>19925189</v>
      </c>
      <c r="J953" s="45" t="str">
        <f ca="1">IFERROR(__xludf.DUMMYFUNCTION("""COMPUTED_VALUE"""),"LW5HNQS")</f>
        <v>LW5HNQS</v>
      </c>
      <c r="K953" s="45" t="str">
        <f ca="1">IFERROR(__xludf.DUMMYFUNCTION("""COMPUTED_VALUE"""),"LW5HNQS-071169")</f>
        <v>LW5HNQS-071169</v>
      </c>
      <c r="L953" s="45">
        <f ca="1">IFERROR(__xludf.DUMMYFUNCTION("""COMPUTED_VALUE"""),3)</f>
        <v>3</v>
      </c>
      <c r="M953" s="45">
        <f ca="1">IFERROR(__xludf.DUMMYFUNCTION("""COMPUTED_VALUE"""),94)</f>
        <v>94</v>
      </c>
      <c r="N953" s="45">
        <f ca="1">IFERROR(__xludf.DUMMYFUNCTION("""COMPUTED_VALUE"""),24.763)</f>
        <v>24.763000000000002</v>
      </c>
      <c r="O953" s="45">
        <f ca="1">IFERROR(__xludf.DUMMYFUNCTION("""COMPUTED_VALUE"""),0.158)</f>
        <v>0.158</v>
      </c>
      <c r="P953" s="45" t="str">
        <f ca="1">IFERROR(__xludf.DUMMYFUNCTION("""COMPUTED_VALUE"""),"Colombo, LK")</f>
        <v>Colombo, LK</v>
      </c>
      <c r="Q953" s="45" t="str">
        <f ca="1">IFERROR(__xludf.DUMMYFUNCTION("""COMPUTED_VALUE"""),"New York, NY, US")</f>
        <v>New York, NY, US</v>
      </c>
      <c r="R953" s="44">
        <f ca="1">IFERROR(__xludf.DUMMYFUNCTION("""COMPUTED_VALUE"""),45838)</f>
        <v>45838</v>
      </c>
      <c r="S953" s="44">
        <f ca="1">IFERROR(__xludf.DUMMYFUNCTION("""COMPUTED_VALUE"""),45897)</f>
        <v>45897</v>
      </c>
      <c r="T953" s="45" t="str">
        <f ca="1">IFERROR(__xludf.DUMMYFUNCTION("""COMPUTED_VALUE"""),"Mississauga, ON, CA")</f>
        <v>Mississauga, ON, CA</v>
      </c>
      <c r="U953" s="45"/>
      <c r="V953" s="45"/>
      <c r="W953" s="45"/>
      <c r="X953" s="45"/>
      <c r="Y953" s="46">
        <f ca="1">IFERROR(__xludf.DUMMYFUNCTION("""COMPUTED_VALUE"""),45845)</f>
        <v>45845</v>
      </c>
      <c r="Z953" s="46">
        <f ca="1">IFERROR(__xludf.DUMMYFUNCTION("""COMPUTED_VALUE"""),45866)</f>
        <v>45866</v>
      </c>
      <c r="AA953" s="46">
        <f ca="1">IFERROR(__xludf.DUMMYFUNCTION("""COMPUTED_VALUE"""),45866)</f>
        <v>45866</v>
      </c>
      <c r="AB953" s="45" t="str">
        <f ca="1">IFERROR(__xludf.DUMMYFUNCTION("""COMPUTED_VALUE"""),"3500 Argentia Road")</f>
        <v>3500 Argentia Road</v>
      </c>
      <c r="AC953" s="45"/>
      <c r="AD953" s="45" t="str">
        <f ca="1">IFERROR(__xludf.DUMMYFUNCTION("""COMPUTED_VALUE"""),"OCEAN")</f>
        <v>OCEAN</v>
      </c>
      <c r="AE953" s="45" t="str">
        <f ca="1">IFERROR(__xludf.DUMMYFUNCTION("""COMPUTED_VALUE"""),"N")</f>
        <v>N</v>
      </c>
      <c r="AF953"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3" s="49" t="str">
        <f ca="1">IFERROR(__xludf.DUMMYFUNCTION("IFNA(vlookup(H953,IMPORTRANGE(""1vUGwO1n0QQGx9kKbO0_M5gmuhXZ6-LaxQxgrmJnzgP0"",""'TP# look up'!A:C""),3,0),"""")"),"")</f>
        <v/>
      </c>
      <c r="AH953" s="49" t="str">
        <f t="shared" ca="1" si="14"/>
        <v>LW</v>
      </c>
    </row>
    <row r="954" spans="1:34" ht="12.75">
      <c r="A954" s="45" t="str">
        <f ca="1">IFERROR(__xludf.DUMMYFUNCTION("""COMPUTED_VALUE"""),"Colombo")</f>
        <v>Colombo</v>
      </c>
      <c r="B954" s="45"/>
      <c r="C954" s="45">
        <f ca="1">IFERROR(__xludf.DUMMYFUNCTION("""COMPUTED_VALUE"""),3259528)</f>
        <v>3259528</v>
      </c>
      <c r="D954" s="45"/>
      <c r="E954" s="45" t="str">
        <f ca="1">IFERROR(__xludf.DUMMYFUNCTION("""COMPUTED_VALUE"""),"CFS")</f>
        <v>CFS</v>
      </c>
      <c r="F954" s="45" t="str">
        <f ca="1">IFERROR(__xludf.DUMMYFUNCTION("""COMPUTED_VALUE"""),"MAS AMITY PTE LTD")</f>
        <v>MAS AMITY PTE LTD</v>
      </c>
      <c r="G954" s="45" t="str">
        <f ca="1">IFERROR(__xludf.DUMMYFUNCTION("""COMPUTED_VALUE"""),"MAS Active(Pvt) Ltd – CONTOURLINE")</f>
        <v>MAS Active(Pvt) Ltd – CONTOURLINE</v>
      </c>
      <c r="H954" s="43">
        <f ca="1">IFERROR(__xludf.DUMMYFUNCTION("""COMPUTED_VALUE"""),457028103891)</f>
        <v>457028103891</v>
      </c>
      <c r="I954" s="45">
        <f ca="1">IFERROR(__xludf.DUMMYFUNCTION("""COMPUTED_VALUE"""),19807619)</f>
        <v>19807619</v>
      </c>
      <c r="J954" s="45" t="str">
        <f ca="1">IFERROR(__xludf.DUMMYFUNCTION("""COMPUTED_VALUE"""),"LW1FLES")</f>
        <v>LW1FLES</v>
      </c>
      <c r="K954" s="45" t="str">
        <f ca="1">IFERROR(__xludf.DUMMYFUNCTION("""COMPUTED_VALUE"""),"LW1FLES-031045")</f>
        <v>LW1FLES-031045</v>
      </c>
      <c r="L954" s="45">
        <f ca="1">IFERROR(__xludf.DUMMYFUNCTION("""COMPUTED_VALUE"""),12)</f>
        <v>12</v>
      </c>
      <c r="M954" s="45">
        <f ca="1">IFERROR(__xludf.DUMMYFUNCTION("""COMPUTED_VALUE"""),1169)</f>
        <v>1169</v>
      </c>
      <c r="N954" s="45">
        <f ca="1">IFERROR(__xludf.DUMMYFUNCTION("""COMPUTED_VALUE"""),112.899)</f>
        <v>112.899</v>
      </c>
      <c r="O954" s="45">
        <f ca="1">IFERROR(__xludf.DUMMYFUNCTION("""COMPUTED_VALUE"""),0.948)</f>
        <v>0.94799999999999995</v>
      </c>
      <c r="P954" s="45" t="str">
        <f ca="1">IFERROR(__xludf.DUMMYFUNCTION("""COMPUTED_VALUE"""),"Colombo, LK")</f>
        <v>Colombo, LK</v>
      </c>
      <c r="Q954" s="45" t="str">
        <f ca="1">IFERROR(__xludf.DUMMYFUNCTION("""COMPUTED_VALUE"""),"New York, NY, US")</f>
        <v>New York, NY, US</v>
      </c>
      <c r="R954" s="44">
        <f ca="1">IFERROR(__xludf.DUMMYFUNCTION("""COMPUTED_VALUE"""),45838)</f>
        <v>45838</v>
      </c>
      <c r="S954" s="44">
        <f ca="1">IFERROR(__xludf.DUMMYFUNCTION("""COMPUTED_VALUE"""),45897)</f>
        <v>45897</v>
      </c>
      <c r="T954" s="45" t="str">
        <f ca="1">IFERROR(__xludf.DUMMYFUNCTION("""COMPUTED_VALUE"""),"Mississauga, ON, CA")</f>
        <v>Mississauga, ON, CA</v>
      </c>
      <c r="U954" s="45"/>
      <c r="V954" s="45"/>
      <c r="W954" s="45"/>
      <c r="X954" s="45"/>
      <c r="Y954" s="46">
        <f ca="1">IFERROR(__xludf.DUMMYFUNCTION("""COMPUTED_VALUE"""),45845)</f>
        <v>45845</v>
      </c>
      <c r="Z954" s="46">
        <f ca="1">IFERROR(__xludf.DUMMYFUNCTION("""COMPUTED_VALUE"""),45866)</f>
        <v>45866</v>
      </c>
      <c r="AA954" s="46">
        <f ca="1">IFERROR(__xludf.DUMMYFUNCTION("""COMPUTED_VALUE"""),45866)</f>
        <v>45866</v>
      </c>
      <c r="AB954" s="45" t="str">
        <f ca="1">IFERROR(__xludf.DUMMYFUNCTION("""COMPUTED_VALUE"""),"3500 Argentia Road")</f>
        <v>3500 Argentia Road</v>
      </c>
      <c r="AC954" s="45"/>
      <c r="AD954" s="45" t="str">
        <f ca="1">IFERROR(__xludf.DUMMYFUNCTION("""COMPUTED_VALUE"""),"OCEAN")</f>
        <v>OCEAN</v>
      </c>
      <c r="AE954" s="45" t="str">
        <f ca="1">IFERROR(__xludf.DUMMYFUNCTION("""COMPUTED_VALUE"""),"N")</f>
        <v>N</v>
      </c>
      <c r="AF954"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4" s="49" t="str">
        <f ca="1">IFERROR(__xludf.DUMMYFUNCTION("IFNA(vlookup(H954,IMPORTRANGE(""1vUGwO1n0QQGx9kKbO0_M5gmuhXZ6-LaxQxgrmJnzgP0"",""'TP# look up'!A:C""),3,0),"""")"),"")</f>
        <v/>
      </c>
      <c r="AH954" s="49" t="str">
        <f t="shared" ca="1" si="14"/>
        <v>LW</v>
      </c>
    </row>
    <row r="955" spans="1:34" ht="12.75">
      <c r="A955" s="45" t="str">
        <f ca="1">IFERROR(__xludf.DUMMYFUNCTION("""COMPUTED_VALUE"""),"Colombo")</f>
        <v>Colombo</v>
      </c>
      <c r="B955" s="45"/>
      <c r="C955" s="45">
        <f ca="1">IFERROR(__xludf.DUMMYFUNCTION("""COMPUTED_VALUE"""),3259528)</f>
        <v>3259528</v>
      </c>
      <c r="D955" s="45"/>
      <c r="E955" s="45" t="str">
        <f ca="1">IFERROR(__xludf.DUMMYFUNCTION("""COMPUTED_VALUE"""),"CFS")</f>
        <v>CFS</v>
      </c>
      <c r="F955" s="45" t="str">
        <f ca="1">IFERROR(__xludf.DUMMYFUNCTION("""COMPUTED_VALUE"""),"MAS AMITY PTE LTD")</f>
        <v>MAS AMITY PTE LTD</v>
      </c>
      <c r="G955" s="45" t="str">
        <f ca="1">IFERROR(__xludf.DUMMYFUNCTION("""COMPUTED_VALUE"""),"MAS Active(Pvt) Ltd – CONTOURLINE")</f>
        <v>MAS Active(Pvt) Ltd – CONTOURLINE</v>
      </c>
      <c r="H955" s="43">
        <f ca="1">IFERROR(__xludf.DUMMYFUNCTION("""COMPUTED_VALUE"""),457028104175)</f>
        <v>457028104175</v>
      </c>
      <c r="I955" s="45">
        <f ca="1">IFERROR(__xludf.DUMMYFUNCTION("""COMPUTED_VALUE"""),19807624)</f>
        <v>19807624</v>
      </c>
      <c r="J955" s="45" t="str">
        <f ca="1">IFERROR(__xludf.DUMMYFUNCTION("""COMPUTED_VALUE"""),"LW1FLES")</f>
        <v>LW1FLES</v>
      </c>
      <c r="K955" s="45" t="str">
        <f ca="1">IFERROR(__xludf.DUMMYFUNCTION("""COMPUTED_VALUE"""),"LW1FLES-031045")</f>
        <v>LW1FLES-031045</v>
      </c>
      <c r="L955" s="45">
        <f ca="1">IFERROR(__xludf.DUMMYFUNCTION("""COMPUTED_VALUE"""),17)</f>
        <v>17</v>
      </c>
      <c r="M955" s="45">
        <f ca="1">IFERROR(__xludf.DUMMYFUNCTION("""COMPUTED_VALUE"""),1842)</f>
        <v>1842</v>
      </c>
      <c r="N955" s="45">
        <f ca="1">IFERROR(__xludf.DUMMYFUNCTION("""COMPUTED_VALUE"""),175.834)</f>
        <v>175.834</v>
      </c>
      <c r="O955" s="45">
        <f ca="1">IFERROR(__xludf.DUMMYFUNCTION("""COMPUTED_VALUE"""),1.343)</f>
        <v>1.343</v>
      </c>
      <c r="P955" s="45" t="str">
        <f ca="1">IFERROR(__xludf.DUMMYFUNCTION("""COMPUTED_VALUE"""),"Colombo, LK")</f>
        <v>Colombo, LK</v>
      </c>
      <c r="Q955" s="45" t="str">
        <f ca="1">IFERROR(__xludf.DUMMYFUNCTION("""COMPUTED_VALUE"""),"New York, NY, US")</f>
        <v>New York, NY, US</v>
      </c>
      <c r="R955" s="44">
        <f ca="1">IFERROR(__xludf.DUMMYFUNCTION("""COMPUTED_VALUE"""),45838)</f>
        <v>45838</v>
      </c>
      <c r="S955" s="44">
        <f ca="1">IFERROR(__xludf.DUMMYFUNCTION("""COMPUTED_VALUE"""),45897)</f>
        <v>45897</v>
      </c>
      <c r="T955" s="45" t="str">
        <f ca="1">IFERROR(__xludf.DUMMYFUNCTION("""COMPUTED_VALUE"""),"Mississauga, ON, CA")</f>
        <v>Mississauga, ON, CA</v>
      </c>
      <c r="U955" s="45"/>
      <c r="V955" s="45"/>
      <c r="W955" s="45"/>
      <c r="X955" s="45"/>
      <c r="Y955" s="46">
        <f ca="1">IFERROR(__xludf.DUMMYFUNCTION("""COMPUTED_VALUE"""),45845)</f>
        <v>45845</v>
      </c>
      <c r="Z955" s="46">
        <f ca="1">IFERROR(__xludf.DUMMYFUNCTION("""COMPUTED_VALUE"""),45866)</f>
        <v>45866</v>
      </c>
      <c r="AA955" s="46">
        <f ca="1">IFERROR(__xludf.DUMMYFUNCTION("""COMPUTED_VALUE"""),45866)</f>
        <v>45866</v>
      </c>
      <c r="AB955" s="45" t="str">
        <f ca="1">IFERROR(__xludf.DUMMYFUNCTION("""COMPUTED_VALUE"""),"3500 Argentia Road")</f>
        <v>3500 Argentia Road</v>
      </c>
      <c r="AC955" s="45"/>
      <c r="AD955" s="45" t="str">
        <f ca="1">IFERROR(__xludf.DUMMYFUNCTION("""COMPUTED_VALUE"""),"OCEAN")</f>
        <v>OCEAN</v>
      </c>
      <c r="AE955" s="45" t="str">
        <f ca="1">IFERROR(__xludf.DUMMYFUNCTION("""COMPUTED_VALUE"""),"N")</f>
        <v>N</v>
      </c>
      <c r="AF955"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5" s="49" t="str">
        <f ca="1">IFERROR(__xludf.DUMMYFUNCTION("IFNA(vlookup(H955,IMPORTRANGE(""1vUGwO1n0QQGx9kKbO0_M5gmuhXZ6-LaxQxgrmJnzgP0"",""'TP# look up'!A:C""),3,0),"""")"),"")</f>
        <v/>
      </c>
      <c r="AH955" s="49" t="str">
        <f t="shared" ca="1" si="14"/>
        <v>LW</v>
      </c>
    </row>
    <row r="956" spans="1:34" ht="12.75">
      <c r="A956" s="45" t="str">
        <f ca="1">IFERROR(__xludf.DUMMYFUNCTION("""COMPUTED_VALUE"""),"Colombo")</f>
        <v>Colombo</v>
      </c>
      <c r="B956" s="45"/>
      <c r="C956" s="45">
        <f ca="1">IFERROR(__xludf.DUMMYFUNCTION("""COMPUTED_VALUE"""),3259528)</f>
        <v>3259528</v>
      </c>
      <c r="D956" s="45"/>
      <c r="E956" s="45" t="str">
        <f ca="1">IFERROR(__xludf.DUMMYFUNCTION("""COMPUTED_VALUE"""),"CFS")</f>
        <v>CFS</v>
      </c>
      <c r="F956" s="45" t="str">
        <f ca="1">IFERROR(__xludf.DUMMYFUNCTION("""COMPUTED_VALUE"""),"MAS AMITY PTE LTD")</f>
        <v>MAS AMITY PTE LTD</v>
      </c>
      <c r="G956" s="45" t="str">
        <f ca="1">IFERROR(__xludf.DUMMYFUNCTION("""COMPUTED_VALUE"""),"MAS Active(Pvt) Ltd – CONTOURLINE")</f>
        <v>MAS Active(Pvt) Ltd – CONTOURLINE</v>
      </c>
      <c r="H956" s="43">
        <f ca="1">IFERROR(__xludf.DUMMYFUNCTION("""COMPUTED_VALUE"""),457032094017)</f>
        <v>457032094017</v>
      </c>
      <c r="I956" s="45">
        <f ca="1">IFERROR(__xludf.DUMMYFUNCTION("""COMPUTED_VALUE"""),19939627)</f>
        <v>19939627</v>
      </c>
      <c r="J956" s="45" t="str">
        <f ca="1">IFERROR(__xludf.DUMMYFUNCTION("""COMPUTED_VALUE"""),"LW5HXOS")</f>
        <v>LW5HXOS</v>
      </c>
      <c r="K956" s="45" t="str">
        <f ca="1">IFERROR(__xludf.DUMMYFUNCTION("""COMPUTED_VALUE"""),"LW5HXOS-070108")</f>
        <v>LW5HXOS-070108</v>
      </c>
      <c r="L956" s="45">
        <f ca="1">IFERROR(__xludf.DUMMYFUNCTION("""COMPUTED_VALUE"""),12)</f>
        <v>12</v>
      </c>
      <c r="M956" s="45">
        <f ca="1">IFERROR(__xludf.DUMMYFUNCTION("""COMPUTED_VALUE"""),614)</f>
        <v>614</v>
      </c>
      <c r="N956" s="45">
        <f ca="1">IFERROR(__xludf.DUMMYFUNCTION("""COMPUTED_VALUE"""),157.18)</f>
        <v>157.18</v>
      </c>
      <c r="O956" s="45">
        <f ca="1">IFERROR(__xludf.DUMMYFUNCTION("""COMPUTED_VALUE"""),0.869)</f>
        <v>0.86899999999999999</v>
      </c>
      <c r="P956" s="45" t="str">
        <f ca="1">IFERROR(__xludf.DUMMYFUNCTION("""COMPUTED_VALUE"""),"Colombo, LK")</f>
        <v>Colombo, LK</v>
      </c>
      <c r="Q956" s="45" t="str">
        <f ca="1">IFERROR(__xludf.DUMMYFUNCTION("""COMPUTED_VALUE"""),"New York, NY, US")</f>
        <v>New York, NY, US</v>
      </c>
      <c r="R956" s="44">
        <f ca="1">IFERROR(__xludf.DUMMYFUNCTION("""COMPUTED_VALUE"""),45838)</f>
        <v>45838</v>
      </c>
      <c r="S956" s="44">
        <f ca="1">IFERROR(__xludf.DUMMYFUNCTION("""COMPUTED_VALUE"""),45897)</f>
        <v>45897</v>
      </c>
      <c r="T956" s="45" t="str">
        <f ca="1">IFERROR(__xludf.DUMMYFUNCTION("""COMPUTED_VALUE"""),"Mississauga, ON, CA")</f>
        <v>Mississauga, ON, CA</v>
      </c>
      <c r="U956" s="45"/>
      <c r="V956" s="45"/>
      <c r="W956" s="45"/>
      <c r="X956" s="45"/>
      <c r="Y956" s="46">
        <f ca="1">IFERROR(__xludf.DUMMYFUNCTION("""COMPUTED_VALUE"""),45845)</f>
        <v>45845</v>
      </c>
      <c r="Z956" s="46">
        <f ca="1">IFERROR(__xludf.DUMMYFUNCTION("""COMPUTED_VALUE"""),45866)</f>
        <v>45866</v>
      </c>
      <c r="AA956" s="46">
        <f ca="1">IFERROR(__xludf.DUMMYFUNCTION("""COMPUTED_VALUE"""),45866)</f>
        <v>45866</v>
      </c>
      <c r="AB956" s="45" t="str">
        <f ca="1">IFERROR(__xludf.DUMMYFUNCTION("""COMPUTED_VALUE"""),"3500 Argentia Road")</f>
        <v>3500 Argentia Road</v>
      </c>
      <c r="AC956" s="45"/>
      <c r="AD956" s="45" t="str">
        <f ca="1">IFERROR(__xludf.DUMMYFUNCTION("""COMPUTED_VALUE"""),"OCEAN")</f>
        <v>OCEAN</v>
      </c>
      <c r="AE956" s="45" t="str">
        <f ca="1">IFERROR(__xludf.DUMMYFUNCTION("""COMPUTED_VALUE"""),"N")</f>
        <v>N</v>
      </c>
      <c r="AF956"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6" s="49" t="str">
        <f ca="1">IFERROR(__xludf.DUMMYFUNCTION("IFNA(vlookup(H956,IMPORTRANGE(""1vUGwO1n0QQGx9kKbO0_M5gmuhXZ6-LaxQxgrmJnzgP0"",""'TP# look up'!A:C""),3,0),"""")"),"")</f>
        <v/>
      </c>
      <c r="AH956" s="49" t="str">
        <f t="shared" ca="1" si="14"/>
        <v>LW</v>
      </c>
    </row>
    <row r="957" spans="1:34" ht="12.75">
      <c r="A957" s="45" t="str">
        <f ca="1">IFERROR(__xludf.DUMMYFUNCTION("""COMPUTED_VALUE"""),"Colombo")</f>
        <v>Colombo</v>
      </c>
      <c r="B957" s="45"/>
      <c r="C957" s="45">
        <f ca="1">IFERROR(__xludf.DUMMYFUNCTION("""COMPUTED_VALUE"""),3259528)</f>
        <v>3259528</v>
      </c>
      <c r="D957" s="45"/>
      <c r="E957" s="45" t="str">
        <f ca="1">IFERROR(__xludf.DUMMYFUNCTION("""COMPUTED_VALUE"""),"CFS")</f>
        <v>CFS</v>
      </c>
      <c r="F957" s="45" t="str">
        <f ca="1">IFERROR(__xludf.DUMMYFUNCTION("""COMPUTED_VALUE"""),"MAS AMITY PTE LTD")</f>
        <v>MAS AMITY PTE LTD</v>
      </c>
      <c r="G957" s="45" t="str">
        <f ca="1">IFERROR(__xludf.DUMMYFUNCTION("""COMPUTED_VALUE"""),"MAS Active(Pvt) Ltd – CONTOURLINE")</f>
        <v>MAS Active(Pvt) Ltd – CONTOURLINE</v>
      </c>
      <c r="H957" s="43">
        <f ca="1">IFERROR(__xludf.DUMMYFUNCTION("""COMPUTED_VALUE"""),457036881439)</f>
        <v>457036881439</v>
      </c>
      <c r="I957" s="45">
        <f ca="1">IFERROR(__xludf.DUMMYFUNCTION("""COMPUTED_VALUE"""),19807631)</f>
        <v>19807631</v>
      </c>
      <c r="J957" s="45" t="str">
        <f ca="1">IFERROR(__xludf.DUMMYFUNCTION("""COMPUTED_VALUE"""),"LW1FLES")</f>
        <v>LW1FLES</v>
      </c>
      <c r="K957" s="45" t="str">
        <f ca="1">IFERROR(__xludf.DUMMYFUNCTION("""COMPUTED_VALUE"""),"LW1FLES-031045")</f>
        <v>LW1FLES-031045</v>
      </c>
      <c r="L957" s="45">
        <f ca="1">IFERROR(__xludf.DUMMYFUNCTION("""COMPUTED_VALUE"""),14)</f>
        <v>14</v>
      </c>
      <c r="M957" s="45">
        <f ca="1">IFERROR(__xludf.DUMMYFUNCTION("""COMPUTED_VALUE"""),1412)</f>
        <v>1412</v>
      </c>
      <c r="N957" s="45">
        <f ca="1">IFERROR(__xludf.DUMMYFUNCTION("""COMPUTED_VALUE"""),139.222)</f>
        <v>139.22200000000001</v>
      </c>
      <c r="O957" s="45">
        <f ca="1">IFERROR(__xludf.DUMMYFUNCTION("""COMPUTED_VALUE"""),1.106)</f>
        <v>1.1060000000000001</v>
      </c>
      <c r="P957" s="45" t="str">
        <f ca="1">IFERROR(__xludf.DUMMYFUNCTION("""COMPUTED_VALUE"""),"Colombo, LK")</f>
        <v>Colombo, LK</v>
      </c>
      <c r="Q957" s="45" t="str">
        <f ca="1">IFERROR(__xludf.DUMMYFUNCTION("""COMPUTED_VALUE"""),"New York, NY, US")</f>
        <v>New York, NY, US</v>
      </c>
      <c r="R957" s="44">
        <f ca="1">IFERROR(__xludf.DUMMYFUNCTION("""COMPUTED_VALUE"""),45838)</f>
        <v>45838</v>
      </c>
      <c r="S957" s="44">
        <f ca="1">IFERROR(__xludf.DUMMYFUNCTION("""COMPUTED_VALUE"""),45897)</f>
        <v>45897</v>
      </c>
      <c r="T957" s="45" t="str">
        <f ca="1">IFERROR(__xludf.DUMMYFUNCTION("""COMPUTED_VALUE"""),"Milton, ON, CA")</f>
        <v>Milton, ON, CA</v>
      </c>
      <c r="U957" s="45"/>
      <c r="V957" s="45"/>
      <c r="W957" s="45"/>
      <c r="X957" s="45"/>
      <c r="Y957" s="46">
        <f ca="1">IFERROR(__xludf.DUMMYFUNCTION("""COMPUTED_VALUE"""),45845)</f>
        <v>45845</v>
      </c>
      <c r="Z957" s="46">
        <f ca="1">IFERROR(__xludf.DUMMYFUNCTION("""COMPUTED_VALUE"""),45866)</f>
        <v>45866</v>
      </c>
      <c r="AA957" s="46">
        <f ca="1">IFERROR(__xludf.DUMMYFUNCTION("""COMPUTED_VALUE"""),45866)</f>
        <v>45866</v>
      </c>
      <c r="AB957" s="45" t="str">
        <f ca="1">IFERROR(__xludf.DUMMYFUNCTION("""COMPUTED_VALUE"""),"7211 Fifth Line")</f>
        <v>7211 Fifth Line</v>
      </c>
      <c r="AC957" s="45"/>
      <c r="AD957" s="45" t="str">
        <f ca="1">IFERROR(__xludf.DUMMYFUNCTION("""COMPUTED_VALUE"""),"OCEAN")</f>
        <v>OCEAN</v>
      </c>
      <c r="AE957" s="45" t="str">
        <f ca="1">IFERROR(__xludf.DUMMYFUNCTION("""COMPUTED_VALUE"""),"N")</f>
        <v>N</v>
      </c>
      <c r="AF957"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7" s="49" t="str">
        <f ca="1">IFERROR(__xludf.DUMMYFUNCTION("IFNA(vlookup(H957,IMPORTRANGE(""1vUGwO1n0QQGx9kKbO0_M5gmuhXZ6-LaxQxgrmJnzgP0"",""'TP# look up'!A:C""),3,0),"""")"),"")</f>
        <v/>
      </c>
      <c r="AH957" s="49" t="str">
        <f t="shared" ca="1" si="14"/>
        <v>LW</v>
      </c>
    </row>
    <row r="958" spans="1:34" ht="12.75">
      <c r="A958" s="45" t="str">
        <f ca="1">IFERROR(__xludf.DUMMYFUNCTION("""COMPUTED_VALUE"""),"Colombo")</f>
        <v>Colombo</v>
      </c>
      <c r="B958" s="45"/>
      <c r="C958" s="45">
        <f ca="1">IFERROR(__xludf.DUMMYFUNCTION("""COMPUTED_VALUE"""),3259528)</f>
        <v>3259528</v>
      </c>
      <c r="D958" s="45"/>
      <c r="E958" s="45" t="str">
        <f ca="1">IFERROR(__xludf.DUMMYFUNCTION("""COMPUTED_VALUE"""),"CFS")</f>
        <v>CFS</v>
      </c>
      <c r="F958" s="45" t="str">
        <f ca="1">IFERROR(__xludf.DUMMYFUNCTION("""COMPUTED_VALUE"""),"MAS AMITY PTE LTD")</f>
        <v>MAS AMITY PTE LTD</v>
      </c>
      <c r="G958" s="45" t="str">
        <f ca="1">IFERROR(__xludf.DUMMYFUNCTION("""COMPUTED_VALUE"""),"MAS Active(Pvt) Ltd – CONTOURLINE")</f>
        <v>MAS Active(Pvt) Ltd – CONTOURLINE</v>
      </c>
      <c r="H958" s="43">
        <f ca="1">IFERROR(__xludf.DUMMYFUNCTION("""COMPUTED_VALUE"""),457042295068)</f>
        <v>457042295068</v>
      </c>
      <c r="I958" s="45">
        <f ca="1">IFERROR(__xludf.DUMMYFUNCTION("""COMPUTED_VALUE"""),19920762)</f>
        <v>19920762</v>
      </c>
      <c r="J958" s="45" t="str">
        <f ca="1">IFERROR(__xludf.DUMMYFUNCTION("""COMPUTED_VALUE"""),"LW5HXOS")</f>
        <v>LW5HXOS</v>
      </c>
      <c r="K958" s="45" t="str">
        <f ca="1">IFERROR(__xludf.DUMMYFUNCTION("""COMPUTED_VALUE"""),"LW5HXOS-070108")</f>
        <v>LW5HXOS-070108</v>
      </c>
      <c r="L958" s="45">
        <f ca="1">IFERROR(__xludf.DUMMYFUNCTION("""COMPUTED_VALUE"""),5)</f>
        <v>5</v>
      </c>
      <c r="M958" s="45">
        <f ca="1">IFERROR(__xludf.DUMMYFUNCTION("""COMPUTED_VALUE"""),204)</f>
        <v>204</v>
      </c>
      <c r="N958" s="45">
        <f ca="1">IFERROR(__xludf.DUMMYFUNCTION("""COMPUTED_VALUE"""),54.202)</f>
        <v>54.201999999999998</v>
      </c>
      <c r="O958" s="45">
        <f ca="1">IFERROR(__xludf.DUMMYFUNCTION("""COMPUTED_VALUE"""),0.355)</f>
        <v>0.35499999999999998</v>
      </c>
      <c r="P958" s="45" t="str">
        <f ca="1">IFERROR(__xludf.DUMMYFUNCTION("""COMPUTED_VALUE"""),"Colombo, LK")</f>
        <v>Colombo, LK</v>
      </c>
      <c r="Q958" s="45" t="str">
        <f ca="1">IFERROR(__xludf.DUMMYFUNCTION("""COMPUTED_VALUE"""),"New York, NY, US")</f>
        <v>New York, NY, US</v>
      </c>
      <c r="R958" s="44">
        <f ca="1">IFERROR(__xludf.DUMMYFUNCTION("""COMPUTED_VALUE"""),45838)</f>
        <v>45838</v>
      </c>
      <c r="S958" s="44">
        <f ca="1">IFERROR(__xludf.DUMMYFUNCTION("""COMPUTED_VALUE"""),45897)</f>
        <v>45897</v>
      </c>
      <c r="T958" s="45" t="str">
        <f ca="1">IFERROR(__xludf.DUMMYFUNCTION("""COMPUTED_VALUE"""),"Mississauga, ON, CA")</f>
        <v>Mississauga, ON, CA</v>
      </c>
      <c r="U958" s="45"/>
      <c r="V958" s="45"/>
      <c r="W958" s="45"/>
      <c r="X958" s="45"/>
      <c r="Y958" s="46">
        <f ca="1">IFERROR(__xludf.DUMMYFUNCTION("""COMPUTED_VALUE"""),45845)</f>
        <v>45845</v>
      </c>
      <c r="Z958" s="46">
        <f ca="1">IFERROR(__xludf.DUMMYFUNCTION("""COMPUTED_VALUE"""),45866)</f>
        <v>45866</v>
      </c>
      <c r="AA958" s="46">
        <f ca="1">IFERROR(__xludf.DUMMYFUNCTION("""COMPUTED_VALUE"""),45866)</f>
        <v>45866</v>
      </c>
      <c r="AB958" s="45" t="str">
        <f ca="1">IFERROR(__xludf.DUMMYFUNCTION("""COMPUTED_VALUE"""),"3500 Argentia Road")</f>
        <v>3500 Argentia Road</v>
      </c>
      <c r="AC958" s="45"/>
      <c r="AD958" s="45" t="str">
        <f ca="1">IFERROR(__xludf.DUMMYFUNCTION("""COMPUTED_VALUE"""),"OCEAN")</f>
        <v>OCEAN</v>
      </c>
      <c r="AE958" s="45" t="str">
        <f ca="1">IFERROR(__xludf.DUMMYFUNCTION("""COMPUTED_VALUE"""),"N")</f>
        <v>N</v>
      </c>
      <c r="AF958"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8" s="49" t="str">
        <f ca="1">IFERROR(__xludf.DUMMYFUNCTION("IFNA(vlookup(H958,IMPORTRANGE(""1vUGwO1n0QQGx9kKbO0_M5gmuhXZ6-LaxQxgrmJnzgP0"",""'TP# look up'!A:C""),3,0),"""")"),"")</f>
        <v/>
      </c>
      <c r="AH958" s="49" t="str">
        <f t="shared" ca="1" si="14"/>
        <v>LW</v>
      </c>
    </row>
    <row r="959" spans="1:34" ht="12.75">
      <c r="A959" s="45" t="str">
        <f ca="1">IFERROR(__xludf.DUMMYFUNCTION("""COMPUTED_VALUE"""),"Colombo")</f>
        <v>Colombo</v>
      </c>
      <c r="B959" s="45"/>
      <c r="C959" s="45">
        <f ca="1">IFERROR(__xludf.DUMMYFUNCTION("""COMPUTED_VALUE"""),3259528)</f>
        <v>3259528</v>
      </c>
      <c r="D959" s="45"/>
      <c r="E959" s="45" t="str">
        <f ca="1">IFERROR(__xludf.DUMMYFUNCTION("""COMPUTED_VALUE"""),"CFS")</f>
        <v>CFS</v>
      </c>
      <c r="F959" s="45" t="str">
        <f ca="1">IFERROR(__xludf.DUMMYFUNCTION("""COMPUTED_VALUE"""),"MAS AMITY PTE LTD")</f>
        <v>MAS AMITY PTE LTD</v>
      </c>
      <c r="G959" s="45" t="str">
        <f ca="1">IFERROR(__xludf.DUMMYFUNCTION("""COMPUTED_VALUE"""),"MAS Active(Pvt) Ltd – CONTOURLINE")</f>
        <v>MAS Active(Pvt) Ltd – CONTOURLINE</v>
      </c>
      <c r="H959" s="43">
        <f ca="1">IFERROR(__xludf.DUMMYFUNCTION("""COMPUTED_VALUE"""),457043192958)</f>
        <v>457043192958</v>
      </c>
      <c r="I959" s="45">
        <f ca="1">IFERROR(__xludf.DUMMYFUNCTION("""COMPUTED_VALUE"""),19807606)</f>
        <v>19807606</v>
      </c>
      <c r="J959" s="45" t="str">
        <f ca="1">IFERROR(__xludf.DUMMYFUNCTION("""COMPUTED_VALUE"""),"LW1FLES")</f>
        <v>LW1FLES</v>
      </c>
      <c r="K959" s="45" t="str">
        <f ca="1">IFERROR(__xludf.DUMMYFUNCTION("""COMPUTED_VALUE"""),"LW1FLES-031045")</f>
        <v>LW1FLES-031045</v>
      </c>
      <c r="L959" s="45">
        <f ca="1">IFERROR(__xludf.DUMMYFUNCTION("""COMPUTED_VALUE"""),6)</f>
        <v>6</v>
      </c>
      <c r="M959" s="45">
        <f ca="1">IFERROR(__xludf.DUMMYFUNCTION("""COMPUTED_VALUE"""),345)</f>
        <v>345</v>
      </c>
      <c r="N959" s="45">
        <f ca="1">IFERROR(__xludf.DUMMYFUNCTION("""COMPUTED_VALUE"""),37.153)</f>
        <v>37.152999999999999</v>
      </c>
      <c r="O959" s="45">
        <f ca="1">IFERROR(__xludf.DUMMYFUNCTION("""COMPUTED_VALUE"""),0.355)</f>
        <v>0.35499999999999998</v>
      </c>
      <c r="P959" s="45" t="str">
        <f ca="1">IFERROR(__xludf.DUMMYFUNCTION("""COMPUTED_VALUE"""),"Colombo, LK")</f>
        <v>Colombo, LK</v>
      </c>
      <c r="Q959" s="45" t="str">
        <f ca="1">IFERROR(__xludf.DUMMYFUNCTION("""COMPUTED_VALUE"""),"New York, NY, US")</f>
        <v>New York, NY, US</v>
      </c>
      <c r="R959" s="44">
        <f ca="1">IFERROR(__xludf.DUMMYFUNCTION("""COMPUTED_VALUE"""),45838)</f>
        <v>45838</v>
      </c>
      <c r="S959" s="44">
        <f ca="1">IFERROR(__xludf.DUMMYFUNCTION("""COMPUTED_VALUE"""),45897)</f>
        <v>45897</v>
      </c>
      <c r="T959" s="45" t="str">
        <f ca="1">IFERROR(__xludf.DUMMYFUNCTION("""COMPUTED_VALUE"""),"Mississauga, ON, CA")</f>
        <v>Mississauga, ON, CA</v>
      </c>
      <c r="U959" s="45"/>
      <c r="V959" s="45"/>
      <c r="W959" s="45"/>
      <c r="X959" s="45"/>
      <c r="Y959" s="46">
        <f ca="1">IFERROR(__xludf.DUMMYFUNCTION("""COMPUTED_VALUE"""),45845)</f>
        <v>45845</v>
      </c>
      <c r="Z959" s="46">
        <f ca="1">IFERROR(__xludf.DUMMYFUNCTION("""COMPUTED_VALUE"""),45866)</f>
        <v>45866</v>
      </c>
      <c r="AA959" s="46">
        <f ca="1">IFERROR(__xludf.DUMMYFUNCTION("""COMPUTED_VALUE"""),45866)</f>
        <v>45866</v>
      </c>
      <c r="AB959" s="45" t="str">
        <f ca="1">IFERROR(__xludf.DUMMYFUNCTION("""COMPUTED_VALUE"""),"3500 Argentia Road")</f>
        <v>3500 Argentia Road</v>
      </c>
      <c r="AC959" s="45"/>
      <c r="AD959" s="45" t="str">
        <f ca="1">IFERROR(__xludf.DUMMYFUNCTION("""COMPUTED_VALUE"""),"OCEAN")</f>
        <v>OCEAN</v>
      </c>
      <c r="AE959" s="45" t="str">
        <f ca="1">IFERROR(__xludf.DUMMYFUNCTION("""COMPUTED_VALUE"""),"N")</f>
        <v>N</v>
      </c>
      <c r="AF959"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59" s="49" t="str">
        <f ca="1">IFERROR(__xludf.DUMMYFUNCTION("IFNA(vlookup(H959,IMPORTRANGE(""1vUGwO1n0QQGx9kKbO0_M5gmuhXZ6-LaxQxgrmJnzgP0"",""'TP# look up'!A:C""),3,0),"""")"),"")</f>
        <v/>
      </c>
      <c r="AH959" s="49" t="str">
        <f t="shared" ca="1" si="14"/>
        <v>LW</v>
      </c>
    </row>
    <row r="960" spans="1:34" ht="12.75">
      <c r="A960" s="45" t="str">
        <f ca="1">IFERROR(__xludf.DUMMYFUNCTION("""COMPUTED_VALUE"""),"Colombo")</f>
        <v>Colombo</v>
      </c>
      <c r="B960" s="45"/>
      <c r="C960" s="45">
        <f ca="1">IFERROR(__xludf.DUMMYFUNCTION("""COMPUTED_VALUE"""),3259528)</f>
        <v>3259528</v>
      </c>
      <c r="D960" s="45"/>
      <c r="E960" s="45" t="str">
        <f ca="1">IFERROR(__xludf.DUMMYFUNCTION("""COMPUTED_VALUE"""),"CFS")</f>
        <v>CFS</v>
      </c>
      <c r="F960" s="45" t="str">
        <f ca="1">IFERROR(__xludf.DUMMYFUNCTION("""COMPUTED_VALUE"""),"MAS AMITY PTE LTD")</f>
        <v>MAS AMITY PTE LTD</v>
      </c>
      <c r="G960" s="45" t="str">
        <f ca="1">IFERROR(__xludf.DUMMYFUNCTION("""COMPUTED_VALUE"""),"MAS Active(Pvt) Ltd – CONTOURLINE")</f>
        <v>MAS Active(Pvt) Ltd – CONTOURLINE</v>
      </c>
      <c r="H960" s="43">
        <f ca="1">IFERROR(__xludf.DUMMYFUNCTION("""COMPUTED_VALUE"""),457046358906)</f>
        <v>457046358906</v>
      </c>
      <c r="I960" s="45">
        <f ca="1">IFERROR(__xludf.DUMMYFUNCTION("""COMPUTED_VALUE"""),19920875)</f>
        <v>19920875</v>
      </c>
      <c r="J960" s="45" t="str">
        <f ca="1">IFERROR(__xludf.DUMMYFUNCTION("""COMPUTED_VALUE"""),"LW5HNQS")</f>
        <v>LW5HNQS</v>
      </c>
      <c r="K960" s="45" t="str">
        <f ca="1">IFERROR(__xludf.DUMMYFUNCTION("""COMPUTED_VALUE"""),"LW5HNQS-071169")</f>
        <v>LW5HNQS-071169</v>
      </c>
      <c r="L960" s="45">
        <f ca="1">IFERROR(__xludf.DUMMYFUNCTION("""COMPUTED_VALUE"""),6)</f>
        <v>6</v>
      </c>
      <c r="M960" s="45">
        <f ca="1">IFERROR(__xludf.DUMMYFUNCTION("""COMPUTED_VALUE"""),275)</f>
        <v>275</v>
      </c>
      <c r="N960" s="45">
        <f ca="1">IFERROR(__xludf.DUMMYFUNCTION("""COMPUTED_VALUE"""),70.217)</f>
        <v>70.216999999999999</v>
      </c>
      <c r="O960" s="45">
        <f ca="1">IFERROR(__xludf.DUMMYFUNCTION("""COMPUTED_VALUE"""),0.395)</f>
        <v>0.39500000000000002</v>
      </c>
      <c r="P960" s="45" t="str">
        <f ca="1">IFERROR(__xludf.DUMMYFUNCTION("""COMPUTED_VALUE"""),"Colombo, LK")</f>
        <v>Colombo, LK</v>
      </c>
      <c r="Q960" s="45" t="str">
        <f ca="1">IFERROR(__xludf.DUMMYFUNCTION("""COMPUTED_VALUE"""),"New York, NY, US")</f>
        <v>New York, NY, US</v>
      </c>
      <c r="R960" s="44">
        <f ca="1">IFERROR(__xludf.DUMMYFUNCTION("""COMPUTED_VALUE"""),45838)</f>
        <v>45838</v>
      </c>
      <c r="S960" s="44">
        <f ca="1">IFERROR(__xludf.DUMMYFUNCTION("""COMPUTED_VALUE"""),45897)</f>
        <v>45897</v>
      </c>
      <c r="T960" s="45" t="str">
        <f ca="1">IFERROR(__xludf.DUMMYFUNCTION("""COMPUTED_VALUE"""),"Mississauga, ON, CA")</f>
        <v>Mississauga, ON, CA</v>
      </c>
      <c r="U960" s="45"/>
      <c r="V960" s="45"/>
      <c r="W960" s="45"/>
      <c r="X960" s="45"/>
      <c r="Y960" s="46">
        <f ca="1">IFERROR(__xludf.DUMMYFUNCTION("""COMPUTED_VALUE"""),45845)</f>
        <v>45845</v>
      </c>
      <c r="Z960" s="46">
        <f ca="1">IFERROR(__xludf.DUMMYFUNCTION("""COMPUTED_VALUE"""),45866)</f>
        <v>45866</v>
      </c>
      <c r="AA960" s="46">
        <f ca="1">IFERROR(__xludf.DUMMYFUNCTION("""COMPUTED_VALUE"""),45866)</f>
        <v>45866</v>
      </c>
      <c r="AB960" s="45" t="str">
        <f ca="1">IFERROR(__xludf.DUMMYFUNCTION("""COMPUTED_VALUE"""),"3500 Argentia Road")</f>
        <v>3500 Argentia Road</v>
      </c>
      <c r="AC960" s="45"/>
      <c r="AD960" s="45" t="str">
        <f ca="1">IFERROR(__xludf.DUMMYFUNCTION("""COMPUTED_VALUE"""),"OCEAN")</f>
        <v>OCEAN</v>
      </c>
      <c r="AE960" s="45" t="str">
        <f ca="1">IFERROR(__xludf.DUMMYFUNCTION("""COMPUTED_VALUE"""),"N")</f>
        <v>N</v>
      </c>
      <c r="AF960"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0" s="49" t="str">
        <f ca="1">IFERROR(__xludf.DUMMYFUNCTION("IFNA(vlookup(H960,IMPORTRANGE(""1vUGwO1n0QQGx9kKbO0_M5gmuhXZ6-LaxQxgrmJnzgP0"",""'TP# look up'!A:C""),3,0),"""")"),"")</f>
        <v/>
      </c>
      <c r="AH960" s="49" t="str">
        <f t="shared" ca="1" si="14"/>
        <v>LW</v>
      </c>
    </row>
    <row r="961" spans="1:34" ht="12.75">
      <c r="A961" s="45" t="str">
        <f ca="1">IFERROR(__xludf.DUMMYFUNCTION("""COMPUTED_VALUE"""),"Colombo")</f>
        <v>Colombo</v>
      </c>
      <c r="B961" s="45"/>
      <c r="C961" s="45">
        <f ca="1">IFERROR(__xludf.DUMMYFUNCTION("""COMPUTED_VALUE"""),3259528)</f>
        <v>3259528</v>
      </c>
      <c r="D961" s="45"/>
      <c r="E961" s="45" t="str">
        <f ca="1">IFERROR(__xludf.DUMMYFUNCTION("""COMPUTED_VALUE"""),"CFS")</f>
        <v>CFS</v>
      </c>
      <c r="F961" s="45" t="str">
        <f ca="1">IFERROR(__xludf.DUMMYFUNCTION("""COMPUTED_VALUE"""),"MAS AMITY PTE LTD")</f>
        <v>MAS AMITY PTE LTD</v>
      </c>
      <c r="G961" s="45" t="str">
        <f ca="1">IFERROR(__xludf.DUMMYFUNCTION("""COMPUTED_VALUE"""),"MAS Active(Pvt) Ltd – CONTOURLINE")</f>
        <v>MAS Active(Pvt) Ltd – CONTOURLINE</v>
      </c>
      <c r="H961" s="43">
        <f ca="1">IFERROR(__xludf.DUMMYFUNCTION("""COMPUTED_VALUE"""),457046359063)</f>
        <v>457046359063</v>
      </c>
      <c r="I961" s="45">
        <f ca="1">IFERROR(__xludf.DUMMYFUNCTION("""COMPUTED_VALUE"""),19897873)</f>
        <v>19897873</v>
      </c>
      <c r="J961" s="45" t="str">
        <f ca="1">IFERROR(__xludf.DUMMYFUNCTION("""COMPUTED_VALUE"""),"LW5HNQS")</f>
        <v>LW5HNQS</v>
      </c>
      <c r="K961" s="45" t="str">
        <f ca="1">IFERROR(__xludf.DUMMYFUNCTION("""COMPUTED_VALUE"""),"LW5HNQS-071169")</f>
        <v>LW5HNQS-071169</v>
      </c>
      <c r="L961" s="45">
        <f ca="1">IFERROR(__xludf.DUMMYFUNCTION("""COMPUTED_VALUE"""),4)</f>
        <v>4</v>
      </c>
      <c r="M961" s="45">
        <f ca="1">IFERROR(__xludf.DUMMYFUNCTION("""COMPUTED_VALUE"""),143)</f>
        <v>143</v>
      </c>
      <c r="N961" s="45">
        <f ca="1">IFERROR(__xludf.DUMMYFUNCTION("""COMPUTED_VALUE"""),37.497)</f>
        <v>37.497</v>
      </c>
      <c r="O961" s="45">
        <f ca="1">IFERROR(__xludf.DUMMYFUNCTION("""COMPUTED_VALUE"""),0.276)</f>
        <v>0.27600000000000002</v>
      </c>
      <c r="P961" s="45" t="str">
        <f ca="1">IFERROR(__xludf.DUMMYFUNCTION("""COMPUTED_VALUE"""),"Colombo, LK")</f>
        <v>Colombo, LK</v>
      </c>
      <c r="Q961" s="45" t="str">
        <f ca="1">IFERROR(__xludf.DUMMYFUNCTION("""COMPUTED_VALUE"""),"New York, NY, US")</f>
        <v>New York, NY, US</v>
      </c>
      <c r="R961" s="44">
        <f ca="1">IFERROR(__xludf.DUMMYFUNCTION("""COMPUTED_VALUE"""),45838)</f>
        <v>45838</v>
      </c>
      <c r="S961" s="44">
        <f ca="1">IFERROR(__xludf.DUMMYFUNCTION("""COMPUTED_VALUE"""),45897)</f>
        <v>45897</v>
      </c>
      <c r="T961" s="45" t="str">
        <f ca="1">IFERROR(__xludf.DUMMYFUNCTION("""COMPUTED_VALUE"""),"Milton, ON, CA")</f>
        <v>Milton, ON, CA</v>
      </c>
      <c r="U961" s="45"/>
      <c r="V961" s="45"/>
      <c r="W961" s="45"/>
      <c r="X961" s="45"/>
      <c r="Y961" s="46">
        <f ca="1">IFERROR(__xludf.DUMMYFUNCTION("""COMPUTED_VALUE"""),45845)</f>
        <v>45845</v>
      </c>
      <c r="Z961" s="46">
        <f ca="1">IFERROR(__xludf.DUMMYFUNCTION("""COMPUTED_VALUE"""),45866)</f>
        <v>45866</v>
      </c>
      <c r="AA961" s="46">
        <f ca="1">IFERROR(__xludf.DUMMYFUNCTION("""COMPUTED_VALUE"""),45866)</f>
        <v>45866</v>
      </c>
      <c r="AB961" s="45" t="str">
        <f ca="1">IFERROR(__xludf.DUMMYFUNCTION("""COMPUTED_VALUE"""),"7211 Fifth Line")</f>
        <v>7211 Fifth Line</v>
      </c>
      <c r="AC961" s="45"/>
      <c r="AD961" s="45" t="str">
        <f ca="1">IFERROR(__xludf.DUMMYFUNCTION("""COMPUTED_VALUE"""),"OCEAN")</f>
        <v>OCEAN</v>
      </c>
      <c r="AE961" s="45" t="str">
        <f ca="1">IFERROR(__xludf.DUMMYFUNCTION("""COMPUTED_VALUE"""),"N")</f>
        <v>N</v>
      </c>
      <c r="AF961"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1" s="49" t="str">
        <f ca="1">IFERROR(__xludf.DUMMYFUNCTION("IFNA(vlookup(H961,IMPORTRANGE(""1vUGwO1n0QQGx9kKbO0_M5gmuhXZ6-LaxQxgrmJnzgP0"",""'TP# look up'!A:C""),3,0),"""")"),"")</f>
        <v/>
      </c>
      <c r="AH961" s="49" t="str">
        <f t="shared" ca="1" si="14"/>
        <v>LW</v>
      </c>
    </row>
    <row r="962" spans="1:34" ht="12.75">
      <c r="A962" s="45" t="str">
        <f ca="1">IFERROR(__xludf.DUMMYFUNCTION("""COMPUTED_VALUE"""),"Colombo")</f>
        <v>Colombo</v>
      </c>
      <c r="B962" s="45"/>
      <c r="C962" s="45">
        <f ca="1">IFERROR(__xludf.DUMMYFUNCTION("""COMPUTED_VALUE"""),3259528)</f>
        <v>3259528</v>
      </c>
      <c r="D962" s="45"/>
      <c r="E962" s="45" t="str">
        <f ca="1">IFERROR(__xludf.DUMMYFUNCTION("""COMPUTED_VALUE"""),"CFS")</f>
        <v>CFS</v>
      </c>
      <c r="F962" s="45" t="str">
        <f ca="1">IFERROR(__xludf.DUMMYFUNCTION("""COMPUTED_VALUE"""),"MAS AMITY PTE LTD")</f>
        <v>MAS AMITY PTE LTD</v>
      </c>
      <c r="G962" s="45" t="str">
        <f ca="1">IFERROR(__xludf.DUMMYFUNCTION("""COMPUTED_VALUE"""),"MAS Active(Pvt) Ltd – CONTOURLINE")</f>
        <v>MAS Active(Pvt) Ltd – CONTOURLINE</v>
      </c>
      <c r="H962" s="43">
        <f ca="1">IFERROR(__xludf.DUMMYFUNCTION("""COMPUTED_VALUE"""),457047245917)</f>
        <v>457047245917</v>
      </c>
      <c r="I962" s="45">
        <f ca="1">IFERROR(__xludf.DUMMYFUNCTION("""COMPUTED_VALUE"""),19849758)</f>
        <v>19849758</v>
      </c>
      <c r="J962" s="45" t="str">
        <f ca="1">IFERROR(__xludf.DUMMYFUNCTION("""COMPUTED_VALUE"""),"LW5HXOS")</f>
        <v>LW5HXOS</v>
      </c>
      <c r="K962" s="45" t="str">
        <f ca="1">IFERROR(__xludf.DUMMYFUNCTION("""COMPUTED_VALUE"""),"LW5HXOS-0001")</f>
        <v>LW5HXOS-0001</v>
      </c>
      <c r="L962" s="45">
        <f ca="1">IFERROR(__xludf.DUMMYFUNCTION("""COMPUTED_VALUE"""),13)</f>
        <v>13</v>
      </c>
      <c r="M962" s="45">
        <f ca="1">IFERROR(__xludf.DUMMYFUNCTION("""COMPUTED_VALUE"""),689)</f>
        <v>689</v>
      </c>
      <c r="N962" s="45">
        <f ca="1">IFERROR(__xludf.DUMMYFUNCTION("""COMPUTED_VALUE"""),179.454)</f>
        <v>179.45400000000001</v>
      </c>
      <c r="O962" s="45">
        <f ca="1">IFERROR(__xludf.DUMMYFUNCTION("""COMPUTED_VALUE"""),0.987)</f>
        <v>0.98699999999999999</v>
      </c>
      <c r="P962" s="45" t="str">
        <f ca="1">IFERROR(__xludf.DUMMYFUNCTION("""COMPUTED_VALUE"""),"Colombo, LK")</f>
        <v>Colombo, LK</v>
      </c>
      <c r="Q962" s="45" t="str">
        <f ca="1">IFERROR(__xludf.DUMMYFUNCTION("""COMPUTED_VALUE"""),"New York, NY, US")</f>
        <v>New York, NY, US</v>
      </c>
      <c r="R962" s="44">
        <f ca="1">IFERROR(__xludf.DUMMYFUNCTION("""COMPUTED_VALUE"""),45838)</f>
        <v>45838</v>
      </c>
      <c r="S962" s="44">
        <f ca="1">IFERROR(__xludf.DUMMYFUNCTION("""COMPUTED_VALUE"""),45897)</f>
        <v>45897</v>
      </c>
      <c r="T962" s="45" t="str">
        <f ca="1">IFERROR(__xludf.DUMMYFUNCTION("""COMPUTED_VALUE"""),"Mississauga, ON, CA")</f>
        <v>Mississauga, ON, CA</v>
      </c>
      <c r="U962" s="45"/>
      <c r="V962" s="45"/>
      <c r="W962" s="45"/>
      <c r="X962" s="45"/>
      <c r="Y962" s="46">
        <f ca="1">IFERROR(__xludf.DUMMYFUNCTION("""COMPUTED_VALUE"""),45845)</f>
        <v>45845</v>
      </c>
      <c r="Z962" s="46">
        <f ca="1">IFERROR(__xludf.DUMMYFUNCTION("""COMPUTED_VALUE"""),45866)</f>
        <v>45866</v>
      </c>
      <c r="AA962" s="46">
        <f ca="1">IFERROR(__xludf.DUMMYFUNCTION("""COMPUTED_VALUE"""),45866)</f>
        <v>45866</v>
      </c>
      <c r="AB962" s="45" t="str">
        <f ca="1">IFERROR(__xludf.DUMMYFUNCTION("""COMPUTED_VALUE"""),"3500 Argentia Road")</f>
        <v>3500 Argentia Road</v>
      </c>
      <c r="AC962" s="45"/>
      <c r="AD962" s="45" t="str">
        <f ca="1">IFERROR(__xludf.DUMMYFUNCTION("""COMPUTED_VALUE"""),"OCEAN")</f>
        <v>OCEAN</v>
      </c>
      <c r="AE962" s="45" t="str">
        <f ca="1">IFERROR(__xludf.DUMMYFUNCTION("""COMPUTED_VALUE"""),"N")</f>
        <v>N</v>
      </c>
      <c r="AF962"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2" s="49" t="str">
        <f ca="1">IFERROR(__xludf.DUMMYFUNCTION("IFNA(vlookup(H962,IMPORTRANGE(""1vUGwO1n0QQGx9kKbO0_M5gmuhXZ6-LaxQxgrmJnzgP0"",""'TP# look up'!A:C""),3,0),"""")"),"")</f>
        <v/>
      </c>
      <c r="AH962" s="49" t="str">
        <f t="shared" ref="AH962:AH1025" ca="1" si="15">LEFT(J962,2)</f>
        <v>LW</v>
      </c>
    </row>
    <row r="963" spans="1:34" ht="12.75">
      <c r="A963" s="45" t="str">
        <f ca="1">IFERROR(__xludf.DUMMYFUNCTION("""COMPUTED_VALUE"""),"Colombo")</f>
        <v>Colombo</v>
      </c>
      <c r="B963" s="45"/>
      <c r="C963" s="45">
        <f ca="1">IFERROR(__xludf.DUMMYFUNCTION("""COMPUTED_VALUE"""),3259528)</f>
        <v>3259528</v>
      </c>
      <c r="D963" s="45"/>
      <c r="E963" s="45" t="str">
        <f ca="1">IFERROR(__xludf.DUMMYFUNCTION("""COMPUTED_VALUE"""),"CFS")</f>
        <v>CFS</v>
      </c>
      <c r="F963" s="45" t="str">
        <f ca="1">IFERROR(__xludf.DUMMYFUNCTION("""COMPUTED_VALUE"""),"MAS AMITY PTE LTD")</f>
        <v>MAS AMITY PTE LTD</v>
      </c>
      <c r="G963" s="45" t="str">
        <f ca="1">IFERROR(__xludf.DUMMYFUNCTION("""COMPUTED_VALUE"""),"MAS Active(Pvt) Ltd – CONTOURLINE")</f>
        <v>MAS Active(Pvt) Ltd – CONTOURLINE</v>
      </c>
      <c r="H963" s="43">
        <f ca="1">IFERROR(__xludf.DUMMYFUNCTION("""COMPUTED_VALUE"""),457048185514)</f>
        <v>457048185514</v>
      </c>
      <c r="I963" s="45">
        <f ca="1">IFERROR(__xludf.DUMMYFUNCTION("""COMPUTED_VALUE"""),19807623)</f>
        <v>19807623</v>
      </c>
      <c r="J963" s="45" t="str">
        <f ca="1">IFERROR(__xludf.DUMMYFUNCTION("""COMPUTED_VALUE"""),"LW1FLES")</f>
        <v>LW1FLES</v>
      </c>
      <c r="K963" s="45" t="str">
        <f ca="1">IFERROR(__xludf.DUMMYFUNCTION("""COMPUTED_VALUE"""),"LW1FLES-031045")</f>
        <v>LW1FLES-031045</v>
      </c>
      <c r="L963" s="45">
        <f ca="1">IFERROR(__xludf.DUMMYFUNCTION("""COMPUTED_VALUE"""),15)</f>
        <v>15</v>
      </c>
      <c r="M963" s="45">
        <f ca="1">IFERROR(__xludf.DUMMYFUNCTION("""COMPUTED_VALUE"""),1414)</f>
        <v>1414</v>
      </c>
      <c r="N963" s="45">
        <f ca="1">IFERROR(__xludf.DUMMYFUNCTION("""COMPUTED_VALUE"""),136.832)</f>
        <v>136.83199999999999</v>
      </c>
      <c r="O963" s="45">
        <f ca="1">IFERROR(__xludf.DUMMYFUNCTION("""COMPUTED_VALUE"""),1.145)</f>
        <v>1.145</v>
      </c>
      <c r="P963" s="45" t="str">
        <f ca="1">IFERROR(__xludf.DUMMYFUNCTION("""COMPUTED_VALUE"""),"Colombo, LK")</f>
        <v>Colombo, LK</v>
      </c>
      <c r="Q963" s="45" t="str">
        <f ca="1">IFERROR(__xludf.DUMMYFUNCTION("""COMPUTED_VALUE"""),"New York, NY, US")</f>
        <v>New York, NY, US</v>
      </c>
      <c r="R963" s="44">
        <f ca="1">IFERROR(__xludf.DUMMYFUNCTION("""COMPUTED_VALUE"""),45838)</f>
        <v>45838</v>
      </c>
      <c r="S963" s="44">
        <f ca="1">IFERROR(__xludf.DUMMYFUNCTION("""COMPUTED_VALUE"""),45897)</f>
        <v>45897</v>
      </c>
      <c r="T963" s="45" t="str">
        <f ca="1">IFERROR(__xludf.DUMMYFUNCTION("""COMPUTED_VALUE"""),"Mississauga, ON, CA")</f>
        <v>Mississauga, ON, CA</v>
      </c>
      <c r="U963" s="45"/>
      <c r="V963" s="45"/>
      <c r="W963" s="45"/>
      <c r="X963" s="45"/>
      <c r="Y963" s="46">
        <f ca="1">IFERROR(__xludf.DUMMYFUNCTION("""COMPUTED_VALUE"""),45845)</f>
        <v>45845</v>
      </c>
      <c r="Z963" s="46">
        <f ca="1">IFERROR(__xludf.DUMMYFUNCTION("""COMPUTED_VALUE"""),45866)</f>
        <v>45866</v>
      </c>
      <c r="AA963" s="46">
        <f ca="1">IFERROR(__xludf.DUMMYFUNCTION("""COMPUTED_VALUE"""),45866)</f>
        <v>45866</v>
      </c>
      <c r="AB963" s="45" t="str">
        <f ca="1">IFERROR(__xludf.DUMMYFUNCTION("""COMPUTED_VALUE"""),"3500 Argentia Road")</f>
        <v>3500 Argentia Road</v>
      </c>
      <c r="AC963" s="45"/>
      <c r="AD963" s="45" t="str">
        <f ca="1">IFERROR(__xludf.DUMMYFUNCTION("""COMPUTED_VALUE"""),"OCEAN")</f>
        <v>OCEAN</v>
      </c>
      <c r="AE963" s="45" t="str">
        <f ca="1">IFERROR(__xludf.DUMMYFUNCTION("""COMPUTED_VALUE"""),"N")</f>
        <v>N</v>
      </c>
      <c r="AF963"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3" s="49" t="str">
        <f ca="1">IFERROR(__xludf.DUMMYFUNCTION("IFNA(vlookup(H963,IMPORTRANGE(""1vUGwO1n0QQGx9kKbO0_M5gmuhXZ6-LaxQxgrmJnzgP0"",""'TP# look up'!A:C""),3,0),"""")"),"")</f>
        <v/>
      </c>
      <c r="AH963" s="49" t="str">
        <f t="shared" ca="1" si="15"/>
        <v>LW</v>
      </c>
    </row>
    <row r="964" spans="1:34" ht="12.75">
      <c r="A964" s="45" t="str">
        <f ca="1">IFERROR(__xludf.DUMMYFUNCTION("""COMPUTED_VALUE"""),"Colombo")</f>
        <v>Colombo</v>
      </c>
      <c r="B964" s="45"/>
      <c r="C964" s="45">
        <f ca="1">IFERROR(__xludf.DUMMYFUNCTION("""COMPUTED_VALUE"""),3259528)</f>
        <v>3259528</v>
      </c>
      <c r="D964" s="45"/>
      <c r="E964" s="45" t="str">
        <f ca="1">IFERROR(__xludf.DUMMYFUNCTION("""COMPUTED_VALUE"""),"CFS")</f>
        <v>CFS</v>
      </c>
      <c r="F964" s="45" t="str">
        <f ca="1">IFERROR(__xludf.DUMMYFUNCTION("""COMPUTED_VALUE"""),"MAS AMITY PTE LTD")</f>
        <v>MAS AMITY PTE LTD</v>
      </c>
      <c r="G964" s="45" t="str">
        <f ca="1">IFERROR(__xludf.DUMMYFUNCTION("""COMPUTED_VALUE"""),"MAS Active(Pvt) Ltd – CONTOURLINE")</f>
        <v>MAS Active(Pvt) Ltd – CONTOURLINE</v>
      </c>
      <c r="H964" s="43">
        <f ca="1">IFERROR(__xludf.DUMMYFUNCTION("""COMPUTED_VALUE"""),457049184931)</f>
        <v>457049184931</v>
      </c>
      <c r="I964" s="45">
        <f ca="1">IFERROR(__xludf.DUMMYFUNCTION("""COMPUTED_VALUE"""),19807605)</f>
        <v>19807605</v>
      </c>
      <c r="J964" s="45" t="str">
        <f ca="1">IFERROR(__xludf.DUMMYFUNCTION("""COMPUTED_VALUE"""),"LW1FLES")</f>
        <v>LW1FLES</v>
      </c>
      <c r="K964" s="45" t="str">
        <f ca="1">IFERROR(__xludf.DUMMYFUNCTION("""COMPUTED_VALUE"""),"LW1FLES-031045")</f>
        <v>LW1FLES-031045</v>
      </c>
      <c r="L964" s="45">
        <f ca="1">IFERROR(__xludf.DUMMYFUNCTION("""COMPUTED_VALUE"""),6)</f>
        <v>6</v>
      </c>
      <c r="M964" s="45">
        <f ca="1">IFERROR(__xludf.DUMMYFUNCTION("""COMPUTED_VALUE"""),358)</f>
        <v>358</v>
      </c>
      <c r="N964" s="45">
        <f ca="1">IFERROR(__xludf.DUMMYFUNCTION("""COMPUTED_VALUE"""),36.534)</f>
        <v>36.533999999999999</v>
      </c>
      <c r="O964" s="45">
        <f ca="1">IFERROR(__xludf.DUMMYFUNCTION("""COMPUTED_VALUE"""),0.395)</f>
        <v>0.39500000000000002</v>
      </c>
      <c r="P964" s="45" t="str">
        <f ca="1">IFERROR(__xludf.DUMMYFUNCTION("""COMPUTED_VALUE"""),"Colombo, LK")</f>
        <v>Colombo, LK</v>
      </c>
      <c r="Q964" s="45" t="str">
        <f ca="1">IFERROR(__xludf.DUMMYFUNCTION("""COMPUTED_VALUE"""),"New York, NY, US")</f>
        <v>New York, NY, US</v>
      </c>
      <c r="R964" s="44">
        <f ca="1">IFERROR(__xludf.DUMMYFUNCTION("""COMPUTED_VALUE"""),45838)</f>
        <v>45838</v>
      </c>
      <c r="S964" s="44">
        <f ca="1">IFERROR(__xludf.DUMMYFUNCTION("""COMPUTED_VALUE"""),45897)</f>
        <v>45897</v>
      </c>
      <c r="T964" s="45" t="str">
        <f ca="1">IFERROR(__xludf.DUMMYFUNCTION("""COMPUTED_VALUE"""),"Mississauga, ON, CA")</f>
        <v>Mississauga, ON, CA</v>
      </c>
      <c r="U964" s="45"/>
      <c r="V964" s="45"/>
      <c r="W964" s="45"/>
      <c r="X964" s="45"/>
      <c r="Y964" s="46">
        <f ca="1">IFERROR(__xludf.DUMMYFUNCTION("""COMPUTED_VALUE"""),45845)</f>
        <v>45845</v>
      </c>
      <c r="Z964" s="46">
        <f ca="1">IFERROR(__xludf.DUMMYFUNCTION("""COMPUTED_VALUE"""),45866)</f>
        <v>45866</v>
      </c>
      <c r="AA964" s="46">
        <f ca="1">IFERROR(__xludf.DUMMYFUNCTION("""COMPUTED_VALUE"""),45866)</f>
        <v>45866</v>
      </c>
      <c r="AB964" s="45" t="str">
        <f ca="1">IFERROR(__xludf.DUMMYFUNCTION("""COMPUTED_VALUE"""),"3500 Argentia Road")</f>
        <v>3500 Argentia Road</v>
      </c>
      <c r="AC964" s="45"/>
      <c r="AD964" s="45" t="str">
        <f ca="1">IFERROR(__xludf.DUMMYFUNCTION("""COMPUTED_VALUE"""),"OCEAN")</f>
        <v>OCEAN</v>
      </c>
      <c r="AE964" s="45" t="str">
        <f ca="1">IFERROR(__xludf.DUMMYFUNCTION("""COMPUTED_VALUE"""),"N")</f>
        <v>N</v>
      </c>
      <c r="AF964"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4" s="49" t="str">
        <f ca="1">IFERROR(__xludf.DUMMYFUNCTION("IFNA(vlookup(H964,IMPORTRANGE(""1vUGwO1n0QQGx9kKbO0_M5gmuhXZ6-LaxQxgrmJnzgP0"",""'TP# look up'!A:C""),3,0),"""")"),"")</f>
        <v/>
      </c>
      <c r="AH964" s="49" t="str">
        <f t="shared" ca="1" si="15"/>
        <v>LW</v>
      </c>
    </row>
    <row r="965" spans="1:34" ht="12.75">
      <c r="A965" s="45" t="str">
        <f ca="1">IFERROR(__xludf.DUMMYFUNCTION("""COMPUTED_VALUE"""),"Colombo")</f>
        <v>Colombo</v>
      </c>
      <c r="B965" s="45"/>
      <c r="C965" s="45">
        <f ca="1">IFERROR(__xludf.DUMMYFUNCTION("""COMPUTED_VALUE"""),3259528)</f>
        <v>3259528</v>
      </c>
      <c r="D965" s="45"/>
      <c r="E965" s="45" t="str">
        <f ca="1">IFERROR(__xludf.DUMMYFUNCTION("""COMPUTED_VALUE"""),"CFS")</f>
        <v>CFS</v>
      </c>
      <c r="F965" s="45" t="str">
        <f ca="1">IFERROR(__xludf.DUMMYFUNCTION("""COMPUTED_VALUE"""),"MAS AMITY PTE LTD")</f>
        <v>MAS AMITY PTE LTD</v>
      </c>
      <c r="G965" s="45" t="str">
        <f ca="1">IFERROR(__xludf.DUMMYFUNCTION("""COMPUTED_VALUE"""),"MAS Active(Pvt) Ltd – CONTOURLINE")</f>
        <v>MAS Active(Pvt) Ltd – CONTOURLINE</v>
      </c>
      <c r="H965" s="43">
        <f ca="1">IFERROR(__xludf.DUMMYFUNCTION("""COMPUTED_VALUE"""),457049185145)</f>
        <v>457049185145</v>
      </c>
      <c r="I965" s="45">
        <f ca="1">IFERROR(__xludf.DUMMYFUNCTION("""COMPUTED_VALUE"""),19807632)</f>
        <v>19807632</v>
      </c>
      <c r="J965" s="45" t="str">
        <f ca="1">IFERROR(__xludf.DUMMYFUNCTION("""COMPUTED_VALUE"""),"LW1FLES")</f>
        <v>LW1FLES</v>
      </c>
      <c r="K965" s="45" t="str">
        <f ca="1">IFERROR(__xludf.DUMMYFUNCTION("""COMPUTED_VALUE"""),"LW1FLES-031045")</f>
        <v>LW1FLES-031045</v>
      </c>
      <c r="L965" s="45">
        <f ca="1">IFERROR(__xludf.DUMMYFUNCTION("""COMPUTED_VALUE"""),1)</f>
        <v>1</v>
      </c>
      <c r="M965" s="45">
        <f ca="1">IFERROR(__xludf.DUMMYFUNCTION("""COMPUTED_VALUE"""),29)</f>
        <v>29</v>
      </c>
      <c r="N965" s="45">
        <f ca="1">IFERROR(__xludf.DUMMYFUNCTION("""COMPUTED_VALUE"""),3.652)</f>
        <v>3.6520000000000001</v>
      </c>
      <c r="O965" s="45">
        <f ca="1">IFERROR(__xludf.DUMMYFUNCTION("""COMPUTED_VALUE"""),0.079)</f>
        <v>7.9000000000000001E-2</v>
      </c>
      <c r="P965" s="45" t="str">
        <f ca="1">IFERROR(__xludf.DUMMYFUNCTION("""COMPUTED_VALUE"""),"Colombo, LK")</f>
        <v>Colombo, LK</v>
      </c>
      <c r="Q965" s="45" t="str">
        <f ca="1">IFERROR(__xludf.DUMMYFUNCTION("""COMPUTED_VALUE"""),"New York, NY, US")</f>
        <v>New York, NY, US</v>
      </c>
      <c r="R965" s="44">
        <f ca="1">IFERROR(__xludf.DUMMYFUNCTION("""COMPUTED_VALUE"""),45838)</f>
        <v>45838</v>
      </c>
      <c r="S965" s="44">
        <f ca="1">IFERROR(__xludf.DUMMYFUNCTION("""COMPUTED_VALUE"""),45897)</f>
        <v>45897</v>
      </c>
      <c r="T965" s="45" t="str">
        <f ca="1">IFERROR(__xludf.DUMMYFUNCTION("""COMPUTED_VALUE"""),"Milton, ON, CA")</f>
        <v>Milton, ON, CA</v>
      </c>
      <c r="U965" s="45"/>
      <c r="V965" s="45"/>
      <c r="W965" s="45"/>
      <c r="X965" s="45"/>
      <c r="Y965" s="46">
        <f ca="1">IFERROR(__xludf.DUMMYFUNCTION("""COMPUTED_VALUE"""),45845)</f>
        <v>45845</v>
      </c>
      <c r="Z965" s="46">
        <f ca="1">IFERROR(__xludf.DUMMYFUNCTION("""COMPUTED_VALUE"""),45866)</f>
        <v>45866</v>
      </c>
      <c r="AA965" s="46">
        <f ca="1">IFERROR(__xludf.DUMMYFUNCTION("""COMPUTED_VALUE"""),45866)</f>
        <v>45866</v>
      </c>
      <c r="AB965" s="45" t="str">
        <f ca="1">IFERROR(__xludf.DUMMYFUNCTION("""COMPUTED_VALUE"""),"7211 Fifth Line")</f>
        <v>7211 Fifth Line</v>
      </c>
      <c r="AC965" s="45"/>
      <c r="AD965" s="45" t="str">
        <f ca="1">IFERROR(__xludf.DUMMYFUNCTION("""COMPUTED_VALUE"""),"OCEAN")</f>
        <v>OCEAN</v>
      </c>
      <c r="AE965" s="45" t="str">
        <f ca="1">IFERROR(__xludf.DUMMYFUNCTION("""COMPUTED_VALUE"""),"N")</f>
        <v>N</v>
      </c>
      <c r="AF965"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5" s="49" t="str">
        <f ca="1">IFERROR(__xludf.DUMMYFUNCTION("IFNA(vlookup(H965,IMPORTRANGE(""1vUGwO1n0QQGx9kKbO0_M5gmuhXZ6-LaxQxgrmJnzgP0"",""'TP# look up'!A:C""),3,0),"""")"),"")</f>
        <v/>
      </c>
      <c r="AH965" s="49" t="str">
        <f t="shared" ca="1" si="15"/>
        <v>LW</v>
      </c>
    </row>
    <row r="966" spans="1:34" ht="12.75">
      <c r="A966" s="45" t="str">
        <f ca="1">IFERROR(__xludf.DUMMYFUNCTION("""COMPUTED_VALUE"""),"Colombo")</f>
        <v>Colombo</v>
      </c>
      <c r="B966" s="45"/>
      <c r="C966" s="45">
        <f ca="1">IFERROR(__xludf.DUMMYFUNCTION("""COMPUTED_VALUE"""),3259528)</f>
        <v>3259528</v>
      </c>
      <c r="D966" s="45"/>
      <c r="E966" s="45" t="str">
        <f ca="1">IFERROR(__xludf.DUMMYFUNCTION("""COMPUTED_VALUE"""),"CFS")</f>
        <v>CFS</v>
      </c>
      <c r="F966" s="45" t="str">
        <f ca="1">IFERROR(__xludf.DUMMYFUNCTION("""COMPUTED_VALUE"""),"MAS AMITY PTE LTD")</f>
        <v>MAS AMITY PTE LTD</v>
      </c>
      <c r="G966" s="45" t="str">
        <f ca="1">IFERROR(__xludf.DUMMYFUNCTION("""COMPUTED_VALUE"""),"MAS Active(Pvt) Ltd – CONTOURLINE")</f>
        <v>MAS Active(Pvt) Ltd – CONTOURLINE</v>
      </c>
      <c r="H966" s="43">
        <f ca="1">IFERROR(__xludf.DUMMYFUNCTION("""COMPUTED_VALUE"""),457050017397)</f>
        <v>457050017397</v>
      </c>
      <c r="I966" s="45">
        <f ca="1">IFERROR(__xludf.DUMMYFUNCTION("""COMPUTED_VALUE"""),19807607)</f>
        <v>19807607</v>
      </c>
      <c r="J966" s="45" t="str">
        <f ca="1">IFERROR(__xludf.DUMMYFUNCTION("""COMPUTED_VALUE"""),"LW1FLES")</f>
        <v>LW1FLES</v>
      </c>
      <c r="K966" s="45" t="str">
        <f ca="1">IFERROR(__xludf.DUMMYFUNCTION("""COMPUTED_VALUE"""),"LW1FLES-031045")</f>
        <v>LW1FLES-031045</v>
      </c>
      <c r="L966" s="45">
        <f ca="1">IFERROR(__xludf.DUMMYFUNCTION("""COMPUTED_VALUE"""),6)</f>
        <v>6</v>
      </c>
      <c r="M966" s="45">
        <f ca="1">IFERROR(__xludf.DUMMYFUNCTION("""COMPUTED_VALUE"""),456)</f>
        <v>456</v>
      </c>
      <c r="N966" s="45">
        <f ca="1">IFERROR(__xludf.DUMMYFUNCTION("""COMPUTED_VALUE"""),44.895)</f>
        <v>44.895000000000003</v>
      </c>
      <c r="O966" s="45">
        <f ca="1">IFERROR(__xludf.DUMMYFUNCTION("""COMPUTED_VALUE"""),0.395)</f>
        <v>0.39500000000000002</v>
      </c>
      <c r="P966" s="45" t="str">
        <f ca="1">IFERROR(__xludf.DUMMYFUNCTION("""COMPUTED_VALUE"""),"Colombo, LK")</f>
        <v>Colombo, LK</v>
      </c>
      <c r="Q966" s="45" t="str">
        <f ca="1">IFERROR(__xludf.DUMMYFUNCTION("""COMPUTED_VALUE"""),"New York, NY, US")</f>
        <v>New York, NY, US</v>
      </c>
      <c r="R966" s="44">
        <f ca="1">IFERROR(__xludf.DUMMYFUNCTION("""COMPUTED_VALUE"""),45838)</f>
        <v>45838</v>
      </c>
      <c r="S966" s="44">
        <f ca="1">IFERROR(__xludf.DUMMYFUNCTION("""COMPUTED_VALUE"""),45897)</f>
        <v>45897</v>
      </c>
      <c r="T966" s="45" t="str">
        <f ca="1">IFERROR(__xludf.DUMMYFUNCTION("""COMPUTED_VALUE"""),"Mississauga, ON, CA")</f>
        <v>Mississauga, ON, CA</v>
      </c>
      <c r="U966" s="45"/>
      <c r="V966" s="45"/>
      <c r="W966" s="45"/>
      <c r="X966" s="45"/>
      <c r="Y966" s="46">
        <f ca="1">IFERROR(__xludf.DUMMYFUNCTION("""COMPUTED_VALUE"""),45845)</f>
        <v>45845</v>
      </c>
      <c r="Z966" s="46">
        <f ca="1">IFERROR(__xludf.DUMMYFUNCTION("""COMPUTED_VALUE"""),45866)</f>
        <v>45866</v>
      </c>
      <c r="AA966" s="46">
        <f ca="1">IFERROR(__xludf.DUMMYFUNCTION("""COMPUTED_VALUE"""),45866)</f>
        <v>45866</v>
      </c>
      <c r="AB966" s="45" t="str">
        <f ca="1">IFERROR(__xludf.DUMMYFUNCTION("""COMPUTED_VALUE"""),"3500 Argentia Road")</f>
        <v>3500 Argentia Road</v>
      </c>
      <c r="AC966" s="45"/>
      <c r="AD966" s="45" t="str">
        <f ca="1">IFERROR(__xludf.DUMMYFUNCTION("""COMPUTED_VALUE"""),"OCEAN")</f>
        <v>OCEAN</v>
      </c>
      <c r="AE966" s="45" t="str">
        <f ca="1">IFERROR(__xludf.DUMMYFUNCTION("""COMPUTED_VALUE"""),"N")</f>
        <v>N</v>
      </c>
      <c r="AF966" s="45" t="str">
        <f ca="1">IFERROR(__xludf.DUMMYFUNCTION("""COMPUTED_VALUE"""),"New Booking, Status changed from Submitted to Approved, Port of Loading changed from None to Colombo, LK, Dates Added, Dates Added, Dates Added")</f>
        <v>New Booking, Status changed from Submitted to Approved, Port of Loading changed from None to Colombo, LK, Dates Added, Dates Added, Dates Added</v>
      </c>
      <c r="AG966" s="49" t="str">
        <f ca="1">IFERROR(__xludf.DUMMYFUNCTION("IFNA(vlookup(H966,IMPORTRANGE(""1vUGwO1n0QQGx9kKbO0_M5gmuhXZ6-LaxQxgrmJnzgP0"",""'TP# look up'!A:C""),3,0),"""")"),"")</f>
        <v/>
      </c>
      <c r="AH966" s="49" t="str">
        <f t="shared" ca="1" si="15"/>
        <v>LW</v>
      </c>
    </row>
    <row r="967" spans="1:34" ht="12.75">
      <c r="A967" s="45" t="str">
        <f ca="1">IFERROR(__xludf.DUMMYFUNCTION("""COMPUTED_VALUE"""),"Colombo")</f>
        <v>Colombo</v>
      </c>
      <c r="B967" s="45"/>
      <c r="C967" s="45">
        <f ca="1">IFERROR(__xludf.DUMMYFUNCTION("""COMPUTED_VALUE"""),3259528)</f>
        <v>3259528</v>
      </c>
      <c r="D967" s="45"/>
      <c r="E967" s="45" t="str">
        <f ca="1">IFERROR(__xludf.DUMMYFUNCTION("""COMPUTED_VALUE"""),"CFS")</f>
        <v>CFS</v>
      </c>
      <c r="F967" s="45" t="str">
        <f ca="1">IFERROR(__xludf.DUMMYFUNCTION("""COMPUTED_VALUE"""),"Inqube Global (PVT) Ltd")</f>
        <v>Inqube Global (PVT) Ltd</v>
      </c>
      <c r="G967" s="45" t="str">
        <f ca="1">IFERROR(__xludf.DUMMYFUNCTION("""COMPUTED_VALUE"""),"BRANDIX APPAREL SOLUTION LTD - GIRITALE")</f>
        <v>BRANDIX APPAREL SOLUTION LTD - GIRITALE</v>
      </c>
      <c r="H967" s="43">
        <f ca="1">IFERROR(__xludf.DUMMYFUNCTION("""COMPUTED_VALUE"""),455745654231)</f>
        <v>455745654231</v>
      </c>
      <c r="I967" s="45">
        <f ca="1">IFERROR(__xludf.DUMMYFUNCTION("""COMPUTED_VALUE"""),19856365)</f>
        <v>19856365</v>
      </c>
      <c r="J967" s="45" t="str">
        <f ca="1">IFERROR(__xludf.DUMMYFUNCTION("""COMPUTED_VALUE"""),"LM5AXAS")</f>
        <v>LM5AXAS</v>
      </c>
      <c r="K967" s="45" t="str">
        <f ca="1">IFERROR(__xludf.DUMMYFUNCTION("""COMPUTED_VALUE"""),"LM5AXAS-031382")</f>
        <v>LM5AXAS-031382</v>
      </c>
      <c r="L967" s="45">
        <f ca="1">IFERROR(__xludf.DUMMYFUNCTION("""COMPUTED_VALUE"""),7)</f>
        <v>7</v>
      </c>
      <c r="M967" s="45">
        <f ca="1">IFERROR(__xludf.DUMMYFUNCTION("""COMPUTED_VALUE"""),196)</f>
        <v>196</v>
      </c>
      <c r="N967" s="45">
        <f ca="1">IFERROR(__xludf.DUMMYFUNCTION("""COMPUTED_VALUE"""),75.34)</f>
        <v>75.34</v>
      </c>
      <c r="O967" s="45">
        <f ca="1">IFERROR(__xludf.DUMMYFUNCTION("""COMPUTED_VALUE"""),0.458)</f>
        <v>0.45800000000000002</v>
      </c>
      <c r="P967" s="45" t="str">
        <f ca="1">IFERROR(__xludf.DUMMYFUNCTION("""COMPUTED_VALUE"""),"Colombo, LK")</f>
        <v>Colombo, LK</v>
      </c>
      <c r="Q967" s="45" t="str">
        <f ca="1">IFERROR(__xludf.DUMMYFUNCTION("""COMPUTED_VALUE"""),"New York, NY, US")</f>
        <v>New York, NY, US</v>
      </c>
      <c r="R967" s="44">
        <f ca="1">IFERROR(__xludf.DUMMYFUNCTION("""COMPUTED_VALUE"""),45838)</f>
        <v>45838</v>
      </c>
      <c r="S967" s="44">
        <f ca="1">IFERROR(__xludf.DUMMYFUNCTION("""COMPUTED_VALUE"""),45897)</f>
        <v>45897</v>
      </c>
      <c r="T967" s="45" t="str">
        <f ca="1">IFERROR(__xludf.DUMMYFUNCTION("""COMPUTED_VALUE"""),"Mississauga, ON, CA")</f>
        <v>Mississauga, ON, CA</v>
      </c>
      <c r="U967" s="45"/>
      <c r="V967" s="45"/>
      <c r="W967" s="45"/>
      <c r="X967" s="45"/>
      <c r="Y967" s="46">
        <f ca="1">IFERROR(__xludf.DUMMYFUNCTION("""COMPUTED_VALUE"""),45845)</f>
        <v>45845</v>
      </c>
      <c r="Z967" s="46">
        <f ca="1">IFERROR(__xludf.DUMMYFUNCTION("""COMPUTED_VALUE"""),45866)</f>
        <v>45866</v>
      </c>
      <c r="AA967" s="46">
        <f ca="1">IFERROR(__xludf.DUMMYFUNCTION("""COMPUTED_VALUE"""),45866)</f>
        <v>45866</v>
      </c>
      <c r="AB967" s="45" t="str">
        <f ca="1">IFERROR(__xludf.DUMMYFUNCTION("""COMPUTED_VALUE"""),"3500 Argentia Road")</f>
        <v>3500 Argentia Road</v>
      </c>
      <c r="AC967" s="45"/>
      <c r="AD967" s="45" t="str">
        <f ca="1">IFERROR(__xludf.DUMMYFUNCTION("""COMPUTED_VALUE"""),"OCEAN")</f>
        <v>OCEAN</v>
      </c>
      <c r="AE967" s="45" t="str">
        <f ca="1">IFERROR(__xludf.DUMMYFUNCTION("""COMPUTED_VALUE"""),"N")</f>
        <v>N</v>
      </c>
      <c r="AF967"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967" s="49" t="str">
        <f ca="1">IFERROR(__xludf.DUMMYFUNCTION("IFNA(vlookup(H967,IMPORTRANGE(""1vUGwO1n0QQGx9kKbO0_M5gmuhXZ6-LaxQxgrmJnzgP0"",""'TP# look up'!A:C""),3,0),"""")"),"")</f>
        <v/>
      </c>
      <c r="AH967" s="49" t="str">
        <f t="shared" ca="1" si="15"/>
        <v>LM</v>
      </c>
    </row>
    <row r="968" spans="1:34" ht="12.75">
      <c r="A968" s="45" t="str">
        <f ca="1">IFERROR(__xludf.DUMMYFUNCTION("""COMPUTED_VALUE"""),"Colombo")</f>
        <v>Colombo</v>
      </c>
      <c r="B968" s="45"/>
      <c r="C968" s="45">
        <f ca="1">IFERROR(__xludf.DUMMYFUNCTION("""COMPUTED_VALUE"""),3259528)</f>
        <v>3259528</v>
      </c>
      <c r="D968" s="45"/>
      <c r="E968" s="45" t="str">
        <f ca="1">IFERROR(__xludf.DUMMYFUNCTION("""COMPUTED_VALUE"""),"CFS")</f>
        <v>CFS</v>
      </c>
      <c r="F968" s="45" t="str">
        <f ca="1">IFERROR(__xludf.DUMMYFUNCTION("""COMPUTED_VALUE"""),"Inqube Global (PVT) Ltd")</f>
        <v>Inqube Global (PVT) Ltd</v>
      </c>
      <c r="G968" s="45" t="str">
        <f ca="1">IFERROR(__xludf.DUMMYFUNCTION("""COMPUTED_VALUE"""),"Quantum Clothing Lanka (Pvt) Ltd")</f>
        <v>Quantum Clothing Lanka (Pvt) Ltd</v>
      </c>
      <c r="H968" s="43">
        <f ca="1">IFERROR(__xludf.DUMMYFUNCTION("""COMPUTED_VALUE"""),457247944085)</f>
        <v>457247944085</v>
      </c>
      <c r="I968" s="45">
        <f ca="1">IFERROR(__xludf.DUMMYFUNCTION("""COMPUTED_VALUE"""),19876535)</f>
        <v>19876535</v>
      </c>
      <c r="J968" s="45" t="str">
        <f ca="1">IFERROR(__xludf.DUMMYFUNCTION("""COMPUTED_VALUE"""),"LW2DS6S")</f>
        <v>LW2DS6S</v>
      </c>
      <c r="K968" s="45" t="str">
        <f ca="1">IFERROR(__xludf.DUMMYFUNCTION("""COMPUTED_VALUE"""),"LW2DS6S-0001")</f>
        <v>LW2DS6S-0001</v>
      </c>
      <c r="L968" s="45">
        <f ca="1">IFERROR(__xludf.DUMMYFUNCTION("""COMPUTED_VALUE"""),8)</f>
        <v>8</v>
      </c>
      <c r="M968" s="45">
        <f ca="1">IFERROR(__xludf.DUMMYFUNCTION("""COMPUTED_VALUE"""),352)</f>
        <v>352</v>
      </c>
      <c r="N968" s="45">
        <f ca="1">IFERROR(__xludf.DUMMYFUNCTION("""COMPUTED_VALUE"""),56.393)</f>
        <v>56.393000000000001</v>
      </c>
      <c r="O968" s="45">
        <f ca="1">IFERROR(__xludf.DUMMYFUNCTION("""COMPUTED_VALUE"""),0.514)</f>
        <v>0.51400000000000001</v>
      </c>
      <c r="P968" s="45" t="str">
        <f ca="1">IFERROR(__xludf.DUMMYFUNCTION("""COMPUTED_VALUE"""),"Colombo, LK")</f>
        <v>Colombo, LK</v>
      </c>
      <c r="Q968" s="45" t="str">
        <f ca="1">IFERROR(__xludf.DUMMYFUNCTION("""COMPUTED_VALUE"""),"New York, NY, US")</f>
        <v>New York, NY, US</v>
      </c>
      <c r="R968" s="44">
        <f ca="1">IFERROR(__xludf.DUMMYFUNCTION("""COMPUTED_VALUE"""),45838)</f>
        <v>45838</v>
      </c>
      <c r="S968" s="44">
        <f ca="1">IFERROR(__xludf.DUMMYFUNCTION("""COMPUTED_VALUE"""),45897)</f>
        <v>45897</v>
      </c>
      <c r="T968" s="45" t="str">
        <f ca="1">IFERROR(__xludf.DUMMYFUNCTION("""COMPUTED_VALUE"""),"Milton, ON, CA")</f>
        <v>Milton, ON, CA</v>
      </c>
      <c r="U968" s="45"/>
      <c r="V968" s="45"/>
      <c r="W968" s="45"/>
      <c r="X968" s="45"/>
      <c r="Y968" s="46">
        <f ca="1">IFERROR(__xludf.DUMMYFUNCTION("""COMPUTED_VALUE"""),45838)</f>
        <v>45838</v>
      </c>
      <c r="Z968" s="46">
        <f ca="1">IFERROR(__xludf.DUMMYFUNCTION("""COMPUTED_VALUE"""),45845)</f>
        <v>45845</v>
      </c>
      <c r="AA968" s="46">
        <f ca="1">IFERROR(__xludf.DUMMYFUNCTION("""COMPUTED_VALUE"""),45866)</f>
        <v>45866</v>
      </c>
      <c r="AB968" s="45" t="str">
        <f ca="1">IFERROR(__xludf.DUMMYFUNCTION("""COMPUTED_VALUE"""),"7211 Fifth Line")</f>
        <v>7211 Fifth Line</v>
      </c>
      <c r="AC968" s="45"/>
      <c r="AD968" s="45" t="str">
        <f ca="1">IFERROR(__xludf.DUMMYFUNCTION("""COMPUTED_VALUE"""),"OCEAN")</f>
        <v>OCEAN</v>
      </c>
      <c r="AE968" s="45" t="str">
        <f ca="1">IFERROR(__xludf.DUMMYFUNCTION("""COMPUTED_VALUE"""),"N")</f>
        <v>N</v>
      </c>
      <c r="AF968" s="45" t="str">
        <f ca="1">IFERROR(__xludf.DUMMYFUNCTION("""COMPUTED_VALUE"""),"New Booking")</f>
        <v>New Booking</v>
      </c>
      <c r="AG968" s="49" t="str">
        <f ca="1">IFERROR(__xludf.DUMMYFUNCTION("IFNA(vlookup(H968,IMPORTRANGE(""1vUGwO1n0QQGx9kKbO0_M5gmuhXZ6-LaxQxgrmJnzgP0"",""'TP# look up'!A:C""),3,0),"""")"),"")</f>
        <v/>
      </c>
      <c r="AH968" s="49" t="str">
        <f t="shared" ca="1" si="15"/>
        <v>LW</v>
      </c>
    </row>
    <row r="969" spans="1:34" ht="12.75">
      <c r="A969" s="45" t="str">
        <f ca="1">IFERROR(__xludf.DUMMYFUNCTION("""COMPUTED_VALUE"""),"Colombo")</f>
        <v>Colombo</v>
      </c>
      <c r="B969" s="45"/>
      <c r="C969" s="45">
        <f ca="1">IFERROR(__xludf.DUMMYFUNCTION("""COMPUTED_VALUE"""),3259528)</f>
        <v>3259528</v>
      </c>
      <c r="D969" s="45"/>
      <c r="E969" s="45" t="str">
        <f ca="1">IFERROR(__xludf.DUMMYFUNCTION("""COMPUTED_VALUE"""),"CFS")</f>
        <v>CFS</v>
      </c>
      <c r="F969" s="45" t="str">
        <f ca="1">IFERROR(__xludf.DUMMYFUNCTION("""COMPUTED_VALUE"""),"Inqube Global (PVT) Ltd")</f>
        <v>Inqube Global (PVT) Ltd</v>
      </c>
      <c r="G969" s="45" t="str">
        <f ca="1">IFERROR(__xludf.DUMMYFUNCTION("""COMPUTED_VALUE"""),"Quantum Clothing Lanka (Pvt) Ltd")</f>
        <v>Quantum Clothing Lanka (Pvt) Ltd</v>
      </c>
      <c r="H969" s="43">
        <f ca="1">IFERROR(__xludf.DUMMYFUNCTION("""COMPUTED_VALUE"""),457248694203)</f>
        <v>457248694203</v>
      </c>
      <c r="I969" s="45">
        <f ca="1">IFERROR(__xludf.DUMMYFUNCTION("""COMPUTED_VALUE"""),19876553)</f>
        <v>19876553</v>
      </c>
      <c r="J969" s="45" t="str">
        <f ca="1">IFERROR(__xludf.DUMMYFUNCTION("""COMPUTED_VALUE"""),"LW2DS6S")</f>
        <v>LW2DS6S</v>
      </c>
      <c r="K969" s="45" t="str">
        <f ca="1">IFERROR(__xludf.DUMMYFUNCTION("""COMPUTED_VALUE"""),"LW2DS6S-0001")</f>
        <v>LW2DS6S-0001</v>
      </c>
      <c r="L969" s="45">
        <f ca="1">IFERROR(__xludf.DUMMYFUNCTION("""COMPUTED_VALUE"""),3)</f>
        <v>3</v>
      </c>
      <c r="M969" s="45">
        <f ca="1">IFERROR(__xludf.DUMMYFUNCTION("""COMPUTED_VALUE"""),93)</f>
        <v>93</v>
      </c>
      <c r="N969" s="45">
        <f ca="1">IFERROR(__xludf.DUMMYFUNCTION("""COMPUTED_VALUE"""),16.17)</f>
        <v>16.170000000000002</v>
      </c>
      <c r="O969" s="45">
        <f ca="1">IFERROR(__xludf.DUMMYFUNCTION("""COMPUTED_VALUE"""),0.159)</f>
        <v>0.159</v>
      </c>
      <c r="P969" s="45" t="str">
        <f ca="1">IFERROR(__xludf.DUMMYFUNCTION("""COMPUTED_VALUE"""),"Colombo, LK")</f>
        <v>Colombo, LK</v>
      </c>
      <c r="Q969" s="45" t="str">
        <f ca="1">IFERROR(__xludf.DUMMYFUNCTION("""COMPUTED_VALUE"""),"New York, NY, US")</f>
        <v>New York, NY, US</v>
      </c>
      <c r="R969" s="44">
        <f ca="1">IFERROR(__xludf.DUMMYFUNCTION("""COMPUTED_VALUE"""),45838)</f>
        <v>45838</v>
      </c>
      <c r="S969" s="44">
        <f ca="1">IFERROR(__xludf.DUMMYFUNCTION("""COMPUTED_VALUE"""),45897)</f>
        <v>45897</v>
      </c>
      <c r="T969" s="45" t="str">
        <f ca="1">IFERROR(__xludf.DUMMYFUNCTION("""COMPUTED_VALUE"""),"Mississauga, ON, CA")</f>
        <v>Mississauga, ON, CA</v>
      </c>
      <c r="U969" s="45"/>
      <c r="V969" s="45"/>
      <c r="W969" s="45"/>
      <c r="X969" s="45"/>
      <c r="Y969" s="46">
        <f ca="1">IFERROR(__xludf.DUMMYFUNCTION("""COMPUTED_VALUE"""),45838)</f>
        <v>45838</v>
      </c>
      <c r="Z969" s="46">
        <f ca="1">IFERROR(__xludf.DUMMYFUNCTION("""COMPUTED_VALUE"""),45845)</f>
        <v>45845</v>
      </c>
      <c r="AA969" s="46">
        <f ca="1">IFERROR(__xludf.DUMMYFUNCTION("""COMPUTED_VALUE"""),45866)</f>
        <v>45866</v>
      </c>
      <c r="AB969" s="45" t="str">
        <f ca="1">IFERROR(__xludf.DUMMYFUNCTION("""COMPUTED_VALUE"""),"3500 Argentia Road")</f>
        <v>3500 Argentia Road</v>
      </c>
      <c r="AC969" s="45"/>
      <c r="AD969" s="45" t="str">
        <f ca="1">IFERROR(__xludf.DUMMYFUNCTION("""COMPUTED_VALUE"""),"OCEAN")</f>
        <v>OCEAN</v>
      </c>
      <c r="AE969" s="45" t="str">
        <f ca="1">IFERROR(__xludf.DUMMYFUNCTION("""COMPUTED_VALUE"""),"N")</f>
        <v>N</v>
      </c>
      <c r="AF969" s="45" t="str">
        <f ca="1">IFERROR(__xludf.DUMMYFUNCTION("""COMPUTED_VALUE"""),"New Booking")</f>
        <v>New Booking</v>
      </c>
      <c r="AG969" s="49" t="str">
        <f ca="1">IFERROR(__xludf.DUMMYFUNCTION("IFNA(vlookup(H969,IMPORTRANGE(""1vUGwO1n0QQGx9kKbO0_M5gmuhXZ6-LaxQxgrmJnzgP0"",""'TP# look up'!A:C""),3,0),"""")"),"")</f>
        <v/>
      </c>
      <c r="AH969" s="49" t="str">
        <f t="shared" ca="1" si="15"/>
        <v>LW</v>
      </c>
    </row>
    <row r="970" spans="1:34" ht="12.75">
      <c r="A970" s="45" t="str">
        <f ca="1">IFERROR(__xludf.DUMMYFUNCTION("""COMPUTED_VALUE"""),"Colombo")</f>
        <v>Colombo</v>
      </c>
      <c r="B970" s="45"/>
      <c r="C970" s="45">
        <f ca="1">IFERROR(__xludf.DUMMYFUNCTION("""COMPUTED_VALUE"""),3259528)</f>
        <v>3259528</v>
      </c>
      <c r="D970" s="45"/>
      <c r="E970" s="45" t="str">
        <f ca="1">IFERROR(__xludf.DUMMYFUNCTION("""COMPUTED_VALUE"""),"CFS")</f>
        <v>CFS</v>
      </c>
      <c r="F970" s="45" t="str">
        <f ca="1">IFERROR(__xludf.DUMMYFUNCTION("""COMPUTED_VALUE"""),"Inqube Global (PVT) Ltd")</f>
        <v>Inqube Global (PVT) Ltd</v>
      </c>
      <c r="G970" s="45" t="str">
        <f ca="1">IFERROR(__xludf.DUMMYFUNCTION("""COMPUTED_VALUE"""),"Quantum Clothing Lanka (Pvt) Ltd")</f>
        <v>Quantum Clothing Lanka (Pvt) Ltd</v>
      </c>
      <c r="H970" s="43">
        <f ca="1">IFERROR(__xludf.DUMMYFUNCTION("""COMPUTED_VALUE"""),457249650135)</f>
        <v>457249650135</v>
      </c>
      <c r="I970" s="45">
        <f ca="1">IFERROR(__xludf.DUMMYFUNCTION("""COMPUTED_VALUE"""),19876179)</f>
        <v>19876179</v>
      </c>
      <c r="J970" s="45" t="str">
        <f ca="1">IFERROR(__xludf.DUMMYFUNCTION("""COMPUTED_VALUE"""),"LW2DS6S")</f>
        <v>LW2DS6S</v>
      </c>
      <c r="K970" s="45" t="str">
        <f ca="1">IFERROR(__xludf.DUMMYFUNCTION("""COMPUTED_VALUE"""),"LW2DS6S-0001")</f>
        <v>LW2DS6S-0001</v>
      </c>
      <c r="L970" s="45">
        <f ca="1">IFERROR(__xludf.DUMMYFUNCTION("""COMPUTED_VALUE"""),5)</f>
        <v>5</v>
      </c>
      <c r="M970" s="45">
        <f ca="1">IFERROR(__xludf.DUMMYFUNCTION("""COMPUTED_VALUE"""),220)</f>
        <v>220</v>
      </c>
      <c r="N970" s="45">
        <f ca="1">IFERROR(__xludf.DUMMYFUNCTION("""COMPUTED_VALUE"""),37.249)</f>
        <v>37.249000000000002</v>
      </c>
      <c r="O970" s="45">
        <f ca="1">IFERROR(__xludf.DUMMYFUNCTION("""COMPUTED_VALUE"""),0.393)</f>
        <v>0.39300000000000002</v>
      </c>
      <c r="P970" s="45" t="str">
        <f ca="1">IFERROR(__xludf.DUMMYFUNCTION("""COMPUTED_VALUE"""),"Colombo, LK")</f>
        <v>Colombo, LK</v>
      </c>
      <c r="Q970" s="45" t="str">
        <f ca="1">IFERROR(__xludf.DUMMYFUNCTION("""COMPUTED_VALUE"""),"New York, NY, US")</f>
        <v>New York, NY, US</v>
      </c>
      <c r="R970" s="44">
        <f ca="1">IFERROR(__xludf.DUMMYFUNCTION("""COMPUTED_VALUE"""),45838)</f>
        <v>45838</v>
      </c>
      <c r="S970" s="44">
        <f ca="1">IFERROR(__xludf.DUMMYFUNCTION("""COMPUTED_VALUE"""),45897)</f>
        <v>45897</v>
      </c>
      <c r="T970" s="45" t="str">
        <f ca="1">IFERROR(__xludf.DUMMYFUNCTION("""COMPUTED_VALUE"""),"Mississauga, ON, CA")</f>
        <v>Mississauga, ON, CA</v>
      </c>
      <c r="U970" s="45"/>
      <c r="V970" s="45"/>
      <c r="W970" s="45"/>
      <c r="X970" s="45"/>
      <c r="Y970" s="46">
        <f ca="1">IFERROR(__xludf.DUMMYFUNCTION("""COMPUTED_VALUE"""),45838)</f>
        <v>45838</v>
      </c>
      <c r="Z970" s="46">
        <f ca="1">IFERROR(__xludf.DUMMYFUNCTION("""COMPUTED_VALUE"""),45845)</f>
        <v>45845</v>
      </c>
      <c r="AA970" s="46">
        <f ca="1">IFERROR(__xludf.DUMMYFUNCTION("""COMPUTED_VALUE"""),45866)</f>
        <v>45866</v>
      </c>
      <c r="AB970" s="45" t="str">
        <f ca="1">IFERROR(__xludf.DUMMYFUNCTION("""COMPUTED_VALUE"""),"3500 Argentia Road")</f>
        <v>3500 Argentia Road</v>
      </c>
      <c r="AC970" s="45"/>
      <c r="AD970" s="45" t="str">
        <f ca="1">IFERROR(__xludf.DUMMYFUNCTION("""COMPUTED_VALUE"""),"OCEAN")</f>
        <v>OCEAN</v>
      </c>
      <c r="AE970" s="45" t="str">
        <f ca="1">IFERROR(__xludf.DUMMYFUNCTION("""COMPUTED_VALUE"""),"N")</f>
        <v>N</v>
      </c>
      <c r="AF970" s="45" t="str">
        <f ca="1">IFERROR(__xludf.DUMMYFUNCTION("""COMPUTED_VALUE"""),"New Booking")</f>
        <v>New Booking</v>
      </c>
      <c r="AG970" s="49" t="str">
        <f ca="1">IFERROR(__xludf.DUMMYFUNCTION("IFNA(vlookup(H970,IMPORTRANGE(""1vUGwO1n0QQGx9kKbO0_M5gmuhXZ6-LaxQxgrmJnzgP0"",""'TP# look up'!A:C""),3,0),"""")"),"")</f>
        <v/>
      </c>
      <c r="AH970" s="49" t="str">
        <f t="shared" ca="1" si="15"/>
        <v>LW</v>
      </c>
    </row>
    <row r="971" spans="1:34" ht="12.75">
      <c r="A971" s="45" t="str">
        <f ca="1">IFERROR(__xludf.DUMMYFUNCTION("""COMPUTED_VALUE"""),"Colombo")</f>
        <v>Colombo</v>
      </c>
      <c r="B971" s="45"/>
      <c r="C971" s="45">
        <f ca="1">IFERROR(__xludf.DUMMYFUNCTION("""COMPUTED_VALUE"""),3259528)</f>
        <v>3259528</v>
      </c>
      <c r="D971" s="45"/>
      <c r="E971" s="45" t="str">
        <f ca="1">IFERROR(__xludf.DUMMYFUNCTION("""COMPUTED_VALUE"""),"CFS")</f>
        <v>CFS</v>
      </c>
      <c r="F971" s="45" t="str">
        <f ca="1">IFERROR(__xludf.DUMMYFUNCTION("""COMPUTED_VALUE"""),"Inqube Global (PVT) Ltd")</f>
        <v>Inqube Global (PVT) Ltd</v>
      </c>
      <c r="G971" s="45" t="str">
        <f ca="1">IFERROR(__xludf.DUMMYFUNCTION("""COMPUTED_VALUE"""),"BRANDIX APPAREL SOLUTION LTD - GIRITALE")</f>
        <v>BRANDIX APPAREL SOLUTION LTD - GIRITALE</v>
      </c>
      <c r="H971" s="43">
        <f ca="1">IFERROR(__xludf.DUMMYFUNCTION("""COMPUTED_VALUE"""),455745655090)</f>
        <v>455745655090</v>
      </c>
      <c r="I971" s="45">
        <f ca="1">IFERROR(__xludf.DUMMYFUNCTION("""COMPUTED_VALUE"""),19856369)</f>
        <v>19856369</v>
      </c>
      <c r="J971" s="45" t="str">
        <f ca="1">IFERROR(__xludf.DUMMYFUNCTION("""COMPUTED_VALUE"""),"LM5AXAS")</f>
        <v>LM5AXAS</v>
      </c>
      <c r="K971" s="45" t="str">
        <f ca="1">IFERROR(__xludf.DUMMYFUNCTION("""COMPUTED_VALUE"""),"LM5AXAS-031382")</f>
        <v>LM5AXAS-031382</v>
      </c>
      <c r="L971" s="45">
        <f ca="1">IFERROR(__xludf.DUMMYFUNCTION("""COMPUTED_VALUE"""),6)</f>
        <v>6</v>
      </c>
      <c r="M971" s="45">
        <f ca="1">IFERROR(__xludf.DUMMYFUNCTION("""COMPUTED_VALUE"""),154)</f>
        <v>154</v>
      </c>
      <c r="N971" s="45">
        <f ca="1">IFERROR(__xludf.DUMMYFUNCTION("""COMPUTED_VALUE"""),59.57)</f>
        <v>59.57</v>
      </c>
      <c r="O971" s="45">
        <f ca="1">IFERROR(__xludf.DUMMYFUNCTION("""COMPUTED_VALUE"""),0.375)</f>
        <v>0.375</v>
      </c>
      <c r="P971" s="45" t="str">
        <f ca="1">IFERROR(__xludf.DUMMYFUNCTION("""COMPUTED_VALUE"""),"Colombo, LK")</f>
        <v>Colombo, LK</v>
      </c>
      <c r="Q971" s="45" t="str">
        <f ca="1">IFERROR(__xludf.DUMMYFUNCTION("""COMPUTED_VALUE"""),"New York, NY, US")</f>
        <v>New York, NY, US</v>
      </c>
      <c r="R971" s="44">
        <f ca="1">IFERROR(__xludf.DUMMYFUNCTION("""COMPUTED_VALUE"""),45838)</f>
        <v>45838</v>
      </c>
      <c r="S971" s="44">
        <f ca="1">IFERROR(__xludf.DUMMYFUNCTION("""COMPUTED_VALUE"""),45897)</f>
        <v>45897</v>
      </c>
      <c r="T971" s="45" t="str">
        <f ca="1">IFERROR(__xludf.DUMMYFUNCTION("""COMPUTED_VALUE"""),"Mississauga, ON, CA")</f>
        <v>Mississauga, ON, CA</v>
      </c>
      <c r="U971" s="45"/>
      <c r="V971" s="45"/>
      <c r="W971" s="45"/>
      <c r="X971" s="45"/>
      <c r="Y971" s="46">
        <f ca="1">IFERROR(__xludf.DUMMYFUNCTION("""COMPUTED_VALUE"""),45845)</f>
        <v>45845</v>
      </c>
      <c r="Z971" s="46">
        <f ca="1">IFERROR(__xludf.DUMMYFUNCTION("""COMPUTED_VALUE"""),45866)</f>
        <v>45866</v>
      </c>
      <c r="AA971" s="46">
        <f ca="1">IFERROR(__xludf.DUMMYFUNCTION("""COMPUTED_VALUE"""),45866)</f>
        <v>45866</v>
      </c>
      <c r="AB971" s="45" t="str">
        <f ca="1">IFERROR(__xludf.DUMMYFUNCTION("""COMPUTED_VALUE"""),"3500 Argentia Road")</f>
        <v>3500 Argentia Road</v>
      </c>
      <c r="AC971" s="45"/>
      <c r="AD971" s="45" t="str">
        <f ca="1">IFERROR(__xludf.DUMMYFUNCTION("""COMPUTED_VALUE"""),"OCEAN")</f>
        <v>OCEAN</v>
      </c>
      <c r="AE971" s="45" t="str">
        <f ca="1">IFERROR(__xludf.DUMMYFUNCTION("""COMPUTED_VALUE"""),"N")</f>
        <v>N</v>
      </c>
      <c r="AF971" s="45" t="str">
        <f ca="1">IFERROR(__xludf.DUMMYFUNCTION("""COMPUTED_VALUE"""),"New Booking, Status changed from Submitted to Approved, Port of Loading changed from None to Colombo, LK, Dates Added, Dates Added")</f>
        <v>New Booking, Status changed from Submitted to Approved, Port of Loading changed from None to Colombo, LK, Dates Added, Dates Added</v>
      </c>
      <c r="AG971" s="49" t="str">
        <f ca="1">IFERROR(__xludf.DUMMYFUNCTION("IFNA(vlookup(H971,IMPORTRANGE(""1vUGwO1n0QQGx9kKbO0_M5gmuhXZ6-LaxQxgrmJnzgP0"",""'TP# look up'!A:C""),3,0),"""")"),"")</f>
        <v/>
      </c>
      <c r="AH971" s="49" t="str">
        <f t="shared" ca="1" si="15"/>
        <v>LM</v>
      </c>
    </row>
    <row r="972" spans="1:34" ht="12.75">
      <c r="A972" s="45" t="str">
        <f ca="1">IFERROR(__xludf.DUMMYFUNCTION("""COMPUTED_VALUE"""),"Colombo")</f>
        <v>Colombo</v>
      </c>
      <c r="B972" s="45"/>
      <c r="C972" s="45">
        <f ca="1">IFERROR(__xludf.DUMMYFUNCTION("""COMPUTED_VALUE"""),3259827)</f>
        <v>3259827</v>
      </c>
      <c r="D972" s="45"/>
      <c r="E972" s="45" t="str">
        <f ca="1">IFERROR(__xludf.DUMMYFUNCTION("""COMPUTED_VALUE"""),"CFS")</f>
        <v>CFS</v>
      </c>
      <c r="F972" s="45" t="str">
        <f ca="1">IFERROR(__xludf.DUMMYFUNCTION("""COMPUTED_VALUE"""),"MAS AMITY PTE LTD")</f>
        <v>MAS AMITY PTE LTD</v>
      </c>
      <c r="G972" s="45" t="str">
        <f ca="1">IFERROR(__xludf.DUMMYFUNCTION("""COMPUTED_VALUE"""),"MAS Active (Pvt) Ltd - Linea Intimo")</f>
        <v>MAS Active (Pvt) Ltd - Linea Intimo</v>
      </c>
      <c r="H972" s="43">
        <f ca="1">IFERROR(__xludf.DUMMYFUNCTION("""COMPUTED_VALUE"""),456905779390)</f>
        <v>456905779390</v>
      </c>
      <c r="I972" s="45">
        <f ca="1">IFERROR(__xludf.DUMMYFUNCTION("""COMPUTED_VALUE"""),19920606)</f>
        <v>19920606</v>
      </c>
      <c r="J972" s="45" t="str">
        <f ca="1">IFERROR(__xludf.DUMMYFUNCTION("""COMPUTED_VALUE"""),"LW7DK4S")</f>
        <v>LW7DK4S</v>
      </c>
      <c r="K972" s="45" t="str">
        <f ca="1">IFERROR(__xludf.DUMMYFUNCTION("""COMPUTED_VALUE"""),"LW7DK4S-041850")</f>
        <v>LW7DK4S-041850</v>
      </c>
      <c r="L972" s="45">
        <f ca="1">IFERROR(__xludf.DUMMYFUNCTION("""COMPUTED_VALUE"""),2)</f>
        <v>2</v>
      </c>
      <c r="M972" s="45">
        <f ca="1">IFERROR(__xludf.DUMMYFUNCTION("""COMPUTED_VALUE"""),21)</f>
        <v>21</v>
      </c>
      <c r="N972" s="45">
        <f ca="1">IFERROR(__xludf.DUMMYFUNCTION("""COMPUTED_VALUE"""),4.239)</f>
        <v>4.2389999999999999</v>
      </c>
      <c r="O972" s="45">
        <f ca="1">IFERROR(__xludf.DUMMYFUNCTION("""COMPUTED_VALUE"""),0.079)</f>
        <v>7.9000000000000001E-2</v>
      </c>
      <c r="P972" s="45" t="str">
        <f ca="1">IFERROR(__xludf.DUMMYFUNCTION("""COMPUTED_VALUE"""),"Colombo, LK")</f>
        <v>Colombo, LK</v>
      </c>
      <c r="Q972" s="45" t="str">
        <f ca="1">IFERROR(__xludf.DUMMYFUNCTION("""COMPUTED_VALUE"""),"New York, NY, US")</f>
        <v>New York, NY, US</v>
      </c>
      <c r="R972" s="44">
        <f ca="1">IFERROR(__xludf.DUMMYFUNCTION("""COMPUTED_VALUE"""),45831)</f>
        <v>45831</v>
      </c>
      <c r="S972" s="44">
        <f ca="1">IFERROR(__xludf.DUMMYFUNCTION("""COMPUTED_VALUE"""),45890)</f>
        <v>45890</v>
      </c>
      <c r="T972" s="45" t="str">
        <f ca="1">IFERROR(__xludf.DUMMYFUNCTION("""COMPUTED_VALUE"""),"Birmingham, GB")</f>
        <v>Birmingham, GB</v>
      </c>
      <c r="U972" s="45"/>
      <c r="V972" s="45"/>
      <c r="W972" s="45"/>
      <c r="X972" s="45"/>
      <c r="Y972" s="46">
        <f ca="1">IFERROR(__xludf.DUMMYFUNCTION("""COMPUTED_VALUE"""),45838)</f>
        <v>45838</v>
      </c>
      <c r="Z972" s="46">
        <f ca="1">IFERROR(__xludf.DUMMYFUNCTION("""COMPUTED_VALUE"""),45852)</f>
        <v>45852</v>
      </c>
      <c r="AA972" s="46">
        <f ca="1">IFERROR(__xludf.DUMMYFUNCTION("""COMPUTED_VALUE"""),45852)</f>
        <v>45852</v>
      </c>
      <c r="AB972" s="45" t="str">
        <f ca="1">IFERROR(__xludf.DUMMYFUNCTION("""COMPUTED_VALUE"""),"10A Faraday Ave")</f>
        <v>10A Faraday Ave</v>
      </c>
      <c r="AC972" s="45"/>
      <c r="AD972" s="45" t="str">
        <f ca="1">IFERROR(__xludf.DUMMYFUNCTION("""COMPUTED_VALUE"""),"OCEAN")</f>
        <v>OCEAN</v>
      </c>
      <c r="AE972" s="45" t="str">
        <f ca="1">IFERROR(__xludf.DUMMYFUNCTION("""COMPUTED_VALUE"""),"N")</f>
        <v>N</v>
      </c>
      <c r="AF972" s="45"/>
      <c r="AG972" s="49" t="str">
        <f ca="1">IFERROR(__xludf.DUMMYFUNCTION("IFNA(vlookup(H972,IMPORTRANGE(""1vUGwO1n0QQGx9kKbO0_M5gmuhXZ6-LaxQxgrmJnzgP0"",""'TP# look up'!A:C""),3,0),"""")"),"")</f>
        <v/>
      </c>
      <c r="AH972" s="49" t="str">
        <f t="shared" ca="1" si="15"/>
        <v>LW</v>
      </c>
    </row>
    <row r="973" spans="1:34" ht="12.75">
      <c r="A973" s="45" t="str">
        <f ca="1">IFERROR(__xludf.DUMMYFUNCTION("""COMPUTED_VALUE"""),"Colombo")</f>
        <v>Colombo</v>
      </c>
      <c r="B973" s="45"/>
      <c r="C973" s="45">
        <f ca="1">IFERROR(__xludf.DUMMYFUNCTION("""COMPUTED_VALUE"""),3259827)</f>
        <v>3259827</v>
      </c>
      <c r="D973" s="45"/>
      <c r="E973" s="45" t="str">
        <f ca="1">IFERROR(__xludf.DUMMYFUNCTION("""COMPUTED_VALUE"""),"CFS")</f>
        <v>CFS</v>
      </c>
      <c r="F973" s="45" t="str">
        <f ca="1">IFERROR(__xludf.DUMMYFUNCTION("""COMPUTED_VALUE"""),"MAS AMITY PTE LTD")</f>
        <v>MAS AMITY PTE LTD</v>
      </c>
      <c r="G973" s="45" t="str">
        <f ca="1">IFERROR(__xludf.DUMMYFUNCTION("""COMPUTED_VALUE"""),"MAS Active (Pvt) Ltd - Linea Intimo")</f>
        <v>MAS Active (Pvt) Ltd - Linea Intimo</v>
      </c>
      <c r="H973" s="43">
        <f ca="1">IFERROR(__xludf.DUMMYFUNCTION("""COMPUTED_VALUE"""),456900748368)</f>
        <v>456900748368</v>
      </c>
      <c r="I973" s="45">
        <f ca="1">IFERROR(__xludf.DUMMYFUNCTION("""COMPUTED_VALUE"""),19822091)</f>
        <v>19822091</v>
      </c>
      <c r="J973" s="45" t="str">
        <f ca="1">IFERROR(__xludf.DUMMYFUNCTION("""COMPUTED_VALUE"""),"LW3JE9S")</f>
        <v>LW3JE9S</v>
      </c>
      <c r="K973" s="45" t="str">
        <f ca="1">IFERROR(__xludf.DUMMYFUNCTION("""COMPUTED_VALUE"""),"LW3JE9S-071170")</f>
        <v>LW3JE9S-071170</v>
      </c>
      <c r="L973" s="45">
        <f ca="1">IFERROR(__xludf.DUMMYFUNCTION("""COMPUTED_VALUE"""),3)</f>
        <v>3</v>
      </c>
      <c r="M973" s="45">
        <f ca="1">IFERROR(__xludf.DUMMYFUNCTION("""COMPUTED_VALUE"""),98)</f>
        <v>98</v>
      </c>
      <c r="N973" s="45">
        <f ca="1">IFERROR(__xludf.DUMMYFUNCTION("""COMPUTED_VALUE"""),19.098)</f>
        <v>19.097999999999999</v>
      </c>
      <c r="O973" s="45">
        <f ca="1">IFERROR(__xludf.DUMMYFUNCTION("""COMPUTED_VALUE"""),0.158)</f>
        <v>0.158</v>
      </c>
      <c r="P973" s="45" t="str">
        <f ca="1">IFERROR(__xludf.DUMMYFUNCTION("""COMPUTED_VALUE"""),"Colombo, LK")</f>
        <v>Colombo, LK</v>
      </c>
      <c r="Q973" s="45" t="str">
        <f ca="1">IFERROR(__xludf.DUMMYFUNCTION("""COMPUTED_VALUE"""),"Felixstowe, GB")</f>
        <v>Felixstowe, GB</v>
      </c>
      <c r="R973" s="44">
        <f ca="1">IFERROR(__xludf.DUMMYFUNCTION("""COMPUTED_VALUE"""),45831)</f>
        <v>45831</v>
      </c>
      <c r="S973" s="44">
        <f ca="1">IFERROR(__xludf.DUMMYFUNCTION("""COMPUTED_VALUE"""),45890)</f>
        <v>45890</v>
      </c>
      <c r="T973" s="45" t="str">
        <f ca="1">IFERROR(__xludf.DUMMYFUNCTION("""COMPUTED_VALUE"""),"Birmingham, GB")</f>
        <v>Birmingham, GB</v>
      </c>
      <c r="U973" s="45"/>
      <c r="V973" s="45"/>
      <c r="W973" s="45"/>
      <c r="X973" s="45"/>
      <c r="Y973" s="46">
        <f ca="1">IFERROR(__xludf.DUMMYFUNCTION("""COMPUTED_VALUE"""),45838)</f>
        <v>45838</v>
      </c>
      <c r="Z973" s="46">
        <f ca="1">IFERROR(__xludf.DUMMYFUNCTION("""COMPUTED_VALUE"""),45859)</f>
        <v>45859</v>
      </c>
      <c r="AA973" s="46">
        <f ca="1">IFERROR(__xludf.DUMMYFUNCTION("""COMPUTED_VALUE"""),45859)</f>
        <v>45859</v>
      </c>
      <c r="AB973" s="45" t="str">
        <f ca="1">IFERROR(__xludf.DUMMYFUNCTION("""COMPUTED_VALUE"""),"10A Faraday Ave")</f>
        <v>10A Faraday Ave</v>
      </c>
      <c r="AC973" s="45"/>
      <c r="AD973" s="45" t="str">
        <f ca="1">IFERROR(__xludf.DUMMYFUNCTION("""COMPUTED_VALUE"""),"OCEAN")</f>
        <v>OCEAN</v>
      </c>
      <c r="AE973" s="45" t="str">
        <f ca="1">IFERROR(__xludf.DUMMYFUNCTION("""COMPUTED_VALUE"""),"N")</f>
        <v>N</v>
      </c>
      <c r="AF973" s="45"/>
      <c r="AG973" s="49" t="str">
        <f ca="1">IFERROR(__xludf.DUMMYFUNCTION("IFNA(vlookup(H973,IMPORTRANGE(""1vUGwO1n0QQGx9kKbO0_M5gmuhXZ6-LaxQxgrmJnzgP0"",""'TP# look up'!A:C""),3,0),"""")"),"")</f>
        <v/>
      </c>
      <c r="AH973" s="49" t="str">
        <f t="shared" ca="1" si="15"/>
        <v>LW</v>
      </c>
    </row>
    <row r="974" spans="1:34" ht="12.75">
      <c r="A974" s="45" t="str">
        <f ca="1">IFERROR(__xludf.DUMMYFUNCTION("""COMPUTED_VALUE"""),"Colombo")</f>
        <v>Colombo</v>
      </c>
      <c r="B974" s="45"/>
      <c r="C974" s="45">
        <f ca="1">IFERROR(__xludf.DUMMYFUNCTION("""COMPUTED_VALUE"""),3259827)</f>
        <v>3259827</v>
      </c>
      <c r="D974" s="45"/>
      <c r="E974" s="45" t="str">
        <f ca="1">IFERROR(__xludf.DUMMYFUNCTION("""COMPUTED_VALUE"""),"CFS")</f>
        <v>CFS</v>
      </c>
      <c r="F974" s="45" t="str">
        <f ca="1">IFERROR(__xludf.DUMMYFUNCTION("""COMPUTED_VALUE"""),"MAS AMITY PTE LTD")</f>
        <v>MAS AMITY PTE LTD</v>
      </c>
      <c r="G974" s="45" t="str">
        <f ca="1">IFERROR(__xludf.DUMMYFUNCTION("""COMPUTED_VALUE"""),"MAS Fabrics (Pvt) Ltd Intimo")</f>
        <v>MAS Fabrics (Pvt) Ltd Intimo</v>
      </c>
      <c r="H974" s="43">
        <f ca="1">IFERROR(__xludf.DUMMYFUNCTION("""COMPUTED_VALUE"""),456895958466)</f>
        <v>456895958466</v>
      </c>
      <c r="I974" s="45">
        <f ca="1">IFERROR(__xludf.DUMMYFUNCTION("""COMPUTED_VALUE"""),19820871)</f>
        <v>19820871</v>
      </c>
      <c r="J974" s="45" t="str">
        <f ca="1">IFERROR(__xludf.DUMMYFUNCTION("""COMPUTED_VALUE"""),"LW3JE8S")</f>
        <v>LW3JE8S</v>
      </c>
      <c r="K974" s="45" t="str">
        <f ca="1">IFERROR(__xludf.DUMMYFUNCTION("""COMPUTED_VALUE"""),"LW3JE8S-071170")</f>
        <v>LW3JE8S-071170</v>
      </c>
      <c r="L974" s="45">
        <f ca="1">IFERROR(__xludf.DUMMYFUNCTION("""COMPUTED_VALUE"""),3)</f>
        <v>3</v>
      </c>
      <c r="M974" s="45">
        <f ca="1">IFERROR(__xludf.DUMMYFUNCTION("""COMPUTED_VALUE"""),74)</f>
        <v>74</v>
      </c>
      <c r="N974" s="45">
        <f ca="1">IFERROR(__xludf.DUMMYFUNCTION("""COMPUTED_VALUE"""),14.96)</f>
        <v>14.96</v>
      </c>
      <c r="O974" s="45">
        <f ca="1">IFERROR(__xludf.DUMMYFUNCTION("""COMPUTED_VALUE"""),0.158)</f>
        <v>0.158</v>
      </c>
      <c r="P974" s="45" t="str">
        <f ca="1">IFERROR(__xludf.DUMMYFUNCTION("""COMPUTED_VALUE"""),"Colombo, LK")</f>
        <v>Colombo, LK</v>
      </c>
      <c r="Q974" s="45" t="str">
        <f ca="1">IFERROR(__xludf.DUMMYFUNCTION("""COMPUTED_VALUE"""),"Felixstowe, GB")</f>
        <v>Felixstowe, GB</v>
      </c>
      <c r="R974" s="44">
        <f ca="1">IFERROR(__xludf.DUMMYFUNCTION("""COMPUTED_VALUE"""),45831)</f>
        <v>45831</v>
      </c>
      <c r="S974" s="44">
        <f ca="1">IFERROR(__xludf.DUMMYFUNCTION("""COMPUTED_VALUE"""),45890)</f>
        <v>45890</v>
      </c>
      <c r="T974" s="45" t="str">
        <f ca="1">IFERROR(__xludf.DUMMYFUNCTION("""COMPUTED_VALUE"""),"Birmingham, GB")</f>
        <v>Birmingham, GB</v>
      </c>
      <c r="U974" s="45"/>
      <c r="V974" s="45"/>
      <c r="W974" s="45"/>
      <c r="X974" s="45"/>
      <c r="Y974" s="46">
        <f ca="1">IFERROR(__xludf.DUMMYFUNCTION("""COMPUTED_VALUE"""),45838)</f>
        <v>45838</v>
      </c>
      <c r="Z974" s="46">
        <f ca="1">IFERROR(__xludf.DUMMYFUNCTION("""COMPUTED_VALUE"""),45859)</f>
        <v>45859</v>
      </c>
      <c r="AA974" s="46">
        <f ca="1">IFERROR(__xludf.DUMMYFUNCTION("""COMPUTED_VALUE"""),45859)</f>
        <v>45859</v>
      </c>
      <c r="AB974" s="45" t="str">
        <f ca="1">IFERROR(__xludf.DUMMYFUNCTION("""COMPUTED_VALUE"""),"10A Faraday Ave")</f>
        <v>10A Faraday Ave</v>
      </c>
      <c r="AC974" s="45"/>
      <c r="AD974" s="45" t="str">
        <f ca="1">IFERROR(__xludf.DUMMYFUNCTION("""COMPUTED_VALUE"""),"OCEAN")</f>
        <v>OCEAN</v>
      </c>
      <c r="AE974" s="45" t="str">
        <f ca="1">IFERROR(__xludf.DUMMYFUNCTION("""COMPUTED_VALUE"""),"N")</f>
        <v>N</v>
      </c>
      <c r="AF974" s="45"/>
      <c r="AG974" s="49" t="str">
        <f ca="1">IFERROR(__xludf.DUMMYFUNCTION("IFNA(vlookup(H974,IMPORTRANGE(""1vUGwO1n0QQGx9kKbO0_M5gmuhXZ6-LaxQxgrmJnzgP0"",""'TP# look up'!A:C""),3,0),"""")"),"")</f>
        <v/>
      </c>
      <c r="AH974" s="49" t="str">
        <f t="shared" ca="1" si="15"/>
        <v>LW</v>
      </c>
    </row>
    <row r="975" spans="1:34" ht="12.75">
      <c r="A975" s="45" t="str">
        <f ca="1">IFERROR(__xludf.DUMMYFUNCTION("""COMPUTED_VALUE"""),"Colombo")</f>
        <v>Colombo</v>
      </c>
      <c r="B975" s="45"/>
      <c r="C975" s="45">
        <f ca="1">IFERROR(__xludf.DUMMYFUNCTION("""COMPUTED_VALUE"""),3259827)</f>
        <v>3259827</v>
      </c>
      <c r="D975" s="45"/>
      <c r="E975" s="45" t="str">
        <f ca="1">IFERROR(__xludf.DUMMYFUNCTION("""COMPUTED_VALUE"""),"CFS")</f>
        <v>CFS</v>
      </c>
      <c r="F975" s="45" t="str">
        <f ca="1">IFERROR(__xludf.DUMMYFUNCTION("""COMPUTED_VALUE"""),"MAS AMITY PTE LTD")</f>
        <v>MAS AMITY PTE LTD</v>
      </c>
      <c r="G975" s="45" t="str">
        <f ca="1">IFERROR(__xludf.DUMMYFUNCTION("""COMPUTED_VALUE"""),"MAS Active (Pvt) Ltd – Shadowline")</f>
        <v>MAS Active (Pvt) Ltd – Shadowline</v>
      </c>
      <c r="H975" s="43">
        <f ca="1">IFERROR(__xludf.DUMMYFUNCTION("""COMPUTED_VALUE"""),457032093502)</f>
        <v>457032093502</v>
      </c>
      <c r="I975" s="45">
        <f ca="1">IFERROR(__xludf.DUMMYFUNCTION("""COMPUTED_VALUE"""),19814196)</f>
        <v>19814196</v>
      </c>
      <c r="J975" s="45" t="str">
        <f ca="1">IFERROR(__xludf.DUMMYFUNCTION("""COMPUTED_VALUE"""),"LW1DUDS")</f>
        <v>LW1DUDS</v>
      </c>
      <c r="K975" s="45" t="str">
        <f ca="1">IFERROR(__xludf.DUMMYFUNCTION("""COMPUTED_VALUE"""),"LW1DUDS-0002")</f>
        <v>LW1DUDS-0002</v>
      </c>
      <c r="L975" s="45">
        <f ca="1">IFERROR(__xludf.DUMMYFUNCTION("""COMPUTED_VALUE"""),6)</f>
        <v>6</v>
      </c>
      <c r="M975" s="45">
        <f ca="1">IFERROR(__xludf.DUMMYFUNCTION("""COMPUTED_VALUE"""),257)</f>
        <v>257</v>
      </c>
      <c r="N975" s="45">
        <f ca="1">IFERROR(__xludf.DUMMYFUNCTION("""COMPUTED_VALUE"""),40.889)</f>
        <v>40.889000000000003</v>
      </c>
      <c r="O975" s="45">
        <f ca="1">IFERROR(__xludf.DUMMYFUNCTION("""COMPUTED_VALUE"""),0.355)</f>
        <v>0.35499999999999998</v>
      </c>
      <c r="P975" s="45" t="str">
        <f ca="1">IFERROR(__xludf.DUMMYFUNCTION("""COMPUTED_VALUE"""),"Colombo, LK")</f>
        <v>Colombo, LK</v>
      </c>
      <c r="Q975" s="45" t="str">
        <f ca="1">IFERROR(__xludf.DUMMYFUNCTION("""COMPUTED_VALUE"""),"Felixstowe, GB")</f>
        <v>Felixstowe, GB</v>
      </c>
      <c r="R975" s="44">
        <f ca="1">IFERROR(__xludf.DUMMYFUNCTION("""COMPUTED_VALUE"""),45831)</f>
        <v>45831</v>
      </c>
      <c r="S975" s="44">
        <f ca="1">IFERROR(__xludf.DUMMYFUNCTION("""COMPUTED_VALUE"""),45890)</f>
        <v>45890</v>
      </c>
      <c r="T975" s="45" t="str">
        <f ca="1">IFERROR(__xludf.DUMMYFUNCTION("""COMPUTED_VALUE"""),"Birmingham, GB")</f>
        <v>Birmingham, GB</v>
      </c>
      <c r="U975" s="45"/>
      <c r="V975" s="45"/>
      <c r="W975" s="45"/>
      <c r="X975" s="45"/>
      <c r="Y975" s="46">
        <f ca="1">IFERROR(__xludf.DUMMYFUNCTION("""COMPUTED_VALUE"""),45838)</f>
        <v>45838</v>
      </c>
      <c r="Z975" s="46">
        <f ca="1">IFERROR(__xludf.DUMMYFUNCTION("""COMPUTED_VALUE"""),45859)</f>
        <v>45859</v>
      </c>
      <c r="AA975" s="46">
        <f ca="1">IFERROR(__xludf.DUMMYFUNCTION("""COMPUTED_VALUE"""),45859)</f>
        <v>45859</v>
      </c>
      <c r="AB975" s="45" t="str">
        <f ca="1">IFERROR(__xludf.DUMMYFUNCTION("""COMPUTED_VALUE"""),"10A Faraday Ave")</f>
        <v>10A Faraday Ave</v>
      </c>
      <c r="AC975" s="45"/>
      <c r="AD975" s="45" t="str">
        <f ca="1">IFERROR(__xludf.DUMMYFUNCTION("""COMPUTED_VALUE"""),"OCEAN")</f>
        <v>OCEAN</v>
      </c>
      <c r="AE975" s="45" t="str">
        <f ca="1">IFERROR(__xludf.DUMMYFUNCTION("""COMPUTED_VALUE"""),"N")</f>
        <v>N</v>
      </c>
      <c r="AF975" s="45"/>
      <c r="AG975" s="49" t="str">
        <f ca="1">IFERROR(__xludf.DUMMYFUNCTION("IFNA(vlookup(H975,IMPORTRANGE(""1vUGwO1n0QQGx9kKbO0_M5gmuhXZ6-LaxQxgrmJnzgP0"",""'TP# look up'!A:C""),3,0),"""")"),"")</f>
        <v/>
      </c>
      <c r="AH975" s="49" t="str">
        <f t="shared" ca="1" si="15"/>
        <v>LW</v>
      </c>
    </row>
    <row r="976" spans="1:34" ht="12.75">
      <c r="A976" s="45" t="str">
        <f ca="1">IFERROR(__xludf.DUMMYFUNCTION("""COMPUTED_VALUE"""),"Colombo")</f>
        <v>Colombo</v>
      </c>
      <c r="B976" s="45"/>
      <c r="C976" s="45">
        <f ca="1">IFERROR(__xludf.DUMMYFUNCTION("""COMPUTED_VALUE"""),3259827)</f>
        <v>3259827</v>
      </c>
      <c r="D976" s="45"/>
      <c r="E976" s="45" t="str">
        <f ca="1">IFERROR(__xludf.DUMMYFUNCTION("""COMPUTED_VALUE"""),"CFS")</f>
        <v>CFS</v>
      </c>
      <c r="F976" s="45" t="str">
        <f ca="1">IFERROR(__xludf.DUMMYFUNCTION("""COMPUTED_VALUE"""),"MAS AMITY PTE LTD")</f>
        <v>MAS AMITY PTE LTD</v>
      </c>
      <c r="G976" s="45" t="str">
        <f ca="1">IFERROR(__xludf.DUMMYFUNCTION("""COMPUTED_VALUE"""),"MAS Active (Pvt) Ltd – Shadowline")</f>
        <v>MAS Active (Pvt) Ltd – Shadowline</v>
      </c>
      <c r="H976" s="43">
        <f ca="1">IFERROR(__xludf.DUMMYFUNCTION("""COMPUTED_VALUE"""),457036880264)</f>
        <v>457036880264</v>
      </c>
      <c r="I976" s="45">
        <f ca="1">IFERROR(__xludf.DUMMYFUNCTION("""COMPUTED_VALUE"""),19814200)</f>
        <v>19814200</v>
      </c>
      <c r="J976" s="45" t="str">
        <f ca="1">IFERROR(__xludf.DUMMYFUNCTION("""COMPUTED_VALUE"""),"LW1DUDS")</f>
        <v>LW1DUDS</v>
      </c>
      <c r="K976" s="45" t="str">
        <f ca="1">IFERROR(__xludf.DUMMYFUNCTION("""COMPUTED_VALUE"""),"LW1DUDS-020392")</f>
        <v>LW1DUDS-020392</v>
      </c>
      <c r="L976" s="45">
        <f ca="1">IFERROR(__xludf.DUMMYFUNCTION("""COMPUTED_VALUE"""),8)</f>
        <v>8</v>
      </c>
      <c r="M976" s="45">
        <f ca="1">IFERROR(__xludf.DUMMYFUNCTION("""COMPUTED_VALUE"""),297)</f>
        <v>297</v>
      </c>
      <c r="N976" s="45">
        <f ca="1">IFERROR(__xludf.DUMMYFUNCTION("""COMPUTED_VALUE"""),48.063)</f>
        <v>48.063000000000002</v>
      </c>
      <c r="O976" s="45">
        <f ca="1">IFERROR(__xludf.DUMMYFUNCTION("""COMPUTED_VALUE"""),0.434)</f>
        <v>0.434</v>
      </c>
      <c r="P976" s="45" t="str">
        <f ca="1">IFERROR(__xludf.DUMMYFUNCTION("""COMPUTED_VALUE"""),"Colombo, LK")</f>
        <v>Colombo, LK</v>
      </c>
      <c r="Q976" s="45" t="str">
        <f ca="1">IFERROR(__xludf.DUMMYFUNCTION("""COMPUTED_VALUE"""),"Felixstowe, GB")</f>
        <v>Felixstowe, GB</v>
      </c>
      <c r="R976" s="44">
        <f ca="1">IFERROR(__xludf.DUMMYFUNCTION("""COMPUTED_VALUE"""),45831)</f>
        <v>45831</v>
      </c>
      <c r="S976" s="44">
        <f ca="1">IFERROR(__xludf.DUMMYFUNCTION("""COMPUTED_VALUE"""),45890)</f>
        <v>45890</v>
      </c>
      <c r="T976" s="45" t="str">
        <f ca="1">IFERROR(__xludf.DUMMYFUNCTION("""COMPUTED_VALUE"""),"Birmingham, GB")</f>
        <v>Birmingham, GB</v>
      </c>
      <c r="U976" s="45"/>
      <c r="V976" s="45"/>
      <c r="W976" s="45"/>
      <c r="X976" s="45"/>
      <c r="Y976" s="46">
        <f ca="1">IFERROR(__xludf.DUMMYFUNCTION("""COMPUTED_VALUE"""),45838)</f>
        <v>45838</v>
      </c>
      <c r="Z976" s="46">
        <f ca="1">IFERROR(__xludf.DUMMYFUNCTION("""COMPUTED_VALUE"""),45859)</f>
        <v>45859</v>
      </c>
      <c r="AA976" s="46">
        <f ca="1">IFERROR(__xludf.DUMMYFUNCTION("""COMPUTED_VALUE"""),45859)</f>
        <v>45859</v>
      </c>
      <c r="AB976" s="45" t="str">
        <f ca="1">IFERROR(__xludf.DUMMYFUNCTION("""COMPUTED_VALUE"""),"10A Faraday Ave")</f>
        <v>10A Faraday Ave</v>
      </c>
      <c r="AC976" s="45"/>
      <c r="AD976" s="45" t="str">
        <f ca="1">IFERROR(__xludf.DUMMYFUNCTION("""COMPUTED_VALUE"""),"OCEAN")</f>
        <v>OCEAN</v>
      </c>
      <c r="AE976" s="45" t="str">
        <f ca="1">IFERROR(__xludf.DUMMYFUNCTION("""COMPUTED_VALUE"""),"N")</f>
        <v>N</v>
      </c>
      <c r="AF976" s="45"/>
      <c r="AG976" s="49" t="str">
        <f ca="1">IFERROR(__xludf.DUMMYFUNCTION("IFNA(vlookup(H976,IMPORTRANGE(""1vUGwO1n0QQGx9kKbO0_M5gmuhXZ6-LaxQxgrmJnzgP0"",""'TP# look up'!A:C""),3,0),"""")"),"")</f>
        <v/>
      </c>
      <c r="AH976" s="49" t="str">
        <f t="shared" ca="1" si="15"/>
        <v>LW</v>
      </c>
    </row>
    <row r="977" spans="1:34" ht="12.75">
      <c r="A977" s="45" t="str">
        <f ca="1">IFERROR(__xludf.DUMMYFUNCTION("""COMPUTED_VALUE"""),"Colombo")</f>
        <v>Colombo</v>
      </c>
      <c r="B977" s="45"/>
      <c r="C977" s="45">
        <f ca="1">IFERROR(__xludf.DUMMYFUNCTION("""COMPUTED_VALUE"""),3259827)</f>
        <v>3259827</v>
      </c>
      <c r="D977" s="45"/>
      <c r="E977" s="45" t="str">
        <f ca="1">IFERROR(__xludf.DUMMYFUNCTION("""COMPUTED_VALUE"""),"CFS")</f>
        <v>CFS</v>
      </c>
      <c r="F977" s="45" t="str">
        <f ca="1">IFERROR(__xludf.DUMMYFUNCTION("""COMPUTED_VALUE"""),"MAS AMITY PTE LTD")</f>
        <v>MAS AMITY PTE LTD</v>
      </c>
      <c r="G977" s="45" t="str">
        <f ca="1">IFERROR(__xludf.DUMMYFUNCTION("""COMPUTED_VALUE"""),"MAS Active (Pvt) Ltd – Shadowline")</f>
        <v>MAS Active (Pvt) Ltd – Shadowline</v>
      </c>
      <c r="H977" s="43">
        <f ca="1">IFERROR(__xludf.DUMMYFUNCTION("""COMPUTED_VALUE"""),457040479184)</f>
        <v>457040479184</v>
      </c>
      <c r="I977" s="45">
        <f ca="1">IFERROR(__xludf.DUMMYFUNCTION("""COMPUTED_VALUE"""),19814192)</f>
        <v>19814192</v>
      </c>
      <c r="J977" s="45" t="str">
        <f ca="1">IFERROR(__xludf.DUMMYFUNCTION("""COMPUTED_VALUE"""),"LW1DUDS")</f>
        <v>LW1DUDS</v>
      </c>
      <c r="K977" s="45" t="str">
        <f ca="1">IFERROR(__xludf.DUMMYFUNCTION("""COMPUTED_VALUE"""),"LW1DUDS-0002")</f>
        <v>LW1DUDS-0002</v>
      </c>
      <c r="L977" s="45">
        <f ca="1">IFERROR(__xludf.DUMMYFUNCTION("""COMPUTED_VALUE"""),10)</f>
        <v>10</v>
      </c>
      <c r="M977" s="45">
        <f ca="1">IFERROR(__xludf.DUMMYFUNCTION("""COMPUTED_VALUE"""),548)</f>
        <v>548</v>
      </c>
      <c r="N977" s="45">
        <f ca="1">IFERROR(__xludf.DUMMYFUNCTION("""COMPUTED_VALUE"""),83.787)</f>
        <v>83.787000000000006</v>
      </c>
      <c r="O977" s="45">
        <f ca="1">IFERROR(__xludf.DUMMYFUNCTION("""COMPUTED_VALUE"""),0.711)</f>
        <v>0.71099999999999997</v>
      </c>
      <c r="P977" s="45" t="str">
        <f ca="1">IFERROR(__xludf.DUMMYFUNCTION("""COMPUTED_VALUE"""),"Colombo, LK")</f>
        <v>Colombo, LK</v>
      </c>
      <c r="Q977" s="45" t="str">
        <f ca="1">IFERROR(__xludf.DUMMYFUNCTION("""COMPUTED_VALUE"""),"Felixstowe, GB")</f>
        <v>Felixstowe, GB</v>
      </c>
      <c r="R977" s="44">
        <f ca="1">IFERROR(__xludf.DUMMYFUNCTION("""COMPUTED_VALUE"""),45831)</f>
        <v>45831</v>
      </c>
      <c r="S977" s="44">
        <f ca="1">IFERROR(__xludf.DUMMYFUNCTION("""COMPUTED_VALUE"""),45890)</f>
        <v>45890</v>
      </c>
      <c r="T977" s="45" t="str">
        <f ca="1">IFERROR(__xludf.DUMMYFUNCTION("""COMPUTED_VALUE"""),"Birmingham, GB")</f>
        <v>Birmingham, GB</v>
      </c>
      <c r="U977" s="45"/>
      <c r="V977" s="45"/>
      <c r="W977" s="45"/>
      <c r="X977" s="45"/>
      <c r="Y977" s="46">
        <f ca="1">IFERROR(__xludf.DUMMYFUNCTION("""COMPUTED_VALUE"""),45838)</f>
        <v>45838</v>
      </c>
      <c r="Z977" s="46">
        <f ca="1">IFERROR(__xludf.DUMMYFUNCTION("""COMPUTED_VALUE"""),45859)</f>
        <v>45859</v>
      </c>
      <c r="AA977" s="46">
        <f ca="1">IFERROR(__xludf.DUMMYFUNCTION("""COMPUTED_VALUE"""),45859)</f>
        <v>45859</v>
      </c>
      <c r="AB977" s="45" t="str">
        <f ca="1">IFERROR(__xludf.DUMMYFUNCTION("""COMPUTED_VALUE"""),"10A Faraday Ave")</f>
        <v>10A Faraday Ave</v>
      </c>
      <c r="AC977" s="45"/>
      <c r="AD977" s="45" t="str">
        <f ca="1">IFERROR(__xludf.DUMMYFUNCTION("""COMPUTED_VALUE"""),"OCEAN")</f>
        <v>OCEAN</v>
      </c>
      <c r="AE977" s="45" t="str">
        <f ca="1">IFERROR(__xludf.DUMMYFUNCTION("""COMPUTED_VALUE"""),"N")</f>
        <v>N</v>
      </c>
      <c r="AF977" s="45"/>
      <c r="AG977" s="49" t="str">
        <f ca="1">IFERROR(__xludf.DUMMYFUNCTION("IFNA(vlookup(H977,IMPORTRANGE(""1vUGwO1n0QQGx9kKbO0_M5gmuhXZ6-LaxQxgrmJnzgP0"",""'TP# look up'!A:C""),3,0),"""")"),"")</f>
        <v/>
      </c>
      <c r="AH977" s="49" t="str">
        <f t="shared" ca="1" si="15"/>
        <v>LW</v>
      </c>
    </row>
    <row r="978" spans="1:34" ht="12.75">
      <c r="A978" s="45" t="str">
        <f ca="1">IFERROR(__xludf.DUMMYFUNCTION("""COMPUTED_VALUE"""),"Colombo")</f>
        <v>Colombo</v>
      </c>
      <c r="B978" s="45"/>
      <c r="C978" s="45">
        <f ca="1">IFERROR(__xludf.DUMMYFUNCTION("""COMPUTED_VALUE"""),3259827)</f>
        <v>3259827</v>
      </c>
      <c r="D978" s="45"/>
      <c r="E978" s="45" t="str">
        <f ca="1">IFERROR(__xludf.DUMMYFUNCTION("""COMPUTED_VALUE"""),"CFS")</f>
        <v>CFS</v>
      </c>
      <c r="F978" s="45" t="str">
        <f ca="1">IFERROR(__xludf.DUMMYFUNCTION("""COMPUTED_VALUE"""),"MAS AMITY PTE LTD")</f>
        <v>MAS AMITY PTE LTD</v>
      </c>
      <c r="G978" s="45" t="str">
        <f ca="1">IFERROR(__xludf.DUMMYFUNCTION("""COMPUTED_VALUE"""),"MAS Active (Pvt) Ltd – Sleekline")</f>
        <v>MAS Active (Pvt) Ltd – Sleekline</v>
      </c>
      <c r="H978" s="43">
        <f ca="1">IFERROR(__xludf.DUMMYFUNCTION("""COMPUTED_VALUE"""),457014040221)</f>
        <v>457014040221</v>
      </c>
      <c r="I978" s="45">
        <f ca="1">IFERROR(__xludf.DUMMYFUNCTION("""COMPUTED_VALUE"""),19805643)</f>
        <v>19805643</v>
      </c>
      <c r="J978" s="45" t="str">
        <f ca="1">IFERROR(__xludf.DUMMYFUNCTION("""COMPUTED_VALUE"""),"LM9B19S")</f>
        <v>LM9B19S</v>
      </c>
      <c r="K978" s="45" t="str">
        <f ca="1">IFERROR(__xludf.DUMMYFUNCTION("""COMPUTED_VALUE"""),"LM9B19S-4310")</f>
        <v>LM9B19S-4310</v>
      </c>
      <c r="L978" s="45">
        <f ca="1">IFERROR(__xludf.DUMMYFUNCTION("""COMPUTED_VALUE"""),1)</f>
        <v>1</v>
      </c>
      <c r="M978" s="45">
        <f ca="1">IFERROR(__xludf.DUMMYFUNCTION("""COMPUTED_VALUE"""),34)</f>
        <v>34</v>
      </c>
      <c r="N978" s="45">
        <f ca="1">IFERROR(__xludf.DUMMYFUNCTION("""COMPUTED_VALUE"""),9.86)</f>
        <v>9.86</v>
      </c>
      <c r="O978" s="45">
        <f ca="1">IFERROR(__xludf.DUMMYFUNCTION("""COMPUTED_VALUE"""),0.079)</f>
        <v>7.9000000000000001E-2</v>
      </c>
      <c r="P978" s="45" t="str">
        <f ca="1">IFERROR(__xludf.DUMMYFUNCTION("""COMPUTED_VALUE"""),"Colombo, LK")</f>
        <v>Colombo, LK</v>
      </c>
      <c r="Q978" s="45" t="str">
        <f ca="1">IFERROR(__xludf.DUMMYFUNCTION("""COMPUTED_VALUE"""),"Felixstowe, GB")</f>
        <v>Felixstowe, GB</v>
      </c>
      <c r="R978" s="44">
        <f ca="1">IFERROR(__xludf.DUMMYFUNCTION("""COMPUTED_VALUE"""),45831)</f>
        <v>45831</v>
      </c>
      <c r="S978" s="44">
        <f ca="1">IFERROR(__xludf.DUMMYFUNCTION("""COMPUTED_VALUE"""),45890)</f>
        <v>45890</v>
      </c>
      <c r="T978" s="45" t="str">
        <f ca="1">IFERROR(__xludf.DUMMYFUNCTION("""COMPUTED_VALUE"""),"Birmingham, GB")</f>
        <v>Birmingham, GB</v>
      </c>
      <c r="U978" s="45"/>
      <c r="V978" s="45"/>
      <c r="W978" s="45"/>
      <c r="X978" s="45"/>
      <c r="Y978" s="46">
        <f ca="1">IFERROR(__xludf.DUMMYFUNCTION("""COMPUTED_VALUE"""),45838)</f>
        <v>45838</v>
      </c>
      <c r="Z978" s="46">
        <f ca="1">IFERROR(__xludf.DUMMYFUNCTION("""COMPUTED_VALUE"""),45859)</f>
        <v>45859</v>
      </c>
      <c r="AA978" s="46">
        <f ca="1">IFERROR(__xludf.DUMMYFUNCTION("""COMPUTED_VALUE"""),45859)</f>
        <v>45859</v>
      </c>
      <c r="AB978" s="45" t="str">
        <f ca="1">IFERROR(__xludf.DUMMYFUNCTION("""COMPUTED_VALUE"""),"10A Faraday Ave")</f>
        <v>10A Faraday Ave</v>
      </c>
      <c r="AC978" s="45"/>
      <c r="AD978" s="45" t="str">
        <f ca="1">IFERROR(__xludf.DUMMYFUNCTION("""COMPUTED_VALUE"""),"OCEAN")</f>
        <v>OCEAN</v>
      </c>
      <c r="AE978" s="45" t="str">
        <f ca="1">IFERROR(__xludf.DUMMYFUNCTION("""COMPUTED_VALUE"""),"N")</f>
        <v>N</v>
      </c>
      <c r="AF978" s="45"/>
      <c r="AG978" s="49" t="str">
        <f ca="1">IFERROR(__xludf.DUMMYFUNCTION("IFNA(vlookup(H978,IMPORTRANGE(""1vUGwO1n0QQGx9kKbO0_M5gmuhXZ6-LaxQxgrmJnzgP0"",""'TP# look up'!A:C""),3,0),"""")"),"")</f>
        <v/>
      </c>
      <c r="AH978" s="49" t="str">
        <f t="shared" ca="1" si="15"/>
        <v>LM</v>
      </c>
    </row>
    <row r="979" spans="1:34" ht="12.75">
      <c r="A979" s="45" t="str">
        <f ca="1">IFERROR(__xludf.DUMMYFUNCTION("""COMPUTED_VALUE"""),"Colombo")</f>
        <v>Colombo</v>
      </c>
      <c r="B979" s="45"/>
      <c r="C979" s="45">
        <f ca="1">IFERROR(__xludf.DUMMYFUNCTION("""COMPUTED_VALUE"""),3259827)</f>
        <v>3259827</v>
      </c>
      <c r="D979" s="45"/>
      <c r="E979" s="45" t="str">
        <f ca="1">IFERROR(__xludf.DUMMYFUNCTION("""COMPUTED_VALUE"""),"CFS")</f>
        <v>CFS</v>
      </c>
      <c r="F979" s="45" t="str">
        <f ca="1">IFERROR(__xludf.DUMMYFUNCTION("""COMPUTED_VALUE"""),"MAS AMITY PTE LTD")</f>
        <v>MAS AMITY PTE LTD</v>
      </c>
      <c r="G979" s="45" t="str">
        <f ca="1">IFERROR(__xludf.DUMMYFUNCTION("""COMPUTED_VALUE"""),"MAS Active (Pvt) Ltd – Sleekline")</f>
        <v>MAS Active (Pvt) Ltd – Sleekline</v>
      </c>
      <c r="H979" s="43">
        <f ca="1">IFERROR(__xludf.DUMMYFUNCTION("""COMPUTED_VALUE"""),457014040774)</f>
        <v>457014040774</v>
      </c>
      <c r="I979" s="45">
        <f ca="1">IFERROR(__xludf.DUMMYFUNCTION("""COMPUTED_VALUE"""),19810100)</f>
        <v>19810100</v>
      </c>
      <c r="J979" s="45" t="str">
        <f ca="1">IFERROR(__xludf.DUMMYFUNCTION("""COMPUTED_VALUE"""),"LM9AYLS")</f>
        <v>LM9AYLS</v>
      </c>
      <c r="K979" s="45" t="str">
        <f ca="1">IFERROR(__xludf.DUMMYFUNCTION("""COMPUTED_VALUE"""),"LM9AYLS-035487")</f>
        <v>LM9AYLS-035487</v>
      </c>
      <c r="L979" s="45">
        <f ca="1">IFERROR(__xludf.DUMMYFUNCTION("""COMPUTED_VALUE"""),2)</f>
        <v>2</v>
      </c>
      <c r="M979" s="45">
        <f ca="1">IFERROR(__xludf.DUMMYFUNCTION("""COMPUTED_VALUE"""),187)</f>
        <v>187</v>
      </c>
      <c r="N979" s="45">
        <f ca="1">IFERROR(__xludf.DUMMYFUNCTION("""COMPUTED_VALUE"""),17.99)</f>
        <v>17.989999999999998</v>
      </c>
      <c r="O979" s="45">
        <f ca="1">IFERROR(__xludf.DUMMYFUNCTION("""COMPUTED_VALUE"""),0.119)</f>
        <v>0.11899999999999999</v>
      </c>
      <c r="P979" s="45" t="str">
        <f ca="1">IFERROR(__xludf.DUMMYFUNCTION("""COMPUTED_VALUE"""),"Colombo, LK")</f>
        <v>Colombo, LK</v>
      </c>
      <c r="Q979" s="45" t="str">
        <f ca="1">IFERROR(__xludf.DUMMYFUNCTION("""COMPUTED_VALUE"""),"Felixstowe, GB")</f>
        <v>Felixstowe, GB</v>
      </c>
      <c r="R979" s="44">
        <f ca="1">IFERROR(__xludf.DUMMYFUNCTION("""COMPUTED_VALUE"""),45831)</f>
        <v>45831</v>
      </c>
      <c r="S979" s="44">
        <f ca="1">IFERROR(__xludf.DUMMYFUNCTION("""COMPUTED_VALUE"""),45890)</f>
        <v>45890</v>
      </c>
      <c r="T979" s="45" t="str">
        <f ca="1">IFERROR(__xludf.DUMMYFUNCTION("""COMPUTED_VALUE"""),"Birmingham, GB")</f>
        <v>Birmingham, GB</v>
      </c>
      <c r="U979" s="45"/>
      <c r="V979" s="45"/>
      <c r="W979" s="45"/>
      <c r="X979" s="45"/>
      <c r="Y979" s="46">
        <f ca="1">IFERROR(__xludf.DUMMYFUNCTION("""COMPUTED_VALUE"""),45838)</f>
        <v>45838</v>
      </c>
      <c r="Z979" s="46">
        <f ca="1">IFERROR(__xludf.DUMMYFUNCTION("""COMPUTED_VALUE"""),45859)</f>
        <v>45859</v>
      </c>
      <c r="AA979" s="46">
        <f ca="1">IFERROR(__xludf.DUMMYFUNCTION("""COMPUTED_VALUE"""),45859)</f>
        <v>45859</v>
      </c>
      <c r="AB979" s="45" t="str">
        <f ca="1">IFERROR(__xludf.DUMMYFUNCTION("""COMPUTED_VALUE"""),"10A Faraday Ave")</f>
        <v>10A Faraday Ave</v>
      </c>
      <c r="AC979" s="45"/>
      <c r="AD979" s="45" t="str">
        <f ca="1">IFERROR(__xludf.DUMMYFUNCTION("""COMPUTED_VALUE"""),"OCEAN")</f>
        <v>OCEAN</v>
      </c>
      <c r="AE979" s="45" t="str">
        <f ca="1">IFERROR(__xludf.DUMMYFUNCTION("""COMPUTED_VALUE"""),"N")</f>
        <v>N</v>
      </c>
      <c r="AF979" s="45"/>
      <c r="AG979" s="49" t="str">
        <f ca="1">IFERROR(__xludf.DUMMYFUNCTION("IFNA(vlookup(H979,IMPORTRANGE(""1vUGwO1n0QQGx9kKbO0_M5gmuhXZ6-LaxQxgrmJnzgP0"",""'TP# look up'!A:C""),3,0),"""")"),"")</f>
        <v/>
      </c>
      <c r="AH979" s="49" t="str">
        <f t="shared" ca="1" si="15"/>
        <v>LM</v>
      </c>
    </row>
    <row r="980" spans="1:34" ht="12.75">
      <c r="A980" s="45" t="str">
        <f ca="1">IFERROR(__xludf.DUMMYFUNCTION("""COMPUTED_VALUE"""),"Colombo")</f>
        <v>Colombo</v>
      </c>
      <c r="B980" s="45"/>
      <c r="C980" s="45">
        <f ca="1">IFERROR(__xludf.DUMMYFUNCTION("""COMPUTED_VALUE"""),3259827)</f>
        <v>3259827</v>
      </c>
      <c r="D980" s="45"/>
      <c r="E980" s="45" t="str">
        <f ca="1">IFERROR(__xludf.DUMMYFUNCTION("""COMPUTED_VALUE"""),"CFS")</f>
        <v>CFS</v>
      </c>
      <c r="F980" s="45" t="str">
        <f ca="1">IFERROR(__xludf.DUMMYFUNCTION("""COMPUTED_VALUE"""),"MAS AMITY PTE LTD")</f>
        <v>MAS AMITY PTE LTD</v>
      </c>
      <c r="G980" s="45" t="str">
        <f ca="1">IFERROR(__xludf.DUMMYFUNCTION("""COMPUTED_VALUE"""),"MAS Active (Pvt) Ltd – Sleekline")</f>
        <v>MAS Active (Pvt) Ltd – Sleekline</v>
      </c>
      <c r="H980" s="43">
        <f ca="1">IFERROR(__xludf.DUMMYFUNCTION("""COMPUTED_VALUE"""),457017261636)</f>
        <v>457017261636</v>
      </c>
      <c r="I980" s="45">
        <f ca="1">IFERROR(__xludf.DUMMYFUNCTION("""COMPUTED_VALUE"""),19805695)</f>
        <v>19805695</v>
      </c>
      <c r="J980" s="45" t="str">
        <f ca="1">IFERROR(__xludf.DUMMYFUNCTION("""COMPUTED_VALUE"""),"LM9AY9S")</f>
        <v>LM9AY9S</v>
      </c>
      <c r="K980" s="45" t="str">
        <f ca="1">IFERROR(__xludf.DUMMYFUNCTION("""COMPUTED_VALUE"""),"LM9AY9S-042751")</f>
        <v>LM9AY9S-042751</v>
      </c>
      <c r="L980" s="45">
        <f ca="1">IFERROR(__xludf.DUMMYFUNCTION("""COMPUTED_VALUE"""),2)</f>
        <v>2</v>
      </c>
      <c r="M980" s="45">
        <f ca="1">IFERROR(__xludf.DUMMYFUNCTION("""COMPUTED_VALUE"""),63)</f>
        <v>63</v>
      </c>
      <c r="N980" s="45">
        <f ca="1">IFERROR(__xludf.DUMMYFUNCTION("""COMPUTED_VALUE"""),18.92)</f>
        <v>18.920000000000002</v>
      </c>
      <c r="O980" s="45">
        <f ca="1">IFERROR(__xludf.DUMMYFUNCTION("""COMPUTED_VALUE"""),0.119)</f>
        <v>0.11899999999999999</v>
      </c>
      <c r="P980" s="45" t="str">
        <f ca="1">IFERROR(__xludf.DUMMYFUNCTION("""COMPUTED_VALUE"""),"Colombo, LK")</f>
        <v>Colombo, LK</v>
      </c>
      <c r="Q980" s="45" t="str">
        <f ca="1">IFERROR(__xludf.DUMMYFUNCTION("""COMPUTED_VALUE"""),"Felixstowe, GB")</f>
        <v>Felixstowe, GB</v>
      </c>
      <c r="R980" s="44">
        <f ca="1">IFERROR(__xludf.DUMMYFUNCTION("""COMPUTED_VALUE"""),45831)</f>
        <v>45831</v>
      </c>
      <c r="S980" s="44">
        <f ca="1">IFERROR(__xludf.DUMMYFUNCTION("""COMPUTED_VALUE"""),45890)</f>
        <v>45890</v>
      </c>
      <c r="T980" s="45" t="str">
        <f ca="1">IFERROR(__xludf.DUMMYFUNCTION("""COMPUTED_VALUE"""),"Birmingham, GB")</f>
        <v>Birmingham, GB</v>
      </c>
      <c r="U980" s="45"/>
      <c r="V980" s="45"/>
      <c r="W980" s="45"/>
      <c r="X980" s="45"/>
      <c r="Y980" s="46">
        <f ca="1">IFERROR(__xludf.DUMMYFUNCTION("""COMPUTED_VALUE"""),45838)</f>
        <v>45838</v>
      </c>
      <c r="Z980" s="46">
        <f ca="1">IFERROR(__xludf.DUMMYFUNCTION("""COMPUTED_VALUE"""),45859)</f>
        <v>45859</v>
      </c>
      <c r="AA980" s="46">
        <f ca="1">IFERROR(__xludf.DUMMYFUNCTION("""COMPUTED_VALUE"""),45859)</f>
        <v>45859</v>
      </c>
      <c r="AB980" s="45" t="str">
        <f ca="1">IFERROR(__xludf.DUMMYFUNCTION("""COMPUTED_VALUE"""),"10A Faraday Ave")</f>
        <v>10A Faraday Ave</v>
      </c>
      <c r="AC980" s="45"/>
      <c r="AD980" s="45" t="str">
        <f ca="1">IFERROR(__xludf.DUMMYFUNCTION("""COMPUTED_VALUE"""),"OCEAN")</f>
        <v>OCEAN</v>
      </c>
      <c r="AE980" s="45" t="str">
        <f ca="1">IFERROR(__xludf.DUMMYFUNCTION("""COMPUTED_VALUE"""),"N")</f>
        <v>N</v>
      </c>
      <c r="AF980" s="45"/>
      <c r="AG980" s="49" t="str">
        <f ca="1">IFERROR(__xludf.DUMMYFUNCTION("IFNA(vlookup(H980,IMPORTRANGE(""1vUGwO1n0QQGx9kKbO0_M5gmuhXZ6-LaxQxgrmJnzgP0"",""'TP# look up'!A:C""),3,0),"""")"),"")</f>
        <v/>
      </c>
      <c r="AH980" s="49" t="str">
        <f t="shared" ca="1" si="15"/>
        <v>LM</v>
      </c>
    </row>
    <row r="981" spans="1:34" ht="12.75">
      <c r="A981" s="45" t="str">
        <f ca="1">IFERROR(__xludf.DUMMYFUNCTION("""COMPUTED_VALUE"""),"Colombo")</f>
        <v>Colombo</v>
      </c>
      <c r="B981" s="45"/>
      <c r="C981" s="45">
        <f ca="1">IFERROR(__xludf.DUMMYFUNCTION("""COMPUTED_VALUE"""),3259827)</f>
        <v>3259827</v>
      </c>
      <c r="D981" s="45"/>
      <c r="E981" s="45" t="str">
        <f ca="1">IFERROR(__xludf.DUMMYFUNCTION("""COMPUTED_VALUE"""),"CFS")</f>
        <v>CFS</v>
      </c>
      <c r="F981" s="45" t="str">
        <f ca="1">IFERROR(__xludf.DUMMYFUNCTION("""COMPUTED_VALUE"""),"MAS AMITY PTE LTD")</f>
        <v>MAS AMITY PTE LTD</v>
      </c>
      <c r="G981" s="45" t="str">
        <f ca="1">IFERROR(__xludf.DUMMYFUNCTION("""COMPUTED_VALUE"""),"MAS Active (Pvt) Ltd – Sleekline")</f>
        <v>MAS Active (Pvt) Ltd – Sleekline</v>
      </c>
      <c r="H981" s="43">
        <f ca="1">IFERROR(__xludf.DUMMYFUNCTION("""COMPUTED_VALUE"""),457017261834)</f>
        <v>457017261834</v>
      </c>
      <c r="I981" s="45">
        <f ca="1">IFERROR(__xludf.DUMMYFUNCTION("""COMPUTED_VALUE"""),19810098)</f>
        <v>19810098</v>
      </c>
      <c r="J981" s="45" t="str">
        <f ca="1">IFERROR(__xludf.DUMMYFUNCTION("""COMPUTED_VALUE"""),"LM9AY9S")</f>
        <v>LM9AY9S</v>
      </c>
      <c r="K981" s="45" t="str">
        <f ca="1">IFERROR(__xludf.DUMMYFUNCTION("""COMPUTED_VALUE"""),"LM9AY9S-042751")</f>
        <v>LM9AY9S-042751</v>
      </c>
      <c r="L981" s="45">
        <f ca="1">IFERROR(__xludf.DUMMYFUNCTION("""COMPUTED_VALUE"""),5)</f>
        <v>5</v>
      </c>
      <c r="M981" s="45">
        <f ca="1">IFERROR(__xludf.DUMMYFUNCTION("""COMPUTED_VALUE"""),217)</f>
        <v>217</v>
      </c>
      <c r="N981" s="45">
        <f ca="1">IFERROR(__xludf.DUMMYFUNCTION("""COMPUTED_VALUE"""),63.516)</f>
        <v>63.515999999999998</v>
      </c>
      <c r="O981" s="45">
        <f ca="1">IFERROR(__xludf.DUMMYFUNCTION("""COMPUTED_VALUE"""),0.357)</f>
        <v>0.35699999999999998</v>
      </c>
      <c r="P981" s="45" t="str">
        <f ca="1">IFERROR(__xludf.DUMMYFUNCTION("""COMPUTED_VALUE"""),"Colombo, LK")</f>
        <v>Colombo, LK</v>
      </c>
      <c r="Q981" s="45" t="str">
        <f ca="1">IFERROR(__xludf.DUMMYFUNCTION("""COMPUTED_VALUE"""),"Felixstowe, GB")</f>
        <v>Felixstowe, GB</v>
      </c>
      <c r="R981" s="44">
        <f ca="1">IFERROR(__xludf.DUMMYFUNCTION("""COMPUTED_VALUE"""),45831)</f>
        <v>45831</v>
      </c>
      <c r="S981" s="44">
        <f ca="1">IFERROR(__xludf.DUMMYFUNCTION("""COMPUTED_VALUE"""),45890)</f>
        <v>45890</v>
      </c>
      <c r="T981" s="45" t="str">
        <f ca="1">IFERROR(__xludf.DUMMYFUNCTION("""COMPUTED_VALUE"""),"Birmingham, GB")</f>
        <v>Birmingham, GB</v>
      </c>
      <c r="U981" s="45"/>
      <c r="V981" s="45"/>
      <c r="W981" s="45"/>
      <c r="X981" s="45"/>
      <c r="Y981" s="46">
        <f ca="1">IFERROR(__xludf.DUMMYFUNCTION("""COMPUTED_VALUE"""),45838)</f>
        <v>45838</v>
      </c>
      <c r="Z981" s="46">
        <f ca="1">IFERROR(__xludf.DUMMYFUNCTION("""COMPUTED_VALUE"""),45859)</f>
        <v>45859</v>
      </c>
      <c r="AA981" s="46">
        <f ca="1">IFERROR(__xludf.DUMMYFUNCTION("""COMPUTED_VALUE"""),45859)</f>
        <v>45859</v>
      </c>
      <c r="AB981" s="45" t="str">
        <f ca="1">IFERROR(__xludf.DUMMYFUNCTION("""COMPUTED_VALUE"""),"10A Faraday Ave")</f>
        <v>10A Faraday Ave</v>
      </c>
      <c r="AC981" s="45"/>
      <c r="AD981" s="45" t="str">
        <f ca="1">IFERROR(__xludf.DUMMYFUNCTION("""COMPUTED_VALUE"""),"OCEAN")</f>
        <v>OCEAN</v>
      </c>
      <c r="AE981" s="45" t="str">
        <f ca="1">IFERROR(__xludf.DUMMYFUNCTION("""COMPUTED_VALUE"""),"N")</f>
        <v>N</v>
      </c>
      <c r="AF981" s="45"/>
      <c r="AG981" s="49" t="str">
        <f ca="1">IFERROR(__xludf.DUMMYFUNCTION("IFNA(vlookup(H981,IMPORTRANGE(""1vUGwO1n0QQGx9kKbO0_M5gmuhXZ6-LaxQxgrmJnzgP0"",""'TP# look up'!A:C""),3,0),"""")"),"")</f>
        <v/>
      </c>
      <c r="AH981" s="49" t="str">
        <f t="shared" ca="1" si="15"/>
        <v>LM</v>
      </c>
    </row>
    <row r="982" spans="1:34" ht="12.75">
      <c r="A982" s="45" t="str">
        <f ca="1">IFERROR(__xludf.DUMMYFUNCTION("""COMPUTED_VALUE"""),"Colombo")</f>
        <v>Colombo</v>
      </c>
      <c r="B982" s="45"/>
      <c r="C982" s="45">
        <f ca="1">IFERROR(__xludf.DUMMYFUNCTION("""COMPUTED_VALUE"""),3259827)</f>
        <v>3259827</v>
      </c>
      <c r="D982" s="45"/>
      <c r="E982" s="45" t="str">
        <f ca="1">IFERROR(__xludf.DUMMYFUNCTION("""COMPUTED_VALUE"""),"CFS")</f>
        <v>CFS</v>
      </c>
      <c r="F982" s="45" t="str">
        <f ca="1">IFERROR(__xludf.DUMMYFUNCTION("""COMPUTED_VALUE"""),"MAS AMITY PTE LTD")</f>
        <v>MAS AMITY PTE LTD</v>
      </c>
      <c r="G982" s="45" t="str">
        <f ca="1">IFERROR(__xludf.DUMMYFUNCTION("""COMPUTED_VALUE"""),"MAS Active (Pvt) Ltd – Sleekline")</f>
        <v>MAS Active (Pvt) Ltd – Sleekline</v>
      </c>
      <c r="H982" s="43">
        <f ca="1">IFERROR(__xludf.DUMMYFUNCTION("""COMPUTED_VALUE"""),457018535243)</f>
        <v>457018535243</v>
      </c>
      <c r="I982" s="45">
        <f ca="1">IFERROR(__xludf.DUMMYFUNCTION("""COMPUTED_VALUE"""),19805639)</f>
        <v>19805639</v>
      </c>
      <c r="J982" s="45" t="str">
        <f ca="1">IFERROR(__xludf.DUMMYFUNCTION("""COMPUTED_VALUE"""),"LM9AYLS")</f>
        <v>LM9AYLS</v>
      </c>
      <c r="K982" s="45" t="str">
        <f ca="1">IFERROR(__xludf.DUMMYFUNCTION("""COMPUTED_VALUE"""),"LM9AYLS-035487")</f>
        <v>LM9AYLS-035487</v>
      </c>
      <c r="L982" s="45">
        <f ca="1">IFERROR(__xludf.DUMMYFUNCTION("""COMPUTED_VALUE"""),1)</f>
        <v>1</v>
      </c>
      <c r="M982" s="45">
        <f ca="1">IFERROR(__xludf.DUMMYFUNCTION("""COMPUTED_VALUE"""),43)</f>
        <v>43</v>
      </c>
      <c r="N982" s="45">
        <f ca="1">IFERROR(__xludf.DUMMYFUNCTION("""COMPUTED_VALUE"""),4.55)</f>
        <v>4.55</v>
      </c>
      <c r="O982" s="45">
        <f ca="1">IFERROR(__xludf.DUMMYFUNCTION("""COMPUTED_VALUE"""),0.04)</f>
        <v>0.04</v>
      </c>
      <c r="P982" s="45" t="str">
        <f ca="1">IFERROR(__xludf.DUMMYFUNCTION("""COMPUTED_VALUE"""),"Colombo, LK")</f>
        <v>Colombo, LK</v>
      </c>
      <c r="Q982" s="45" t="str">
        <f ca="1">IFERROR(__xludf.DUMMYFUNCTION("""COMPUTED_VALUE"""),"Felixstowe, GB")</f>
        <v>Felixstowe, GB</v>
      </c>
      <c r="R982" s="44">
        <f ca="1">IFERROR(__xludf.DUMMYFUNCTION("""COMPUTED_VALUE"""),45831)</f>
        <v>45831</v>
      </c>
      <c r="S982" s="44">
        <f ca="1">IFERROR(__xludf.DUMMYFUNCTION("""COMPUTED_VALUE"""),45890)</f>
        <v>45890</v>
      </c>
      <c r="T982" s="45" t="str">
        <f ca="1">IFERROR(__xludf.DUMMYFUNCTION("""COMPUTED_VALUE"""),"Birmingham, GB")</f>
        <v>Birmingham, GB</v>
      </c>
      <c r="U982" s="45"/>
      <c r="V982" s="45"/>
      <c r="W982" s="45"/>
      <c r="X982" s="45"/>
      <c r="Y982" s="46">
        <f ca="1">IFERROR(__xludf.DUMMYFUNCTION("""COMPUTED_VALUE"""),45838)</f>
        <v>45838</v>
      </c>
      <c r="Z982" s="46">
        <f ca="1">IFERROR(__xludf.DUMMYFUNCTION("""COMPUTED_VALUE"""),45859)</f>
        <v>45859</v>
      </c>
      <c r="AA982" s="46">
        <f ca="1">IFERROR(__xludf.DUMMYFUNCTION("""COMPUTED_VALUE"""),45859)</f>
        <v>45859</v>
      </c>
      <c r="AB982" s="45" t="str">
        <f ca="1">IFERROR(__xludf.DUMMYFUNCTION("""COMPUTED_VALUE"""),"10A Faraday Ave")</f>
        <v>10A Faraday Ave</v>
      </c>
      <c r="AC982" s="45"/>
      <c r="AD982" s="45" t="str">
        <f ca="1">IFERROR(__xludf.DUMMYFUNCTION("""COMPUTED_VALUE"""),"OCEAN")</f>
        <v>OCEAN</v>
      </c>
      <c r="AE982" s="45" t="str">
        <f ca="1">IFERROR(__xludf.DUMMYFUNCTION("""COMPUTED_VALUE"""),"N")</f>
        <v>N</v>
      </c>
      <c r="AF982" s="45"/>
      <c r="AG982" s="49" t="str">
        <f ca="1">IFERROR(__xludf.DUMMYFUNCTION("IFNA(vlookup(H982,IMPORTRANGE(""1vUGwO1n0QQGx9kKbO0_M5gmuhXZ6-LaxQxgrmJnzgP0"",""'TP# look up'!A:C""),3,0),"""")"),"")</f>
        <v/>
      </c>
      <c r="AH982" s="49" t="str">
        <f t="shared" ca="1" si="15"/>
        <v>LM</v>
      </c>
    </row>
    <row r="983" spans="1:34" ht="12.75">
      <c r="A983" s="45" t="str">
        <f ca="1">IFERROR(__xludf.DUMMYFUNCTION("""COMPUTED_VALUE"""),"Colombo")</f>
        <v>Colombo</v>
      </c>
      <c r="B983" s="45"/>
      <c r="C983" s="45">
        <f ca="1">IFERROR(__xludf.DUMMYFUNCTION("""COMPUTED_VALUE"""),3259827)</f>
        <v>3259827</v>
      </c>
      <c r="D983" s="45"/>
      <c r="E983" s="45" t="str">
        <f ca="1">IFERROR(__xludf.DUMMYFUNCTION("""COMPUTED_VALUE"""),"CFS")</f>
        <v>CFS</v>
      </c>
      <c r="F983" s="45" t="str">
        <f ca="1">IFERROR(__xludf.DUMMYFUNCTION("""COMPUTED_VALUE"""),"MAS AMITY PTE LTD")</f>
        <v>MAS AMITY PTE LTD</v>
      </c>
      <c r="G983" s="45" t="str">
        <f ca="1">IFERROR(__xludf.DUMMYFUNCTION("""COMPUTED_VALUE"""),"MAS Active (Pvt) Ltd – Sleekline")</f>
        <v>MAS Active (Pvt) Ltd – Sleekline</v>
      </c>
      <c r="H983" s="43">
        <f ca="1">IFERROR(__xludf.DUMMYFUNCTION("""COMPUTED_VALUE"""),457022287962)</f>
        <v>457022287962</v>
      </c>
      <c r="I983" s="45">
        <f ca="1">IFERROR(__xludf.DUMMYFUNCTION("""COMPUTED_VALUE"""),19810102)</f>
        <v>19810102</v>
      </c>
      <c r="J983" s="45" t="str">
        <f ca="1">IFERROR(__xludf.DUMMYFUNCTION("""COMPUTED_VALUE"""),"LM9B19S")</f>
        <v>LM9B19S</v>
      </c>
      <c r="K983" s="45" t="str">
        <f ca="1">IFERROR(__xludf.DUMMYFUNCTION("""COMPUTED_VALUE"""),"LM9B19S-4310")</f>
        <v>LM9B19S-4310</v>
      </c>
      <c r="L983" s="45">
        <f ca="1">IFERROR(__xludf.DUMMYFUNCTION("""COMPUTED_VALUE"""),4)</f>
        <v>4</v>
      </c>
      <c r="M983" s="45">
        <f ca="1">IFERROR(__xludf.DUMMYFUNCTION("""COMPUTED_VALUE"""),178)</f>
        <v>178</v>
      </c>
      <c r="N983" s="45">
        <f ca="1">IFERROR(__xludf.DUMMYFUNCTION("""COMPUTED_VALUE"""),50.08)</f>
        <v>50.08</v>
      </c>
      <c r="O983" s="45">
        <f ca="1">IFERROR(__xludf.DUMMYFUNCTION("""COMPUTED_VALUE"""),0.317)</f>
        <v>0.317</v>
      </c>
      <c r="P983" s="45" t="str">
        <f ca="1">IFERROR(__xludf.DUMMYFUNCTION("""COMPUTED_VALUE"""),"Colombo, LK")</f>
        <v>Colombo, LK</v>
      </c>
      <c r="Q983" s="45" t="str">
        <f ca="1">IFERROR(__xludf.DUMMYFUNCTION("""COMPUTED_VALUE"""),"Felixstowe, GB")</f>
        <v>Felixstowe, GB</v>
      </c>
      <c r="R983" s="44">
        <f ca="1">IFERROR(__xludf.DUMMYFUNCTION("""COMPUTED_VALUE"""),45831)</f>
        <v>45831</v>
      </c>
      <c r="S983" s="44">
        <f ca="1">IFERROR(__xludf.DUMMYFUNCTION("""COMPUTED_VALUE"""),45890)</f>
        <v>45890</v>
      </c>
      <c r="T983" s="45" t="str">
        <f ca="1">IFERROR(__xludf.DUMMYFUNCTION("""COMPUTED_VALUE"""),"Birmingham, GB")</f>
        <v>Birmingham, GB</v>
      </c>
      <c r="U983" s="45"/>
      <c r="V983" s="45"/>
      <c r="W983" s="45"/>
      <c r="X983" s="45"/>
      <c r="Y983" s="46">
        <f ca="1">IFERROR(__xludf.DUMMYFUNCTION("""COMPUTED_VALUE"""),45838)</f>
        <v>45838</v>
      </c>
      <c r="Z983" s="46">
        <f ca="1">IFERROR(__xludf.DUMMYFUNCTION("""COMPUTED_VALUE"""),45859)</f>
        <v>45859</v>
      </c>
      <c r="AA983" s="46">
        <f ca="1">IFERROR(__xludf.DUMMYFUNCTION("""COMPUTED_VALUE"""),45859)</f>
        <v>45859</v>
      </c>
      <c r="AB983" s="45" t="str">
        <f ca="1">IFERROR(__xludf.DUMMYFUNCTION("""COMPUTED_VALUE"""),"10A Faraday Ave")</f>
        <v>10A Faraday Ave</v>
      </c>
      <c r="AC983" s="45"/>
      <c r="AD983" s="45" t="str">
        <f ca="1">IFERROR(__xludf.DUMMYFUNCTION("""COMPUTED_VALUE"""),"OCEAN")</f>
        <v>OCEAN</v>
      </c>
      <c r="AE983" s="45" t="str">
        <f ca="1">IFERROR(__xludf.DUMMYFUNCTION("""COMPUTED_VALUE"""),"N")</f>
        <v>N</v>
      </c>
      <c r="AF983" s="45"/>
      <c r="AG983" s="49" t="str">
        <f ca="1">IFERROR(__xludf.DUMMYFUNCTION("IFNA(vlookup(H983,IMPORTRANGE(""1vUGwO1n0QQGx9kKbO0_M5gmuhXZ6-LaxQxgrmJnzgP0"",""'TP# look up'!A:C""),3,0),"""")"),"")</f>
        <v/>
      </c>
      <c r="AH983" s="49" t="str">
        <f t="shared" ca="1" si="15"/>
        <v>LM</v>
      </c>
    </row>
    <row r="984" spans="1:34" ht="12.75">
      <c r="A984" s="45" t="str">
        <f ca="1">IFERROR(__xludf.DUMMYFUNCTION("""COMPUTED_VALUE"""),"Colombo")</f>
        <v>Colombo</v>
      </c>
      <c r="B984" s="45"/>
      <c r="C984" s="45">
        <f ca="1">IFERROR(__xludf.DUMMYFUNCTION("""COMPUTED_VALUE"""),3259827)</f>
        <v>3259827</v>
      </c>
      <c r="D984" s="45"/>
      <c r="E984" s="45" t="str">
        <f ca="1">IFERROR(__xludf.DUMMYFUNCTION("""COMPUTED_VALUE"""),"CFS")</f>
        <v>CFS</v>
      </c>
      <c r="F984" s="45" t="str">
        <f ca="1">IFERROR(__xludf.DUMMYFUNCTION("""COMPUTED_VALUE"""),"MAS AMITY PTE LTD")</f>
        <v>MAS AMITY PTE LTD</v>
      </c>
      <c r="G984" s="45" t="str">
        <f ca="1">IFERROR(__xludf.DUMMYFUNCTION("""COMPUTED_VALUE"""),"MAS Active(Pvt) Ltd – CONTOURLINE")</f>
        <v>MAS Active(Pvt) Ltd – CONTOURLINE</v>
      </c>
      <c r="H984" s="43">
        <f ca="1">IFERROR(__xludf.DUMMYFUNCTION("""COMPUTED_VALUE"""),457019157990)</f>
        <v>457019157990</v>
      </c>
      <c r="I984" s="45">
        <f ca="1">IFERROR(__xludf.DUMMYFUNCTION("""COMPUTED_VALUE"""),19921014)</f>
        <v>19921014</v>
      </c>
      <c r="J984" s="45" t="str">
        <f ca="1">IFERROR(__xludf.DUMMYFUNCTION("""COMPUTED_VALUE"""),"LW7DPES")</f>
        <v>LW7DPES</v>
      </c>
      <c r="K984" s="45" t="str">
        <f ca="1">IFERROR(__xludf.DUMMYFUNCTION("""COMPUTED_VALUE"""),"LW7DPES-031382")</f>
        <v>LW7DPES-031382</v>
      </c>
      <c r="L984" s="45">
        <f ca="1">IFERROR(__xludf.DUMMYFUNCTION("""COMPUTED_VALUE"""),6)</f>
        <v>6</v>
      </c>
      <c r="M984" s="45">
        <f ca="1">IFERROR(__xludf.DUMMYFUNCTION("""COMPUTED_VALUE"""),293)</f>
        <v>293</v>
      </c>
      <c r="N984" s="45">
        <f ca="1">IFERROR(__xludf.DUMMYFUNCTION("""COMPUTED_VALUE"""),48.877)</f>
        <v>48.877000000000002</v>
      </c>
      <c r="O984" s="45">
        <f ca="1">IFERROR(__xludf.DUMMYFUNCTION("""COMPUTED_VALUE"""),0.395)</f>
        <v>0.39500000000000002</v>
      </c>
      <c r="P984" s="45" t="str">
        <f ca="1">IFERROR(__xludf.DUMMYFUNCTION("""COMPUTED_VALUE"""),"Colombo, LK")</f>
        <v>Colombo, LK</v>
      </c>
      <c r="Q984" s="45" t="str">
        <f ca="1">IFERROR(__xludf.DUMMYFUNCTION("""COMPUTED_VALUE"""),"Felixstowe, GB")</f>
        <v>Felixstowe, GB</v>
      </c>
      <c r="R984" s="44">
        <f ca="1">IFERROR(__xludf.DUMMYFUNCTION("""COMPUTED_VALUE"""),45831)</f>
        <v>45831</v>
      </c>
      <c r="S984" s="44">
        <f ca="1">IFERROR(__xludf.DUMMYFUNCTION("""COMPUTED_VALUE"""),45890)</f>
        <v>45890</v>
      </c>
      <c r="T984" s="45" t="str">
        <f ca="1">IFERROR(__xludf.DUMMYFUNCTION("""COMPUTED_VALUE"""),"Birmingham, GB")</f>
        <v>Birmingham, GB</v>
      </c>
      <c r="U984" s="45"/>
      <c r="V984" s="45"/>
      <c r="W984" s="45"/>
      <c r="X984" s="45"/>
      <c r="Y984" s="46">
        <f ca="1">IFERROR(__xludf.DUMMYFUNCTION("""COMPUTED_VALUE"""),45838)</f>
        <v>45838</v>
      </c>
      <c r="Z984" s="46">
        <f ca="1">IFERROR(__xludf.DUMMYFUNCTION("""COMPUTED_VALUE"""),45859)</f>
        <v>45859</v>
      </c>
      <c r="AA984" s="46">
        <f ca="1">IFERROR(__xludf.DUMMYFUNCTION("""COMPUTED_VALUE"""),45859)</f>
        <v>45859</v>
      </c>
      <c r="AB984" s="45" t="str">
        <f ca="1">IFERROR(__xludf.DUMMYFUNCTION("""COMPUTED_VALUE"""),"10A Faraday Ave")</f>
        <v>10A Faraday Ave</v>
      </c>
      <c r="AC984" s="45"/>
      <c r="AD984" s="45" t="str">
        <f ca="1">IFERROR(__xludf.DUMMYFUNCTION("""COMPUTED_VALUE"""),"OCEAN")</f>
        <v>OCEAN</v>
      </c>
      <c r="AE984" s="45" t="str">
        <f ca="1">IFERROR(__xludf.DUMMYFUNCTION("""COMPUTED_VALUE"""),"N")</f>
        <v>N</v>
      </c>
      <c r="AF984" s="45"/>
      <c r="AG984" s="49" t="str">
        <f ca="1">IFERROR(__xludf.DUMMYFUNCTION("IFNA(vlookup(H984,IMPORTRANGE(""1vUGwO1n0QQGx9kKbO0_M5gmuhXZ6-LaxQxgrmJnzgP0"",""'TP# look up'!A:C""),3,0),"""")"),"")</f>
        <v/>
      </c>
      <c r="AH984" s="49" t="str">
        <f t="shared" ca="1" si="15"/>
        <v>LW</v>
      </c>
    </row>
    <row r="985" spans="1:34" ht="12.75">
      <c r="A985" s="45" t="str">
        <f ca="1">IFERROR(__xludf.DUMMYFUNCTION("""COMPUTED_VALUE"""),"Colombo")</f>
        <v>Colombo</v>
      </c>
      <c r="B985" s="45"/>
      <c r="C985" s="45">
        <f ca="1">IFERROR(__xludf.DUMMYFUNCTION("""COMPUTED_VALUE"""),3259827)</f>
        <v>3259827</v>
      </c>
      <c r="D985" s="45"/>
      <c r="E985" s="45" t="str">
        <f ca="1">IFERROR(__xludf.DUMMYFUNCTION("""COMPUTED_VALUE"""),"CFS")</f>
        <v>CFS</v>
      </c>
      <c r="F985" s="45" t="str">
        <f ca="1">IFERROR(__xludf.DUMMYFUNCTION("""COMPUTED_VALUE"""),"MAS AMITY PTE LTD")</f>
        <v>MAS AMITY PTE LTD</v>
      </c>
      <c r="G985" s="45" t="str">
        <f ca="1">IFERROR(__xludf.DUMMYFUNCTION("""COMPUTED_VALUE"""),"MAS Active(Pvt) Ltd – CONTOURLINE")</f>
        <v>MAS Active(Pvt) Ltd – CONTOURLINE</v>
      </c>
      <c r="H985" s="43">
        <f ca="1">IFERROR(__xludf.DUMMYFUNCTION("""COMPUTED_VALUE"""),457022289509)</f>
        <v>457022289509</v>
      </c>
      <c r="I985" s="45">
        <f ca="1">IFERROR(__xludf.DUMMYFUNCTION("""COMPUTED_VALUE"""),19921007)</f>
        <v>19921007</v>
      </c>
      <c r="J985" s="45" t="str">
        <f ca="1">IFERROR(__xludf.DUMMYFUNCTION("""COMPUTED_VALUE"""),"LW7CPPS")</f>
        <v>LW7CPPS</v>
      </c>
      <c r="K985" s="45" t="str">
        <f ca="1">IFERROR(__xludf.DUMMYFUNCTION("""COMPUTED_VALUE"""),"LW7CPPS-062214")</f>
        <v>LW7CPPS-062214</v>
      </c>
      <c r="L985" s="45">
        <f ca="1">IFERROR(__xludf.DUMMYFUNCTION("""COMPUTED_VALUE"""),4)</f>
        <v>4</v>
      </c>
      <c r="M985" s="45">
        <f ca="1">IFERROR(__xludf.DUMMYFUNCTION("""COMPUTED_VALUE"""),250)</f>
        <v>250</v>
      </c>
      <c r="N985" s="45">
        <f ca="1">IFERROR(__xludf.DUMMYFUNCTION("""COMPUTED_VALUE"""),38.451)</f>
        <v>38.451000000000001</v>
      </c>
      <c r="O985" s="45">
        <f ca="1">IFERROR(__xludf.DUMMYFUNCTION("""COMPUTED_VALUE"""),0.276)</f>
        <v>0.27600000000000002</v>
      </c>
      <c r="P985" s="45" t="str">
        <f ca="1">IFERROR(__xludf.DUMMYFUNCTION("""COMPUTED_VALUE"""),"Colombo, LK")</f>
        <v>Colombo, LK</v>
      </c>
      <c r="Q985" s="45" t="str">
        <f ca="1">IFERROR(__xludf.DUMMYFUNCTION("""COMPUTED_VALUE"""),"Felixstowe, GB")</f>
        <v>Felixstowe, GB</v>
      </c>
      <c r="R985" s="44">
        <f ca="1">IFERROR(__xludf.DUMMYFUNCTION("""COMPUTED_VALUE"""),45831)</f>
        <v>45831</v>
      </c>
      <c r="S985" s="44">
        <f ca="1">IFERROR(__xludf.DUMMYFUNCTION("""COMPUTED_VALUE"""),45890)</f>
        <v>45890</v>
      </c>
      <c r="T985" s="45" t="str">
        <f ca="1">IFERROR(__xludf.DUMMYFUNCTION("""COMPUTED_VALUE"""),"Birmingham, GB")</f>
        <v>Birmingham, GB</v>
      </c>
      <c r="U985" s="45"/>
      <c r="V985" s="45"/>
      <c r="W985" s="45"/>
      <c r="X985" s="45"/>
      <c r="Y985" s="46">
        <f ca="1">IFERROR(__xludf.DUMMYFUNCTION("""COMPUTED_VALUE"""),45838)</f>
        <v>45838</v>
      </c>
      <c r="Z985" s="46">
        <f ca="1">IFERROR(__xludf.DUMMYFUNCTION("""COMPUTED_VALUE"""),45859)</f>
        <v>45859</v>
      </c>
      <c r="AA985" s="46">
        <f ca="1">IFERROR(__xludf.DUMMYFUNCTION("""COMPUTED_VALUE"""),45859)</f>
        <v>45859</v>
      </c>
      <c r="AB985" s="45" t="str">
        <f ca="1">IFERROR(__xludf.DUMMYFUNCTION("""COMPUTED_VALUE"""),"10A Faraday Ave")</f>
        <v>10A Faraday Ave</v>
      </c>
      <c r="AC985" s="45"/>
      <c r="AD985" s="45" t="str">
        <f ca="1">IFERROR(__xludf.DUMMYFUNCTION("""COMPUTED_VALUE"""),"OCEAN")</f>
        <v>OCEAN</v>
      </c>
      <c r="AE985" s="45" t="str">
        <f ca="1">IFERROR(__xludf.DUMMYFUNCTION("""COMPUTED_VALUE"""),"N")</f>
        <v>N</v>
      </c>
      <c r="AF985" s="45"/>
      <c r="AG985" s="49" t="str">
        <f ca="1">IFERROR(__xludf.DUMMYFUNCTION("IFNA(vlookup(H985,IMPORTRANGE(""1vUGwO1n0QQGx9kKbO0_M5gmuhXZ6-LaxQxgrmJnzgP0"",""'TP# look up'!A:C""),3,0),"""")"),"")</f>
        <v/>
      </c>
      <c r="AH985" s="49" t="str">
        <f t="shared" ca="1" si="15"/>
        <v>LW</v>
      </c>
    </row>
    <row r="986" spans="1:34" ht="12.75">
      <c r="A986" s="45" t="str">
        <f ca="1">IFERROR(__xludf.DUMMYFUNCTION("""COMPUTED_VALUE"""),"Colombo")</f>
        <v>Colombo</v>
      </c>
      <c r="B986" s="45"/>
      <c r="C986" s="45">
        <f ca="1">IFERROR(__xludf.DUMMYFUNCTION("""COMPUTED_VALUE"""),3259827)</f>
        <v>3259827</v>
      </c>
      <c r="D986" s="45"/>
      <c r="E986" s="45" t="str">
        <f ca="1">IFERROR(__xludf.DUMMYFUNCTION("""COMPUTED_VALUE"""),"CFS")</f>
        <v>CFS</v>
      </c>
      <c r="F986" s="45" t="str">
        <f ca="1">IFERROR(__xludf.DUMMYFUNCTION("""COMPUTED_VALUE"""),"MAS AMITY PTE LTD")</f>
        <v>MAS AMITY PTE LTD</v>
      </c>
      <c r="G986" s="45" t="str">
        <f ca="1">IFERROR(__xludf.DUMMYFUNCTION("""COMPUTED_VALUE"""),"MAS Active(Pvt) Ltd – CONTOURLINE")</f>
        <v>MAS Active(Pvt) Ltd – CONTOURLINE</v>
      </c>
      <c r="H986" s="43">
        <f ca="1">IFERROR(__xludf.DUMMYFUNCTION("""COMPUTED_VALUE"""),457024006287)</f>
        <v>457024006287</v>
      </c>
      <c r="I986" s="45">
        <f ca="1">IFERROR(__xludf.DUMMYFUNCTION("""COMPUTED_VALUE"""),19921012)</f>
        <v>19921012</v>
      </c>
      <c r="J986" s="45" t="str">
        <f ca="1">IFERROR(__xludf.DUMMYFUNCTION("""COMPUTED_VALUE"""),"LW7DPES")</f>
        <v>LW7DPES</v>
      </c>
      <c r="K986" s="45" t="str">
        <f ca="1">IFERROR(__xludf.DUMMYFUNCTION("""COMPUTED_VALUE"""),"LW7DPES-071168")</f>
        <v>LW7DPES-071168</v>
      </c>
      <c r="L986" s="45">
        <f ca="1">IFERROR(__xludf.DUMMYFUNCTION("""COMPUTED_VALUE"""),6)</f>
        <v>6</v>
      </c>
      <c r="M986" s="45">
        <f ca="1">IFERROR(__xludf.DUMMYFUNCTION("""COMPUTED_VALUE"""),290)</f>
        <v>290</v>
      </c>
      <c r="N986" s="45">
        <f ca="1">IFERROR(__xludf.DUMMYFUNCTION("""COMPUTED_VALUE"""),48.419)</f>
        <v>48.418999999999997</v>
      </c>
      <c r="O986" s="45">
        <f ca="1">IFERROR(__xludf.DUMMYFUNCTION("""COMPUTED_VALUE"""),0.395)</f>
        <v>0.39500000000000002</v>
      </c>
      <c r="P986" s="45" t="str">
        <f ca="1">IFERROR(__xludf.DUMMYFUNCTION("""COMPUTED_VALUE"""),"Colombo, LK")</f>
        <v>Colombo, LK</v>
      </c>
      <c r="Q986" s="45" t="str">
        <f ca="1">IFERROR(__xludf.DUMMYFUNCTION("""COMPUTED_VALUE"""),"Felixstowe, GB")</f>
        <v>Felixstowe, GB</v>
      </c>
      <c r="R986" s="44">
        <f ca="1">IFERROR(__xludf.DUMMYFUNCTION("""COMPUTED_VALUE"""),45831)</f>
        <v>45831</v>
      </c>
      <c r="S986" s="44">
        <f ca="1">IFERROR(__xludf.DUMMYFUNCTION("""COMPUTED_VALUE"""),45890)</f>
        <v>45890</v>
      </c>
      <c r="T986" s="45" t="str">
        <f ca="1">IFERROR(__xludf.DUMMYFUNCTION("""COMPUTED_VALUE"""),"Birmingham, GB")</f>
        <v>Birmingham, GB</v>
      </c>
      <c r="U986" s="45"/>
      <c r="V986" s="45"/>
      <c r="W986" s="45"/>
      <c r="X986" s="45"/>
      <c r="Y986" s="46">
        <f ca="1">IFERROR(__xludf.DUMMYFUNCTION("""COMPUTED_VALUE"""),45838)</f>
        <v>45838</v>
      </c>
      <c r="Z986" s="46">
        <f ca="1">IFERROR(__xludf.DUMMYFUNCTION("""COMPUTED_VALUE"""),45859)</f>
        <v>45859</v>
      </c>
      <c r="AA986" s="46">
        <f ca="1">IFERROR(__xludf.DUMMYFUNCTION("""COMPUTED_VALUE"""),45859)</f>
        <v>45859</v>
      </c>
      <c r="AB986" s="45" t="str">
        <f ca="1">IFERROR(__xludf.DUMMYFUNCTION("""COMPUTED_VALUE"""),"10A Faraday Ave")</f>
        <v>10A Faraday Ave</v>
      </c>
      <c r="AC986" s="45"/>
      <c r="AD986" s="45" t="str">
        <f ca="1">IFERROR(__xludf.DUMMYFUNCTION("""COMPUTED_VALUE"""),"OCEAN")</f>
        <v>OCEAN</v>
      </c>
      <c r="AE986" s="45" t="str">
        <f ca="1">IFERROR(__xludf.DUMMYFUNCTION("""COMPUTED_VALUE"""),"N")</f>
        <v>N</v>
      </c>
      <c r="AF986" s="45"/>
      <c r="AG986" s="49" t="str">
        <f ca="1">IFERROR(__xludf.DUMMYFUNCTION("IFNA(vlookup(H986,IMPORTRANGE(""1vUGwO1n0QQGx9kKbO0_M5gmuhXZ6-LaxQxgrmJnzgP0"",""'TP# look up'!A:C""),3,0),"""")"),"")</f>
        <v/>
      </c>
      <c r="AH986" s="49" t="str">
        <f t="shared" ca="1" si="15"/>
        <v>LW</v>
      </c>
    </row>
    <row r="987" spans="1:34" ht="12.75">
      <c r="A987" s="45" t="str">
        <f ca="1">IFERROR(__xludf.DUMMYFUNCTION("""COMPUTED_VALUE"""),"Colombo")</f>
        <v>Colombo</v>
      </c>
      <c r="B987" s="45"/>
      <c r="C987" s="45">
        <f ca="1">IFERROR(__xludf.DUMMYFUNCTION("""COMPUTED_VALUE"""),3259827)</f>
        <v>3259827</v>
      </c>
      <c r="D987" s="45"/>
      <c r="E987" s="45" t="str">
        <f ca="1">IFERROR(__xludf.DUMMYFUNCTION("""COMPUTED_VALUE"""),"CFS")</f>
        <v>CFS</v>
      </c>
      <c r="F987" s="45" t="str">
        <f ca="1">IFERROR(__xludf.DUMMYFUNCTION("""COMPUTED_VALUE"""),"MAS AMITY PTE LTD")</f>
        <v>MAS AMITY PTE LTD</v>
      </c>
      <c r="G987" s="45" t="str">
        <f ca="1">IFERROR(__xludf.DUMMYFUNCTION("""COMPUTED_VALUE"""),"MAS Active(Pvt) Ltd – CONTOURLINE")</f>
        <v>MAS Active(Pvt) Ltd – CONTOURLINE</v>
      </c>
      <c r="H987" s="43">
        <f ca="1">IFERROR(__xludf.DUMMYFUNCTION("""COMPUTED_VALUE"""),457024006582)</f>
        <v>457024006582</v>
      </c>
      <c r="I987" s="45">
        <f ca="1">IFERROR(__xludf.DUMMYFUNCTION("""COMPUTED_VALUE"""),19926209)</f>
        <v>19926209</v>
      </c>
      <c r="J987" s="45" t="str">
        <f ca="1">IFERROR(__xludf.DUMMYFUNCTION("""COMPUTED_VALUE"""),"LW7CPPS")</f>
        <v>LW7CPPS</v>
      </c>
      <c r="K987" s="45" t="str">
        <f ca="1">IFERROR(__xludf.DUMMYFUNCTION("""COMPUTED_VALUE"""),"LW7CPPS-049106")</f>
        <v>LW7CPPS-049106</v>
      </c>
      <c r="L987" s="45">
        <f ca="1">IFERROR(__xludf.DUMMYFUNCTION("""COMPUTED_VALUE"""),4)</f>
        <v>4</v>
      </c>
      <c r="M987" s="45">
        <f ca="1">IFERROR(__xludf.DUMMYFUNCTION("""COMPUTED_VALUE"""),194)</f>
        <v>194</v>
      </c>
      <c r="N987" s="45">
        <f ca="1">IFERROR(__xludf.DUMMYFUNCTION("""COMPUTED_VALUE"""),31.343)</f>
        <v>31.343</v>
      </c>
      <c r="O987" s="45">
        <f ca="1">IFERROR(__xludf.DUMMYFUNCTION("""COMPUTED_VALUE"""),0.237)</f>
        <v>0.23699999999999999</v>
      </c>
      <c r="P987" s="45" t="str">
        <f ca="1">IFERROR(__xludf.DUMMYFUNCTION("""COMPUTED_VALUE"""),"Colombo, LK")</f>
        <v>Colombo, LK</v>
      </c>
      <c r="Q987" s="45" t="str">
        <f ca="1">IFERROR(__xludf.DUMMYFUNCTION("""COMPUTED_VALUE"""),"Felixstowe, GB")</f>
        <v>Felixstowe, GB</v>
      </c>
      <c r="R987" s="44">
        <f ca="1">IFERROR(__xludf.DUMMYFUNCTION("""COMPUTED_VALUE"""),45831)</f>
        <v>45831</v>
      </c>
      <c r="S987" s="44">
        <f ca="1">IFERROR(__xludf.DUMMYFUNCTION("""COMPUTED_VALUE"""),45890)</f>
        <v>45890</v>
      </c>
      <c r="T987" s="45" t="str">
        <f ca="1">IFERROR(__xludf.DUMMYFUNCTION("""COMPUTED_VALUE"""),"Birmingham, GB")</f>
        <v>Birmingham, GB</v>
      </c>
      <c r="U987" s="45"/>
      <c r="V987" s="45"/>
      <c r="W987" s="45"/>
      <c r="X987" s="45"/>
      <c r="Y987" s="46">
        <f ca="1">IFERROR(__xludf.DUMMYFUNCTION("""COMPUTED_VALUE"""),45838)</f>
        <v>45838</v>
      </c>
      <c r="Z987" s="46">
        <f ca="1">IFERROR(__xludf.DUMMYFUNCTION("""COMPUTED_VALUE"""),45859)</f>
        <v>45859</v>
      </c>
      <c r="AA987" s="46">
        <f ca="1">IFERROR(__xludf.DUMMYFUNCTION("""COMPUTED_VALUE"""),45859)</f>
        <v>45859</v>
      </c>
      <c r="AB987" s="45" t="str">
        <f ca="1">IFERROR(__xludf.DUMMYFUNCTION("""COMPUTED_VALUE"""),"10A Faraday Ave")</f>
        <v>10A Faraday Ave</v>
      </c>
      <c r="AC987" s="45"/>
      <c r="AD987" s="45" t="str">
        <f ca="1">IFERROR(__xludf.DUMMYFUNCTION("""COMPUTED_VALUE"""),"OCEAN")</f>
        <v>OCEAN</v>
      </c>
      <c r="AE987" s="45" t="str">
        <f ca="1">IFERROR(__xludf.DUMMYFUNCTION("""COMPUTED_VALUE"""),"N")</f>
        <v>N</v>
      </c>
      <c r="AF987" s="45"/>
      <c r="AG987" s="49" t="str">
        <f ca="1">IFERROR(__xludf.DUMMYFUNCTION("IFNA(vlookup(H987,IMPORTRANGE(""1vUGwO1n0QQGx9kKbO0_M5gmuhXZ6-LaxQxgrmJnzgP0"",""'TP# look up'!A:C""),3,0),"""")"),"")</f>
        <v/>
      </c>
      <c r="AH987" s="49" t="str">
        <f t="shared" ca="1" si="15"/>
        <v>LW</v>
      </c>
    </row>
    <row r="988" spans="1:34" ht="12.75">
      <c r="A988" s="45" t="str">
        <f ca="1">IFERROR(__xludf.DUMMYFUNCTION("""COMPUTED_VALUE"""),"Colombo")</f>
        <v>Colombo</v>
      </c>
      <c r="B988" s="45"/>
      <c r="C988" s="45">
        <f ca="1">IFERROR(__xludf.DUMMYFUNCTION("""COMPUTED_VALUE"""),3259827)</f>
        <v>3259827</v>
      </c>
      <c r="D988" s="45"/>
      <c r="E988" s="45" t="str">
        <f ca="1">IFERROR(__xludf.DUMMYFUNCTION("""COMPUTED_VALUE"""),"CFS")</f>
        <v>CFS</v>
      </c>
      <c r="F988" s="45" t="str">
        <f ca="1">IFERROR(__xludf.DUMMYFUNCTION("""COMPUTED_VALUE"""),"MAS AMITY PTE LTD")</f>
        <v>MAS AMITY PTE LTD</v>
      </c>
      <c r="G988" s="45" t="str">
        <f ca="1">IFERROR(__xludf.DUMMYFUNCTION("""COMPUTED_VALUE"""),"MAS Active(Pvt) Ltd – CONTOURLINE")</f>
        <v>MAS Active(Pvt) Ltd – CONTOURLINE</v>
      </c>
      <c r="H988" s="43">
        <f ca="1">IFERROR(__xludf.DUMMYFUNCTION("""COMPUTED_VALUE"""),457030706858)</f>
        <v>457030706858</v>
      </c>
      <c r="I988" s="45">
        <f ca="1">IFERROR(__xludf.DUMMYFUNCTION("""COMPUTED_VALUE"""),19820906)</f>
        <v>19820906</v>
      </c>
      <c r="J988" s="45" t="str">
        <f ca="1">IFERROR(__xludf.DUMMYFUNCTION("""COMPUTED_VALUE"""),"LW1DRKS")</f>
        <v>LW1DRKS</v>
      </c>
      <c r="K988" s="45" t="str">
        <f ca="1">IFERROR(__xludf.DUMMYFUNCTION("""COMPUTED_VALUE"""),"LW1DRKS-070108")</f>
        <v>LW1DRKS-070108</v>
      </c>
      <c r="L988" s="45">
        <f ca="1">IFERROR(__xludf.DUMMYFUNCTION("""COMPUTED_VALUE"""),4)</f>
        <v>4</v>
      </c>
      <c r="M988" s="45">
        <f ca="1">IFERROR(__xludf.DUMMYFUNCTION("""COMPUTED_VALUE"""),254)</f>
        <v>254</v>
      </c>
      <c r="N988" s="45">
        <f ca="1">IFERROR(__xludf.DUMMYFUNCTION("""COMPUTED_VALUE"""),32.162)</f>
        <v>32.161999999999999</v>
      </c>
      <c r="O988" s="45">
        <f ca="1">IFERROR(__xludf.DUMMYFUNCTION("""COMPUTED_VALUE"""),0.237)</f>
        <v>0.23699999999999999</v>
      </c>
      <c r="P988" s="45" t="str">
        <f ca="1">IFERROR(__xludf.DUMMYFUNCTION("""COMPUTED_VALUE"""),"Colombo, LK")</f>
        <v>Colombo, LK</v>
      </c>
      <c r="Q988" s="45" t="str">
        <f ca="1">IFERROR(__xludf.DUMMYFUNCTION("""COMPUTED_VALUE"""),"Felixstowe, GB")</f>
        <v>Felixstowe, GB</v>
      </c>
      <c r="R988" s="44">
        <f ca="1">IFERROR(__xludf.DUMMYFUNCTION("""COMPUTED_VALUE"""),45831)</f>
        <v>45831</v>
      </c>
      <c r="S988" s="44">
        <f ca="1">IFERROR(__xludf.DUMMYFUNCTION("""COMPUTED_VALUE"""),45890)</f>
        <v>45890</v>
      </c>
      <c r="T988" s="45" t="str">
        <f ca="1">IFERROR(__xludf.DUMMYFUNCTION("""COMPUTED_VALUE"""),"Birmingham, GB")</f>
        <v>Birmingham, GB</v>
      </c>
      <c r="U988" s="45"/>
      <c r="V988" s="45"/>
      <c r="W988" s="45"/>
      <c r="X988" s="45"/>
      <c r="Y988" s="46">
        <f ca="1">IFERROR(__xludf.DUMMYFUNCTION("""COMPUTED_VALUE"""),45838)</f>
        <v>45838</v>
      </c>
      <c r="Z988" s="46">
        <f ca="1">IFERROR(__xludf.DUMMYFUNCTION("""COMPUTED_VALUE"""),45859)</f>
        <v>45859</v>
      </c>
      <c r="AA988" s="46">
        <f ca="1">IFERROR(__xludf.DUMMYFUNCTION("""COMPUTED_VALUE"""),45859)</f>
        <v>45859</v>
      </c>
      <c r="AB988" s="45" t="str">
        <f ca="1">IFERROR(__xludf.DUMMYFUNCTION("""COMPUTED_VALUE"""),"10A Faraday Ave")</f>
        <v>10A Faraday Ave</v>
      </c>
      <c r="AC988" s="45"/>
      <c r="AD988" s="45" t="str">
        <f ca="1">IFERROR(__xludf.DUMMYFUNCTION("""COMPUTED_VALUE"""),"OCEAN")</f>
        <v>OCEAN</v>
      </c>
      <c r="AE988" s="45" t="str">
        <f ca="1">IFERROR(__xludf.DUMMYFUNCTION("""COMPUTED_VALUE"""),"N")</f>
        <v>N</v>
      </c>
      <c r="AF988" s="45"/>
      <c r="AG988" s="49" t="str">
        <f ca="1">IFERROR(__xludf.DUMMYFUNCTION("IFNA(vlookup(H988,IMPORTRANGE(""1vUGwO1n0QQGx9kKbO0_M5gmuhXZ6-LaxQxgrmJnzgP0"",""'TP# look up'!A:C""),3,0),"""")"),"")</f>
        <v/>
      </c>
      <c r="AH988" s="49" t="str">
        <f t="shared" ca="1" si="15"/>
        <v>LW</v>
      </c>
    </row>
    <row r="989" spans="1:34" ht="12.75">
      <c r="A989" s="45" t="str">
        <f ca="1">IFERROR(__xludf.DUMMYFUNCTION("""COMPUTED_VALUE"""),"Colombo")</f>
        <v>Colombo</v>
      </c>
      <c r="B989" s="45"/>
      <c r="C989" s="45">
        <f ca="1">IFERROR(__xludf.DUMMYFUNCTION("""COMPUTED_VALUE"""),3259827)</f>
        <v>3259827</v>
      </c>
      <c r="D989" s="45"/>
      <c r="E989" s="45" t="str">
        <f ca="1">IFERROR(__xludf.DUMMYFUNCTION("""COMPUTED_VALUE"""),"CFS")</f>
        <v>CFS</v>
      </c>
      <c r="F989" s="45" t="str">
        <f ca="1">IFERROR(__xludf.DUMMYFUNCTION("""COMPUTED_VALUE"""),"MAS AMITY PTE LTD")</f>
        <v>MAS AMITY PTE LTD</v>
      </c>
      <c r="G989" s="45" t="str">
        <f ca="1">IFERROR(__xludf.DUMMYFUNCTION("""COMPUTED_VALUE"""),"MAS Active(Pvt) Ltd – CONTOURLINE")</f>
        <v>MAS Active(Pvt) Ltd – CONTOURLINE</v>
      </c>
      <c r="H989" s="43">
        <f ca="1">IFERROR(__xludf.DUMMYFUNCTION("""COMPUTED_VALUE"""),457031518838)</f>
        <v>457031518838</v>
      </c>
      <c r="I989" s="45">
        <f ca="1">IFERROR(__xludf.DUMMYFUNCTION("""COMPUTED_VALUE"""),19820910)</f>
        <v>19820910</v>
      </c>
      <c r="J989" s="45" t="str">
        <f ca="1">IFERROR(__xludf.DUMMYFUNCTION("""COMPUTED_VALUE"""),"LW1DRKS")</f>
        <v>LW1DRKS</v>
      </c>
      <c r="K989" s="45" t="str">
        <f ca="1">IFERROR(__xludf.DUMMYFUNCTION("""COMPUTED_VALUE"""),"LW1DRKS-070108")</f>
        <v>LW1DRKS-070108</v>
      </c>
      <c r="L989" s="45">
        <f ca="1">IFERROR(__xludf.DUMMYFUNCTION("""COMPUTED_VALUE"""),1)</f>
        <v>1</v>
      </c>
      <c r="M989" s="45">
        <f ca="1">IFERROR(__xludf.DUMMYFUNCTION("""COMPUTED_VALUE"""),89)</f>
        <v>89</v>
      </c>
      <c r="N989" s="45">
        <f ca="1">IFERROR(__xludf.DUMMYFUNCTION("""COMPUTED_VALUE"""),10.944)</f>
        <v>10.944000000000001</v>
      </c>
      <c r="O989" s="45">
        <f ca="1">IFERROR(__xludf.DUMMYFUNCTION("""COMPUTED_VALUE"""),0.079)</f>
        <v>7.9000000000000001E-2</v>
      </c>
      <c r="P989" s="45" t="str">
        <f ca="1">IFERROR(__xludf.DUMMYFUNCTION("""COMPUTED_VALUE"""),"Colombo, LK")</f>
        <v>Colombo, LK</v>
      </c>
      <c r="Q989" s="45" t="str">
        <f ca="1">IFERROR(__xludf.DUMMYFUNCTION("""COMPUTED_VALUE"""),"Felixstowe, GB")</f>
        <v>Felixstowe, GB</v>
      </c>
      <c r="R989" s="44">
        <f ca="1">IFERROR(__xludf.DUMMYFUNCTION("""COMPUTED_VALUE"""),45831)</f>
        <v>45831</v>
      </c>
      <c r="S989" s="44">
        <f ca="1">IFERROR(__xludf.DUMMYFUNCTION("""COMPUTED_VALUE"""),45890)</f>
        <v>45890</v>
      </c>
      <c r="T989" s="45" t="str">
        <f ca="1">IFERROR(__xludf.DUMMYFUNCTION("""COMPUTED_VALUE"""),"Birmingham, GB")</f>
        <v>Birmingham, GB</v>
      </c>
      <c r="U989" s="45"/>
      <c r="V989" s="45"/>
      <c r="W989" s="45"/>
      <c r="X989" s="45"/>
      <c r="Y989" s="46">
        <f ca="1">IFERROR(__xludf.DUMMYFUNCTION("""COMPUTED_VALUE"""),45838)</f>
        <v>45838</v>
      </c>
      <c r="Z989" s="46">
        <f ca="1">IFERROR(__xludf.DUMMYFUNCTION("""COMPUTED_VALUE"""),45859)</f>
        <v>45859</v>
      </c>
      <c r="AA989" s="46">
        <f ca="1">IFERROR(__xludf.DUMMYFUNCTION("""COMPUTED_VALUE"""),45859)</f>
        <v>45859</v>
      </c>
      <c r="AB989" s="45" t="str">
        <f ca="1">IFERROR(__xludf.DUMMYFUNCTION("""COMPUTED_VALUE"""),"10A Faraday Ave")</f>
        <v>10A Faraday Ave</v>
      </c>
      <c r="AC989" s="45"/>
      <c r="AD989" s="45" t="str">
        <f ca="1">IFERROR(__xludf.DUMMYFUNCTION("""COMPUTED_VALUE"""),"OCEAN")</f>
        <v>OCEAN</v>
      </c>
      <c r="AE989" s="45" t="str">
        <f ca="1">IFERROR(__xludf.DUMMYFUNCTION("""COMPUTED_VALUE"""),"N")</f>
        <v>N</v>
      </c>
      <c r="AF989" s="45"/>
      <c r="AG989" s="49" t="str">
        <f ca="1">IFERROR(__xludf.DUMMYFUNCTION("IFNA(vlookup(H989,IMPORTRANGE(""1vUGwO1n0QQGx9kKbO0_M5gmuhXZ6-LaxQxgrmJnzgP0"",""'TP# look up'!A:C""),3,0),"""")"),"")</f>
        <v/>
      </c>
      <c r="AH989" s="49" t="str">
        <f t="shared" ca="1" si="15"/>
        <v>LW</v>
      </c>
    </row>
    <row r="990" spans="1:34" ht="12.75">
      <c r="A990" s="45" t="str">
        <f ca="1">IFERROR(__xludf.DUMMYFUNCTION("""COMPUTED_VALUE"""),"Colombo")</f>
        <v>Colombo</v>
      </c>
      <c r="B990" s="45"/>
      <c r="C990" s="45">
        <f ca="1">IFERROR(__xludf.DUMMYFUNCTION("""COMPUTED_VALUE"""),3259827)</f>
        <v>3259827</v>
      </c>
      <c r="D990" s="45"/>
      <c r="E990" s="45" t="str">
        <f ca="1">IFERROR(__xludf.DUMMYFUNCTION("""COMPUTED_VALUE"""),"CFS")</f>
        <v>CFS</v>
      </c>
      <c r="F990" s="45" t="str">
        <f ca="1">IFERROR(__xludf.DUMMYFUNCTION("""COMPUTED_VALUE"""),"MAS AMITY PTE LTD")</f>
        <v>MAS AMITY PTE LTD</v>
      </c>
      <c r="G990" s="45" t="str">
        <f ca="1">IFERROR(__xludf.DUMMYFUNCTION("""COMPUTED_VALUE"""),"MAS Active(Pvt) Ltd – CONTOURLINE")</f>
        <v>MAS Active(Pvt) Ltd – CONTOURLINE</v>
      </c>
      <c r="H990" s="43">
        <f ca="1">IFERROR(__xludf.DUMMYFUNCTION("""COMPUTED_VALUE"""),457032092081)</f>
        <v>457032092081</v>
      </c>
      <c r="I990" s="45">
        <f ca="1">IFERROR(__xludf.DUMMYFUNCTION("""COMPUTED_VALUE"""),19926223)</f>
        <v>19926223</v>
      </c>
      <c r="J990" s="45" t="str">
        <f ca="1">IFERROR(__xludf.DUMMYFUNCTION("""COMPUTED_VALUE"""),"LW7DPES")</f>
        <v>LW7DPES</v>
      </c>
      <c r="K990" s="45" t="str">
        <f ca="1">IFERROR(__xludf.DUMMYFUNCTION("""COMPUTED_VALUE"""),"LW7DPES-049106")</f>
        <v>LW7DPES-049106</v>
      </c>
      <c r="L990" s="45">
        <f ca="1">IFERROR(__xludf.DUMMYFUNCTION("""COMPUTED_VALUE"""),6)</f>
        <v>6</v>
      </c>
      <c r="M990" s="45">
        <f ca="1">IFERROR(__xludf.DUMMYFUNCTION("""COMPUTED_VALUE"""),320)</f>
        <v>320</v>
      </c>
      <c r="N990" s="45">
        <f ca="1">IFERROR(__xludf.DUMMYFUNCTION("""COMPUTED_VALUE"""),52.835)</f>
        <v>52.835000000000001</v>
      </c>
      <c r="O990" s="45">
        <f ca="1">IFERROR(__xludf.DUMMYFUNCTION("""COMPUTED_VALUE"""),0.395)</f>
        <v>0.39500000000000002</v>
      </c>
      <c r="P990" s="45" t="str">
        <f ca="1">IFERROR(__xludf.DUMMYFUNCTION("""COMPUTED_VALUE"""),"Colombo, LK")</f>
        <v>Colombo, LK</v>
      </c>
      <c r="Q990" s="45" t="str">
        <f ca="1">IFERROR(__xludf.DUMMYFUNCTION("""COMPUTED_VALUE"""),"Felixstowe, GB")</f>
        <v>Felixstowe, GB</v>
      </c>
      <c r="R990" s="44">
        <f ca="1">IFERROR(__xludf.DUMMYFUNCTION("""COMPUTED_VALUE"""),45831)</f>
        <v>45831</v>
      </c>
      <c r="S990" s="44">
        <f ca="1">IFERROR(__xludf.DUMMYFUNCTION("""COMPUTED_VALUE"""),45890)</f>
        <v>45890</v>
      </c>
      <c r="T990" s="45" t="str">
        <f ca="1">IFERROR(__xludf.DUMMYFUNCTION("""COMPUTED_VALUE"""),"Birmingham, GB")</f>
        <v>Birmingham, GB</v>
      </c>
      <c r="U990" s="45"/>
      <c r="V990" s="45"/>
      <c r="W990" s="45"/>
      <c r="X990" s="45"/>
      <c r="Y990" s="46">
        <f ca="1">IFERROR(__xludf.DUMMYFUNCTION("""COMPUTED_VALUE"""),45838)</f>
        <v>45838</v>
      </c>
      <c r="Z990" s="46">
        <f ca="1">IFERROR(__xludf.DUMMYFUNCTION("""COMPUTED_VALUE"""),45859)</f>
        <v>45859</v>
      </c>
      <c r="AA990" s="46">
        <f ca="1">IFERROR(__xludf.DUMMYFUNCTION("""COMPUTED_VALUE"""),45859)</f>
        <v>45859</v>
      </c>
      <c r="AB990" s="45" t="str">
        <f ca="1">IFERROR(__xludf.DUMMYFUNCTION("""COMPUTED_VALUE"""),"10A Faraday Ave")</f>
        <v>10A Faraday Ave</v>
      </c>
      <c r="AC990" s="45"/>
      <c r="AD990" s="45" t="str">
        <f ca="1">IFERROR(__xludf.DUMMYFUNCTION("""COMPUTED_VALUE"""),"OCEAN")</f>
        <v>OCEAN</v>
      </c>
      <c r="AE990" s="45" t="str">
        <f ca="1">IFERROR(__xludf.DUMMYFUNCTION("""COMPUTED_VALUE"""),"N")</f>
        <v>N</v>
      </c>
      <c r="AF990" s="45"/>
      <c r="AG990" s="49" t="str">
        <f ca="1">IFERROR(__xludf.DUMMYFUNCTION("IFNA(vlookup(H990,IMPORTRANGE(""1vUGwO1n0QQGx9kKbO0_M5gmuhXZ6-LaxQxgrmJnzgP0"",""'TP# look up'!A:C""),3,0),"""")"),"")</f>
        <v/>
      </c>
      <c r="AH990" s="49" t="str">
        <f t="shared" ca="1" si="15"/>
        <v>LW</v>
      </c>
    </row>
    <row r="991" spans="1:34" ht="12.75">
      <c r="H991" s="43"/>
      <c r="AG991" s="49" t="str">
        <f ca="1">IFERROR(__xludf.DUMMYFUNCTION("IFNA(vlookup(H991,IMPORTRANGE(""1vUGwO1n0QQGx9kKbO0_M5gmuhXZ6-LaxQxgrmJnzgP0"",""'TP# look up'!A:C""),3,0),"""")"),"")</f>
        <v/>
      </c>
      <c r="AH991" s="49" t="str">
        <f t="shared" si="15"/>
        <v/>
      </c>
    </row>
    <row r="992" spans="1:34" ht="12.75">
      <c r="H992" s="43"/>
      <c r="AG992" s="49" t="str">
        <f ca="1">IFERROR(__xludf.DUMMYFUNCTION("IFNA(vlookup(H992,IMPORTRANGE(""1vUGwO1n0QQGx9kKbO0_M5gmuhXZ6-LaxQxgrmJnzgP0"",""'TP# look up'!A:C""),3,0),"""")"),"")</f>
        <v/>
      </c>
      <c r="AH992" s="49" t="str">
        <f t="shared" si="15"/>
        <v/>
      </c>
    </row>
    <row r="993" spans="8:34" ht="12.75">
      <c r="H993" s="43"/>
      <c r="AG993" s="49" t="str">
        <f ca="1">IFERROR(__xludf.DUMMYFUNCTION("IFNA(vlookup(H993,IMPORTRANGE(""1vUGwO1n0QQGx9kKbO0_M5gmuhXZ6-LaxQxgrmJnzgP0"",""'TP# look up'!A:C""),3,0),"""")"),"")</f>
        <v/>
      </c>
      <c r="AH993" s="49" t="str">
        <f t="shared" si="15"/>
        <v/>
      </c>
    </row>
    <row r="994" spans="8:34" ht="12.75">
      <c r="H994" s="43"/>
      <c r="AG994" s="49" t="str">
        <f ca="1">IFERROR(__xludf.DUMMYFUNCTION("IFNA(vlookup(H994,IMPORTRANGE(""1vUGwO1n0QQGx9kKbO0_M5gmuhXZ6-LaxQxgrmJnzgP0"",""'TP# look up'!A:C""),3,0),"""")"),"")</f>
        <v/>
      </c>
      <c r="AH994" s="49" t="str">
        <f t="shared" si="15"/>
        <v/>
      </c>
    </row>
    <row r="995" spans="8:34" ht="12.75">
      <c r="H995" s="43"/>
      <c r="AG995" s="49" t="str">
        <f ca="1">IFERROR(__xludf.DUMMYFUNCTION("IFNA(vlookup(H995,IMPORTRANGE(""1vUGwO1n0QQGx9kKbO0_M5gmuhXZ6-LaxQxgrmJnzgP0"",""'TP# look up'!A:C""),3,0),"""")"),"")</f>
        <v/>
      </c>
      <c r="AH995" s="49" t="str">
        <f t="shared" si="15"/>
        <v/>
      </c>
    </row>
    <row r="996" spans="8:34" ht="12.75">
      <c r="H996" s="43"/>
      <c r="AG996" s="49" t="str">
        <f ca="1">IFERROR(__xludf.DUMMYFUNCTION("IFNA(vlookup(H996,IMPORTRANGE(""1vUGwO1n0QQGx9kKbO0_M5gmuhXZ6-LaxQxgrmJnzgP0"",""'TP# look up'!A:C""),3,0),"""")"),"")</f>
        <v/>
      </c>
      <c r="AH996" s="49" t="str">
        <f t="shared" si="15"/>
        <v/>
      </c>
    </row>
    <row r="997" spans="8:34" ht="12.75">
      <c r="H997" s="43"/>
      <c r="AG997" s="49" t="str">
        <f ca="1">IFERROR(__xludf.DUMMYFUNCTION("IFNA(vlookup(H997,IMPORTRANGE(""1vUGwO1n0QQGx9kKbO0_M5gmuhXZ6-LaxQxgrmJnzgP0"",""'TP# look up'!A:C""),3,0),"""")"),"")</f>
        <v/>
      </c>
      <c r="AH997" s="49" t="str">
        <f t="shared" si="15"/>
        <v/>
      </c>
    </row>
    <row r="998" spans="8:34" ht="12.75">
      <c r="H998" s="43"/>
      <c r="AG998" s="49" t="str">
        <f ca="1">IFERROR(__xludf.DUMMYFUNCTION("IFNA(vlookup(H998,IMPORTRANGE(""1vUGwO1n0QQGx9kKbO0_M5gmuhXZ6-LaxQxgrmJnzgP0"",""'TP# look up'!A:C""),3,0),"""")"),"")</f>
        <v/>
      </c>
      <c r="AH998" s="49" t="str">
        <f t="shared" si="15"/>
        <v/>
      </c>
    </row>
    <row r="999" spans="8:34" ht="12.75">
      <c r="H999" s="43"/>
      <c r="AG999" s="49" t="str">
        <f ca="1">IFERROR(__xludf.DUMMYFUNCTION("IFNA(vlookup(H999,IMPORTRANGE(""1vUGwO1n0QQGx9kKbO0_M5gmuhXZ6-LaxQxgrmJnzgP0"",""'TP# look up'!A:C""),3,0),"""")"),"")</f>
        <v/>
      </c>
      <c r="AH999" s="49" t="str">
        <f t="shared" si="15"/>
        <v/>
      </c>
    </row>
    <row r="1000" spans="8:34" ht="12.75">
      <c r="H1000" s="43"/>
      <c r="AG1000" s="49" t="str">
        <f ca="1">IFERROR(__xludf.DUMMYFUNCTION("IFNA(vlookup(H1000,IMPORTRANGE(""1vUGwO1n0QQGx9kKbO0_M5gmuhXZ6-LaxQxgrmJnzgP0"",""'TP# look up'!A:C""),3,0),"""")"),"")</f>
        <v/>
      </c>
      <c r="AH1000" s="49" t="str">
        <f t="shared" si="15"/>
        <v/>
      </c>
    </row>
    <row r="1001" spans="8:34" ht="12.75">
      <c r="H1001" s="43"/>
      <c r="AG1001" s="49" t="str">
        <f ca="1">IFERROR(__xludf.DUMMYFUNCTION("IFNA(vlookup(H1001,IMPORTRANGE(""1vUGwO1n0QQGx9kKbO0_M5gmuhXZ6-LaxQxgrmJnzgP0"",""'TP# look up'!A:C""),3,0),"""")"),"")</f>
        <v/>
      </c>
      <c r="AH1001" s="49" t="str">
        <f t="shared" si="15"/>
        <v/>
      </c>
    </row>
    <row r="1002" spans="8:34" ht="12.75">
      <c r="H1002" s="43"/>
      <c r="AG1002" s="49" t="str">
        <f ca="1">IFERROR(__xludf.DUMMYFUNCTION("IFNA(vlookup(H1002,IMPORTRANGE(""1vUGwO1n0QQGx9kKbO0_M5gmuhXZ6-LaxQxgrmJnzgP0"",""'TP# look up'!A:C""),3,0),"""")"),"")</f>
        <v/>
      </c>
      <c r="AH1002" s="49" t="str">
        <f t="shared" si="15"/>
        <v/>
      </c>
    </row>
    <row r="1003" spans="8:34" ht="12.75">
      <c r="H1003" s="43"/>
      <c r="AG1003" s="49" t="str">
        <f ca="1">IFERROR(__xludf.DUMMYFUNCTION("IFNA(vlookup(H1003,IMPORTRANGE(""1vUGwO1n0QQGx9kKbO0_M5gmuhXZ6-LaxQxgrmJnzgP0"",""'TP# look up'!A:C""),3,0),"""")"),"")</f>
        <v/>
      </c>
      <c r="AH1003" s="49" t="str">
        <f t="shared" si="15"/>
        <v/>
      </c>
    </row>
    <row r="1004" spans="8:34" ht="12.75">
      <c r="H1004" s="43"/>
      <c r="AG1004" s="49" t="str">
        <f ca="1">IFERROR(__xludf.DUMMYFUNCTION("IFNA(vlookup(H1004,IMPORTRANGE(""1vUGwO1n0QQGx9kKbO0_M5gmuhXZ6-LaxQxgrmJnzgP0"",""'TP# look up'!A:C""),3,0),"""")"),"")</f>
        <v/>
      </c>
      <c r="AH1004" s="49" t="str">
        <f t="shared" si="15"/>
        <v/>
      </c>
    </row>
    <row r="1005" spans="8:34" ht="12.75">
      <c r="H1005" s="43"/>
      <c r="AG1005" s="49" t="str">
        <f ca="1">IFERROR(__xludf.DUMMYFUNCTION("IFNA(vlookup(H1005,IMPORTRANGE(""1vUGwO1n0QQGx9kKbO0_M5gmuhXZ6-LaxQxgrmJnzgP0"",""'TP# look up'!A:C""),3,0),"""")"),"")</f>
        <v/>
      </c>
      <c r="AH1005" s="49" t="str">
        <f t="shared" si="15"/>
        <v/>
      </c>
    </row>
    <row r="1006" spans="8:34" ht="12.75">
      <c r="H1006" s="43"/>
      <c r="AG1006" s="49" t="str">
        <f ca="1">IFERROR(__xludf.DUMMYFUNCTION("IFNA(vlookup(H1006,IMPORTRANGE(""1vUGwO1n0QQGx9kKbO0_M5gmuhXZ6-LaxQxgrmJnzgP0"",""'TP# look up'!A:C""),3,0),"""")"),"")</f>
        <v/>
      </c>
      <c r="AH1006" s="49" t="str">
        <f t="shared" si="15"/>
        <v/>
      </c>
    </row>
    <row r="1007" spans="8:34" ht="12.75">
      <c r="H1007" s="43"/>
      <c r="AG1007" s="49" t="str">
        <f ca="1">IFERROR(__xludf.DUMMYFUNCTION("IFNA(vlookup(H1007,IMPORTRANGE(""1vUGwO1n0QQGx9kKbO0_M5gmuhXZ6-LaxQxgrmJnzgP0"",""'TP# look up'!A:C""),3,0),"""")"),"")</f>
        <v/>
      </c>
      <c r="AH1007" s="49" t="str">
        <f t="shared" si="15"/>
        <v/>
      </c>
    </row>
    <row r="1008" spans="8:34" ht="12.75">
      <c r="H1008" s="43"/>
      <c r="AG1008" s="49" t="str">
        <f ca="1">IFERROR(__xludf.DUMMYFUNCTION("IFNA(vlookup(H1008,IMPORTRANGE(""1vUGwO1n0QQGx9kKbO0_M5gmuhXZ6-LaxQxgrmJnzgP0"",""'TP# look up'!A:C""),3,0),"""")"),"")</f>
        <v/>
      </c>
      <c r="AH1008" s="49" t="str">
        <f t="shared" si="15"/>
        <v/>
      </c>
    </row>
    <row r="1009" spans="8:34" ht="12.75">
      <c r="H1009" s="43"/>
      <c r="AG1009" s="49" t="str">
        <f ca="1">IFERROR(__xludf.DUMMYFUNCTION("IFNA(vlookup(H1009,IMPORTRANGE(""1vUGwO1n0QQGx9kKbO0_M5gmuhXZ6-LaxQxgrmJnzgP0"",""'TP# look up'!A:C""),3,0),"""")"),"")</f>
        <v/>
      </c>
      <c r="AH1009" s="49" t="str">
        <f t="shared" si="15"/>
        <v/>
      </c>
    </row>
    <row r="1010" spans="8:34" ht="12.75">
      <c r="H1010" s="43"/>
      <c r="AG1010" s="49" t="str">
        <f ca="1">IFERROR(__xludf.DUMMYFUNCTION("IFNA(vlookup(H1010,IMPORTRANGE(""1vUGwO1n0QQGx9kKbO0_M5gmuhXZ6-LaxQxgrmJnzgP0"",""'TP# look up'!A:C""),3,0),"""")"),"")</f>
        <v/>
      </c>
      <c r="AH1010" s="49" t="str">
        <f t="shared" si="15"/>
        <v/>
      </c>
    </row>
    <row r="1011" spans="8:34" ht="12.75">
      <c r="H1011" s="43"/>
      <c r="AG1011" s="49" t="str">
        <f ca="1">IFERROR(__xludf.DUMMYFUNCTION("IFNA(vlookup(H1011,IMPORTRANGE(""1vUGwO1n0QQGx9kKbO0_M5gmuhXZ6-LaxQxgrmJnzgP0"",""'TP# look up'!A:C""),3,0),"""")"),"")</f>
        <v/>
      </c>
      <c r="AH1011" s="49" t="str">
        <f t="shared" si="15"/>
        <v/>
      </c>
    </row>
    <row r="1012" spans="8:34" ht="12.75">
      <c r="H1012" s="43"/>
      <c r="AG1012" s="49" t="str">
        <f ca="1">IFERROR(__xludf.DUMMYFUNCTION("IFNA(vlookup(H1012,IMPORTRANGE(""1vUGwO1n0QQGx9kKbO0_M5gmuhXZ6-LaxQxgrmJnzgP0"",""'TP# look up'!A:C""),3,0),"""")"),"")</f>
        <v/>
      </c>
      <c r="AH1012" s="49" t="str">
        <f t="shared" si="15"/>
        <v/>
      </c>
    </row>
    <row r="1013" spans="8:34" ht="12.75">
      <c r="H1013" s="43"/>
      <c r="AG1013" s="49" t="str">
        <f ca="1">IFERROR(__xludf.DUMMYFUNCTION("IFNA(vlookup(H1013,IMPORTRANGE(""1vUGwO1n0QQGx9kKbO0_M5gmuhXZ6-LaxQxgrmJnzgP0"",""'TP# look up'!A:C""),3,0),"""")"),"")</f>
        <v/>
      </c>
      <c r="AH1013" s="49" t="str">
        <f t="shared" si="15"/>
        <v/>
      </c>
    </row>
    <row r="1014" spans="8:34" ht="12.75">
      <c r="H1014" s="43"/>
      <c r="AG1014" s="49" t="str">
        <f ca="1">IFERROR(__xludf.DUMMYFUNCTION("IFNA(vlookup(H1014,IMPORTRANGE(""1vUGwO1n0QQGx9kKbO0_M5gmuhXZ6-LaxQxgrmJnzgP0"",""'TP# look up'!A:C""),3,0),"""")"),"")</f>
        <v/>
      </c>
      <c r="AH1014" s="49" t="str">
        <f t="shared" si="15"/>
        <v/>
      </c>
    </row>
    <row r="1015" spans="8:34" ht="12.75">
      <c r="H1015" s="43"/>
      <c r="AG1015" s="49" t="str">
        <f ca="1">IFERROR(__xludf.DUMMYFUNCTION("IFNA(vlookup(H1015,IMPORTRANGE(""1vUGwO1n0QQGx9kKbO0_M5gmuhXZ6-LaxQxgrmJnzgP0"",""'TP# look up'!A:C""),3,0),"""")"),"")</f>
        <v/>
      </c>
      <c r="AH1015" s="49" t="str">
        <f t="shared" si="15"/>
        <v/>
      </c>
    </row>
    <row r="1016" spans="8:34" ht="12.75">
      <c r="H1016" s="43"/>
      <c r="AG1016" s="49" t="str">
        <f ca="1">IFERROR(__xludf.DUMMYFUNCTION("IFNA(vlookup(H1016,IMPORTRANGE(""1vUGwO1n0QQGx9kKbO0_M5gmuhXZ6-LaxQxgrmJnzgP0"",""'TP# look up'!A:C""),3,0),"""")"),"")</f>
        <v/>
      </c>
      <c r="AH1016" s="49" t="str">
        <f t="shared" si="15"/>
        <v/>
      </c>
    </row>
    <row r="1017" spans="8:34" ht="12.75">
      <c r="H1017" s="43"/>
      <c r="AG1017" s="49" t="str">
        <f ca="1">IFERROR(__xludf.DUMMYFUNCTION("IFNA(vlookup(H1017,IMPORTRANGE(""1vUGwO1n0QQGx9kKbO0_M5gmuhXZ6-LaxQxgrmJnzgP0"",""'TP# look up'!A:C""),3,0),"""")"),"")</f>
        <v/>
      </c>
      <c r="AH1017" s="49" t="str">
        <f t="shared" si="15"/>
        <v/>
      </c>
    </row>
    <row r="1018" spans="8:34" ht="12.75">
      <c r="H1018" s="43"/>
      <c r="AG1018" s="49" t="str">
        <f ca="1">IFERROR(__xludf.DUMMYFUNCTION("IFNA(vlookup(H1018,IMPORTRANGE(""1vUGwO1n0QQGx9kKbO0_M5gmuhXZ6-LaxQxgrmJnzgP0"",""'TP# look up'!A:C""),3,0),"""")"),"")</f>
        <v/>
      </c>
      <c r="AH1018" s="49" t="str">
        <f t="shared" si="15"/>
        <v/>
      </c>
    </row>
    <row r="1019" spans="8:34" ht="12.75">
      <c r="H1019" s="43"/>
      <c r="AG1019" s="49" t="str">
        <f ca="1">IFERROR(__xludf.DUMMYFUNCTION("IFNA(vlookup(H1019,IMPORTRANGE(""1vUGwO1n0QQGx9kKbO0_M5gmuhXZ6-LaxQxgrmJnzgP0"",""'TP# look up'!A:C""),3,0),"""")"),"")</f>
        <v/>
      </c>
      <c r="AH1019" s="49" t="str">
        <f t="shared" si="15"/>
        <v/>
      </c>
    </row>
    <row r="1020" spans="8:34" ht="12.75">
      <c r="H1020" s="43"/>
      <c r="AG1020" s="49" t="str">
        <f ca="1">IFERROR(__xludf.DUMMYFUNCTION("IFNA(vlookup(H1020,IMPORTRANGE(""1vUGwO1n0QQGx9kKbO0_M5gmuhXZ6-LaxQxgrmJnzgP0"",""'TP# look up'!A:C""),3,0),"""")"),"")</f>
        <v/>
      </c>
      <c r="AH1020" s="49" t="str">
        <f t="shared" si="15"/>
        <v/>
      </c>
    </row>
    <row r="1021" spans="8:34" ht="12.75">
      <c r="H1021" s="43"/>
      <c r="AG1021" s="49" t="str">
        <f ca="1">IFERROR(__xludf.DUMMYFUNCTION("IFNA(vlookup(H1021,IMPORTRANGE(""1vUGwO1n0QQGx9kKbO0_M5gmuhXZ6-LaxQxgrmJnzgP0"",""'TP# look up'!A:C""),3,0),"""")"),"")</f>
        <v/>
      </c>
      <c r="AH1021" s="49" t="str">
        <f t="shared" si="15"/>
        <v/>
      </c>
    </row>
    <row r="1022" spans="8:34" ht="12.75">
      <c r="H1022" s="43"/>
      <c r="AG1022" s="49" t="str">
        <f ca="1">IFERROR(__xludf.DUMMYFUNCTION("IFNA(vlookup(H1022,IMPORTRANGE(""1vUGwO1n0QQGx9kKbO0_M5gmuhXZ6-LaxQxgrmJnzgP0"",""'TP# look up'!A:C""),3,0),"""")"),"")</f>
        <v/>
      </c>
      <c r="AH1022" s="49" t="str">
        <f t="shared" si="15"/>
        <v/>
      </c>
    </row>
    <row r="1023" spans="8:34" ht="12.75">
      <c r="H1023" s="43"/>
      <c r="AG1023" s="49" t="str">
        <f ca="1">IFERROR(__xludf.DUMMYFUNCTION("IFNA(vlookup(H1023,IMPORTRANGE(""1vUGwO1n0QQGx9kKbO0_M5gmuhXZ6-LaxQxgrmJnzgP0"",""'TP# look up'!A:C""),3,0),"""")"),"")</f>
        <v/>
      </c>
      <c r="AH1023" s="49" t="str">
        <f t="shared" si="15"/>
        <v/>
      </c>
    </row>
    <row r="1024" spans="8:34" ht="12.75">
      <c r="H1024" s="43"/>
      <c r="AG1024" s="49" t="str">
        <f ca="1">IFERROR(__xludf.DUMMYFUNCTION("IFNA(vlookup(H1024,IMPORTRANGE(""1vUGwO1n0QQGx9kKbO0_M5gmuhXZ6-LaxQxgrmJnzgP0"",""'TP# look up'!A:C""),3,0),"""")"),"")</f>
        <v/>
      </c>
      <c r="AH1024" s="49" t="str">
        <f t="shared" si="15"/>
        <v/>
      </c>
    </row>
    <row r="1025" spans="8:34" ht="12.75">
      <c r="H1025" s="43"/>
      <c r="AG1025" s="49" t="str">
        <f ca="1">IFERROR(__xludf.DUMMYFUNCTION("IFNA(vlookup(H1025,IMPORTRANGE(""1vUGwO1n0QQGx9kKbO0_M5gmuhXZ6-LaxQxgrmJnzgP0"",""'TP# look up'!A:C""),3,0),"""")"),"")</f>
        <v/>
      </c>
      <c r="AH1025" s="49" t="str">
        <f t="shared" si="15"/>
        <v/>
      </c>
    </row>
    <row r="1026" spans="8:34" ht="12.75">
      <c r="H1026" s="43"/>
      <c r="AG1026" s="49" t="str">
        <f ca="1">IFERROR(__xludf.DUMMYFUNCTION("IFNA(vlookup(H1026,IMPORTRANGE(""1vUGwO1n0QQGx9kKbO0_M5gmuhXZ6-LaxQxgrmJnzgP0"",""'TP# look up'!A:C""),3,0),"""")"),"")</f>
        <v/>
      </c>
      <c r="AH1026" s="49" t="str">
        <f t="shared" ref="AH1026:AH1089" si="16">LEFT(J1026,2)</f>
        <v/>
      </c>
    </row>
    <row r="1027" spans="8:34" ht="12.75">
      <c r="H1027" s="43"/>
      <c r="AG1027" s="49" t="str">
        <f ca="1">IFERROR(__xludf.DUMMYFUNCTION("IFNA(vlookup(H1027,IMPORTRANGE(""1vUGwO1n0QQGx9kKbO0_M5gmuhXZ6-LaxQxgrmJnzgP0"",""'TP# look up'!A:C""),3,0),"""")"),"")</f>
        <v/>
      </c>
      <c r="AH1027" s="49" t="str">
        <f t="shared" si="16"/>
        <v/>
      </c>
    </row>
    <row r="1028" spans="8:34" ht="12.75">
      <c r="H1028" s="43"/>
      <c r="AG1028" s="49" t="str">
        <f ca="1">IFERROR(__xludf.DUMMYFUNCTION("IFNA(vlookup(H1028,IMPORTRANGE(""1vUGwO1n0QQGx9kKbO0_M5gmuhXZ6-LaxQxgrmJnzgP0"",""'TP# look up'!A:C""),3,0),"""")"),"")</f>
        <v/>
      </c>
      <c r="AH1028" s="49" t="str">
        <f t="shared" si="16"/>
        <v/>
      </c>
    </row>
    <row r="1029" spans="8:34" ht="12.75">
      <c r="H1029" s="43"/>
      <c r="AG1029" s="49" t="str">
        <f ca="1">IFERROR(__xludf.DUMMYFUNCTION("IFNA(vlookup(H1029,IMPORTRANGE(""1vUGwO1n0QQGx9kKbO0_M5gmuhXZ6-LaxQxgrmJnzgP0"",""'TP# look up'!A:C""),3,0),"""")"),"")</f>
        <v/>
      </c>
      <c r="AH1029" s="49" t="str">
        <f t="shared" si="16"/>
        <v/>
      </c>
    </row>
    <row r="1030" spans="8:34" ht="12.75">
      <c r="H1030" s="43"/>
      <c r="AG1030" s="49" t="str">
        <f ca="1">IFERROR(__xludf.DUMMYFUNCTION("IFNA(vlookup(H1030,IMPORTRANGE(""1vUGwO1n0QQGx9kKbO0_M5gmuhXZ6-LaxQxgrmJnzgP0"",""'TP# look up'!A:C""),3,0),"""")"),"")</f>
        <v/>
      </c>
      <c r="AH1030" s="49" t="str">
        <f t="shared" si="16"/>
        <v/>
      </c>
    </row>
    <row r="1031" spans="8:34" ht="12.75">
      <c r="H1031" s="43"/>
      <c r="AG1031" s="49" t="str">
        <f ca="1">IFERROR(__xludf.DUMMYFUNCTION("IFNA(vlookup(H1031,IMPORTRANGE(""1vUGwO1n0QQGx9kKbO0_M5gmuhXZ6-LaxQxgrmJnzgP0"",""'TP# look up'!A:C""),3,0),"""")"),"")</f>
        <v/>
      </c>
      <c r="AH1031" s="49" t="str">
        <f t="shared" si="16"/>
        <v/>
      </c>
    </row>
    <row r="1032" spans="8:34" ht="12.75">
      <c r="H1032" s="43"/>
      <c r="AG1032" s="49" t="str">
        <f ca="1">IFERROR(__xludf.DUMMYFUNCTION("IFNA(vlookup(H1032,IMPORTRANGE(""1vUGwO1n0QQGx9kKbO0_M5gmuhXZ6-LaxQxgrmJnzgP0"",""'TP# look up'!A:C""),3,0),"""")"),"")</f>
        <v/>
      </c>
      <c r="AH1032" s="49" t="str">
        <f t="shared" si="16"/>
        <v/>
      </c>
    </row>
    <row r="1033" spans="8:34" ht="12.75">
      <c r="H1033" s="43"/>
      <c r="AG1033" s="49" t="str">
        <f ca="1">IFERROR(__xludf.DUMMYFUNCTION("IFNA(vlookup(H1033,IMPORTRANGE(""1vUGwO1n0QQGx9kKbO0_M5gmuhXZ6-LaxQxgrmJnzgP0"",""'TP# look up'!A:C""),3,0),"""")"),"")</f>
        <v/>
      </c>
      <c r="AH1033" s="49" t="str">
        <f t="shared" si="16"/>
        <v/>
      </c>
    </row>
    <row r="1034" spans="8:34" ht="12.75">
      <c r="H1034" s="43"/>
      <c r="AG1034" s="49" t="str">
        <f ca="1">IFERROR(__xludf.DUMMYFUNCTION("IFNA(vlookup(H1034,IMPORTRANGE(""1vUGwO1n0QQGx9kKbO0_M5gmuhXZ6-LaxQxgrmJnzgP0"",""'TP# look up'!A:C""),3,0),"""")"),"")</f>
        <v/>
      </c>
      <c r="AH1034" s="49" t="str">
        <f t="shared" si="16"/>
        <v/>
      </c>
    </row>
    <row r="1035" spans="8:34" ht="12.75">
      <c r="H1035" s="43"/>
      <c r="AG1035" s="49" t="str">
        <f ca="1">IFERROR(__xludf.DUMMYFUNCTION("IFNA(vlookup(H1035,IMPORTRANGE(""1vUGwO1n0QQGx9kKbO0_M5gmuhXZ6-LaxQxgrmJnzgP0"",""'TP# look up'!A:C""),3,0),"""")"),"")</f>
        <v/>
      </c>
      <c r="AH1035" s="49" t="str">
        <f t="shared" si="16"/>
        <v/>
      </c>
    </row>
    <row r="1036" spans="8:34" ht="12.75">
      <c r="H1036" s="43"/>
      <c r="AG1036" s="49" t="str">
        <f ca="1">IFERROR(__xludf.DUMMYFUNCTION("IFNA(vlookup(H1036,IMPORTRANGE(""1vUGwO1n0QQGx9kKbO0_M5gmuhXZ6-LaxQxgrmJnzgP0"",""'TP# look up'!A:C""),3,0),"""")"),"")</f>
        <v/>
      </c>
      <c r="AH1036" s="49" t="str">
        <f t="shared" si="16"/>
        <v/>
      </c>
    </row>
    <row r="1037" spans="8:34" ht="12.75">
      <c r="H1037" s="43"/>
      <c r="AG1037" s="49" t="str">
        <f ca="1">IFERROR(__xludf.DUMMYFUNCTION("IFNA(vlookup(H1037,IMPORTRANGE(""1vUGwO1n0QQGx9kKbO0_M5gmuhXZ6-LaxQxgrmJnzgP0"",""'TP# look up'!A:C""),3,0),"""")"),"")</f>
        <v/>
      </c>
      <c r="AH1037" s="49" t="str">
        <f t="shared" si="16"/>
        <v/>
      </c>
    </row>
    <row r="1038" spans="8:34" ht="12.75">
      <c r="H1038" s="43"/>
      <c r="AG1038" s="49" t="str">
        <f ca="1">IFERROR(__xludf.DUMMYFUNCTION("IFNA(vlookup(H1038,IMPORTRANGE(""1vUGwO1n0QQGx9kKbO0_M5gmuhXZ6-LaxQxgrmJnzgP0"",""'TP# look up'!A:C""),3,0),"""")"),"")</f>
        <v/>
      </c>
      <c r="AH1038" s="49" t="str">
        <f t="shared" si="16"/>
        <v/>
      </c>
    </row>
    <row r="1039" spans="8:34" ht="12.75">
      <c r="H1039" s="43"/>
      <c r="AG1039" s="49" t="str">
        <f ca="1">IFERROR(__xludf.DUMMYFUNCTION("IFNA(vlookup(H1039,IMPORTRANGE(""1vUGwO1n0QQGx9kKbO0_M5gmuhXZ6-LaxQxgrmJnzgP0"",""'TP# look up'!A:C""),3,0),"""")"),"")</f>
        <v/>
      </c>
      <c r="AH1039" s="49" t="str">
        <f t="shared" si="16"/>
        <v/>
      </c>
    </row>
    <row r="1040" spans="8:34" ht="12.75">
      <c r="H1040" s="43"/>
      <c r="AG1040" s="49" t="str">
        <f ca="1">IFERROR(__xludf.DUMMYFUNCTION("IFNA(vlookup(H1040,IMPORTRANGE(""1vUGwO1n0QQGx9kKbO0_M5gmuhXZ6-LaxQxgrmJnzgP0"",""'TP# look up'!A:C""),3,0),"""")"),"")</f>
        <v/>
      </c>
      <c r="AH1040" s="49" t="str">
        <f t="shared" si="16"/>
        <v/>
      </c>
    </row>
    <row r="1041" spans="8:34" ht="12.75">
      <c r="H1041" s="43"/>
      <c r="AG1041" s="49" t="str">
        <f ca="1">IFERROR(__xludf.DUMMYFUNCTION("IFNA(vlookup(H1041,IMPORTRANGE(""1vUGwO1n0QQGx9kKbO0_M5gmuhXZ6-LaxQxgrmJnzgP0"",""'TP# look up'!A:C""),3,0),"""")"),"")</f>
        <v/>
      </c>
      <c r="AH1041" s="49" t="str">
        <f t="shared" si="16"/>
        <v/>
      </c>
    </row>
    <row r="1042" spans="8:34" ht="12.75">
      <c r="H1042" s="43"/>
      <c r="AG1042" s="49" t="str">
        <f ca="1">IFERROR(__xludf.DUMMYFUNCTION("IFNA(vlookup(H1042,IMPORTRANGE(""1vUGwO1n0QQGx9kKbO0_M5gmuhXZ6-LaxQxgrmJnzgP0"",""'TP# look up'!A:C""),3,0),"""")"),"")</f>
        <v/>
      </c>
      <c r="AH1042" s="49" t="str">
        <f t="shared" si="16"/>
        <v/>
      </c>
    </row>
    <row r="1043" spans="8:34" ht="12.75">
      <c r="H1043" s="43"/>
      <c r="AG1043" s="49" t="str">
        <f ca="1">IFERROR(__xludf.DUMMYFUNCTION("IFNA(vlookup(H1043,IMPORTRANGE(""1vUGwO1n0QQGx9kKbO0_M5gmuhXZ6-LaxQxgrmJnzgP0"",""'TP# look up'!A:C""),3,0),"""")"),"")</f>
        <v/>
      </c>
      <c r="AH1043" s="49" t="str">
        <f t="shared" si="16"/>
        <v/>
      </c>
    </row>
    <row r="1044" spans="8:34" ht="12.75">
      <c r="H1044" s="43"/>
      <c r="AG1044" s="49" t="str">
        <f ca="1">IFERROR(__xludf.DUMMYFUNCTION("IFNA(vlookup(H1044,IMPORTRANGE(""1vUGwO1n0QQGx9kKbO0_M5gmuhXZ6-LaxQxgrmJnzgP0"",""'TP# look up'!A:C""),3,0),"""")"),"")</f>
        <v/>
      </c>
      <c r="AH1044" s="49" t="str">
        <f t="shared" si="16"/>
        <v/>
      </c>
    </row>
    <row r="1045" spans="8:34" ht="12.75">
      <c r="H1045" s="43"/>
      <c r="AG1045" s="49" t="str">
        <f ca="1">IFERROR(__xludf.DUMMYFUNCTION("IFNA(vlookup(H1045,IMPORTRANGE(""1vUGwO1n0QQGx9kKbO0_M5gmuhXZ6-LaxQxgrmJnzgP0"",""'TP# look up'!A:C""),3,0),"""")"),"")</f>
        <v/>
      </c>
      <c r="AH1045" s="49" t="str">
        <f t="shared" si="16"/>
        <v/>
      </c>
    </row>
    <row r="1046" spans="8:34" ht="12.75">
      <c r="H1046" s="43"/>
      <c r="AG1046" s="49" t="str">
        <f ca="1">IFERROR(__xludf.DUMMYFUNCTION("IFNA(vlookup(H1046,IMPORTRANGE(""1vUGwO1n0QQGx9kKbO0_M5gmuhXZ6-LaxQxgrmJnzgP0"",""'TP# look up'!A:C""),3,0),"""")"),"")</f>
        <v/>
      </c>
      <c r="AH1046" s="49" t="str">
        <f t="shared" si="16"/>
        <v/>
      </c>
    </row>
    <row r="1047" spans="8:34" ht="12.75">
      <c r="H1047" s="43"/>
      <c r="AG1047" s="49" t="str">
        <f ca="1">IFERROR(__xludf.DUMMYFUNCTION("IFNA(vlookup(H1047,IMPORTRANGE(""1vUGwO1n0QQGx9kKbO0_M5gmuhXZ6-LaxQxgrmJnzgP0"",""'TP# look up'!A:C""),3,0),"""")"),"")</f>
        <v/>
      </c>
      <c r="AH1047" s="49" t="str">
        <f t="shared" si="16"/>
        <v/>
      </c>
    </row>
    <row r="1048" spans="8:34" ht="12.75">
      <c r="H1048" s="43"/>
      <c r="AG1048" s="49" t="str">
        <f ca="1">IFERROR(__xludf.DUMMYFUNCTION("IFNA(vlookup(H1048,IMPORTRANGE(""1vUGwO1n0QQGx9kKbO0_M5gmuhXZ6-LaxQxgrmJnzgP0"",""'TP# look up'!A:C""),3,0),"""")"),"")</f>
        <v/>
      </c>
      <c r="AH1048" s="49" t="str">
        <f t="shared" si="16"/>
        <v/>
      </c>
    </row>
    <row r="1049" spans="8:34" ht="12.75">
      <c r="H1049" s="43"/>
      <c r="AG1049" s="49" t="str">
        <f ca="1">IFERROR(__xludf.DUMMYFUNCTION("IFNA(vlookup(H1049,IMPORTRANGE(""1vUGwO1n0QQGx9kKbO0_M5gmuhXZ6-LaxQxgrmJnzgP0"",""'TP# look up'!A:C""),3,0),"""")"),"")</f>
        <v/>
      </c>
      <c r="AH1049" s="49" t="str">
        <f t="shared" si="16"/>
        <v/>
      </c>
    </row>
    <row r="1050" spans="8:34" ht="12.75">
      <c r="H1050" s="43"/>
      <c r="AG1050" s="49" t="str">
        <f ca="1">IFERROR(__xludf.DUMMYFUNCTION("IFNA(vlookup(H1050,IMPORTRANGE(""1vUGwO1n0QQGx9kKbO0_M5gmuhXZ6-LaxQxgrmJnzgP0"",""'TP# look up'!A:C""),3,0),"""")"),"")</f>
        <v/>
      </c>
      <c r="AH1050" s="49" t="str">
        <f t="shared" si="16"/>
        <v/>
      </c>
    </row>
    <row r="1051" spans="8:34" ht="12.75">
      <c r="H1051" s="43"/>
      <c r="AG1051" s="49" t="str">
        <f ca="1">IFERROR(__xludf.DUMMYFUNCTION("IFNA(vlookup(H1051,IMPORTRANGE(""1vUGwO1n0QQGx9kKbO0_M5gmuhXZ6-LaxQxgrmJnzgP0"",""'TP# look up'!A:C""),3,0),"""")"),"")</f>
        <v/>
      </c>
      <c r="AH1051" s="49" t="str">
        <f t="shared" si="16"/>
        <v/>
      </c>
    </row>
    <row r="1052" spans="8:34" ht="12.75">
      <c r="H1052" s="43"/>
      <c r="AG1052" s="49" t="str">
        <f ca="1">IFERROR(__xludf.DUMMYFUNCTION("IFNA(vlookup(H1052,IMPORTRANGE(""1vUGwO1n0QQGx9kKbO0_M5gmuhXZ6-LaxQxgrmJnzgP0"",""'TP# look up'!A:C""),3,0),"""")"),"")</f>
        <v/>
      </c>
      <c r="AH1052" s="49" t="str">
        <f t="shared" si="16"/>
        <v/>
      </c>
    </row>
    <row r="1053" spans="8:34" ht="12.75">
      <c r="H1053" s="43"/>
      <c r="AG1053" s="49" t="str">
        <f ca="1">IFERROR(__xludf.DUMMYFUNCTION("IFNA(vlookup(H1053,IMPORTRANGE(""1vUGwO1n0QQGx9kKbO0_M5gmuhXZ6-LaxQxgrmJnzgP0"",""'TP# look up'!A:C""),3,0),"""")"),"")</f>
        <v/>
      </c>
      <c r="AH1053" s="49" t="str">
        <f t="shared" si="16"/>
        <v/>
      </c>
    </row>
    <row r="1054" spans="8:34" ht="12.75">
      <c r="H1054" s="43"/>
      <c r="AG1054" s="49" t="str">
        <f ca="1">IFERROR(__xludf.DUMMYFUNCTION("IFNA(vlookup(H1054,IMPORTRANGE(""1vUGwO1n0QQGx9kKbO0_M5gmuhXZ6-LaxQxgrmJnzgP0"",""'TP# look up'!A:C""),3,0),"""")"),"")</f>
        <v/>
      </c>
      <c r="AH1054" s="49" t="str">
        <f t="shared" si="16"/>
        <v/>
      </c>
    </row>
    <row r="1055" spans="8:34" ht="12.75">
      <c r="H1055" s="43"/>
      <c r="AG1055" s="49" t="str">
        <f ca="1">IFERROR(__xludf.DUMMYFUNCTION("IFNA(vlookup(H1055,IMPORTRANGE(""1vUGwO1n0QQGx9kKbO0_M5gmuhXZ6-LaxQxgrmJnzgP0"",""'TP# look up'!A:C""),3,0),"""")"),"")</f>
        <v/>
      </c>
      <c r="AH1055" s="49" t="str">
        <f t="shared" si="16"/>
        <v/>
      </c>
    </row>
    <row r="1056" spans="8:34" ht="12.75">
      <c r="H1056" s="43"/>
      <c r="AG1056" s="49" t="str">
        <f ca="1">IFERROR(__xludf.DUMMYFUNCTION("IFNA(vlookup(H1056,IMPORTRANGE(""1vUGwO1n0QQGx9kKbO0_M5gmuhXZ6-LaxQxgrmJnzgP0"",""'TP# look up'!A:C""),3,0),"""")"),"")</f>
        <v/>
      </c>
      <c r="AH1056" s="49" t="str">
        <f t="shared" si="16"/>
        <v/>
      </c>
    </row>
    <row r="1057" spans="8:34" ht="12.75">
      <c r="H1057" s="43"/>
      <c r="AG1057" s="49" t="str">
        <f ca="1">IFERROR(__xludf.DUMMYFUNCTION("IFNA(vlookup(H1057,IMPORTRANGE(""1vUGwO1n0QQGx9kKbO0_M5gmuhXZ6-LaxQxgrmJnzgP0"",""'TP# look up'!A:C""),3,0),"""")"),"")</f>
        <v/>
      </c>
      <c r="AH1057" s="49" t="str">
        <f t="shared" si="16"/>
        <v/>
      </c>
    </row>
    <row r="1058" spans="8:34" ht="12.75">
      <c r="H1058" s="43"/>
      <c r="AG1058" s="49" t="str">
        <f ca="1">IFERROR(__xludf.DUMMYFUNCTION("IFNA(vlookup(H1058,IMPORTRANGE(""1vUGwO1n0QQGx9kKbO0_M5gmuhXZ6-LaxQxgrmJnzgP0"",""'TP# look up'!A:C""),3,0),"""")"),"")</f>
        <v/>
      </c>
      <c r="AH1058" s="49" t="str">
        <f t="shared" si="16"/>
        <v/>
      </c>
    </row>
    <row r="1059" spans="8:34" ht="12.75">
      <c r="H1059" s="43"/>
      <c r="AG1059" s="49" t="str">
        <f ca="1">IFERROR(__xludf.DUMMYFUNCTION("IFNA(vlookup(H1059,IMPORTRANGE(""1vUGwO1n0QQGx9kKbO0_M5gmuhXZ6-LaxQxgrmJnzgP0"",""'TP# look up'!A:C""),3,0),"""")"),"")</f>
        <v/>
      </c>
      <c r="AH1059" s="49" t="str">
        <f t="shared" si="16"/>
        <v/>
      </c>
    </row>
    <row r="1060" spans="8:34" ht="12.75">
      <c r="H1060" s="43"/>
      <c r="AG1060" s="49" t="str">
        <f ca="1">IFERROR(__xludf.DUMMYFUNCTION("IFNA(vlookup(H1060,IMPORTRANGE(""1vUGwO1n0QQGx9kKbO0_M5gmuhXZ6-LaxQxgrmJnzgP0"",""'TP# look up'!A:C""),3,0),"""")"),"")</f>
        <v/>
      </c>
      <c r="AH1060" s="49" t="str">
        <f t="shared" si="16"/>
        <v/>
      </c>
    </row>
    <row r="1061" spans="8:34" ht="12.75">
      <c r="H1061" s="43"/>
      <c r="AG1061" s="49" t="str">
        <f ca="1">IFERROR(__xludf.DUMMYFUNCTION("IFNA(vlookup(H1061,IMPORTRANGE(""1vUGwO1n0QQGx9kKbO0_M5gmuhXZ6-LaxQxgrmJnzgP0"",""'TP# look up'!A:C""),3,0),"""")"),"")</f>
        <v/>
      </c>
      <c r="AH1061" s="49" t="str">
        <f t="shared" si="16"/>
        <v/>
      </c>
    </row>
    <row r="1062" spans="8:34" ht="12.75">
      <c r="H1062" s="43"/>
      <c r="AG1062" s="49" t="str">
        <f ca="1">IFERROR(__xludf.DUMMYFUNCTION("IFNA(vlookup(H1062,IMPORTRANGE(""1vUGwO1n0QQGx9kKbO0_M5gmuhXZ6-LaxQxgrmJnzgP0"",""'TP# look up'!A:C""),3,0),"""")"),"")</f>
        <v/>
      </c>
      <c r="AH1062" s="49" t="str">
        <f t="shared" si="16"/>
        <v/>
      </c>
    </row>
    <row r="1063" spans="8:34" ht="12.75">
      <c r="H1063" s="43"/>
      <c r="AG1063" s="49" t="str">
        <f ca="1">IFERROR(__xludf.DUMMYFUNCTION("IFNA(vlookup(H1063,IMPORTRANGE(""1vUGwO1n0QQGx9kKbO0_M5gmuhXZ6-LaxQxgrmJnzgP0"",""'TP# look up'!A:C""),3,0),"""")"),"")</f>
        <v/>
      </c>
      <c r="AH1063" s="49" t="str">
        <f t="shared" si="16"/>
        <v/>
      </c>
    </row>
    <row r="1064" spans="8:34" ht="12.75">
      <c r="H1064" s="43"/>
      <c r="AG1064" s="49" t="str">
        <f ca="1">IFERROR(__xludf.DUMMYFUNCTION("IFNA(vlookup(H1064,IMPORTRANGE(""1vUGwO1n0QQGx9kKbO0_M5gmuhXZ6-LaxQxgrmJnzgP0"",""'TP# look up'!A:C""),3,0),"""")"),"")</f>
        <v/>
      </c>
      <c r="AH1064" s="49" t="str">
        <f t="shared" si="16"/>
        <v/>
      </c>
    </row>
    <row r="1065" spans="8:34" ht="12.75">
      <c r="H1065" s="43"/>
      <c r="AG1065" s="49" t="str">
        <f ca="1">IFERROR(__xludf.DUMMYFUNCTION("IFNA(vlookup(H1065,IMPORTRANGE(""1vUGwO1n0QQGx9kKbO0_M5gmuhXZ6-LaxQxgrmJnzgP0"",""'TP# look up'!A:C""),3,0),"""")"),"")</f>
        <v/>
      </c>
      <c r="AH1065" s="49" t="str">
        <f t="shared" si="16"/>
        <v/>
      </c>
    </row>
    <row r="1066" spans="8:34" ht="12.75">
      <c r="H1066" s="43"/>
      <c r="AG1066" s="49" t="str">
        <f ca="1">IFERROR(__xludf.DUMMYFUNCTION("IFNA(vlookup(H1066,IMPORTRANGE(""1vUGwO1n0QQGx9kKbO0_M5gmuhXZ6-LaxQxgrmJnzgP0"",""'TP# look up'!A:C""),3,0),"""")"),"")</f>
        <v/>
      </c>
      <c r="AH1066" s="49" t="str">
        <f t="shared" si="16"/>
        <v/>
      </c>
    </row>
    <row r="1067" spans="8:34" ht="12.75">
      <c r="H1067" s="43"/>
      <c r="AG1067" s="49" t="str">
        <f ca="1">IFERROR(__xludf.DUMMYFUNCTION("IFNA(vlookup(H1067,IMPORTRANGE(""1vUGwO1n0QQGx9kKbO0_M5gmuhXZ6-LaxQxgrmJnzgP0"",""'TP# look up'!A:C""),3,0),"""")"),"")</f>
        <v/>
      </c>
      <c r="AH1067" s="49" t="str">
        <f t="shared" si="16"/>
        <v/>
      </c>
    </row>
    <row r="1068" spans="8:34" ht="12.75">
      <c r="H1068" s="43"/>
      <c r="AG1068" s="49" t="str">
        <f ca="1">IFERROR(__xludf.DUMMYFUNCTION("IFNA(vlookup(H1068,IMPORTRANGE(""1vUGwO1n0QQGx9kKbO0_M5gmuhXZ6-LaxQxgrmJnzgP0"",""'TP# look up'!A:C""),3,0),"""")"),"")</f>
        <v/>
      </c>
      <c r="AH1068" s="49" t="str">
        <f t="shared" si="16"/>
        <v/>
      </c>
    </row>
    <row r="1069" spans="8:34" ht="12.75">
      <c r="H1069" s="43"/>
      <c r="AG1069" s="49" t="str">
        <f ca="1">IFERROR(__xludf.DUMMYFUNCTION("IFNA(vlookup(H1069,IMPORTRANGE(""1vUGwO1n0QQGx9kKbO0_M5gmuhXZ6-LaxQxgrmJnzgP0"",""'TP# look up'!A:C""),3,0),"""")"),"")</f>
        <v/>
      </c>
      <c r="AH1069" s="49" t="str">
        <f t="shared" si="16"/>
        <v/>
      </c>
    </row>
    <row r="1070" spans="8:34" ht="12.75">
      <c r="H1070" s="43"/>
      <c r="AG1070" s="49" t="str">
        <f ca="1">IFERROR(__xludf.DUMMYFUNCTION("IFNA(vlookup(H1070,IMPORTRANGE(""1vUGwO1n0QQGx9kKbO0_M5gmuhXZ6-LaxQxgrmJnzgP0"",""'TP# look up'!A:C""),3,0),"""")"),"")</f>
        <v/>
      </c>
      <c r="AH1070" s="49" t="str">
        <f t="shared" si="16"/>
        <v/>
      </c>
    </row>
    <row r="1071" spans="8:34" ht="12.75">
      <c r="H1071" s="43"/>
      <c r="AG1071" s="49" t="str">
        <f ca="1">IFERROR(__xludf.DUMMYFUNCTION("IFNA(vlookup(H1071,IMPORTRANGE(""1vUGwO1n0QQGx9kKbO0_M5gmuhXZ6-LaxQxgrmJnzgP0"",""'TP# look up'!A:C""),3,0),"""")"),"")</f>
        <v/>
      </c>
      <c r="AH1071" s="49" t="str">
        <f t="shared" si="16"/>
        <v/>
      </c>
    </row>
    <row r="1072" spans="8:34" ht="12.75">
      <c r="H1072" s="43"/>
      <c r="AG1072" s="49" t="str">
        <f ca="1">IFERROR(__xludf.DUMMYFUNCTION("IFNA(vlookup(H1072,IMPORTRANGE(""1vUGwO1n0QQGx9kKbO0_M5gmuhXZ6-LaxQxgrmJnzgP0"",""'TP# look up'!A:C""),3,0),"""")"),"")</f>
        <v/>
      </c>
      <c r="AH1072" s="49" t="str">
        <f t="shared" si="16"/>
        <v/>
      </c>
    </row>
    <row r="1073" spans="8:34" ht="12.75">
      <c r="H1073" s="43"/>
      <c r="AG1073" s="49" t="str">
        <f ca="1">IFERROR(__xludf.DUMMYFUNCTION("IFNA(vlookup(H1073,IMPORTRANGE(""1vUGwO1n0QQGx9kKbO0_M5gmuhXZ6-LaxQxgrmJnzgP0"",""'TP# look up'!A:C""),3,0),"""")"),"")</f>
        <v/>
      </c>
      <c r="AH1073" s="49" t="str">
        <f t="shared" si="16"/>
        <v/>
      </c>
    </row>
    <row r="1074" spans="8:34" ht="12.75">
      <c r="H1074" s="43"/>
      <c r="AG1074" s="49" t="str">
        <f ca="1">IFERROR(__xludf.DUMMYFUNCTION("IFNA(vlookup(H1074,IMPORTRANGE(""1vUGwO1n0QQGx9kKbO0_M5gmuhXZ6-LaxQxgrmJnzgP0"",""'TP# look up'!A:C""),3,0),"""")"),"")</f>
        <v/>
      </c>
      <c r="AH1074" s="49" t="str">
        <f t="shared" si="16"/>
        <v/>
      </c>
    </row>
    <row r="1075" spans="8:34" ht="12.75">
      <c r="H1075" s="43"/>
      <c r="AG1075" s="49" t="str">
        <f ca="1">IFERROR(__xludf.DUMMYFUNCTION("IFNA(vlookup(H1075,IMPORTRANGE(""1vUGwO1n0QQGx9kKbO0_M5gmuhXZ6-LaxQxgrmJnzgP0"",""'TP# look up'!A:C""),3,0),"""")"),"")</f>
        <v/>
      </c>
      <c r="AH1075" s="49" t="str">
        <f t="shared" si="16"/>
        <v/>
      </c>
    </row>
    <row r="1076" spans="8:34" ht="12.75">
      <c r="H1076" s="43"/>
      <c r="AG1076" s="49" t="str">
        <f ca="1">IFERROR(__xludf.DUMMYFUNCTION("IFNA(vlookup(H1076,IMPORTRANGE(""1vUGwO1n0QQGx9kKbO0_M5gmuhXZ6-LaxQxgrmJnzgP0"",""'TP# look up'!A:C""),3,0),"""")"),"")</f>
        <v/>
      </c>
      <c r="AH1076" s="49" t="str">
        <f t="shared" si="16"/>
        <v/>
      </c>
    </row>
    <row r="1077" spans="8:34" ht="12.75">
      <c r="H1077" s="43"/>
      <c r="AG1077" s="49" t="str">
        <f ca="1">IFERROR(__xludf.DUMMYFUNCTION("IFNA(vlookup(H1077,IMPORTRANGE(""1vUGwO1n0QQGx9kKbO0_M5gmuhXZ6-LaxQxgrmJnzgP0"",""'TP# look up'!A:C""),3,0),"""")"),"")</f>
        <v/>
      </c>
      <c r="AH1077" s="49" t="str">
        <f t="shared" si="16"/>
        <v/>
      </c>
    </row>
    <row r="1078" spans="8:34" ht="12.75">
      <c r="H1078" s="43"/>
      <c r="AG1078" s="49" t="str">
        <f ca="1">IFERROR(__xludf.DUMMYFUNCTION("IFNA(vlookup(H1078,IMPORTRANGE(""1vUGwO1n0QQGx9kKbO0_M5gmuhXZ6-LaxQxgrmJnzgP0"",""'TP# look up'!A:C""),3,0),"""")"),"")</f>
        <v/>
      </c>
      <c r="AH1078" s="49" t="str">
        <f t="shared" si="16"/>
        <v/>
      </c>
    </row>
    <row r="1079" spans="8:34" ht="12.75">
      <c r="H1079" s="43"/>
      <c r="AG1079" s="49" t="str">
        <f ca="1">IFERROR(__xludf.DUMMYFUNCTION("IFNA(vlookup(H1079,IMPORTRANGE(""1vUGwO1n0QQGx9kKbO0_M5gmuhXZ6-LaxQxgrmJnzgP0"",""'TP# look up'!A:C""),3,0),"""")"),"")</f>
        <v/>
      </c>
      <c r="AH1079" s="49" t="str">
        <f t="shared" si="16"/>
        <v/>
      </c>
    </row>
    <row r="1080" spans="8:34" ht="12.75">
      <c r="H1080" s="43"/>
      <c r="AG1080" s="49" t="str">
        <f ca="1">IFERROR(__xludf.DUMMYFUNCTION("IFNA(vlookup(H1080,IMPORTRANGE(""1vUGwO1n0QQGx9kKbO0_M5gmuhXZ6-LaxQxgrmJnzgP0"",""'TP# look up'!A:C""),3,0),"""")"),"")</f>
        <v/>
      </c>
      <c r="AH1080" s="49" t="str">
        <f t="shared" si="16"/>
        <v/>
      </c>
    </row>
    <row r="1081" spans="8:34" ht="12.75">
      <c r="H1081" s="43"/>
      <c r="AG1081" s="49" t="str">
        <f ca="1">IFERROR(__xludf.DUMMYFUNCTION("IFNA(vlookup(H1081,IMPORTRANGE(""1vUGwO1n0QQGx9kKbO0_M5gmuhXZ6-LaxQxgrmJnzgP0"",""'TP# look up'!A:C""),3,0),"""")"),"")</f>
        <v/>
      </c>
      <c r="AH1081" s="49" t="str">
        <f t="shared" si="16"/>
        <v/>
      </c>
    </row>
    <row r="1082" spans="8:34" ht="12.75">
      <c r="H1082" s="43"/>
      <c r="AG1082" s="49" t="str">
        <f ca="1">IFERROR(__xludf.DUMMYFUNCTION("IFNA(vlookup(H1082,IMPORTRANGE(""1vUGwO1n0QQGx9kKbO0_M5gmuhXZ6-LaxQxgrmJnzgP0"",""'TP# look up'!A:C""),3,0),"""")"),"")</f>
        <v/>
      </c>
      <c r="AH1082" s="49" t="str">
        <f t="shared" si="16"/>
        <v/>
      </c>
    </row>
    <row r="1083" spans="8:34" ht="12.75">
      <c r="H1083" s="43"/>
      <c r="AG1083" s="49" t="str">
        <f ca="1">IFERROR(__xludf.DUMMYFUNCTION("IFNA(vlookup(H1083,IMPORTRANGE(""1vUGwO1n0QQGx9kKbO0_M5gmuhXZ6-LaxQxgrmJnzgP0"",""'TP# look up'!A:C""),3,0),"""")"),"")</f>
        <v/>
      </c>
      <c r="AH1083" s="49" t="str">
        <f t="shared" si="16"/>
        <v/>
      </c>
    </row>
    <row r="1084" spans="8:34" ht="12.75">
      <c r="H1084" s="43"/>
      <c r="AG1084" s="49" t="str">
        <f ca="1">IFERROR(__xludf.DUMMYFUNCTION("IFNA(vlookup(H1084,IMPORTRANGE(""1vUGwO1n0QQGx9kKbO0_M5gmuhXZ6-LaxQxgrmJnzgP0"",""'TP# look up'!A:C""),3,0),"""")"),"")</f>
        <v/>
      </c>
      <c r="AH1084" s="49" t="str">
        <f t="shared" si="16"/>
        <v/>
      </c>
    </row>
    <row r="1085" spans="8:34" ht="12.75">
      <c r="H1085" s="43"/>
      <c r="AG1085" s="49" t="str">
        <f ca="1">IFERROR(__xludf.DUMMYFUNCTION("IFNA(vlookup(H1085,IMPORTRANGE(""1vUGwO1n0QQGx9kKbO0_M5gmuhXZ6-LaxQxgrmJnzgP0"",""'TP# look up'!A:C""),3,0),"""")"),"")</f>
        <v/>
      </c>
      <c r="AH1085" s="49" t="str">
        <f t="shared" si="16"/>
        <v/>
      </c>
    </row>
    <row r="1086" spans="8:34" ht="12.75">
      <c r="H1086" s="43"/>
      <c r="AG1086" s="49" t="str">
        <f ca="1">IFERROR(__xludf.DUMMYFUNCTION("IFNA(vlookup(H1086,IMPORTRANGE(""1vUGwO1n0QQGx9kKbO0_M5gmuhXZ6-LaxQxgrmJnzgP0"",""'TP# look up'!A:C""),3,0),"""")"),"")</f>
        <v/>
      </c>
      <c r="AH1086" s="49" t="str">
        <f t="shared" si="16"/>
        <v/>
      </c>
    </row>
    <row r="1087" spans="8:34" ht="12.75">
      <c r="H1087" s="43"/>
      <c r="AG1087" s="49" t="str">
        <f ca="1">IFERROR(__xludf.DUMMYFUNCTION("IFNA(vlookup(H1087,IMPORTRANGE(""1vUGwO1n0QQGx9kKbO0_M5gmuhXZ6-LaxQxgrmJnzgP0"",""'TP# look up'!A:C""),3,0),"""")"),"")</f>
        <v/>
      </c>
      <c r="AH1087" s="49" t="str">
        <f t="shared" si="16"/>
        <v/>
      </c>
    </row>
    <row r="1088" spans="8:34" ht="12.75">
      <c r="H1088" s="43"/>
      <c r="AG1088" s="49" t="str">
        <f ca="1">IFERROR(__xludf.DUMMYFUNCTION("IFNA(vlookup(H1088,IMPORTRANGE(""1vUGwO1n0QQGx9kKbO0_M5gmuhXZ6-LaxQxgrmJnzgP0"",""'TP# look up'!A:C""),3,0),"""")"),"")</f>
        <v/>
      </c>
      <c r="AH1088" s="49" t="str">
        <f t="shared" si="16"/>
        <v/>
      </c>
    </row>
    <row r="1089" spans="8:34" ht="12.75">
      <c r="H1089" s="43"/>
      <c r="AG1089" s="49" t="str">
        <f ca="1">IFERROR(__xludf.DUMMYFUNCTION("IFNA(vlookup(H1089,IMPORTRANGE(""1vUGwO1n0QQGx9kKbO0_M5gmuhXZ6-LaxQxgrmJnzgP0"",""'TP# look up'!A:C""),3,0),"""")"),"")</f>
        <v/>
      </c>
      <c r="AH1089" s="49" t="str">
        <f t="shared" si="16"/>
        <v/>
      </c>
    </row>
    <row r="1090" spans="8:34" ht="12.75">
      <c r="H1090" s="43"/>
      <c r="AG1090" s="49" t="str">
        <f ca="1">IFERROR(__xludf.DUMMYFUNCTION("IFNA(vlookup(H1090,IMPORTRANGE(""1vUGwO1n0QQGx9kKbO0_M5gmuhXZ6-LaxQxgrmJnzgP0"",""'TP# look up'!A:C""),3,0),"""")"),"")</f>
        <v/>
      </c>
      <c r="AH1090" s="49" t="str">
        <f t="shared" ref="AH1090:AH1153" si="17">LEFT(J1090,2)</f>
        <v/>
      </c>
    </row>
    <row r="1091" spans="8:34" ht="12.75">
      <c r="H1091" s="43"/>
      <c r="AG1091" s="49" t="str">
        <f ca="1">IFERROR(__xludf.DUMMYFUNCTION("IFNA(vlookup(H1091,IMPORTRANGE(""1vUGwO1n0QQGx9kKbO0_M5gmuhXZ6-LaxQxgrmJnzgP0"",""'TP# look up'!A:C""),3,0),"""")"),"")</f>
        <v/>
      </c>
      <c r="AH1091" s="49" t="str">
        <f t="shared" si="17"/>
        <v/>
      </c>
    </row>
    <row r="1092" spans="8:34" ht="12.75">
      <c r="H1092" s="43"/>
      <c r="AG1092" s="49" t="str">
        <f ca="1">IFERROR(__xludf.DUMMYFUNCTION("IFNA(vlookup(H1092,IMPORTRANGE(""1vUGwO1n0QQGx9kKbO0_M5gmuhXZ6-LaxQxgrmJnzgP0"",""'TP# look up'!A:C""),3,0),"""")"),"")</f>
        <v/>
      </c>
      <c r="AH1092" s="49" t="str">
        <f t="shared" si="17"/>
        <v/>
      </c>
    </row>
    <row r="1093" spans="8:34" ht="12.75">
      <c r="H1093" s="43"/>
      <c r="AG1093" s="49" t="str">
        <f ca="1">IFERROR(__xludf.DUMMYFUNCTION("IFNA(vlookup(H1093,IMPORTRANGE(""1vUGwO1n0QQGx9kKbO0_M5gmuhXZ6-LaxQxgrmJnzgP0"",""'TP# look up'!A:C""),3,0),"""")"),"")</f>
        <v/>
      </c>
      <c r="AH1093" s="49" t="str">
        <f t="shared" si="17"/>
        <v/>
      </c>
    </row>
    <row r="1094" spans="8:34" ht="12.75">
      <c r="H1094" s="43"/>
      <c r="AG1094" s="49" t="str">
        <f ca="1">IFERROR(__xludf.DUMMYFUNCTION("IFNA(vlookup(H1094,IMPORTRANGE(""1vUGwO1n0QQGx9kKbO0_M5gmuhXZ6-LaxQxgrmJnzgP0"",""'TP# look up'!A:C""),3,0),"""")"),"")</f>
        <v/>
      </c>
      <c r="AH1094" s="49" t="str">
        <f t="shared" si="17"/>
        <v/>
      </c>
    </row>
    <row r="1095" spans="8:34" ht="12.75">
      <c r="H1095" s="43"/>
      <c r="AG1095" s="49" t="str">
        <f ca="1">IFERROR(__xludf.DUMMYFUNCTION("IFNA(vlookup(H1095,IMPORTRANGE(""1vUGwO1n0QQGx9kKbO0_M5gmuhXZ6-LaxQxgrmJnzgP0"",""'TP# look up'!A:C""),3,0),"""")"),"")</f>
        <v/>
      </c>
      <c r="AH1095" s="49" t="str">
        <f t="shared" si="17"/>
        <v/>
      </c>
    </row>
    <row r="1096" spans="8:34" ht="12.75">
      <c r="H1096" s="43"/>
      <c r="AG1096" s="49" t="str">
        <f ca="1">IFERROR(__xludf.DUMMYFUNCTION("IFNA(vlookup(H1096,IMPORTRANGE(""1vUGwO1n0QQGx9kKbO0_M5gmuhXZ6-LaxQxgrmJnzgP0"",""'TP# look up'!A:C""),3,0),"""")"),"")</f>
        <v/>
      </c>
      <c r="AH1096" s="49" t="str">
        <f t="shared" si="17"/>
        <v/>
      </c>
    </row>
    <row r="1097" spans="8:34" ht="12.75">
      <c r="H1097" s="43"/>
      <c r="AG1097" s="49" t="str">
        <f ca="1">IFERROR(__xludf.DUMMYFUNCTION("IFNA(vlookup(H1097,IMPORTRANGE(""1vUGwO1n0QQGx9kKbO0_M5gmuhXZ6-LaxQxgrmJnzgP0"",""'TP# look up'!A:C""),3,0),"""")"),"")</f>
        <v/>
      </c>
      <c r="AH1097" s="49" t="str">
        <f t="shared" si="17"/>
        <v/>
      </c>
    </row>
    <row r="1098" spans="8:34" ht="12.75">
      <c r="H1098" s="43"/>
      <c r="AG1098" s="49" t="str">
        <f ca="1">IFERROR(__xludf.DUMMYFUNCTION("IFNA(vlookup(H1098,IMPORTRANGE(""1vUGwO1n0QQGx9kKbO0_M5gmuhXZ6-LaxQxgrmJnzgP0"",""'TP# look up'!A:C""),3,0),"""")"),"")</f>
        <v/>
      </c>
      <c r="AH1098" s="49" t="str">
        <f t="shared" si="17"/>
        <v/>
      </c>
    </row>
    <row r="1099" spans="8:34" ht="12.75">
      <c r="H1099" s="43"/>
      <c r="AG1099" s="49" t="str">
        <f ca="1">IFERROR(__xludf.DUMMYFUNCTION("IFNA(vlookup(H1099,IMPORTRANGE(""1vUGwO1n0QQGx9kKbO0_M5gmuhXZ6-LaxQxgrmJnzgP0"",""'TP# look up'!A:C""),3,0),"""")"),"")</f>
        <v/>
      </c>
      <c r="AH1099" s="49" t="str">
        <f t="shared" si="17"/>
        <v/>
      </c>
    </row>
    <row r="1100" spans="8:34" ht="12.75">
      <c r="H1100" s="43"/>
      <c r="AG1100" s="49" t="str">
        <f ca="1">IFERROR(__xludf.DUMMYFUNCTION("IFNA(vlookup(H1100,IMPORTRANGE(""1vUGwO1n0QQGx9kKbO0_M5gmuhXZ6-LaxQxgrmJnzgP0"",""'TP# look up'!A:C""),3,0),"""")"),"")</f>
        <v/>
      </c>
      <c r="AH1100" s="49" t="str">
        <f t="shared" si="17"/>
        <v/>
      </c>
    </row>
    <row r="1101" spans="8:34" ht="12.75">
      <c r="H1101" s="43"/>
      <c r="AG1101" s="49" t="str">
        <f ca="1">IFERROR(__xludf.DUMMYFUNCTION("IFNA(vlookup(H1101,IMPORTRANGE(""1vUGwO1n0QQGx9kKbO0_M5gmuhXZ6-LaxQxgrmJnzgP0"",""'TP# look up'!A:C""),3,0),"""")"),"")</f>
        <v/>
      </c>
      <c r="AH1101" s="49" t="str">
        <f t="shared" si="17"/>
        <v/>
      </c>
    </row>
    <row r="1102" spans="8:34" ht="12.75">
      <c r="H1102" s="43"/>
      <c r="AG1102" s="49" t="str">
        <f ca="1">IFERROR(__xludf.DUMMYFUNCTION("IFNA(vlookup(H1102,IMPORTRANGE(""1vUGwO1n0QQGx9kKbO0_M5gmuhXZ6-LaxQxgrmJnzgP0"",""'TP# look up'!A:C""),3,0),"""")"),"")</f>
        <v/>
      </c>
      <c r="AH1102" s="49" t="str">
        <f t="shared" si="17"/>
        <v/>
      </c>
    </row>
    <row r="1103" spans="8:34" ht="12.75">
      <c r="H1103" s="43"/>
      <c r="AG1103" s="49" t="str">
        <f ca="1">IFERROR(__xludf.DUMMYFUNCTION("IFNA(vlookup(H1103,IMPORTRANGE(""1vUGwO1n0QQGx9kKbO0_M5gmuhXZ6-LaxQxgrmJnzgP0"",""'TP# look up'!A:C""),3,0),"""")"),"")</f>
        <v/>
      </c>
      <c r="AH1103" s="49" t="str">
        <f t="shared" si="17"/>
        <v/>
      </c>
    </row>
    <row r="1104" spans="8:34" ht="12.75">
      <c r="H1104" s="43"/>
      <c r="AG1104" s="49" t="str">
        <f ca="1">IFERROR(__xludf.DUMMYFUNCTION("IFNA(vlookup(H1104,IMPORTRANGE(""1vUGwO1n0QQGx9kKbO0_M5gmuhXZ6-LaxQxgrmJnzgP0"",""'TP# look up'!A:C""),3,0),"""")"),"")</f>
        <v/>
      </c>
      <c r="AH1104" s="49" t="str">
        <f t="shared" si="17"/>
        <v/>
      </c>
    </row>
    <row r="1105" spans="8:34" ht="12.75">
      <c r="H1105" s="43"/>
      <c r="AG1105" s="49" t="str">
        <f ca="1">IFERROR(__xludf.DUMMYFUNCTION("IFNA(vlookup(H1105,IMPORTRANGE(""1vUGwO1n0QQGx9kKbO0_M5gmuhXZ6-LaxQxgrmJnzgP0"",""'TP# look up'!A:C""),3,0),"""")"),"")</f>
        <v/>
      </c>
      <c r="AH1105" s="49" t="str">
        <f t="shared" si="17"/>
        <v/>
      </c>
    </row>
    <row r="1106" spans="8:34" ht="12.75">
      <c r="H1106" s="43"/>
      <c r="AG1106" s="49" t="str">
        <f ca="1">IFERROR(__xludf.DUMMYFUNCTION("IFNA(vlookup(H1106,IMPORTRANGE(""1vUGwO1n0QQGx9kKbO0_M5gmuhXZ6-LaxQxgrmJnzgP0"",""'TP# look up'!A:C""),3,0),"""")"),"")</f>
        <v/>
      </c>
      <c r="AH1106" s="49" t="str">
        <f t="shared" si="17"/>
        <v/>
      </c>
    </row>
    <row r="1107" spans="8:34" ht="12.75">
      <c r="H1107" s="43"/>
      <c r="AG1107" s="49" t="str">
        <f ca="1">IFERROR(__xludf.DUMMYFUNCTION("IFNA(vlookup(H1107,IMPORTRANGE(""1vUGwO1n0QQGx9kKbO0_M5gmuhXZ6-LaxQxgrmJnzgP0"",""'TP# look up'!A:C""),3,0),"""")"),"")</f>
        <v/>
      </c>
      <c r="AH1107" s="49" t="str">
        <f t="shared" si="17"/>
        <v/>
      </c>
    </row>
    <row r="1108" spans="8:34" ht="12.75">
      <c r="H1108" s="43"/>
      <c r="AG1108" s="49" t="str">
        <f ca="1">IFERROR(__xludf.DUMMYFUNCTION("IFNA(vlookup(H1108,IMPORTRANGE(""1vUGwO1n0QQGx9kKbO0_M5gmuhXZ6-LaxQxgrmJnzgP0"",""'TP# look up'!A:C""),3,0),"""")"),"")</f>
        <v/>
      </c>
      <c r="AH1108" s="49" t="str">
        <f t="shared" si="17"/>
        <v/>
      </c>
    </row>
    <row r="1109" spans="8:34" ht="12.75">
      <c r="H1109" s="43"/>
      <c r="AG1109" s="49" t="str">
        <f ca="1">IFERROR(__xludf.DUMMYFUNCTION("IFNA(vlookup(H1109,IMPORTRANGE(""1vUGwO1n0QQGx9kKbO0_M5gmuhXZ6-LaxQxgrmJnzgP0"",""'TP# look up'!A:C""),3,0),"""")"),"")</f>
        <v/>
      </c>
      <c r="AH1109" s="49" t="str">
        <f t="shared" si="17"/>
        <v/>
      </c>
    </row>
    <row r="1110" spans="8:34" ht="12.75">
      <c r="H1110" s="43"/>
      <c r="AG1110" s="49" t="str">
        <f ca="1">IFERROR(__xludf.DUMMYFUNCTION("IFNA(vlookup(H1110,IMPORTRANGE(""1vUGwO1n0QQGx9kKbO0_M5gmuhXZ6-LaxQxgrmJnzgP0"",""'TP# look up'!A:C""),3,0),"""")"),"")</f>
        <v/>
      </c>
      <c r="AH1110" s="49" t="str">
        <f t="shared" si="17"/>
        <v/>
      </c>
    </row>
    <row r="1111" spans="8:34" ht="12.75">
      <c r="H1111" s="43"/>
      <c r="AG1111" s="49" t="str">
        <f ca="1">IFERROR(__xludf.DUMMYFUNCTION("IFNA(vlookup(H1111,IMPORTRANGE(""1vUGwO1n0QQGx9kKbO0_M5gmuhXZ6-LaxQxgrmJnzgP0"",""'TP# look up'!A:C""),3,0),"""")"),"")</f>
        <v/>
      </c>
      <c r="AH1111" s="49" t="str">
        <f t="shared" si="17"/>
        <v/>
      </c>
    </row>
    <row r="1112" spans="8:34" ht="12.75">
      <c r="H1112" s="43"/>
      <c r="AG1112" s="49" t="str">
        <f ca="1">IFERROR(__xludf.DUMMYFUNCTION("IFNA(vlookup(H1112,IMPORTRANGE(""1vUGwO1n0QQGx9kKbO0_M5gmuhXZ6-LaxQxgrmJnzgP0"",""'TP# look up'!A:C""),3,0),"""")"),"")</f>
        <v/>
      </c>
      <c r="AH1112" s="49" t="str">
        <f t="shared" si="17"/>
        <v/>
      </c>
    </row>
    <row r="1113" spans="8:34" ht="12.75">
      <c r="H1113" s="43"/>
      <c r="AG1113" s="49" t="str">
        <f ca="1">IFERROR(__xludf.DUMMYFUNCTION("IFNA(vlookup(H1113,IMPORTRANGE(""1vUGwO1n0QQGx9kKbO0_M5gmuhXZ6-LaxQxgrmJnzgP0"",""'TP# look up'!A:C""),3,0),"""")"),"")</f>
        <v/>
      </c>
      <c r="AH1113" s="49" t="str">
        <f t="shared" si="17"/>
        <v/>
      </c>
    </row>
    <row r="1114" spans="8:34" ht="12.75">
      <c r="H1114" s="43"/>
      <c r="AG1114" s="49" t="str">
        <f ca="1">IFERROR(__xludf.DUMMYFUNCTION("IFNA(vlookup(H1114,IMPORTRANGE(""1vUGwO1n0QQGx9kKbO0_M5gmuhXZ6-LaxQxgrmJnzgP0"",""'TP# look up'!A:C""),3,0),"""")"),"")</f>
        <v/>
      </c>
      <c r="AH1114" s="49" t="str">
        <f t="shared" si="17"/>
        <v/>
      </c>
    </row>
    <row r="1115" spans="8:34" ht="12.75">
      <c r="H1115" s="43"/>
      <c r="AG1115" s="49" t="str">
        <f ca="1">IFERROR(__xludf.DUMMYFUNCTION("IFNA(vlookup(H1115,IMPORTRANGE(""1vUGwO1n0QQGx9kKbO0_M5gmuhXZ6-LaxQxgrmJnzgP0"",""'TP# look up'!A:C""),3,0),"""")"),"")</f>
        <v/>
      </c>
      <c r="AH1115" s="49" t="str">
        <f t="shared" si="17"/>
        <v/>
      </c>
    </row>
    <row r="1116" spans="8:34" ht="12.75">
      <c r="H1116" s="43"/>
      <c r="AG1116" s="49" t="str">
        <f ca="1">IFERROR(__xludf.DUMMYFUNCTION("IFNA(vlookup(H1116,IMPORTRANGE(""1vUGwO1n0QQGx9kKbO0_M5gmuhXZ6-LaxQxgrmJnzgP0"",""'TP# look up'!A:C""),3,0),"""")"),"")</f>
        <v/>
      </c>
      <c r="AH1116" s="49" t="str">
        <f t="shared" si="17"/>
        <v/>
      </c>
    </row>
    <row r="1117" spans="8:34" ht="12.75">
      <c r="H1117" s="43"/>
      <c r="AG1117" s="49" t="str">
        <f ca="1">IFERROR(__xludf.DUMMYFUNCTION("IFNA(vlookup(H1117,IMPORTRANGE(""1vUGwO1n0QQGx9kKbO0_M5gmuhXZ6-LaxQxgrmJnzgP0"",""'TP# look up'!A:C""),3,0),"""")"),"")</f>
        <v/>
      </c>
      <c r="AH1117" s="49" t="str">
        <f t="shared" si="17"/>
        <v/>
      </c>
    </row>
    <row r="1118" spans="8:34" ht="12.75">
      <c r="H1118" s="43"/>
      <c r="AG1118" s="49" t="str">
        <f ca="1">IFERROR(__xludf.DUMMYFUNCTION("IFNA(vlookup(H1118,IMPORTRANGE(""1vUGwO1n0QQGx9kKbO0_M5gmuhXZ6-LaxQxgrmJnzgP0"",""'TP# look up'!A:C""),3,0),"""")"),"")</f>
        <v/>
      </c>
      <c r="AH1118" s="49" t="str">
        <f t="shared" si="17"/>
        <v/>
      </c>
    </row>
    <row r="1119" spans="8:34" ht="12.75">
      <c r="H1119" s="43"/>
      <c r="AG1119" s="49" t="str">
        <f ca="1">IFERROR(__xludf.DUMMYFUNCTION("IFNA(vlookup(H1119,IMPORTRANGE(""1vUGwO1n0QQGx9kKbO0_M5gmuhXZ6-LaxQxgrmJnzgP0"",""'TP# look up'!A:C""),3,0),"""")"),"")</f>
        <v/>
      </c>
      <c r="AH1119" s="49" t="str">
        <f t="shared" si="17"/>
        <v/>
      </c>
    </row>
    <row r="1120" spans="8:34" ht="12.75">
      <c r="H1120" s="43"/>
      <c r="AG1120" s="49" t="str">
        <f ca="1">IFERROR(__xludf.DUMMYFUNCTION("IFNA(vlookup(H1120,IMPORTRANGE(""1vUGwO1n0QQGx9kKbO0_M5gmuhXZ6-LaxQxgrmJnzgP0"",""'TP# look up'!A:C""),3,0),"""")"),"")</f>
        <v/>
      </c>
      <c r="AH1120" s="49" t="str">
        <f t="shared" si="17"/>
        <v/>
      </c>
    </row>
    <row r="1121" spans="8:34" ht="12.75">
      <c r="H1121" s="43"/>
      <c r="AG1121" s="49" t="str">
        <f ca="1">IFERROR(__xludf.DUMMYFUNCTION("IFNA(vlookup(H1121,IMPORTRANGE(""1vUGwO1n0QQGx9kKbO0_M5gmuhXZ6-LaxQxgrmJnzgP0"",""'TP# look up'!A:C""),3,0),"""")"),"")</f>
        <v/>
      </c>
      <c r="AH1121" s="49" t="str">
        <f t="shared" si="17"/>
        <v/>
      </c>
    </row>
    <row r="1122" spans="8:34" ht="12.75">
      <c r="H1122" s="43"/>
      <c r="AG1122" s="49" t="str">
        <f ca="1">IFERROR(__xludf.DUMMYFUNCTION("IFNA(vlookup(H1122,IMPORTRANGE(""1vUGwO1n0QQGx9kKbO0_M5gmuhXZ6-LaxQxgrmJnzgP0"",""'TP# look up'!A:C""),3,0),"""")"),"")</f>
        <v/>
      </c>
      <c r="AH1122" s="49" t="str">
        <f t="shared" si="17"/>
        <v/>
      </c>
    </row>
    <row r="1123" spans="8:34" ht="12.75">
      <c r="H1123" s="43"/>
      <c r="AG1123" s="49" t="str">
        <f ca="1">IFERROR(__xludf.DUMMYFUNCTION("IFNA(vlookup(H1123,IMPORTRANGE(""1vUGwO1n0QQGx9kKbO0_M5gmuhXZ6-LaxQxgrmJnzgP0"",""'TP# look up'!A:C""),3,0),"""")"),"")</f>
        <v/>
      </c>
      <c r="AH1123" s="49" t="str">
        <f t="shared" si="17"/>
        <v/>
      </c>
    </row>
    <row r="1124" spans="8:34" ht="12.75">
      <c r="H1124" s="43"/>
      <c r="AG1124" s="49" t="str">
        <f ca="1">IFERROR(__xludf.DUMMYFUNCTION("IFNA(vlookup(H1124,IMPORTRANGE(""1vUGwO1n0QQGx9kKbO0_M5gmuhXZ6-LaxQxgrmJnzgP0"",""'TP# look up'!A:C""),3,0),"""")"),"")</f>
        <v/>
      </c>
      <c r="AH1124" s="49" t="str">
        <f t="shared" si="17"/>
        <v/>
      </c>
    </row>
    <row r="1125" spans="8:34" ht="12.75">
      <c r="H1125" s="43"/>
      <c r="AG1125" s="49" t="str">
        <f ca="1">IFERROR(__xludf.DUMMYFUNCTION("IFNA(vlookup(H1125,IMPORTRANGE(""1vUGwO1n0QQGx9kKbO0_M5gmuhXZ6-LaxQxgrmJnzgP0"",""'TP# look up'!A:C""),3,0),"""")"),"")</f>
        <v/>
      </c>
      <c r="AH1125" s="49" t="str">
        <f t="shared" si="17"/>
        <v/>
      </c>
    </row>
    <row r="1126" spans="8:34" ht="12.75">
      <c r="H1126" s="43"/>
      <c r="AG1126" s="49" t="str">
        <f ca="1">IFERROR(__xludf.DUMMYFUNCTION("IFNA(vlookup(H1126,IMPORTRANGE(""1vUGwO1n0QQGx9kKbO0_M5gmuhXZ6-LaxQxgrmJnzgP0"",""'TP# look up'!A:C""),3,0),"""")"),"")</f>
        <v/>
      </c>
      <c r="AH1126" s="49" t="str">
        <f t="shared" si="17"/>
        <v/>
      </c>
    </row>
    <row r="1127" spans="8:34" ht="12.75">
      <c r="H1127" s="43"/>
      <c r="AG1127" s="49" t="str">
        <f ca="1">IFERROR(__xludf.DUMMYFUNCTION("IFNA(vlookup(H1127,IMPORTRANGE(""1vUGwO1n0QQGx9kKbO0_M5gmuhXZ6-LaxQxgrmJnzgP0"",""'TP# look up'!A:C""),3,0),"""")"),"")</f>
        <v/>
      </c>
      <c r="AH1127" s="49" t="str">
        <f t="shared" si="17"/>
        <v/>
      </c>
    </row>
    <row r="1128" spans="8:34" ht="12.75">
      <c r="H1128" s="43"/>
      <c r="AG1128" s="49" t="str">
        <f ca="1">IFERROR(__xludf.DUMMYFUNCTION("IFNA(vlookup(H1128,IMPORTRANGE(""1vUGwO1n0QQGx9kKbO0_M5gmuhXZ6-LaxQxgrmJnzgP0"",""'TP# look up'!A:C""),3,0),"""")"),"")</f>
        <v/>
      </c>
      <c r="AH1128" s="49" t="str">
        <f t="shared" si="17"/>
        <v/>
      </c>
    </row>
    <row r="1129" spans="8:34" ht="12.75">
      <c r="H1129" s="43"/>
      <c r="AG1129" s="49" t="str">
        <f ca="1">IFERROR(__xludf.DUMMYFUNCTION("IFNA(vlookup(H1129,IMPORTRANGE(""1vUGwO1n0QQGx9kKbO0_M5gmuhXZ6-LaxQxgrmJnzgP0"",""'TP# look up'!A:C""),3,0),"""")"),"")</f>
        <v/>
      </c>
      <c r="AH1129" s="49" t="str">
        <f t="shared" si="17"/>
        <v/>
      </c>
    </row>
    <row r="1130" spans="8:34" ht="12.75">
      <c r="H1130" s="43"/>
      <c r="AG1130" s="49" t="str">
        <f ca="1">IFERROR(__xludf.DUMMYFUNCTION("IFNA(vlookup(H1130,IMPORTRANGE(""1vUGwO1n0QQGx9kKbO0_M5gmuhXZ6-LaxQxgrmJnzgP0"",""'TP# look up'!A:C""),3,0),"""")"),"")</f>
        <v/>
      </c>
      <c r="AH1130" s="49" t="str">
        <f t="shared" si="17"/>
        <v/>
      </c>
    </row>
    <row r="1131" spans="8:34" ht="12.75">
      <c r="H1131" s="43"/>
      <c r="AG1131" s="49" t="str">
        <f ca="1">IFERROR(__xludf.DUMMYFUNCTION("IFNA(vlookup(H1131,IMPORTRANGE(""1vUGwO1n0QQGx9kKbO0_M5gmuhXZ6-LaxQxgrmJnzgP0"",""'TP# look up'!A:C""),3,0),"""")"),"")</f>
        <v/>
      </c>
      <c r="AH1131" s="49" t="str">
        <f t="shared" si="17"/>
        <v/>
      </c>
    </row>
    <row r="1132" spans="8:34" ht="12.75">
      <c r="H1132" s="43"/>
      <c r="AG1132" s="49" t="str">
        <f ca="1">IFERROR(__xludf.DUMMYFUNCTION("IFNA(vlookup(H1132,IMPORTRANGE(""1vUGwO1n0QQGx9kKbO0_M5gmuhXZ6-LaxQxgrmJnzgP0"",""'TP# look up'!A:C""),3,0),"""")"),"")</f>
        <v/>
      </c>
      <c r="AH1132" s="49" t="str">
        <f t="shared" si="17"/>
        <v/>
      </c>
    </row>
    <row r="1133" spans="8:34" ht="12.75">
      <c r="H1133" s="43"/>
      <c r="AG1133" s="49" t="str">
        <f ca="1">IFERROR(__xludf.DUMMYFUNCTION("IFNA(vlookup(H1133,IMPORTRANGE(""1vUGwO1n0QQGx9kKbO0_M5gmuhXZ6-LaxQxgrmJnzgP0"",""'TP# look up'!A:C""),3,0),"""")"),"")</f>
        <v/>
      </c>
      <c r="AH1133" s="49" t="str">
        <f t="shared" si="17"/>
        <v/>
      </c>
    </row>
    <row r="1134" spans="8:34" ht="12.75">
      <c r="H1134" s="43"/>
      <c r="AG1134" s="49" t="str">
        <f ca="1">IFERROR(__xludf.DUMMYFUNCTION("IFNA(vlookup(H1134,IMPORTRANGE(""1vUGwO1n0QQGx9kKbO0_M5gmuhXZ6-LaxQxgrmJnzgP0"",""'TP# look up'!A:C""),3,0),"""")"),"")</f>
        <v/>
      </c>
      <c r="AH1134" s="49" t="str">
        <f t="shared" si="17"/>
        <v/>
      </c>
    </row>
    <row r="1135" spans="8:34" ht="12.75">
      <c r="H1135" s="43"/>
      <c r="AG1135" s="49" t="str">
        <f ca="1">IFERROR(__xludf.DUMMYFUNCTION("IFNA(vlookup(H1135,IMPORTRANGE(""1vUGwO1n0QQGx9kKbO0_M5gmuhXZ6-LaxQxgrmJnzgP0"",""'TP# look up'!A:C""),3,0),"""")"),"")</f>
        <v/>
      </c>
      <c r="AH1135" s="49" t="str">
        <f t="shared" si="17"/>
        <v/>
      </c>
    </row>
    <row r="1136" spans="8:34" ht="12.75">
      <c r="H1136" s="43"/>
      <c r="AG1136" s="49" t="str">
        <f ca="1">IFERROR(__xludf.DUMMYFUNCTION("IFNA(vlookup(H1136,IMPORTRANGE(""1vUGwO1n0QQGx9kKbO0_M5gmuhXZ6-LaxQxgrmJnzgP0"",""'TP# look up'!A:C""),3,0),"""")"),"")</f>
        <v/>
      </c>
      <c r="AH1136" s="49" t="str">
        <f t="shared" si="17"/>
        <v/>
      </c>
    </row>
    <row r="1137" spans="8:34" ht="12.75">
      <c r="H1137" s="43"/>
      <c r="AG1137" s="49" t="str">
        <f ca="1">IFERROR(__xludf.DUMMYFUNCTION("IFNA(vlookup(H1137,IMPORTRANGE(""1vUGwO1n0QQGx9kKbO0_M5gmuhXZ6-LaxQxgrmJnzgP0"",""'TP# look up'!A:C""),3,0),"""")"),"")</f>
        <v/>
      </c>
      <c r="AH1137" s="49" t="str">
        <f t="shared" si="17"/>
        <v/>
      </c>
    </row>
    <row r="1138" spans="8:34" ht="12.75">
      <c r="H1138" s="43"/>
      <c r="AG1138" s="49" t="str">
        <f ca="1">IFERROR(__xludf.DUMMYFUNCTION("IFNA(vlookup(H1138,IMPORTRANGE(""1vUGwO1n0QQGx9kKbO0_M5gmuhXZ6-LaxQxgrmJnzgP0"",""'TP# look up'!A:C""),3,0),"""")"),"")</f>
        <v/>
      </c>
      <c r="AH1138" s="49" t="str">
        <f t="shared" si="17"/>
        <v/>
      </c>
    </row>
    <row r="1139" spans="8:34" ht="12.75">
      <c r="H1139" s="43"/>
      <c r="AG1139" s="49" t="str">
        <f ca="1">IFERROR(__xludf.DUMMYFUNCTION("IFNA(vlookup(H1139,IMPORTRANGE(""1vUGwO1n0QQGx9kKbO0_M5gmuhXZ6-LaxQxgrmJnzgP0"",""'TP# look up'!A:C""),3,0),"""")"),"")</f>
        <v/>
      </c>
      <c r="AH1139" s="49" t="str">
        <f t="shared" si="17"/>
        <v/>
      </c>
    </row>
    <row r="1140" spans="8:34" ht="12.75">
      <c r="H1140" s="43"/>
      <c r="AG1140" s="49" t="str">
        <f ca="1">IFERROR(__xludf.DUMMYFUNCTION("IFNA(vlookup(H1140,IMPORTRANGE(""1vUGwO1n0QQGx9kKbO0_M5gmuhXZ6-LaxQxgrmJnzgP0"",""'TP# look up'!A:C""),3,0),"""")"),"")</f>
        <v/>
      </c>
      <c r="AH1140" s="49" t="str">
        <f t="shared" si="17"/>
        <v/>
      </c>
    </row>
    <row r="1141" spans="8:34" ht="12.75">
      <c r="H1141" s="43"/>
      <c r="AG1141" s="49" t="str">
        <f ca="1">IFERROR(__xludf.DUMMYFUNCTION("IFNA(vlookup(H1141,IMPORTRANGE(""1vUGwO1n0QQGx9kKbO0_M5gmuhXZ6-LaxQxgrmJnzgP0"",""'TP# look up'!A:C""),3,0),"""")"),"")</f>
        <v/>
      </c>
      <c r="AH1141" s="49" t="str">
        <f t="shared" si="17"/>
        <v/>
      </c>
    </row>
    <row r="1142" spans="8:34" ht="12.75">
      <c r="H1142" s="43"/>
      <c r="AG1142" s="49" t="str">
        <f ca="1">IFERROR(__xludf.DUMMYFUNCTION("IFNA(vlookup(H1142,IMPORTRANGE(""1vUGwO1n0QQGx9kKbO0_M5gmuhXZ6-LaxQxgrmJnzgP0"",""'TP# look up'!A:C""),3,0),"""")"),"")</f>
        <v/>
      </c>
      <c r="AH1142" s="49" t="str">
        <f t="shared" si="17"/>
        <v/>
      </c>
    </row>
    <row r="1143" spans="8:34" ht="12.75">
      <c r="H1143" s="43"/>
      <c r="AG1143" s="49" t="str">
        <f ca="1">IFERROR(__xludf.DUMMYFUNCTION("IFNA(vlookup(H1143,IMPORTRANGE(""1vUGwO1n0QQGx9kKbO0_M5gmuhXZ6-LaxQxgrmJnzgP0"",""'TP# look up'!A:C""),3,0),"""")"),"")</f>
        <v/>
      </c>
      <c r="AH1143" s="49" t="str">
        <f t="shared" si="17"/>
        <v/>
      </c>
    </row>
    <row r="1144" spans="8:34" ht="12.75">
      <c r="H1144" s="43"/>
      <c r="AG1144" s="49" t="str">
        <f ca="1">IFERROR(__xludf.DUMMYFUNCTION("IFNA(vlookup(H1144,IMPORTRANGE(""1vUGwO1n0QQGx9kKbO0_M5gmuhXZ6-LaxQxgrmJnzgP0"",""'TP# look up'!A:C""),3,0),"""")"),"")</f>
        <v/>
      </c>
      <c r="AH1144" s="49" t="str">
        <f t="shared" si="17"/>
        <v/>
      </c>
    </row>
    <row r="1145" spans="8:34" ht="12.75">
      <c r="H1145" s="43"/>
      <c r="AG1145" s="49" t="str">
        <f ca="1">IFERROR(__xludf.DUMMYFUNCTION("IFNA(vlookup(H1145,IMPORTRANGE(""1vUGwO1n0QQGx9kKbO0_M5gmuhXZ6-LaxQxgrmJnzgP0"",""'TP# look up'!A:C""),3,0),"""")"),"")</f>
        <v/>
      </c>
      <c r="AH1145" s="49" t="str">
        <f t="shared" si="17"/>
        <v/>
      </c>
    </row>
    <row r="1146" spans="8:34" ht="12.75">
      <c r="H1146" s="43"/>
      <c r="AG1146" s="49" t="str">
        <f ca="1">IFERROR(__xludf.DUMMYFUNCTION("IFNA(vlookup(H1146,IMPORTRANGE(""1vUGwO1n0QQGx9kKbO0_M5gmuhXZ6-LaxQxgrmJnzgP0"",""'TP# look up'!A:C""),3,0),"""")"),"")</f>
        <v/>
      </c>
      <c r="AH1146" s="49" t="str">
        <f t="shared" si="17"/>
        <v/>
      </c>
    </row>
    <row r="1147" spans="8:34" ht="12.75">
      <c r="H1147" s="43"/>
      <c r="AG1147" s="49" t="str">
        <f ca="1">IFERROR(__xludf.DUMMYFUNCTION("IFNA(vlookup(H1147,IMPORTRANGE(""1vUGwO1n0QQGx9kKbO0_M5gmuhXZ6-LaxQxgrmJnzgP0"",""'TP# look up'!A:C""),3,0),"""")"),"")</f>
        <v/>
      </c>
      <c r="AH1147" s="49" t="str">
        <f t="shared" si="17"/>
        <v/>
      </c>
    </row>
    <row r="1148" spans="8:34" ht="12.75">
      <c r="H1148" s="43"/>
      <c r="AG1148" s="49" t="str">
        <f ca="1">IFERROR(__xludf.DUMMYFUNCTION("IFNA(vlookup(H1148,IMPORTRANGE(""1vUGwO1n0QQGx9kKbO0_M5gmuhXZ6-LaxQxgrmJnzgP0"",""'TP# look up'!A:C""),3,0),"""")"),"")</f>
        <v/>
      </c>
      <c r="AH1148" s="49" t="str">
        <f t="shared" si="17"/>
        <v/>
      </c>
    </row>
    <row r="1149" spans="8:34" ht="12.75">
      <c r="H1149" s="43"/>
      <c r="AG1149" s="49" t="str">
        <f ca="1">IFERROR(__xludf.DUMMYFUNCTION("IFNA(vlookup(H1149,IMPORTRANGE(""1vUGwO1n0QQGx9kKbO0_M5gmuhXZ6-LaxQxgrmJnzgP0"",""'TP# look up'!A:C""),3,0),"""")"),"")</f>
        <v/>
      </c>
      <c r="AH1149" s="49" t="str">
        <f t="shared" si="17"/>
        <v/>
      </c>
    </row>
    <row r="1150" spans="8:34" ht="12.75">
      <c r="H1150" s="43"/>
      <c r="AG1150" s="49" t="str">
        <f ca="1">IFERROR(__xludf.DUMMYFUNCTION("IFNA(vlookup(H1150,IMPORTRANGE(""1vUGwO1n0QQGx9kKbO0_M5gmuhXZ6-LaxQxgrmJnzgP0"",""'TP# look up'!A:C""),3,0),"""")"),"")</f>
        <v/>
      </c>
      <c r="AH1150" s="49" t="str">
        <f t="shared" si="17"/>
        <v/>
      </c>
    </row>
    <row r="1151" spans="8:34" ht="12.75">
      <c r="H1151" s="43"/>
      <c r="AG1151" s="49" t="str">
        <f ca="1">IFERROR(__xludf.DUMMYFUNCTION("IFNA(vlookup(H1151,IMPORTRANGE(""1vUGwO1n0QQGx9kKbO0_M5gmuhXZ6-LaxQxgrmJnzgP0"",""'TP# look up'!A:C""),3,0),"""")"),"")</f>
        <v/>
      </c>
      <c r="AH1151" s="49" t="str">
        <f t="shared" si="17"/>
        <v/>
      </c>
    </row>
    <row r="1152" spans="8:34" ht="12.75">
      <c r="H1152" s="43"/>
      <c r="AG1152" s="49" t="str">
        <f ca="1">IFERROR(__xludf.DUMMYFUNCTION("IFNA(vlookup(H1152,IMPORTRANGE(""1vUGwO1n0QQGx9kKbO0_M5gmuhXZ6-LaxQxgrmJnzgP0"",""'TP# look up'!A:C""),3,0),"""")"),"")</f>
        <v/>
      </c>
      <c r="AH1152" s="49" t="str">
        <f t="shared" si="17"/>
        <v/>
      </c>
    </row>
    <row r="1153" spans="8:34" ht="12.75">
      <c r="H1153" s="43"/>
      <c r="AG1153" s="49" t="str">
        <f ca="1">IFERROR(__xludf.DUMMYFUNCTION("IFNA(vlookup(H1153,IMPORTRANGE(""1vUGwO1n0QQGx9kKbO0_M5gmuhXZ6-LaxQxgrmJnzgP0"",""'TP# look up'!A:C""),3,0),"""")"),"")</f>
        <v/>
      </c>
      <c r="AH1153" s="49" t="str">
        <f t="shared" si="17"/>
        <v/>
      </c>
    </row>
    <row r="1154" spans="8:34" ht="12.75">
      <c r="H1154" s="43"/>
      <c r="AG1154" s="49" t="str">
        <f ca="1">IFERROR(__xludf.DUMMYFUNCTION("IFNA(vlookup(H1154,IMPORTRANGE(""1vUGwO1n0QQGx9kKbO0_M5gmuhXZ6-LaxQxgrmJnzgP0"",""'TP# look up'!A:C""),3,0),"""")"),"")</f>
        <v/>
      </c>
      <c r="AH1154" s="49" t="str">
        <f t="shared" ref="AH1154:AH1217" si="18">LEFT(J1154,2)</f>
        <v/>
      </c>
    </row>
    <row r="1155" spans="8:34" ht="12.75">
      <c r="H1155" s="43"/>
      <c r="AG1155" s="49" t="str">
        <f ca="1">IFERROR(__xludf.DUMMYFUNCTION("IFNA(vlookup(H1155,IMPORTRANGE(""1vUGwO1n0QQGx9kKbO0_M5gmuhXZ6-LaxQxgrmJnzgP0"",""'TP# look up'!A:C""),3,0),"""")"),"")</f>
        <v/>
      </c>
      <c r="AH1155" s="49" t="str">
        <f t="shared" si="18"/>
        <v/>
      </c>
    </row>
    <row r="1156" spans="8:34" ht="12.75">
      <c r="H1156" s="43"/>
      <c r="AG1156" s="49" t="str">
        <f ca="1">IFERROR(__xludf.DUMMYFUNCTION("IFNA(vlookup(H1156,IMPORTRANGE(""1vUGwO1n0QQGx9kKbO0_M5gmuhXZ6-LaxQxgrmJnzgP0"",""'TP# look up'!A:C""),3,0),"""")"),"")</f>
        <v/>
      </c>
      <c r="AH1156" s="49" t="str">
        <f t="shared" si="18"/>
        <v/>
      </c>
    </row>
    <row r="1157" spans="8:34" ht="12.75">
      <c r="H1157" s="43"/>
      <c r="AG1157" s="49" t="str">
        <f ca="1">IFERROR(__xludf.DUMMYFUNCTION("IFNA(vlookup(H1157,IMPORTRANGE(""1vUGwO1n0QQGx9kKbO0_M5gmuhXZ6-LaxQxgrmJnzgP0"",""'TP# look up'!A:C""),3,0),"""")"),"")</f>
        <v/>
      </c>
      <c r="AH1157" s="49" t="str">
        <f t="shared" si="18"/>
        <v/>
      </c>
    </row>
    <row r="1158" spans="8:34" ht="12.75">
      <c r="H1158" s="43"/>
      <c r="AG1158" s="49" t="str">
        <f ca="1">IFERROR(__xludf.DUMMYFUNCTION("IFNA(vlookup(H1158,IMPORTRANGE(""1vUGwO1n0QQGx9kKbO0_M5gmuhXZ6-LaxQxgrmJnzgP0"",""'TP# look up'!A:C""),3,0),"""")"),"")</f>
        <v/>
      </c>
      <c r="AH1158" s="49" t="str">
        <f t="shared" si="18"/>
        <v/>
      </c>
    </row>
    <row r="1159" spans="8:34" ht="12.75">
      <c r="H1159" s="43"/>
      <c r="AG1159" s="49" t="str">
        <f ca="1">IFERROR(__xludf.DUMMYFUNCTION("IFNA(vlookup(H1159,IMPORTRANGE(""1vUGwO1n0QQGx9kKbO0_M5gmuhXZ6-LaxQxgrmJnzgP0"",""'TP# look up'!A:C""),3,0),"""")"),"")</f>
        <v/>
      </c>
      <c r="AH1159" s="49" t="str">
        <f t="shared" si="18"/>
        <v/>
      </c>
    </row>
    <row r="1160" spans="8:34" ht="12.75">
      <c r="H1160" s="43"/>
      <c r="AG1160" s="49" t="str">
        <f ca="1">IFERROR(__xludf.DUMMYFUNCTION("IFNA(vlookup(H1160,IMPORTRANGE(""1vUGwO1n0QQGx9kKbO0_M5gmuhXZ6-LaxQxgrmJnzgP0"",""'TP# look up'!A:C""),3,0),"""")"),"")</f>
        <v/>
      </c>
      <c r="AH1160" s="49" t="str">
        <f t="shared" si="18"/>
        <v/>
      </c>
    </row>
    <row r="1161" spans="8:34" ht="12.75">
      <c r="H1161" s="43"/>
      <c r="AG1161" s="49" t="str">
        <f ca="1">IFERROR(__xludf.DUMMYFUNCTION("IFNA(vlookup(H1161,IMPORTRANGE(""1vUGwO1n0QQGx9kKbO0_M5gmuhXZ6-LaxQxgrmJnzgP0"",""'TP# look up'!A:C""),3,0),"""")"),"")</f>
        <v/>
      </c>
      <c r="AH1161" s="49" t="str">
        <f t="shared" si="18"/>
        <v/>
      </c>
    </row>
    <row r="1162" spans="8:34" ht="12.75">
      <c r="H1162" s="43"/>
      <c r="AG1162" s="49" t="str">
        <f ca="1">IFERROR(__xludf.DUMMYFUNCTION("IFNA(vlookup(H1162,IMPORTRANGE(""1vUGwO1n0QQGx9kKbO0_M5gmuhXZ6-LaxQxgrmJnzgP0"",""'TP# look up'!A:C""),3,0),"""")"),"")</f>
        <v/>
      </c>
      <c r="AH1162" s="49" t="str">
        <f t="shared" si="18"/>
        <v/>
      </c>
    </row>
    <row r="1163" spans="8:34" ht="12.75">
      <c r="H1163" s="43"/>
      <c r="AG1163" s="49" t="str">
        <f ca="1">IFERROR(__xludf.DUMMYFUNCTION("IFNA(vlookup(H1163,IMPORTRANGE(""1vUGwO1n0QQGx9kKbO0_M5gmuhXZ6-LaxQxgrmJnzgP0"",""'TP# look up'!A:C""),3,0),"""")"),"")</f>
        <v/>
      </c>
      <c r="AH1163" s="49" t="str">
        <f t="shared" si="18"/>
        <v/>
      </c>
    </row>
    <row r="1164" spans="8:34" ht="12.75">
      <c r="H1164" s="43"/>
      <c r="AG1164" s="49" t="str">
        <f ca="1">IFERROR(__xludf.DUMMYFUNCTION("IFNA(vlookup(H1164,IMPORTRANGE(""1vUGwO1n0QQGx9kKbO0_M5gmuhXZ6-LaxQxgrmJnzgP0"",""'TP# look up'!A:C""),3,0),"""")"),"")</f>
        <v/>
      </c>
      <c r="AH1164" s="49" t="str">
        <f t="shared" si="18"/>
        <v/>
      </c>
    </row>
    <row r="1165" spans="8:34" ht="12.75">
      <c r="H1165" s="43"/>
      <c r="AG1165" s="49" t="str">
        <f ca="1">IFERROR(__xludf.DUMMYFUNCTION("IFNA(vlookup(H1165,IMPORTRANGE(""1vUGwO1n0QQGx9kKbO0_M5gmuhXZ6-LaxQxgrmJnzgP0"",""'TP# look up'!A:C""),3,0),"""")"),"")</f>
        <v/>
      </c>
      <c r="AH1165" s="49" t="str">
        <f t="shared" si="18"/>
        <v/>
      </c>
    </row>
    <row r="1166" spans="8:34" ht="12.75">
      <c r="H1166" s="43"/>
      <c r="AG1166" s="49" t="str">
        <f ca="1">IFERROR(__xludf.DUMMYFUNCTION("IFNA(vlookup(H1166,IMPORTRANGE(""1vUGwO1n0QQGx9kKbO0_M5gmuhXZ6-LaxQxgrmJnzgP0"",""'TP# look up'!A:C""),3,0),"""")"),"")</f>
        <v/>
      </c>
      <c r="AH1166" s="49" t="str">
        <f t="shared" si="18"/>
        <v/>
      </c>
    </row>
    <row r="1167" spans="8:34" ht="12.75">
      <c r="H1167" s="43"/>
      <c r="AG1167" s="49" t="str">
        <f ca="1">IFERROR(__xludf.DUMMYFUNCTION("IFNA(vlookup(H1167,IMPORTRANGE(""1vUGwO1n0QQGx9kKbO0_M5gmuhXZ6-LaxQxgrmJnzgP0"",""'TP# look up'!A:C""),3,0),"""")"),"")</f>
        <v/>
      </c>
      <c r="AH1167" s="49" t="str">
        <f t="shared" si="18"/>
        <v/>
      </c>
    </row>
    <row r="1168" spans="8:34" ht="12.75">
      <c r="H1168" s="43"/>
      <c r="AG1168" s="49" t="str">
        <f ca="1">IFERROR(__xludf.DUMMYFUNCTION("IFNA(vlookup(H1168,IMPORTRANGE(""1vUGwO1n0QQGx9kKbO0_M5gmuhXZ6-LaxQxgrmJnzgP0"",""'TP# look up'!A:C""),3,0),"""")"),"")</f>
        <v/>
      </c>
      <c r="AH1168" s="49" t="str">
        <f t="shared" si="18"/>
        <v/>
      </c>
    </row>
    <row r="1169" spans="8:34" ht="12.75">
      <c r="H1169" s="43"/>
      <c r="AG1169" s="49" t="str">
        <f ca="1">IFERROR(__xludf.DUMMYFUNCTION("IFNA(vlookup(H1169,IMPORTRANGE(""1vUGwO1n0QQGx9kKbO0_M5gmuhXZ6-LaxQxgrmJnzgP0"",""'TP# look up'!A:C""),3,0),"""")"),"")</f>
        <v/>
      </c>
      <c r="AH1169" s="49" t="str">
        <f t="shared" si="18"/>
        <v/>
      </c>
    </row>
    <row r="1170" spans="8:34" ht="12.75">
      <c r="H1170" s="43"/>
      <c r="AG1170" s="49" t="str">
        <f ca="1">IFERROR(__xludf.DUMMYFUNCTION("IFNA(vlookup(H1170,IMPORTRANGE(""1vUGwO1n0QQGx9kKbO0_M5gmuhXZ6-LaxQxgrmJnzgP0"",""'TP# look up'!A:C""),3,0),"""")"),"")</f>
        <v/>
      </c>
      <c r="AH1170" s="49" t="str">
        <f t="shared" si="18"/>
        <v/>
      </c>
    </row>
    <row r="1171" spans="8:34" ht="12.75">
      <c r="H1171" s="43"/>
      <c r="AG1171" s="49" t="str">
        <f ca="1">IFERROR(__xludf.DUMMYFUNCTION("IFNA(vlookup(H1171,IMPORTRANGE(""1vUGwO1n0QQGx9kKbO0_M5gmuhXZ6-LaxQxgrmJnzgP0"",""'TP# look up'!A:C""),3,0),"""")"),"")</f>
        <v/>
      </c>
      <c r="AH1171" s="49" t="str">
        <f t="shared" si="18"/>
        <v/>
      </c>
    </row>
    <row r="1172" spans="8:34" ht="12.75">
      <c r="H1172" s="43"/>
      <c r="AG1172" s="49" t="str">
        <f ca="1">IFERROR(__xludf.DUMMYFUNCTION("IFNA(vlookup(H1172,IMPORTRANGE(""1vUGwO1n0QQGx9kKbO0_M5gmuhXZ6-LaxQxgrmJnzgP0"",""'TP# look up'!A:C""),3,0),"""")"),"")</f>
        <v/>
      </c>
      <c r="AH1172" s="49" t="str">
        <f t="shared" si="18"/>
        <v/>
      </c>
    </row>
    <row r="1173" spans="8:34" ht="12.75">
      <c r="H1173" s="43"/>
      <c r="AG1173" s="49" t="str">
        <f ca="1">IFERROR(__xludf.DUMMYFUNCTION("IFNA(vlookup(H1173,IMPORTRANGE(""1vUGwO1n0QQGx9kKbO0_M5gmuhXZ6-LaxQxgrmJnzgP0"",""'TP# look up'!A:C""),3,0),"""")"),"")</f>
        <v/>
      </c>
      <c r="AH1173" s="49" t="str">
        <f t="shared" si="18"/>
        <v/>
      </c>
    </row>
    <row r="1174" spans="8:34" ht="12.75">
      <c r="H1174" s="43"/>
      <c r="AG1174" s="49" t="str">
        <f ca="1">IFERROR(__xludf.DUMMYFUNCTION("IFNA(vlookup(H1174,IMPORTRANGE(""1vUGwO1n0QQGx9kKbO0_M5gmuhXZ6-LaxQxgrmJnzgP0"",""'TP# look up'!A:C""),3,0),"""")"),"")</f>
        <v/>
      </c>
      <c r="AH1174" s="49" t="str">
        <f t="shared" si="18"/>
        <v/>
      </c>
    </row>
    <row r="1175" spans="8:34" ht="12.75">
      <c r="H1175" s="43"/>
      <c r="AG1175" s="49" t="str">
        <f ca="1">IFERROR(__xludf.DUMMYFUNCTION("IFNA(vlookup(H1175,IMPORTRANGE(""1vUGwO1n0QQGx9kKbO0_M5gmuhXZ6-LaxQxgrmJnzgP0"",""'TP# look up'!A:C""),3,0),"""")"),"")</f>
        <v/>
      </c>
      <c r="AH1175" s="49" t="str">
        <f t="shared" si="18"/>
        <v/>
      </c>
    </row>
    <row r="1176" spans="8:34" ht="12.75">
      <c r="H1176" s="43"/>
      <c r="AG1176" s="49" t="str">
        <f ca="1">IFERROR(__xludf.DUMMYFUNCTION("IFNA(vlookup(H1176,IMPORTRANGE(""1vUGwO1n0QQGx9kKbO0_M5gmuhXZ6-LaxQxgrmJnzgP0"",""'TP# look up'!A:C""),3,0),"""")"),"")</f>
        <v/>
      </c>
      <c r="AH1176" s="49" t="str">
        <f t="shared" si="18"/>
        <v/>
      </c>
    </row>
    <row r="1177" spans="8:34" ht="12.75">
      <c r="H1177" s="43"/>
      <c r="AG1177" s="49" t="str">
        <f ca="1">IFERROR(__xludf.DUMMYFUNCTION("IFNA(vlookup(H1177,IMPORTRANGE(""1vUGwO1n0QQGx9kKbO0_M5gmuhXZ6-LaxQxgrmJnzgP0"",""'TP# look up'!A:C""),3,0),"""")"),"")</f>
        <v/>
      </c>
      <c r="AH1177" s="49" t="str">
        <f t="shared" si="18"/>
        <v/>
      </c>
    </row>
    <row r="1178" spans="8:34" ht="12.75">
      <c r="H1178" s="43"/>
      <c r="AG1178" s="49" t="str">
        <f ca="1">IFERROR(__xludf.DUMMYFUNCTION("IFNA(vlookup(H1178,IMPORTRANGE(""1vUGwO1n0QQGx9kKbO0_M5gmuhXZ6-LaxQxgrmJnzgP0"",""'TP# look up'!A:C""),3,0),"""")"),"")</f>
        <v/>
      </c>
      <c r="AH1178" s="49" t="str">
        <f t="shared" si="18"/>
        <v/>
      </c>
    </row>
    <row r="1179" spans="8:34" ht="12.75">
      <c r="H1179" s="43"/>
      <c r="AG1179" s="49" t="str">
        <f ca="1">IFERROR(__xludf.DUMMYFUNCTION("IFNA(vlookup(H1179,IMPORTRANGE(""1vUGwO1n0QQGx9kKbO0_M5gmuhXZ6-LaxQxgrmJnzgP0"",""'TP# look up'!A:C""),3,0),"""")"),"")</f>
        <v/>
      </c>
      <c r="AH1179" s="49" t="str">
        <f t="shared" si="18"/>
        <v/>
      </c>
    </row>
    <row r="1180" spans="8:34" ht="12.75">
      <c r="H1180" s="43"/>
      <c r="AG1180" s="49" t="str">
        <f ca="1">IFERROR(__xludf.DUMMYFUNCTION("IFNA(vlookup(H1180,IMPORTRANGE(""1vUGwO1n0QQGx9kKbO0_M5gmuhXZ6-LaxQxgrmJnzgP0"",""'TP# look up'!A:C""),3,0),"""")"),"")</f>
        <v/>
      </c>
      <c r="AH1180" s="49" t="str">
        <f t="shared" si="18"/>
        <v/>
      </c>
    </row>
    <row r="1181" spans="8:34" ht="12.75">
      <c r="H1181" s="43"/>
      <c r="AG1181" s="49" t="str">
        <f ca="1">IFERROR(__xludf.DUMMYFUNCTION("IFNA(vlookup(H1181,IMPORTRANGE(""1vUGwO1n0QQGx9kKbO0_M5gmuhXZ6-LaxQxgrmJnzgP0"",""'TP# look up'!A:C""),3,0),"""")"),"")</f>
        <v/>
      </c>
      <c r="AH1181" s="49" t="str">
        <f t="shared" si="18"/>
        <v/>
      </c>
    </row>
    <row r="1182" spans="8:34" ht="12.75">
      <c r="H1182" s="43"/>
      <c r="AG1182" s="49" t="str">
        <f ca="1">IFERROR(__xludf.DUMMYFUNCTION("IFNA(vlookup(H1182,IMPORTRANGE(""1vUGwO1n0QQGx9kKbO0_M5gmuhXZ6-LaxQxgrmJnzgP0"",""'TP# look up'!A:C""),3,0),"""")"),"")</f>
        <v/>
      </c>
      <c r="AH1182" s="49" t="str">
        <f t="shared" si="18"/>
        <v/>
      </c>
    </row>
    <row r="1183" spans="8:34" ht="12.75">
      <c r="H1183" s="43"/>
      <c r="AG1183" s="49" t="str">
        <f ca="1">IFERROR(__xludf.DUMMYFUNCTION("IFNA(vlookup(H1183,IMPORTRANGE(""1vUGwO1n0QQGx9kKbO0_M5gmuhXZ6-LaxQxgrmJnzgP0"",""'TP# look up'!A:C""),3,0),"""")"),"")</f>
        <v/>
      </c>
      <c r="AH1183" s="49" t="str">
        <f t="shared" si="18"/>
        <v/>
      </c>
    </row>
    <row r="1184" spans="8:34" ht="12.75">
      <c r="H1184" s="43"/>
      <c r="AG1184" s="49" t="str">
        <f ca="1">IFERROR(__xludf.DUMMYFUNCTION("IFNA(vlookup(H1184,IMPORTRANGE(""1vUGwO1n0QQGx9kKbO0_M5gmuhXZ6-LaxQxgrmJnzgP0"",""'TP# look up'!A:C""),3,0),"""")"),"")</f>
        <v/>
      </c>
      <c r="AH1184" s="49" t="str">
        <f t="shared" si="18"/>
        <v/>
      </c>
    </row>
    <row r="1185" spans="8:34" ht="12.75">
      <c r="H1185" s="43"/>
      <c r="AG1185" s="49" t="str">
        <f ca="1">IFERROR(__xludf.DUMMYFUNCTION("IFNA(vlookup(H1185,IMPORTRANGE(""1vUGwO1n0QQGx9kKbO0_M5gmuhXZ6-LaxQxgrmJnzgP0"",""'TP# look up'!A:C""),3,0),"""")"),"")</f>
        <v/>
      </c>
      <c r="AH1185" s="49" t="str">
        <f t="shared" si="18"/>
        <v/>
      </c>
    </row>
    <row r="1186" spans="8:34" ht="12.75">
      <c r="H1186" s="43"/>
      <c r="AG1186" s="49" t="str">
        <f ca="1">IFERROR(__xludf.DUMMYFUNCTION("IFNA(vlookup(H1186,IMPORTRANGE(""1vUGwO1n0QQGx9kKbO0_M5gmuhXZ6-LaxQxgrmJnzgP0"",""'TP# look up'!A:C""),3,0),"""")"),"")</f>
        <v/>
      </c>
      <c r="AH1186" s="49" t="str">
        <f t="shared" si="18"/>
        <v/>
      </c>
    </row>
    <row r="1187" spans="8:34" ht="12.75">
      <c r="H1187" s="43"/>
      <c r="AG1187" s="49" t="str">
        <f ca="1">IFERROR(__xludf.DUMMYFUNCTION("IFNA(vlookup(H1187,IMPORTRANGE(""1vUGwO1n0QQGx9kKbO0_M5gmuhXZ6-LaxQxgrmJnzgP0"",""'TP# look up'!A:C""),3,0),"""")"),"")</f>
        <v/>
      </c>
      <c r="AH1187" s="49" t="str">
        <f t="shared" si="18"/>
        <v/>
      </c>
    </row>
    <row r="1188" spans="8:34" ht="12.75">
      <c r="H1188" s="43"/>
      <c r="AG1188" s="49" t="str">
        <f ca="1">IFERROR(__xludf.DUMMYFUNCTION("IFNA(vlookup(H1188,IMPORTRANGE(""1vUGwO1n0QQGx9kKbO0_M5gmuhXZ6-LaxQxgrmJnzgP0"",""'TP# look up'!A:C""),3,0),"""")"),"")</f>
        <v/>
      </c>
      <c r="AH1188" s="49" t="str">
        <f t="shared" si="18"/>
        <v/>
      </c>
    </row>
    <row r="1189" spans="8:34" ht="12.75">
      <c r="H1189" s="43"/>
      <c r="AG1189" s="49" t="str">
        <f ca="1">IFERROR(__xludf.DUMMYFUNCTION("IFNA(vlookup(H1189,IMPORTRANGE(""1vUGwO1n0QQGx9kKbO0_M5gmuhXZ6-LaxQxgrmJnzgP0"",""'TP# look up'!A:C""),3,0),"""")"),"")</f>
        <v/>
      </c>
      <c r="AH1189" s="49" t="str">
        <f t="shared" si="18"/>
        <v/>
      </c>
    </row>
    <row r="1190" spans="8:34" ht="12.75">
      <c r="H1190" s="43"/>
      <c r="AG1190" s="49" t="str">
        <f ca="1">IFERROR(__xludf.DUMMYFUNCTION("IFNA(vlookup(H1190,IMPORTRANGE(""1vUGwO1n0QQGx9kKbO0_M5gmuhXZ6-LaxQxgrmJnzgP0"",""'TP# look up'!A:C""),3,0),"""")"),"")</f>
        <v/>
      </c>
      <c r="AH1190" s="49" t="str">
        <f t="shared" si="18"/>
        <v/>
      </c>
    </row>
    <row r="1191" spans="8:34" ht="12.75">
      <c r="H1191" s="43"/>
      <c r="AG1191" s="49" t="str">
        <f ca="1">IFERROR(__xludf.DUMMYFUNCTION("IFNA(vlookup(H1191,IMPORTRANGE(""1vUGwO1n0QQGx9kKbO0_M5gmuhXZ6-LaxQxgrmJnzgP0"",""'TP# look up'!A:C""),3,0),"""")"),"")</f>
        <v/>
      </c>
      <c r="AH1191" s="49" t="str">
        <f t="shared" si="18"/>
        <v/>
      </c>
    </row>
    <row r="1192" spans="8:34" ht="12.75">
      <c r="H1192" s="43"/>
      <c r="AG1192" s="49" t="str">
        <f ca="1">IFERROR(__xludf.DUMMYFUNCTION("IFNA(vlookup(H1192,IMPORTRANGE(""1vUGwO1n0QQGx9kKbO0_M5gmuhXZ6-LaxQxgrmJnzgP0"",""'TP# look up'!A:C""),3,0),"""")"),"")</f>
        <v/>
      </c>
      <c r="AH1192" s="49" t="str">
        <f t="shared" si="18"/>
        <v/>
      </c>
    </row>
    <row r="1193" spans="8:34" ht="12.75">
      <c r="H1193" s="43"/>
      <c r="AG1193" s="49" t="str">
        <f ca="1">IFERROR(__xludf.DUMMYFUNCTION("IFNA(vlookup(H1193,IMPORTRANGE(""1vUGwO1n0QQGx9kKbO0_M5gmuhXZ6-LaxQxgrmJnzgP0"",""'TP# look up'!A:C""),3,0),"""")"),"")</f>
        <v/>
      </c>
      <c r="AH1193" s="49" t="str">
        <f t="shared" si="18"/>
        <v/>
      </c>
    </row>
    <row r="1194" spans="8:34" ht="12.75">
      <c r="H1194" s="43"/>
      <c r="AG1194" s="49" t="str">
        <f ca="1">IFERROR(__xludf.DUMMYFUNCTION("IFNA(vlookup(H1194,IMPORTRANGE(""1vUGwO1n0QQGx9kKbO0_M5gmuhXZ6-LaxQxgrmJnzgP0"",""'TP# look up'!A:C""),3,0),"""")"),"")</f>
        <v/>
      </c>
      <c r="AH1194" s="49" t="str">
        <f t="shared" si="18"/>
        <v/>
      </c>
    </row>
    <row r="1195" spans="8:34" ht="12.75">
      <c r="H1195" s="43"/>
      <c r="AG1195" s="49" t="str">
        <f ca="1">IFERROR(__xludf.DUMMYFUNCTION("IFNA(vlookup(H1195,IMPORTRANGE(""1vUGwO1n0QQGx9kKbO0_M5gmuhXZ6-LaxQxgrmJnzgP0"",""'TP# look up'!A:C""),3,0),"""")"),"")</f>
        <v/>
      </c>
      <c r="AH1195" s="49" t="str">
        <f t="shared" si="18"/>
        <v/>
      </c>
    </row>
    <row r="1196" spans="8:34" ht="12.75">
      <c r="H1196" s="43"/>
      <c r="AG1196" s="49" t="str">
        <f ca="1">IFERROR(__xludf.DUMMYFUNCTION("IFNA(vlookup(H1196,IMPORTRANGE(""1vUGwO1n0QQGx9kKbO0_M5gmuhXZ6-LaxQxgrmJnzgP0"",""'TP# look up'!A:C""),3,0),"""")"),"")</f>
        <v/>
      </c>
      <c r="AH1196" s="49" t="str">
        <f t="shared" si="18"/>
        <v/>
      </c>
    </row>
    <row r="1197" spans="8:34" ht="12.75">
      <c r="H1197" s="43"/>
      <c r="AG1197" s="49" t="str">
        <f ca="1">IFERROR(__xludf.DUMMYFUNCTION("IFNA(vlookup(H1197,IMPORTRANGE(""1vUGwO1n0QQGx9kKbO0_M5gmuhXZ6-LaxQxgrmJnzgP0"",""'TP# look up'!A:C""),3,0),"""")"),"")</f>
        <v/>
      </c>
      <c r="AH1197" s="49" t="str">
        <f t="shared" si="18"/>
        <v/>
      </c>
    </row>
    <row r="1198" spans="8:34" ht="12.75">
      <c r="H1198" s="43"/>
      <c r="AG1198" s="49" t="str">
        <f ca="1">IFERROR(__xludf.DUMMYFUNCTION("IFNA(vlookup(H1198,IMPORTRANGE(""1vUGwO1n0QQGx9kKbO0_M5gmuhXZ6-LaxQxgrmJnzgP0"",""'TP# look up'!A:C""),3,0),"""")"),"")</f>
        <v/>
      </c>
      <c r="AH1198" s="49" t="str">
        <f t="shared" si="18"/>
        <v/>
      </c>
    </row>
    <row r="1199" spans="8:34" ht="12.75">
      <c r="H1199" s="43"/>
      <c r="AG1199" s="49" t="str">
        <f ca="1">IFERROR(__xludf.DUMMYFUNCTION("IFNA(vlookup(H1199,IMPORTRANGE(""1vUGwO1n0QQGx9kKbO0_M5gmuhXZ6-LaxQxgrmJnzgP0"",""'TP# look up'!A:C""),3,0),"""")"),"")</f>
        <v/>
      </c>
      <c r="AH1199" s="49" t="str">
        <f t="shared" si="18"/>
        <v/>
      </c>
    </row>
    <row r="1200" spans="8:34" ht="12.75">
      <c r="H1200" s="43"/>
      <c r="AG1200" s="49" t="str">
        <f ca="1">IFERROR(__xludf.DUMMYFUNCTION("IFNA(vlookup(H1200,IMPORTRANGE(""1vUGwO1n0QQGx9kKbO0_M5gmuhXZ6-LaxQxgrmJnzgP0"",""'TP# look up'!A:C""),3,0),"""")"),"")</f>
        <v/>
      </c>
      <c r="AH1200" s="49" t="str">
        <f t="shared" si="18"/>
        <v/>
      </c>
    </row>
    <row r="1201" spans="8:34" ht="12.75">
      <c r="H1201" s="43"/>
      <c r="AG1201" s="49" t="str">
        <f ca="1">IFERROR(__xludf.DUMMYFUNCTION("IFNA(vlookup(H1201,IMPORTRANGE(""1vUGwO1n0QQGx9kKbO0_M5gmuhXZ6-LaxQxgrmJnzgP0"",""'TP# look up'!A:C""),3,0),"""")"),"")</f>
        <v/>
      </c>
      <c r="AH1201" s="49" t="str">
        <f t="shared" si="18"/>
        <v/>
      </c>
    </row>
    <row r="1202" spans="8:34" ht="12.75">
      <c r="H1202" s="43"/>
      <c r="AG1202" s="49" t="str">
        <f ca="1">IFERROR(__xludf.DUMMYFUNCTION("IFNA(vlookup(H1202,IMPORTRANGE(""1vUGwO1n0QQGx9kKbO0_M5gmuhXZ6-LaxQxgrmJnzgP0"",""'TP# look up'!A:C""),3,0),"""")"),"")</f>
        <v/>
      </c>
      <c r="AH1202" s="49" t="str">
        <f t="shared" si="18"/>
        <v/>
      </c>
    </row>
    <row r="1203" spans="8:34" ht="12.75">
      <c r="H1203" s="43"/>
      <c r="AG1203" s="49" t="str">
        <f ca="1">IFERROR(__xludf.DUMMYFUNCTION("IFNA(vlookup(H1203,IMPORTRANGE(""1vUGwO1n0QQGx9kKbO0_M5gmuhXZ6-LaxQxgrmJnzgP0"",""'TP# look up'!A:C""),3,0),"""")"),"")</f>
        <v/>
      </c>
      <c r="AH1203" s="49" t="str">
        <f t="shared" si="18"/>
        <v/>
      </c>
    </row>
    <row r="1204" spans="8:34" ht="12.75">
      <c r="H1204" s="43"/>
      <c r="AG1204" s="49" t="str">
        <f ca="1">IFERROR(__xludf.DUMMYFUNCTION("IFNA(vlookup(H1204,IMPORTRANGE(""1vUGwO1n0QQGx9kKbO0_M5gmuhXZ6-LaxQxgrmJnzgP0"",""'TP# look up'!A:C""),3,0),"""")"),"")</f>
        <v/>
      </c>
      <c r="AH1204" s="49" t="str">
        <f t="shared" si="18"/>
        <v/>
      </c>
    </row>
    <row r="1205" spans="8:34" ht="12.75">
      <c r="H1205" s="43"/>
      <c r="AG1205" s="49" t="str">
        <f ca="1">IFERROR(__xludf.DUMMYFUNCTION("IFNA(vlookup(H1205,IMPORTRANGE(""1vUGwO1n0QQGx9kKbO0_M5gmuhXZ6-LaxQxgrmJnzgP0"",""'TP# look up'!A:C""),3,0),"""")"),"")</f>
        <v/>
      </c>
      <c r="AH1205" s="49" t="str">
        <f t="shared" si="18"/>
        <v/>
      </c>
    </row>
    <row r="1206" spans="8:34" ht="12.75">
      <c r="H1206" s="43"/>
      <c r="AG1206" s="49" t="str">
        <f ca="1">IFERROR(__xludf.DUMMYFUNCTION("IFNA(vlookup(H1206,IMPORTRANGE(""1vUGwO1n0QQGx9kKbO0_M5gmuhXZ6-LaxQxgrmJnzgP0"",""'TP# look up'!A:C""),3,0),"""")"),"")</f>
        <v/>
      </c>
      <c r="AH1206" s="49" t="str">
        <f t="shared" si="18"/>
        <v/>
      </c>
    </row>
    <row r="1207" spans="8:34" ht="12.75">
      <c r="H1207" s="43"/>
      <c r="AG1207" s="49" t="str">
        <f ca="1">IFERROR(__xludf.DUMMYFUNCTION("IFNA(vlookup(H1207,IMPORTRANGE(""1vUGwO1n0QQGx9kKbO0_M5gmuhXZ6-LaxQxgrmJnzgP0"",""'TP# look up'!A:C""),3,0),"""")"),"")</f>
        <v/>
      </c>
      <c r="AH1207" s="49" t="str">
        <f t="shared" si="18"/>
        <v/>
      </c>
    </row>
    <row r="1208" spans="8:34" ht="12.75">
      <c r="H1208" s="43"/>
      <c r="AG1208" s="49" t="str">
        <f ca="1">IFERROR(__xludf.DUMMYFUNCTION("IFNA(vlookup(H1208,IMPORTRANGE(""1vUGwO1n0QQGx9kKbO0_M5gmuhXZ6-LaxQxgrmJnzgP0"",""'TP# look up'!A:C""),3,0),"""")"),"")</f>
        <v/>
      </c>
      <c r="AH1208" s="49" t="str">
        <f t="shared" si="18"/>
        <v/>
      </c>
    </row>
    <row r="1209" spans="8:34" ht="12.75">
      <c r="H1209" s="43"/>
      <c r="AG1209" s="49" t="str">
        <f ca="1">IFERROR(__xludf.DUMMYFUNCTION("IFNA(vlookup(H1209,IMPORTRANGE(""1vUGwO1n0QQGx9kKbO0_M5gmuhXZ6-LaxQxgrmJnzgP0"",""'TP# look up'!A:C""),3,0),"""")"),"")</f>
        <v/>
      </c>
      <c r="AH1209" s="49" t="str">
        <f t="shared" si="18"/>
        <v/>
      </c>
    </row>
    <row r="1210" spans="8:34" ht="12.75">
      <c r="H1210" s="43"/>
      <c r="AG1210" s="49" t="str">
        <f ca="1">IFERROR(__xludf.DUMMYFUNCTION("IFNA(vlookup(H1210,IMPORTRANGE(""1vUGwO1n0QQGx9kKbO0_M5gmuhXZ6-LaxQxgrmJnzgP0"",""'TP# look up'!A:C""),3,0),"""")"),"")</f>
        <v/>
      </c>
      <c r="AH1210" s="49" t="str">
        <f t="shared" si="18"/>
        <v/>
      </c>
    </row>
    <row r="1211" spans="8:34" ht="12.75">
      <c r="H1211" s="43"/>
      <c r="AG1211" s="49" t="str">
        <f ca="1">IFERROR(__xludf.DUMMYFUNCTION("IFNA(vlookup(H1211,IMPORTRANGE(""1vUGwO1n0QQGx9kKbO0_M5gmuhXZ6-LaxQxgrmJnzgP0"",""'TP# look up'!A:C""),3,0),"""")"),"")</f>
        <v/>
      </c>
      <c r="AH1211" s="49" t="str">
        <f t="shared" si="18"/>
        <v/>
      </c>
    </row>
    <row r="1212" spans="8:34" ht="12.75">
      <c r="H1212" s="43"/>
      <c r="AG1212" s="49" t="str">
        <f ca="1">IFERROR(__xludf.DUMMYFUNCTION("IFNA(vlookup(H1212,IMPORTRANGE(""1vUGwO1n0QQGx9kKbO0_M5gmuhXZ6-LaxQxgrmJnzgP0"",""'TP# look up'!A:C""),3,0),"""")"),"")</f>
        <v/>
      </c>
      <c r="AH1212" s="49" t="str">
        <f t="shared" si="18"/>
        <v/>
      </c>
    </row>
    <row r="1213" spans="8:34" ht="12.75">
      <c r="H1213" s="43"/>
      <c r="AG1213" s="49" t="str">
        <f ca="1">IFERROR(__xludf.DUMMYFUNCTION("IFNA(vlookup(H1213,IMPORTRANGE(""1vUGwO1n0QQGx9kKbO0_M5gmuhXZ6-LaxQxgrmJnzgP0"",""'TP# look up'!A:C""),3,0),"""")"),"")</f>
        <v/>
      </c>
      <c r="AH1213" s="49" t="str">
        <f t="shared" si="18"/>
        <v/>
      </c>
    </row>
    <row r="1214" spans="8:34" ht="12.75">
      <c r="H1214" s="43"/>
      <c r="AG1214" s="49" t="str">
        <f ca="1">IFERROR(__xludf.DUMMYFUNCTION("IFNA(vlookup(H1214,IMPORTRANGE(""1vUGwO1n0QQGx9kKbO0_M5gmuhXZ6-LaxQxgrmJnzgP0"",""'TP# look up'!A:C""),3,0),"""")"),"")</f>
        <v/>
      </c>
      <c r="AH1214" s="49" t="str">
        <f t="shared" si="18"/>
        <v/>
      </c>
    </row>
    <row r="1215" spans="8:34" ht="12.75">
      <c r="H1215" s="43"/>
      <c r="AG1215" s="49" t="str">
        <f ca="1">IFERROR(__xludf.DUMMYFUNCTION("IFNA(vlookup(H1215,IMPORTRANGE(""1vUGwO1n0QQGx9kKbO0_M5gmuhXZ6-LaxQxgrmJnzgP0"",""'TP# look up'!A:C""),3,0),"""")"),"")</f>
        <v/>
      </c>
      <c r="AH1215" s="49" t="str">
        <f t="shared" si="18"/>
        <v/>
      </c>
    </row>
    <row r="1216" spans="8:34" ht="12.75">
      <c r="H1216" s="43"/>
      <c r="AG1216" s="49" t="str">
        <f ca="1">IFERROR(__xludf.DUMMYFUNCTION("IFNA(vlookup(H1216,IMPORTRANGE(""1vUGwO1n0QQGx9kKbO0_M5gmuhXZ6-LaxQxgrmJnzgP0"",""'TP# look up'!A:C""),3,0),"""")"),"")</f>
        <v/>
      </c>
      <c r="AH1216" s="49" t="str">
        <f t="shared" si="18"/>
        <v/>
      </c>
    </row>
    <row r="1217" spans="8:34" ht="12.75">
      <c r="H1217" s="43"/>
      <c r="AG1217" s="49" t="str">
        <f ca="1">IFERROR(__xludf.DUMMYFUNCTION("IFNA(vlookup(H1217,IMPORTRANGE(""1vUGwO1n0QQGx9kKbO0_M5gmuhXZ6-LaxQxgrmJnzgP0"",""'TP# look up'!A:C""),3,0),"""")"),"")</f>
        <v/>
      </c>
      <c r="AH1217" s="49" t="str">
        <f t="shared" si="18"/>
        <v/>
      </c>
    </row>
    <row r="1218" spans="8:34" ht="12.75">
      <c r="H1218" s="43"/>
      <c r="AG1218" s="49" t="str">
        <f ca="1">IFERROR(__xludf.DUMMYFUNCTION("IFNA(vlookup(H1218,IMPORTRANGE(""1vUGwO1n0QQGx9kKbO0_M5gmuhXZ6-LaxQxgrmJnzgP0"",""'TP# look up'!A:C""),3,0),"""")"),"")</f>
        <v/>
      </c>
      <c r="AH1218" s="49" t="str">
        <f t="shared" ref="AH1218:AH1281" si="19">LEFT(J1218,2)</f>
        <v/>
      </c>
    </row>
    <row r="1219" spans="8:34" ht="12.75">
      <c r="H1219" s="43"/>
      <c r="AG1219" s="49" t="str">
        <f ca="1">IFERROR(__xludf.DUMMYFUNCTION("IFNA(vlookup(H1219,IMPORTRANGE(""1vUGwO1n0QQGx9kKbO0_M5gmuhXZ6-LaxQxgrmJnzgP0"",""'TP# look up'!A:C""),3,0),"""")"),"")</f>
        <v/>
      </c>
      <c r="AH1219" s="49" t="str">
        <f t="shared" si="19"/>
        <v/>
      </c>
    </row>
    <row r="1220" spans="8:34" ht="12.75">
      <c r="H1220" s="43"/>
      <c r="AG1220" s="49" t="str">
        <f ca="1">IFERROR(__xludf.DUMMYFUNCTION("IFNA(vlookup(H1220,IMPORTRANGE(""1vUGwO1n0QQGx9kKbO0_M5gmuhXZ6-LaxQxgrmJnzgP0"",""'TP# look up'!A:C""),3,0),"""")"),"")</f>
        <v/>
      </c>
      <c r="AH1220" s="49" t="str">
        <f t="shared" si="19"/>
        <v/>
      </c>
    </row>
    <row r="1221" spans="8:34" ht="12.75">
      <c r="H1221" s="43"/>
      <c r="AG1221" s="49" t="str">
        <f ca="1">IFERROR(__xludf.DUMMYFUNCTION("IFNA(vlookup(H1221,IMPORTRANGE(""1vUGwO1n0QQGx9kKbO0_M5gmuhXZ6-LaxQxgrmJnzgP0"",""'TP# look up'!A:C""),3,0),"""")"),"")</f>
        <v/>
      </c>
      <c r="AH1221" s="49" t="str">
        <f t="shared" si="19"/>
        <v/>
      </c>
    </row>
    <row r="1222" spans="8:34" ht="12.75">
      <c r="H1222" s="43"/>
      <c r="AG1222" s="49" t="str">
        <f ca="1">IFERROR(__xludf.DUMMYFUNCTION("IFNA(vlookup(H1222,IMPORTRANGE(""1vUGwO1n0QQGx9kKbO0_M5gmuhXZ6-LaxQxgrmJnzgP0"",""'TP# look up'!A:C""),3,0),"""")"),"")</f>
        <v/>
      </c>
      <c r="AH1222" s="49" t="str">
        <f t="shared" si="19"/>
        <v/>
      </c>
    </row>
    <row r="1223" spans="8:34" ht="12.75">
      <c r="H1223" s="43"/>
      <c r="AG1223" s="49" t="str">
        <f ca="1">IFERROR(__xludf.DUMMYFUNCTION("IFNA(vlookup(H1223,IMPORTRANGE(""1vUGwO1n0QQGx9kKbO0_M5gmuhXZ6-LaxQxgrmJnzgP0"",""'TP# look up'!A:C""),3,0),"""")"),"")</f>
        <v/>
      </c>
      <c r="AH1223" s="49" t="str">
        <f t="shared" si="19"/>
        <v/>
      </c>
    </row>
    <row r="1224" spans="8:34" ht="12.75">
      <c r="H1224" s="43"/>
      <c r="AG1224" s="49" t="str">
        <f ca="1">IFERROR(__xludf.DUMMYFUNCTION("IFNA(vlookup(H1224,IMPORTRANGE(""1vUGwO1n0QQGx9kKbO0_M5gmuhXZ6-LaxQxgrmJnzgP0"",""'TP# look up'!A:C""),3,0),"""")"),"")</f>
        <v/>
      </c>
      <c r="AH1224" s="49" t="str">
        <f t="shared" si="19"/>
        <v/>
      </c>
    </row>
    <row r="1225" spans="8:34" ht="12.75">
      <c r="H1225" s="43"/>
      <c r="AG1225" s="49" t="str">
        <f ca="1">IFERROR(__xludf.DUMMYFUNCTION("IFNA(vlookup(H1225,IMPORTRANGE(""1vUGwO1n0QQGx9kKbO0_M5gmuhXZ6-LaxQxgrmJnzgP0"",""'TP# look up'!A:C""),3,0),"""")"),"")</f>
        <v/>
      </c>
      <c r="AH1225" s="49" t="str">
        <f t="shared" si="19"/>
        <v/>
      </c>
    </row>
    <row r="1226" spans="8:34" ht="12.75">
      <c r="H1226" s="43"/>
      <c r="AG1226" s="49" t="str">
        <f ca="1">IFERROR(__xludf.DUMMYFUNCTION("IFNA(vlookup(H1226,IMPORTRANGE(""1vUGwO1n0QQGx9kKbO0_M5gmuhXZ6-LaxQxgrmJnzgP0"",""'TP# look up'!A:C""),3,0),"""")"),"")</f>
        <v/>
      </c>
      <c r="AH1226" s="49" t="str">
        <f t="shared" si="19"/>
        <v/>
      </c>
    </row>
    <row r="1227" spans="8:34" ht="12.75">
      <c r="H1227" s="43"/>
      <c r="AG1227" s="49" t="str">
        <f ca="1">IFERROR(__xludf.DUMMYFUNCTION("IFNA(vlookup(H1227,IMPORTRANGE(""1vUGwO1n0QQGx9kKbO0_M5gmuhXZ6-LaxQxgrmJnzgP0"",""'TP# look up'!A:C""),3,0),"""")"),"")</f>
        <v/>
      </c>
      <c r="AH1227" s="49" t="str">
        <f t="shared" si="19"/>
        <v/>
      </c>
    </row>
    <row r="1228" spans="8:34" ht="12.75">
      <c r="H1228" s="43"/>
      <c r="AG1228" s="49" t="str">
        <f ca="1">IFERROR(__xludf.DUMMYFUNCTION("IFNA(vlookup(H1228,IMPORTRANGE(""1vUGwO1n0QQGx9kKbO0_M5gmuhXZ6-LaxQxgrmJnzgP0"",""'TP# look up'!A:C""),3,0),"""")"),"")</f>
        <v/>
      </c>
      <c r="AH1228" s="49" t="str">
        <f t="shared" si="19"/>
        <v/>
      </c>
    </row>
    <row r="1229" spans="8:34" ht="12.75">
      <c r="H1229" s="43"/>
      <c r="AG1229" s="49" t="str">
        <f ca="1">IFERROR(__xludf.DUMMYFUNCTION("IFNA(vlookup(H1229,IMPORTRANGE(""1vUGwO1n0QQGx9kKbO0_M5gmuhXZ6-LaxQxgrmJnzgP0"",""'TP# look up'!A:C""),3,0),"""")"),"")</f>
        <v/>
      </c>
      <c r="AH1229" s="49" t="str">
        <f t="shared" si="19"/>
        <v/>
      </c>
    </row>
    <row r="1230" spans="8:34" ht="12.75">
      <c r="H1230" s="43"/>
      <c r="AG1230" s="49" t="str">
        <f ca="1">IFERROR(__xludf.DUMMYFUNCTION("IFNA(vlookup(H1230,IMPORTRANGE(""1vUGwO1n0QQGx9kKbO0_M5gmuhXZ6-LaxQxgrmJnzgP0"",""'TP# look up'!A:C""),3,0),"""")"),"")</f>
        <v/>
      </c>
      <c r="AH1230" s="49" t="str">
        <f t="shared" si="19"/>
        <v/>
      </c>
    </row>
    <row r="1231" spans="8:34" ht="12.75">
      <c r="H1231" s="43"/>
      <c r="AG1231" s="49" t="str">
        <f ca="1">IFERROR(__xludf.DUMMYFUNCTION("IFNA(vlookup(H1231,IMPORTRANGE(""1vUGwO1n0QQGx9kKbO0_M5gmuhXZ6-LaxQxgrmJnzgP0"",""'TP# look up'!A:C""),3,0),"""")"),"")</f>
        <v/>
      </c>
      <c r="AH1231" s="49" t="str">
        <f t="shared" si="19"/>
        <v/>
      </c>
    </row>
    <row r="1232" spans="8:34" ht="12.75">
      <c r="H1232" s="43"/>
      <c r="AG1232" s="49" t="str">
        <f ca="1">IFERROR(__xludf.DUMMYFUNCTION("IFNA(vlookup(H1232,IMPORTRANGE(""1vUGwO1n0QQGx9kKbO0_M5gmuhXZ6-LaxQxgrmJnzgP0"",""'TP# look up'!A:C""),3,0),"""")"),"")</f>
        <v/>
      </c>
      <c r="AH1232" s="49" t="str">
        <f t="shared" si="19"/>
        <v/>
      </c>
    </row>
    <row r="1233" spans="8:34" ht="12.75">
      <c r="H1233" s="43"/>
      <c r="AG1233" s="49" t="str">
        <f ca="1">IFERROR(__xludf.DUMMYFUNCTION("IFNA(vlookup(H1233,IMPORTRANGE(""1vUGwO1n0QQGx9kKbO0_M5gmuhXZ6-LaxQxgrmJnzgP0"",""'TP# look up'!A:C""),3,0),"""")"),"")</f>
        <v/>
      </c>
      <c r="AH1233" s="49" t="str">
        <f t="shared" si="19"/>
        <v/>
      </c>
    </row>
    <row r="1234" spans="8:34" ht="12.75">
      <c r="H1234" s="43"/>
      <c r="AG1234" s="49" t="str">
        <f ca="1">IFERROR(__xludf.DUMMYFUNCTION("IFNA(vlookup(H1234,IMPORTRANGE(""1vUGwO1n0QQGx9kKbO0_M5gmuhXZ6-LaxQxgrmJnzgP0"",""'TP# look up'!A:C""),3,0),"""")"),"")</f>
        <v/>
      </c>
      <c r="AH1234" s="49" t="str">
        <f t="shared" si="19"/>
        <v/>
      </c>
    </row>
    <row r="1235" spans="8:34" ht="12.75">
      <c r="H1235" s="43"/>
      <c r="AG1235" s="49" t="str">
        <f ca="1">IFERROR(__xludf.DUMMYFUNCTION("IFNA(vlookup(H1235,IMPORTRANGE(""1vUGwO1n0QQGx9kKbO0_M5gmuhXZ6-LaxQxgrmJnzgP0"",""'TP# look up'!A:C""),3,0),"""")"),"")</f>
        <v/>
      </c>
      <c r="AH1235" s="49" t="str">
        <f t="shared" si="19"/>
        <v/>
      </c>
    </row>
    <row r="1236" spans="8:34" ht="12.75">
      <c r="H1236" s="43"/>
      <c r="AG1236" s="49" t="str">
        <f ca="1">IFERROR(__xludf.DUMMYFUNCTION("IFNA(vlookup(H1236,IMPORTRANGE(""1vUGwO1n0QQGx9kKbO0_M5gmuhXZ6-LaxQxgrmJnzgP0"",""'TP# look up'!A:C""),3,0),"""")"),"")</f>
        <v/>
      </c>
      <c r="AH1236" s="49" t="str">
        <f t="shared" si="19"/>
        <v/>
      </c>
    </row>
    <row r="1237" spans="8:34" ht="12.75">
      <c r="H1237" s="43"/>
      <c r="AG1237" s="49" t="str">
        <f ca="1">IFERROR(__xludf.DUMMYFUNCTION("IFNA(vlookup(H1237,IMPORTRANGE(""1vUGwO1n0QQGx9kKbO0_M5gmuhXZ6-LaxQxgrmJnzgP0"",""'TP# look up'!A:C""),3,0),"""")"),"")</f>
        <v/>
      </c>
      <c r="AH1237" s="49" t="str">
        <f t="shared" si="19"/>
        <v/>
      </c>
    </row>
    <row r="1238" spans="8:34" ht="12.75">
      <c r="H1238" s="43"/>
      <c r="AG1238" s="49" t="str">
        <f ca="1">IFERROR(__xludf.DUMMYFUNCTION("IFNA(vlookup(H1238,IMPORTRANGE(""1vUGwO1n0QQGx9kKbO0_M5gmuhXZ6-LaxQxgrmJnzgP0"",""'TP# look up'!A:C""),3,0),"""")"),"")</f>
        <v/>
      </c>
      <c r="AH1238" s="49" t="str">
        <f t="shared" si="19"/>
        <v/>
      </c>
    </row>
    <row r="1239" spans="8:34" ht="12.75">
      <c r="H1239" s="43"/>
      <c r="AG1239" s="49" t="str">
        <f ca="1">IFERROR(__xludf.DUMMYFUNCTION("IFNA(vlookup(H1239,IMPORTRANGE(""1vUGwO1n0QQGx9kKbO0_M5gmuhXZ6-LaxQxgrmJnzgP0"",""'TP# look up'!A:C""),3,0),"""")"),"")</f>
        <v/>
      </c>
      <c r="AH1239" s="49" t="str">
        <f t="shared" si="19"/>
        <v/>
      </c>
    </row>
    <row r="1240" spans="8:34" ht="12.75">
      <c r="H1240" s="43"/>
      <c r="AG1240" s="49" t="str">
        <f ca="1">IFERROR(__xludf.DUMMYFUNCTION("IFNA(vlookup(H1240,IMPORTRANGE(""1vUGwO1n0QQGx9kKbO0_M5gmuhXZ6-LaxQxgrmJnzgP0"",""'TP# look up'!A:C""),3,0),"""")"),"")</f>
        <v/>
      </c>
      <c r="AH1240" s="49" t="str">
        <f t="shared" si="19"/>
        <v/>
      </c>
    </row>
    <row r="1241" spans="8:34" ht="12.75">
      <c r="H1241" s="43"/>
      <c r="AG1241" s="49" t="str">
        <f ca="1">IFERROR(__xludf.DUMMYFUNCTION("IFNA(vlookup(H1241,IMPORTRANGE(""1vUGwO1n0QQGx9kKbO0_M5gmuhXZ6-LaxQxgrmJnzgP0"",""'TP# look up'!A:C""),3,0),"""")"),"")</f>
        <v/>
      </c>
      <c r="AH1241" s="49" t="str">
        <f t="shared" si="19"/>
        <v/>
      </c>
    </row>
    <row r="1242" spans="8:34" ht="12.75">
      <c r="H1242" s="43"/>
      <c r="AG1242" s="49" t="str">
        <f ca="1">IFERROR(__xludf.DUMMYFUNCTION("IFNA(vlookup(H1242,IMPORTRANGE(""1vUGwO1n0QQGx9kKbO0_M5gmuhXZ6-LaxQxgrmJnzgP0"",""'TP# look up'!A:C""),3,0),"""")"),"")</f>
        <v/>
      </c>
      <c r="AH1242" s="49" t="str">
        <f t="shared" si="19"/>
        <v/>
      </c>
    </row>
    <row r="1243" spans="8:34" ht="12.75">
      <c r="H1243" s="43"/>
      <c r="AG1243" s="49" t="str">
        <f ca="1">IFERROR(__xludf.DUMMYFUNCTION("IFNA(vlookup(H1243,IMPORTRANGE(""1vUGwO1n0QQGx9kKbO0_M5gmuhXZ6-LaxQxgrmJnzgP0"",""'TP# look up'!A:C""),3,0),"""")"),"")</f>
        <v/>
      </c>
      <c r="AH1243" s="49" t="str">
        <f t="shared" si="19"/>
        <v/>
      </c>
    </row>
    <row r="1244" spans="8:34" ht="12.75">
      <c r="H1244" s="43"/>
      <c r="AG1244" s="49" t="str">
        <f ca="1">IFERROR(__xludf.DUMMYFUNCTION("IFNA(vlookup(H1244,IMPORTRANGE(""1vUGwO1n0QQGx9kKbO0_M5gmuhXZ6-LaxQxgrmJnzgP0"",""'TP# look up'!A:C""),3,0),"""")"),"")</f>
        <v/>
      </c>
      <c r="AH1244" s="49" t="str">
        <f t="shared" si="19"/>
        <v/>
      </c>
    </row>
    <row r="1245" spans="8:34" ht="12.75">
      <c r="H1245" s="43"/>
      <c r="AG1245" s="49" t="str">
        <f ca="1">IFERROR(__xludf.DUMMYFUNCTION("IFNA(vlookup(H1245,IMPORTRANGE(""1vUGwO1n0QQGx9kKbO0_M5gmuhXZ6-LaxQxgrmJnzgP0"",""'TP# look up'!A:C""),3,0),"""")"),"")</f>
        <v/>
      </c>
      <c r="AH1245" s="49" t="str">
        <f t="shared" si="19"/>
        <v/>
      </c>
    </row>
    <row r="1246" spans="8:34" ht="12.75">
      <c r="H1246" s="43"/>
      <c r="AG1246" s="49" t="str">
        <f ca="1">IFERROR(__xludf.DUMMYFUNCTION("IFNA(vlookup(H1246,IMPORTRANGE(""1vUGwO1n0QQGx9kKbO0_M5gmuhXZ6-LaxQxgrmJnzgP0"",""'TP# look up'!A:C""),3,0),"""")"),"")</f>
        <v/>
      </c>
      <c r="AH1246" s="49" t="str">
        <f t="shared" si="19"/>
        <v/>
      </c>
    </row>
    <row r="1247" spans="8:34" ht="12.75">
      <c r="H1247" s="43"/>
      <c r="AG1247" s="49" t="str">
        <f ca="1">IFERROR(__xludf.DUMMYFUNCTION("IFNA(vlookup(H1247,IMPORTRANGE(""1vUGwO1n0QQGx9kKbO0_M5gmuhXZ6-LaxQxgrmJnzgP0"",""'TP# look up'!A:C""),3,0),"""")"),"")</f>
        <v/>
      </c>
      <c r="AH1247" s="49" t="str">
        <f t="shared" si="19"/>
        <v/>
      </c>
    </row>
    <row r="1248" spans="8:34" ht="12.75">
      <c r="H1248" s="43"/>
      <c r="AG1248" s="49" t="str">
        <f ca="1">IFERROR(__xludf.DUMMYFUNCTION("IFNA(vlookup(H1248,IMPORTRANGE(""1vUGwO1n0QQGx9kKbO0_M5gmuhXZ6-LaxQxgrmJnzgP0"",""'TP# look up'!A:C""),3,0),"""")"),"")</f>
        <v/>
      </c>
      <c r="AH1248" s="49" t="str">
        <f t="shared" si="19"/>
        <v/>
      </c>
    </row>
    <row r="1249" spans="8:34" ht="12.75">
      <c r="H1249" s="43"/>
      <c r="AG1249" s="49" t="str">
        <f ca="1">IFERROR(__xludf.DUMMYFUNCTION("IFNA(vlookup(H1249,IMPORTRANGE(""1vUGwO1n0QQGx9kKbO0_M5gmuhXZ6-LaxQxgrmJnzgP0"",""'TP# look up'!A:C""),3,0),"""")"),"")</f>
        <v/>
      </c>
      <c r="AH1249" s="49" t="str">
        <f t="shared" si="19"/>
        <v/>
      </c>
    </row>
    <row r="1250" spans="8:34" ht="12.75">
      <c r="H1250" s="43"/>
      <c r="AG1250" s="49" t="str">
        <f ca="1">IFERROR(__xludf.DUMMYFUNCTION("IFNA(vlookup(H1250,IMPORTRANGE(""1vUGwO1n0QQGx9kKbO0_M5gmuhXZ6-LaxQxgrmJnzgP0"",""'TP# look up'!A:C""),3,0),"""")"),"")</f>
        <v/>
      </c>
      <c r="AH1250" s="49" t="str">
        <f t="shared" si="19"/>
        <v/>
      </c>
    </row>
    <row r="1251" spans="8:34" ht="12.75">
      <c r="H1251" s="43"/>
      <c r="AG1251" s="49" t="str">
        <f ca="1">IFERROR(__xludf.DUMMYFUNCTION("IFNA(vlookup(H1251,IMPORTRANGE(""1vUGwO1n0QQGx9kKbO0_M5gmuhXZ6-LaxQxgrmJnzgP0"",""'TP# look up'!A:C""),3,0),"""")"),"")</f>
        <v/>
      </c>
      <c r="AH1251" s="49" t="str">
        <f t="shared" si="19"/>
        <v/>
      </c>
    </row>
    <row r="1252" spans="8:34" ht="12.75">
      <c r="H1252" s="43"/>
      <c r="AG1252" s="49" t="str">
        <f ca="1">IFERROR(__xludf.DUMMYFUNCTION("IFNA(vlookup(H1252,IMPORTRANGE(""1vUGwO1n0QQGx9kKbO0_M5gmuhXZ6-LaxQxgrmJnzgP0"",""'TP# look up'!A:C""),3,0),"""")"),"")</f>
        <v/>
      </c>
      <c r="AH1252" s="49" t="str">
        <f t="shared" si="19"/>
        <v/>
      </c>
    </row>
    <row r="1253" spans="8:34" ht="12.75">
      <c r="H1253" s="43"/>
      <c r="AG1253" s="49" t="str">
        <f ca="1">IFERROR(__xludf.DUMMYFUNCTION("IFNA(vlookup(H1253,IMPORTRANGE(""1vUGwO1n0QQGx9kKbO0_M5gmuhXZ6-LaxQxgrmJnzgP0"",""'TP# look up'!A:C""),3,0),"""")"),"")</f>
        <v/>
      </c>
      <c r="AH1253" s="49" t="str">
        <f t="shared" si="19"/>
        <v/>
      </c>
    </row>
    <row r="1254" spans="8:34" ht="12.75">
      <c r="H1254" s="43"/>
      <c r="AG1254" s="49" t="str">
        <f ca="1">IFERROR(__xludf.DUMMYFUNCTION("IFNA(vlookup(H1254,IMPORTRANGE(""1vUGwO1n0QQGx9kKbO0_M5gmuhXZ6-LaxQxgrmJnzgP0"",""'TP# look up'!A:C""),3,0),"""")"),"")</f>
        <v/>
      </c>
      <c r="AH1254" s="49" t="str">
        <f t="shared" si="19"/>
        <v/>
      </c>
    </row>
    <row r="1255" spans="8:34" ht="12.75">
      <c r="H1255" s="43"/>
      <c r="AG1255" s="49" t="str">
        <f ca="1">IFERROR(__xludf.DUMMYFUNCTION("IFNA(vlookup(H1255,IMPORTRANGE(""1vUGwO1n0QQGx9kKbO0_M5gmuhXZ6-LaxQxgrmJnzgP0"",""'TP# look up'!A:C""),3,0),"""")"),"")</f>
        <v/>
      </c>
      <c r="AH1255" s="49" t="str">
        <f t="shared" si="19"/>
        <v/>
      </c>
    </row>
    <row r="1256" spans="8:34" ht="12.75">
      <c r="H1256" s="43"/>
      <c r="AG1256" s="49" t="str">
        <f ca="1">IFERROR(__xludf.DUMMYFUNCTION("IFNA(vlookup(H1256,IMPORTRANGE(""1vUGwO1n0QQGx9kKbO0_M5gmuhXZ6-LaxQxgrmJnzgP0"",""'TP# look up'!A:C""),3,0),"""")"),"")</f>
        <v/>
      </c>
      <c r="AH1256" s="49" t="str">
        <f t="shared" si="19"/>
        <v/>
      </c>
    </row>
    <row r="1257" spans="8:34" ht="12.75">
      <c r="H1257" s="43"/>
      <c r="AG1257" s="49" t="str">
        <f ca="1">IFERROR(__xludf.DUMMYFUNCTION("IFNA(vlookup(H1257,IMPORTRANGE(""1vUGwO1n0QQGx9kKbO0_M5gmuhXZ6-LaxQxgrmJnzgP0"",""'TP# look up'!A:C""),3,0),"""")"),"")</f>
        <v/>
      </c>
      <c r="AH1257" s="49" t="str">
        <f t="shared" si="19"/>
        <v/>
      </c>
    </row>
    <row r="1258" spans="8:34" ht="12.75">
      <c r="H1258" s="43"/>
      <c r="AG1258" s="49" t="str">
        <f ca="1">IFERROR(__xludf.DUMMYFUNCTION("IFNA(vlookup(H1258,IMPORTRANGE(""1vUGwO1n0QQGx9kKbO0_M5gmuhXZ6-LaxQxgrmJnzgP0"",""'TP# look up'!A:C""),3,0),"""")"),"")</f>
        <v/>
      </c>
      <c r="AH1258" s="49" t="str">
        <f t="shared" si="19"/>
        <v/>
      </c>
    </row>
    <row r="1259" spans="8:34" ht="12.75">
      <c r="H1259" s="43"/>
      <c r="AG1259" s="49" t="str">
        <f ca="1">IFERROR(__xludf.DUMMYFUNCTION("IFNA(vlookup(H1259,IMPORTRANGE(""1vUGwO1n0QQGx9kKbO0_M5gmuhXZ6-LaxQxgrmJnzgP0"",""'TP# look up'!A:C""),3,0),"""")"),"")</f>
        <v/>
      </c>
      <c r="AH1259" s="49" t="str">
        <f t="shared" si="19"/>
        <v/>
      </c>
    </row>
    <row r="1260" spans="8:34" ht="12.75">
      <c r="H1260" s="43"/>
      <c r="AG1260" s="49" t="str">
        <f ca="1">IFERROR(__xludf.DUMMYFUNCTION("IFNA(vlookup(H1260,IMPORTRANGE(""1vUGwO1n0QQGx9kKbO0_M5gmuhXZ6-LaxQxgrmJnzgP0"",""'TP# look up'!A:C""),3,0),"""")"),"")</f>
        <v/>
      </c>
      <c r="AH1260" s="49" t="str">
        <f t="shared" si="19"/>
        <v/>
      </c>
    </row>
    <row r="1261" spans="8:34" ht="12.75">
      <c r="H1261" s="43"/>
      <c r="AG1261" s="49" t="str">
        <f ca="1">IFERROR(__xludf.DUMMYFUNCTION("IFNA(vlookup(H1261,IMPORTRANGE(""1vUGwO1n0QQGx9kKbO0_M5gmuhXZ6-LaxQxgrmJnzgP0"",""'TP# look up'!A:C""),3,0),"""")"),"")</f>
        <v/>
      </c>
      <c r="AH1261" s="49" t="str">
        <f t="shared" si="19"/>
        <v/>
      </c>
    </row>
    <row r="1262" spans="8:34" ht="12.75">
      <c r="H1262" s="43"/>
      <c r="AG1262" s="49" t="str">
        <f ca="1">IFERROR(__xludf.DUMMYFUNCTION("IFNA(vlookup(H1262,IMPORTRANGE(""1vUGwO1n0QQGx9kKbO0_M5gmuhXZ6-LaxQxgrmJnzgP0"",""'TP# look up'!A:C""),3,0),"""")"),"")</f>
        <v/>
      </c>
      <c r="AH1262" s="49" t="str">
        <f t="shared" si="19"/>
        <v/>
      </c>
    </row>
    <row r="1263" spans="8:34" ht="12.75">
      <c r="H1263" s="43"/>
      <c r="AG1263" s="49" t="str">
        <f ca="1">IFERROR(__xludf.DUMMYFUNCTION("IFNA(vlookup(H1263,IMPORTRANGE(""1vUGwO1n0QQGx9kKbO0_M5gmuhXZ6-LaxQxgrmJnzgP0"",""'TP# look up'!A:C""),3,0),"""")"),"")</f>
        <v/>
      </c>
      <c r="AH1263" s="49" t="str">
        <f t="shared" si="19"/>
        <v/>
      </c>
    </row>
    <row r="1264" spans="8:34" ht="12.75">
      <c r="H1264" s="43"/>
      <c r="AG1264" s="49" t="str">
        <f ca="1">IFERROR(__xludf.DUMMYFUNCTION("IFNA(vlookup(H1264,IMPORTRANGE(""1vUGwO1n0QQGx9kKbO0_M5gmuhXZ6-LaxQxgrmJnzgP0"",""'TP# look up'!A:C""),3,0),"""")"),"")</f>
        <v/>
      </c>
      <c r="AH1264" s="49" t="str">
        <f t="shared" si="19"/>
        <v/>
      </c>
    </row>
    <row r="1265" spans="8:34" ht="12.75">
      <c r="H1265" s="43"/>
      <c r="AG1265" s="49" t="str">
        <f ca="1">IFERROR(__xludf.DUMMYFUNCTION("IFNA(vlookup(H1265,IMPORTRANGE(""1vUGwO1n0QQGx9kKbO0_M5gmuhXZ6-LaxQxgrmJnzgP0"",""'TP# look up'!A:C""),3,0),"""")"),"")</f>
        <v/>
      </c>
      <c r="AH1265" s="49" t="str">
        <f t="shared" si="19"/>
        <v/>
      </c>
    </row>
    <row r="1266" spans="8:34" ht="12.75">
      <c r="H1266" s="43"/>
      <c r="AG1266" s="49" t="str">
        <f ca="1">IFERROR(__xludf.DUMMYFUNCTION("IFNA(vlookup(H1266,IMPORTRANGE(""1vUGwO1n0QQGx9kKbO0_M5gmuhXZ6-LaxQxgrmJnzgP0"",""'TP# look up'!A:C""),3,0),"""")"),"")</f>
        <v/>
      </c>
      <c r="AH1266" s="49" t="str">
        <f t="shared" si="19"/>
        <v/>
      </c>
    </row>
    <row r="1267" spans="8:34" ht="12.75">
      <c r="H1267" s="43"/>
      <c r="AG1267" s="49" t="str">
        <f ca="1">IFERROR(__xludf.DUMMYFUNCTION("IFNA(vlookup(H1267,IMPORTRANGE(""1vUGwO1n0QQGx9kKbO0_M5gmuhXZ6-LaxQxgrmJnzgP0"",""'TP# look up'!A:C""),3,0),"""")"),"")</f>
        <v/>
      </c>
      <c r="AH1267" s="49" t="str">
        <f t="shared" si="19"/>
        <v/>
      </c>
    </row>
    <row r="1268" spans="8:34" ht="12.75">
      <c r="H1268" s="43"/>
      <c r="AG1268" s="49" t="str">
        <f ca="1">IFERROR(__xludf.DUMMYFUNCTION("IFNA(vlookup(H1268,IMPORTRANGE(""1vUGwO1n0QQGx9kKbO0_M5gmuhXZ6-LaxQxgrmJnzgP0"",""'TP# look up'!A:C""),3,0),"""")"),"")</f>
        <v/>
      </c>
      <c r="AH1268" s="49" t="str">
        <f t="shared" si="19"/>
        <v/>
      </c>
    </row>
    <row r="1269" spans="8:34" ht="12.75">
      <c r="H1269" s="43"/>
      <c r="AG1269" s="49" t="str">
        <f ca="1">IFERROR(__xludf.DUMMYFUNCTION("IFNA(vlookup(H1269,IMPORTRANGE(""1vUGwO1n0QQGx9kKbO0_M5gmuhXZ6-LaxQxgrmJnzgP0"",""'TP# look up'!A:C""),3,0),"""")"),"")</f>
        <v/>
      </c>
      <c r="AH1269" s="49" t="str">
        <f t="shared" si="19"/>
        <v/>
      </c>
    </row>
    <row r="1270" spans="8:34" ht="12.75">
      <c r="H1270" s="43"/>
      <c r="AG1270" s="49" t="str">
        <f ca="1">IFERROR(__xludf.DUMMYFUNCTION("IFNA(vlookup(H1270,IMPORTRANGE(""1vUGwO1n0QQGx9kKbO0_M5gmuhXZ6-LaxQxgrmJnzgP0"",""'TP# look up'!A:C""),3,0),"""")"),"")</f>
        <v/>
      </c>
      <c r="AH1270" s="49" t="str">
        <f t="shared" si="19"/>
        <v/>
      </c>
    </row>
    <row r="1271" spans="8:34" ht="12.75">
      <c r="H1271" s="43"/>
      <c r="AG1271" s="49" t="str">
        <f ca="1">IFERROR(__xludf.DUMMYFUNCTION("IFNA(vlookup(H1271,IMPORTRANGE(""1vUGwO1n0QQGx9kKbO0_M5gmuhXZ6-LaxQxgrmJnzgP0"",""'TP# look up'!A:C""),3,0),"""")"),"")</f>
        <v/>
      </c>
      <c r="AH1271" s="49" t="str">
        <f t="shared" si="19"/>
        <v/>
      </c>
    </row>
    <row r="1272" spans="8:34" ht="12.75">
      <c r="H1272" s="43"/>
      <c r="AG1272" s="49" t="str">
        <f ca="1">IFERROR(__xludf.DUMMYFUNCTION("IFNA(vlookup(H1272,IMPORTRANGE(""1vUGwO1n0QQGx9kKbO0_M5gmuhXZ6-LaxQxgrmJnzgP0"",""'TP# look up'!A:C""),3,0),"""")"),"")</f>
        <v/>
      </c>
      <c r="AH1272" s="49" t="str">
        <f t="shared" si="19"/>
        <v/>
      </c>
    </row>
    <row r="1273" spans="8:34" ht="12.75">
      <c r="H1273" s="43"/>
      <c r="AG1273" s="49" t="str">
        <f ca="1">IFERROR(__xludf.DUMMYFUNCTION("IFNA(vlookup(H1273,IMPORTRANGE(""1vUGwO1n0QQGx9kKbO0_M5gmuhXZ6-LaxQxgrmJnzgP0"",""'TP# look up'!A:C""),3,0),"""")"),"")</f>
        <v/>
      </c>
      <c r="AH1273" s="49" t="str">
        <f t="shared" si="19"/>
        <v/>
      </c>
    </row>
    <row r="1274" spans="8:34" ht="12.75">
      <c r="H1274" s="43"/>
      <c r="AG1274" s="49" t="str">
        <f ca="1">IFERROR(__xludf.DUMMYFUNCTION("IFNA(vlookup(H1274,IMPORTRANGE(""1vUGwO1n0QQGx9kKbO0_M5gmuhXZ6-LaxQxgrmJnzgP0"",""'TP# look up'!A:C""),3,0),"""")"),"")</f>
        <v/>
      </c>
      <c r="AH1274" s="49" t="str">
        <f t="shared" si="19"/>
        <v/>
      </c>
    </row>
    <row r="1275" spans="8:34" ht="12.75">
      <c r="H1275" s="43"/>
      <c r="AG1275" s="49" t="str">
        <f ca="1">IFERROR(__xludf.DUMMYFUNCTION("IFNA(vlookup(H1275,IMPORTRANGE(""1vUGwO1n0QQGx9kKbO0_M5gmuhXZ6-LaxQxgrmJnzgP0"",""'TP# look up'!A:C""),3,0),"""")"),"")</f>
        <v/>
      </c>
      <c r="AH1275" s="49" t="str">
        <f t="shared" si="19"/>
        <v/>
      </c>
    </row>
    <row r="1276" spans="8:34" ht="12.75">
      <c r="H1276" s="43"/>
      <c r="AG1276" s="49" t="str">
        <f ca="1">IFERROR(__xludf.DUMMYFUNCTION("IFNA(vlookup(H1276,IMPORTRANGE(""1vUGwO1n0QQGx9kKbO0_M5gmuhXZ6-LaxQxgrmJnzgP0"",""'TP# look up'!A:C""),3,0),"""")"),"")</f>
        <v/>
      </c>
      <c r="AH1276" s="49" t="str">
        <f t="shared" si="19"/>
        <v/>
      </c>
    </row>
    <row r="1277" spans="8:34" ht="12.75">
      <c r="H1277" s="43"/>
      <c r="AG1277" s="49" t="str">
        <f ca="1">IFERROR(__xludf.DUMMYFUNCTION("IFNA(vlookup(H1277,IMPORTRANGE(""1vUGwO1n0QQGx9kKbO0_M5gmuhXZ6-LaxQxgrmJnzgP0"",""'TP# look up'!A:C""),3,0),"""")"),"")</f>
        <v/>
      </c>
      <c r="AH1277" s="49" t="str">
        <f t="shared" si="19"/>
        <v/>
      </c>
    </row>
    <row r="1278" spans="8:34" ht="12.75">
      <c r="H1278" s="43"/>
      <c r="AG1278" s="49" t="str">
        <f ca="1">IFERROR(__xludf.DUMMYFUNCTION("IFNA(vlookup(H1278,IMPORTRANGE(""1vUGwO1n0QQGx9kKbO0_M5gmuhXZ6-LaxQxgrmJnzgP0"",""'TP# look up'!A:C""),3,0),"""")"),"")</f>
        <v/>
      </c>
      <c r="AH1278" s="49" t="str">
        <f t="shared" si="19"/>
        <v/>
      </c>
    </row>
    <row r="1279" spans="8:34" ht="12.75">
      <c r="H1279" s="43"/>
      <c r="AG1279" s="49" t="str">
        <f ca="1">IFERROR(__xludf.DUMMYFUNCTION("IFNA(vlookup(H1279,IMPORTRANGE(""1vUGwO1n0QQGx9kKbO0_M5gmuhXZ6-LaxQxgrmJnzgP0"",""'TP# look up'!A:C""),3,0),"""")"),"")</f>
        <v/>
      </c>
      <c r="AH1279" s="49" t="str">
        <f t="shared" si="19"/>
        <v/>
      </c>
    </row>
    <row r="1280" spans="8:34" ht="12.75">
      <c r="H1280" s="43"/>
      <c r="AG1280" s="49" t="str">
        <f ca="1">IFERROR(__xludf.DUMMYFUNCTION("IFNA(vlookup(H1280,IMPORTRANGE(""1vUGwO1n0QQGx9kKbO0_M5gmuhXZ6-LaxQxgrmJnzgP0"",""'TP# look up'!A:C""),3,0),"""")"),"")</f>
        <v/>
      </c>
      <c r="AH1280" s="49" t="str">
        <f t="shared" si="19"/>
        <v/>
      </c>
    </row>
    <row r="1281" spans="8:34" ht="12.75">
      <c r="H1281" s="43"/>
      <c r="AG1281" s="49" t="str">
        <f ca="1">IFERROR(__xludf.DUMMYFUNCTION("IFNA(vlookup(H1281,IMPORTRANGE(""1vUGwO1n0QQGx9kKbO0_M5gmuhXZ6-LaxQxgrmJnzgP0"",""'TP# look up'!A:C""),3,0),"""")"),"")</f>
        <v/>
      </c>
      <c r="AH1281" s="49" t="str">
        <f t="shared" si="19"/>
        <v/>
      </c>
    </row>
    <row r="1282" spans="8:34" ht="12.75">
      <c r="H1282" s="43"/>
      <c r="AG1282" s="49" t="str">
        <f ca="1">IFERROR(__xludf.DUMMYFUNCTION("IFNA(vlookup(H1282,IMPORTRANGE(""1vUGwO1n0QQGx9kKbO0_M5gmuhXZ6-LaxQxgrmJnzgP0"",""'TP# look up'!A:C""),3,0),"""")"),"")</f>
        <v/>
      </c>
      <c r="AH1282" s="49" t="str">
        <f t="shared" ref="AH1282:AH1345" si="20">LEFT(J1282,2)</f>
        <v/>
      </c>
    </row>
    <row r="1283" spans="8:34" ht="12.75">
      <c r="H1283" s="43"/>
      <c r="AG1283" s="49" t="str">
        <f ca="1">IFERROR(__xludf.DUMMYFUNCTION("IFNA(vlookup(H1283,IMPORTRANGE(""1vUGwO1n0QQGx9kKbO0_M5gmuhXZ6-LaxQxgrmJnzgP0"",""'TP# look up'!A:C""),3,0),"""")"),"")</f>
        <v/>
      </c>
      <c r="AH1283" s="49" t="str">
        <f t="shared" si="20"/>
        <v/>
      </c>
    </row>
    <row r="1284" spans="8:34" ht="12.75">
      <c r="H1284" s="43"/>
      <c r="AG1284" s="49" t="str">
        <f ca="1">IFERROR(__xludf.DUMMYFUNCTION("IFNA(vlookup(H1284,IMPORTRANGE(""1vUGwO1n0QQGx9kKbO0_M5gmuhXZ6-LaxQxgrmJnzgP0"",""'TP# look up'!A:C""),3,0),"""")"),"")</f>
        <v/>
      </c>
      <c r="AH1284" s="49" t="str">
        <f t="shared" si="20"/>
        <v/>
      </c>
    </row>
    <row r="1285" spans="8:34" ht="12.75">
      <c r="H1285" s="43"/>
      <c r="AG1285" s="49" t="str">
        <f ca="1">IFERROR(__xludf.DUMMYFUNCTION("IFNA(vlookup(H1285,IMPORTRANGE(""1vUGwO1n0QQGx9kKbO0_M5gmuhXZ6-LaxQxgrmJnzgP0"",""'TP# look up'!A:C""),3,0),"""")"),"")</f>
        <v/>
      </c>
      <c r="AH1285" s="49" t="str">
        <f t="shared" si="20"/>
        <v/>
      </c>
    </row>
    <row r="1286" spans="8:34" ht="12.75">
      <c r="H1286" s="43"/>
      <c r="AG1286" s="49" t="str">
        <f ca="1">IFERROR(__xludf.DUMMYFUNCTION("IFNA(vlookup(H1286,IMPORTRANGE(""1vUGwO1n0QQGx9kKbO0_M5gmuhXZ6-LaxQxgrmJnzgP0"",""'TP# look up'!A:C""),3,0),"""")"),"")</f>
        <v/>
      </c>
      <c r="AH1286" s="49" t="str">
        <f t="shared" si="20"/>
        <v/>
      </c>
    </row>
    <row r="1287" spans="8:34" ht="12.75">
      <c r="H1287" s="43"/>
      <c r="AG1287" s="49" t="str">
        <f ca="1">IFERROR(__xludf.DUMMYFUNCTION("IFNA(vlookup(H1287,IMPORTRANGE(""1vUGwO1n0QQGx9kKbO0_M5gmuhXZ6-LaxQxgrmJnzgP0"",""'TP# look up'!A:C""),3,0),"""")"),"")</f>
        <v/>
      </c>
      <c r="AH1287" s="49" t="str">
        <f t="shared" si="20"/>
        <v/>
      </c>
    </row>
    <row r="1288" spans="8:34" ht="12.75">
      <c r="H1288" s="43"/>
      <c r="AG1288" s="49" t="str">
        <f ca="1">IFERROR(__xludf.DUMMYFUNCTION("IFNA(vlookup(H1288,IMPORTRANGE(""1vUGwO1n0QQGx9kKbO0_M5gmuhXZ6-LaxQxgrmJnzgP0"",""'TP# look up'!A:C""),3,0),"""")"),"")</f>
        <v/>
      </c>
      <c r="AH1288" s="49" t="str">
        <f t="shared" si="20"/>
        <v/>
      </c>
    </row>
    <row r="1289" spans="8:34" ht="12.75">
      <c r="H1289" s="43"/>
      <c r="AG1289" s="49" t="str">
        <f ca="1">IFERROR(__xludf.DUMMYFUNCTION("IFNA(vlookup(H1289,IMPORTRANGE(""1vUGwO1n0QQGx9kKbO0_M5gmuhXZ6-LaxQxgrmJnzgP0"",""'TP# look up'!A:C""),3,0),"""")"),"")</f>
        <v/>
      </c>
      <c r="AH1289" s="49" t="str">
        <f t="shared" si="20"/>
        <v/>
      </c>
    </row>
    <row r="1290" spans="8:34" ht="12.75">
      <c r="H1290" s="43"/>
      <c r="AG1290" s="49" t="str">
        <f ca="1">IFERROR(__xludf.DUMMYFUNCTION("IFNA(vlookup(H1290,IMPORTRANGE(""1vUGwO1n0QQGx9kKbO0_M5gmuhXZ6-LaxQxgrmJnzgP0"",""'TP# look up'!A:C""),3,0),"""")"),"")</f>
        <v/>
      </c>
      <c r="AH1290" s="49" t="str">
        <f t="shared" si="20"/>
        <v/>
      </c>
    </row>
    <row r="1291" spans="8:34" ht="12.75">
      <c r="H1291" s="43"/>
      <c r="AG1291" s="49" t="str">
        <f ca="1">IFERROR(__xludf.DUMMYFUNCTION("IFNA(vlookup(H1291,IMPORTRANGE(""1vUGwO1n0QQGx9kKbO0_M5gmuhXZ6-LaxQxgrmJnzgP0"",""'TP# look up'!A:C""),3,0),"""")"),"")</f>
        <v/>
      </c>
      <c r="AH1291" s="49" t="str">
        <f t="shared" si="20"/>
        <v/>
      </c>
    </row>
    <row r="1292" spans="8:34" ht="12.75">
      <c r="H1292" s="43"/>
      <c r="AG1292" s="49" t="str">
        <f ca="1">IFERROR(__xludf.DUMMYFUNCTION("IFNA(vlookup(H1292,IMPORTRANGE(""1vUGwO1n0QQGx9kKbO0_M5gmuhXZ6-LaxQxgrmJnzgP0"",""'TP# look up'!A:C""),3,0),"""")"),"")</f>
        <v/>
      </c>
      <c r="AH1292" s="49" t="str">
        <f t="shared" si="20"/>
        <v/>
      </c>
    </row>
    <row r="1293" spans="8:34" ht="12.75">
      <c r="H1293" s="43"/>
      <c r="AG1293" s="49" t="str">
        <f ca="1">IFERROR(__xludf.DUMMYFUNCTION("IFNA(vlookup(H1293,IMPORTRANGE(""1vUGwO1n0QQGx9kKbO0_M5gmuhXZ6-LaxQxgrmJnzgP0"",""'TP# look up'!A:C""),3,0),"""")"),"")</f>
        <v/>
      </c>
      <c r="AH1293" s="49" t="str">
        <f t="shared" si="20"/>
        <v/>
      </c>
    </row>
    <row r="1294" spans="8:34" ht="12.75">
      <c r="H1294" s="43"/>
      <c r="AG1294" s="49" t="str">
        <f ca="1">IFERROR(__xludf.DUMMYFUNCTION("IFNA(vlookup(H1294,IMPORTRANGE(""1vUGwO1n0QQGx9kKbO0_M5gmuhXZ6-LaxQxgrmJnzgP0"",""'TP# look up'!A:C""),3,0),"""")"),"")</f>
        <v/>
      </c>
      <c r="AH1294" s="49" t="str">
        <f t="shared" si="20"/>
        <v/>
      </c>
    </row>
    <row r="1295" spans="8:34" ht="12.75">
      <c r="H1295" s="43"/>
      <c r="AG1295" s="49" t="str">
        <f ca="1">IFERROR(__xludf.DUMMYFUNCTION("IFNA(vlookup(H1295,IMPORTRANGE(""1vUGwO1n0QQGx9kKbO0_M5gmuhXZ6-LaxQxgrmJnzgP0"",""'TP# look up'!A:C""),3,0),"""")"),"")</f>
        <v/>
      </c>
      <c r="AH1295" s="49" t="str">
        <f t="shared" si="20"/>
        <v/>
      </c>
    </row>
    <row r="1296" spans="8:34" ht="12.75">
      <c r="H1296" s="43"/>
      <c r="AG1296" s="49" t="str">
        <f ca="1">IFERROR(__xludf.DUMMYFUNCTION("IFNA(vlookup(H1296,IMPORTRANGE(""1vUGwO1n0QQGx9kKbO0_M5gmuhXZ6-LaxQxgrmJnzgP0"",""'TP# look up'!A:C""),3,0),"""")"),"")</f>
        <v/>
      </c>
      <c r="AH1296" s="49" t="str">
        <f t="shared" si="20"/>
        <v/>
      </c>
    </row>
    <row r="1297" spans="8:34" ht="12.75">
      <c r="H1297" s="43"/>
      <c r="AG1297" s="49" t="str">
        <f ca="1">IFERROR(__xludf.DUMMYFUNCTION("IFNA(vlookup(H1297,IMPORTRANGE(""1vUGwO1n0QQGx9kKbO0_M5gmuhXZ6-LaxQxgrmJnzgP0"",""'TP# look up'!A:C""),3,0),"""")"),"")</f>
        <v/>
      </c>
      <c r="AH1297" s="49" t="str">
        <f t="shared" si="20"/>
        <v/>
      </c>
    </row>
    <row r="1298" spans="8:34" ht="12.75">
      <c r="H1298" s="43"/>
      <c r="AG1298" s="49" t="str">
        <f ca="1">IFERROR(__xludf.DUMMYFUNCTION("IFNA(vlookup(H1298,IMPORTRANGE(""1vUGwO1n0QQGx9kKbO0_M5gmuhXZ6-LaxQxgrmJnzgP0"",""'TP# look up'!A:C""),3,0),"""")"),"")</f>
        <v/>
      </c>
      <c r="AH1298" s="49" t="str">
        <f t="shared" si="20"/>
        <v/>
      </c>
    </row>
    <row r="1299" spans="8:34" ht="12.75">
      <c r="H1299" s="43"/>
      <c r="AG1299" s="49" t="str">
        <f ca="1">IFERROR(__xludf.DUMMYFUNCTION("IFNA(vlookup(H1299,IMPORTRANGE(""1vUGwO1n0QQGx9kKbO0_M5gmuhXZ6-LaxQxgrmJnzgP0"",""'TP# look up'!A:C""),3,0),"""")"),"")</f>
        <v/>
      </c>
      <c r="AH1299" s="49" t="str">
        <f t="shared" si="20"/>
        <v/>
      </c>
    </row>
    <row r="1300" spans="8:34" ht="12.75">
      <c r="H1300" s="43"/>
      <c r="AG1300" s="49" t="str">
        <f ca="1">IFERROR(__xludf.DUMMYFUNCTION("IFNA(vlookup(H1300,IMPORTRANGE(""1vUGwO1n0QQGx9kKbO0_M5gmuhXZ6-LaxQxgrmJnzgP0"",""'TP# look up'!A:C""),3,0),"""")"),"")</f>
        <v/>
      </c>
      <c r="AH1300" s="49" t="str">
        <f t="shared" si="20"/>
        <v/>
      </c>
    </row>
    <row r="1301" spans="8:34" ht="12.75">
      <c r="H1301" s="43"/>
      <c r="AG1301" s="49" t="str">
        <f ca="1">IFERROR(__xludf.DUMMYFUNCTION("IFNA(vlookup(H1301,IMPORTRANGE(""1vUGwO1n0QQGx9kKbO0_M5gmuhXZ6-LaxQxgrmJnzgP0"",""'TP# look up'!A:C""),3,0),"""")"),"")</f>
        <v/>
      </c>
      <c r="AH1301" s="49" t="str">
        <f t="shared" si="20"/>
        <v/>
      </c>
    </row>
    <row r="1302" spans="8:34" ht="12.75">
      <c r="H1302" s="43"/>
      <c r="AG1302" s="49" t="str">
        <f ca="1">IFERROR(__xludf.DUMMYFUNCTION("IFNA(vlookup(H1302,IMPORTRANGE(""1vUGwO1n0QQGx9kKbO0_M5gmuhXZ6-LaxQxgrmJnzgP0"",""'TP# look up'!A:C""),3,0),"""")"),"")</f>
        <v/>
      </c>
      <c r="AH1302" s="49" t="str">
        <f t="shared" si="20"/>
        <v/>
      </c>
    </row>
    <row r="1303" spans="8:34" ht="12.75">
      <c r="H1303" s="43"/>
      <c r="AG1303" s="49" t="str">
        <f ca="1">IFERROR(__xludf.DUMMYFUNCTION("IFNA(vlookup(H1303,IMPORTRANGE(""1vUGwO1n0QQGx9kKbO0_M5gmuhXZ6-LaxQxgrmJnzgP0"",""'TP# look up'!A:C""),3,0),"""")"),"")</f>
        <v/>
      </c>
      <c r="AH1303" s="49" t="str">
        <f t="shared" si="20"/>
        <v/>
      </c>
    </row>
    <row r="1304" spans="8:34" ht="12.75">
      <c r="H1304" s="43"/>
      <c r="AG1304" s="49" t="str">
        <f ca="1">IFERROR(__xludf.DUMMYFUNCTION("IFNA(vlookup(H1304,IMPORTRANGE(""1vUGwO1n0QQGx9kKbO0_M5gmuhXZ6-LaxQxgrmJnzgP0"",""'TP# look up'!A:C""),3,0),"""")"),"")</f>
        <v/>
      </c>
      <c r="AH1304" s="49" t="str">
        <f t="shared" si="20"/>
        <v/>
      </c>
    </row>
    <row r="1305" spans="8:34" ht="12.75">
      <c r="H1305" s="43"/>
      <c r="AG1305" s="49" t="str">
        <f ca="1">IFERROR(__xludf.DUMMYFUNCTION("IFNA(vlookup(H1305,IMPORTRANGE(""1vUGwO1n0QQGx9kKbO0_M5gmuhXZ6-LaxQxgrmJnzgP0"",""'TP# look up'!A:C""),3,0),"""")"),"")</f>
        <v/>
      </c>
      <c r="AH1305" s="49" t="str">
        <f t="shared" si="20"/>
        <v/>
      </c>
    </row>
    <row r="1306" spans="8:34" ht="12.75">
      <c r="H1306" s="43"/>
      <c r="AG1306" s="49" t="str">
        <f ca="1">IFERROR(__xludf.DUMMYFUNCTION("IFNA(vlookup(H1306,IMPORTRANGE(""1vUGwO1n0QQGx9kKbO0_M5gmuhXZ6-LaxQxgrmJnzgP0"",""'TP# look up'!A:C""),3,0),"""")"),"")</f>
        <v/>
      </c>
      <c r="AH1306" s="49" t="str">
        <f t="shared" si="20"/>
        <v/>
      </c>
    </row>
    <row r="1307" spans="8:34" ht="12.75">
      <c r="H1307" s="43"/>
      <c r="AG1307" s="49" t="str">
        <f ca="1">IFERROR(__xludf.DUMMYFUNCTION("IFNA(vlookup(H1307,IMPORTRANGE(""1vUGwO1n0QQGx9kKbO0_M5gmuhXZ6-LaxQxgrmJnzgP0"",""'TP# look up'!A:C""),3,0),"""")"),"")</f>
        <v/>
      </c>
      <c r="AH1307" s="49" t="str">
        <f t="shared" si="20"/>
        <v/>
      </c>
    </row>
    <row r="1308" spans="8:34" ht="12.75">
      <c r="H1308" s="43"/>
      <c r="AG1308" s="49" t="str">
        <f ca="1">IFERROR(__xludf.DUMMYFUNCTION("IFNA(vlookup(H1308,IMPORTRANGE(""1vUGwO1n0QQGx9kKbO0_M5gmuhXZ6-LaxQxgrmJnzgP0"",""'TP# look up'!A:C""),3,0),"""")"),"")</f>
        <v/>
      </c>
      <c r="AH1308" s="49" t="str">
        <f t="shared" si="20"/>
        <v/>
      </c>
    </row>
    <row r="1309" spans="8:34" ht="12.75">
      <c r="H1309" s="43"/>
      <c r="AG1309" s="49" t="str">
        <f ca="1">IFERROR(__xludf.DUMMYFUNCTION("IFNA(vlookup(H1309,IMPORTRANGE(""1vUGwO1n0QQGx9kKbO0_M5gmuhXZ6-LaxQxgrmJnzgP0"",""'TP# look up'!A:C""),3,0),"""")"),"")</f>
        <v/>
      </c>
      <c r="AH1309" s="49" t="str">
        <f t="shared" si="20"/>
        <v/>
      </c>
    </row>
    <row r="1310" spans="8:34" ht="12.75">
      <c r="H1310" s="43"/>
      <c r="AG1310" s="49" t="str">
        <f ca="1">IFERROR(__xludf.DUMMYFUNCTION("IFNA(vlookup(H1310,IMPORTRANGE(""1vUGwO1n0QQGx9kKbO0_M5gmuhXZ6-LaxQxgrmJnzgP0"",""'TP# look up'!A:C""),3,0),"""")"),"")</f>
        <v/>
      </c>
      <c r="AH1310" s="49" t="str">
        <f t="shared" si="20"/>
        <v/>
      </c>
    </row>
    <row r="1311" spans="8:34" ht="12.75">
      <c r="H1311" s="43"/>
      <c r="AG1311" s="49" t="str">
        <f ca="1">IFERROR(__xludf.DUMMYFUNCTION("IFNA(vlookup(H1311,IMPORTRANGE(""1vUGwO1n0QQGx9kKbO0_M5gmuhXZ6-LaxQxgrmJnzgP0"",""'TP# look up'!A:C""),3,0),"""")"),"")</f>
        <v/>
      </c>
      <c r="AH1311" s="49" t="str">
        <f t="shared" si="20"/>
        <v/>
      </c>
    </row>
    <row r="1312" spans="8:34" ht="12.75">
      <c r="H1312" s="43"/>
      <c r="AG1312" s="49" t="str">
        <f ca="1">IFERROR(__xludf.DUMMYFUNCTION("IFNA(vlookup(H1312,IMPORTRANGE(""1vUGwO1n0QQGx9kKbO0_M5gmuhXZ6-LaxQxgrmJnzgP0"",""'TP# look up'!A:C""),3,0),"""")"),"")</f>
        <v/>
      </c>
      <c r="AH1312" s="49" t="str">
        <f t="shared" si="20"/>
        <v/>
      </c>
    </row>
    <row r="1313" spans="8:34" ht="12.75">
      <c r="H1313" s="43"/>
      <c r="AG1313" s="49" t="str">
        <f ca="1">IFERROR(__xludf.DUMMYFUNCTION("IFNA(vlookup(H1313,IMPORTRANGE(""1vUGwO1n0QQGx9kKbO0_M5gmuhXZ6-LaxQxgrmJnzgP0"",""'TP# look up'!A:C""),3,0),"""")"),"")</f>
        <v/>
      </c>
      <c r="AH1313" s="49" t="str">
        <f t="shared" si="20"/>
        <v/>
      </c>
    </row>
    <row r="1314" spans="8:34" ht="12.75">
      <c r="H1314" s="43"/>
      <c r="AG1314" s="49" t="str">
        <f ca="1">IFERROR(__xludf.DUMMYFUNCTION("IFNA(vlookup(H1314,IMPORTRANGE(""1vUGwO1n0QQGx9kKbO0_M5gmuhXZ6-LaxQxgrmJnzgP0"",""'TP# look up'!A:C""),3,0),"""")"),"")</f>
        <v/>
      </c>
      <c r="AH1314" s="49" t="str">
        <f t="shared" si="20"/>
        <v/>
      </c>
    </row>
    <row r="1315" spans="8:34" ht="12.75">
      <c r="H1315" s="43"/>
      <c r="AG1315" s="49" t="str">
        <f ca="1">IFERROR(__xludf.DUMMYFUNCTION("IFNA(vlookup(H1315,IMPORTRANGE(""1vUGwO1n0QQGx9kKbO0_M5gmuhXZ6-LaxQxgrmJnzgP0"",""'TP# look up'!A:C""),3,0),"""")"),"")</f>
        <v/>
      </c>
      <c r="AH1315" s="49" t="str">
        <f t="shared" si="20"/>
        <v/>
      </c>
    </row>
    <row r="1316" spans="8:34" ht="12.75">
      <c r="H1316" s="43"/>
      <c r="AG1316" s="49" t="str">
        <f ca="1">IFERROR(__xludf.DUMMYFUNCTION("IFNA(vlookup(H1316,IMPORTRANGE(""1vUGwO1n0QQGx9kKbO0_M5gmuhXZ6-LaxQxgrmJnzgP0"",""'TP# look up'!A:C""),3,0),"""")"),"")</f>
        <v/>
      </c>
      <c r="AH1316" s="49" t="str">
        <f t="shared" si="20"/>
        <v/>
      </c>
    </row>
    <row r="1317" spans="8:34" ht="12.75">
      <c r="H1317" s="43"/>
      <c r="AG1317" s="49" t="str">
        <f ca="1">IFERROR(__xludf.DUMMYFUNCTION("IFNA(vlookup(H1317,IMPORTRANGE(""1vUGwO1n0QQGx9kKbO0_M5gmuhXZ6-LaxQxgrmJnzgP0"",""'TP# look up'!A:C""),3,0),"""")"),"")</f>
        <v/>
      </c>
      <c r="AH1317" s="49" t="str">
        <f t="shared" si="20"/>
        <v/>
      </c>
    </row>
    <row r="1318" spans="8:34" ht="12.75">
      <c r="H1318" s="43"/>
      <c r="AG1318" s="49" t="str">
        <f ca="1">IFERROR(__xludf.DUMMYFUNCTION("IFNA(vlookup(H1318,IMPORTRANGE(""1vUGwO1n0QQGx9kKbO0_M5gmuhXZ6-LaxQxgrmJnzgP0"",""'TP# look up'!A:C""),3,0),"""")"),"")</f>
        <v/>
      </c>
      <c r="AH1318" s="49" t="str">
        <f t="shared" si="20"/>
        <v/>
      </c>
    </row>
    <row r="1319" spans="8:34" ht="12.75">
      <c r="H1319" s="43"/>
      <c r="AG1319" s="49" t="str">
        <f ca="1">IFERROR(__xludf.DUMMYFUNCTION("IFNA(vlookup(H1319,IMPORTRANGE(""1vUGwO1n0QQGx9kKbO0_M5gmuhXZ6-LaxQxgrmJnzgP0"",""'TP# look up'!A:C""),3,0),"""")"),"")</f>
        <v/>
      </c>
      <c r="AH1319" s="49" t="str">
        <f t="shared" si="20"/>
        <v/>
      </c>
    </row>
    <row r="1320" spans="8:34" ht="12.75">
      <c r="H1320" s="43"/>
      <c r="AG1320" s="49" t="str">
        <f ca="1">IFERROR(__xludf.DUMMYFUNCTION("IFNA(vlookup(H1320,IMPORTRANGE(""1vUGwO1n0QQGx9kKbO0_M5gmuhXZ6-LaxQxgrmJnzgP0"",""'TP# look up'!A:C""),3,0),"""")"),"")</f>
        <v/>
      </c>
      <c r="AH1320" s="49" t="str">
        <f t="shared" si="20"/>
        <v/>
      </c>
    </row>
    <row r="1321" spans="8:34" ht="12.75">
      <c r="H1321" s="43"/>
      <c r="AG1321" s="49" t="str">
        <f ca="1">IFERROR(__xludf.DUMMYFUNCTION("IFNA(vlookup(H1321,IMPORTRANGE(""1vUGwO1n0QQGx9kKbO0_M5gmuhXZ6-LaxQxgrmJnzgP0"",""'TP# look up'!A:C""),3,0),"""")"),"")</f>
        <v/>
      </c>
      <c r="AH1321" s="49" t="str">
        <f t="shared" si="20"/>
        <v/>
      </c>
    </row>
    <row r="1322" spans="8:34" ht="12.75">
      <c r="H1322" s="43"/>
      <c r="AG1322" s="49" t="str">
        <f ca="1">IFERROR(__xludf.DUMMYFUNCTION("IFNA(vlookup(H1322,IMPORTRANGE(""1vUGwO1n0QQGx9kKbO0_M5gmuhXZ6-LaxQxgrmJnzgP0"",""'TP# look up'!A:C""),3,0),"""")"),"")</f>
        <v/>
      </c>
      <c r="AH1322" s="49" t="str">
        <f t="shared" si="20"/>
        <v/>
      </c>
    </row>
    <row r="1323" spans="8:34" ht="12.75">
      <c r="H1323" s="43"/>
      <c r="AG1323" s="49" t="str">
        <f ca="1">IFERROR(__xludf.DUMMYFUNCTION("IFNA(vlookup(H1323,IMPORTRANGE(""1vUGwO1n0QQGx9kKbO0_M5gmuhXZ6-LaxQxgrmJnzgP0"",""'TP# look up'!A:C""),3,0),"""")"),"")</f>
        <v/>
      </c>
      <c r="AH1323" s="49" t="str">
        <f t="shared" si="20"/>
        <v/>
      </c>
    </row>
    <row r="1324" spans="8:34" ht="12.75">
      <c r="H1324" s="43"/>
      <c r="AG1324" s="49" t="str">
        <f ca="1">IFERROR(__xludf.DUMMYFUNCTION("IFNA(vlookup(H1324,IMPORTRANGE(""1vUGwO1n0QQGx9kKbO0_M5gmuhXZ6-LaxQxgrmJnzgP0"",""'TP# look up'!A:C""),3,0),"""")"),"")</f>
        <v/>
      </c>
      <c r="AH1324" s="49" t="str">
        <f t="shared" si="20"/>
        <v/>
      </c>
    </row>
    <row r="1325" spans="8:34" ht="12.75">
      <c r="H1325" s="43"/>
      <c r="AG1325" s="49" t="str">
        <f ca="1">IFERROR(__xludf.DUMMYFUNCTION("IFNA(vlookup(H1325,IMPORTRANGE(""1vUGwO1n0QQGx9kKbO0_M5gmuhXZ6-LaxQxgrmJnzgP0"",""'TP# look up'!A:C""),3,0),"""")"),"")</f>
        <v/>
      </c>
      <c r="AH1325" s="49" t="str">
        <f t="shared" si="20"/>
        <v/>
      </c>
    </row>
    <row r="1326" spans="8:34" ht="12.75">
      <c r="H1326" s="43"/>
      <c r="AG1326" s="49" t="str">
        <f ca="1">IFERROR(__xludf.DUMMYFUNCTION("IFNA(vlookup(H1326,IMPORTRANGE(""1vUGwO1n0QQGx9kKbO0_M5gmuhXZ6-LaxQxgrmJnzgP0"",""'TP# look up'!A:C""),3,0),"""")"),"")</f>
        <v/>
      </c>
      <c r="AH1326" s="49" t="str">
        <f t="shared" si="20"/>
        <v/>
      </c>
    </row>
    <row r="1327" spans="8:34" ht="12.75">
      <c r="H1327" s="43"/>
      <c r="AG1327" s="49" t="str">
        <f ca="1">IFERROR(__xludf.DUMMYFUNCTION("IFNA(vlookup(H1327,IMPORTRANGE(""1vUGwO1n0QQGx9kKbO0_M5gmuhXZ6-LaxQxgrmJnzgP0"",""'TP# look up'!A:C""),3,0),"""")"),"")</f>
        <v/>
      </c>
      <c r="AH1327" s="49" t="str">
        <f t="shared" si="20"/>
        <v/>
      </c>
    </row>
    <row r="1328" spans="8:34" ht="12.75">
      <c r="H1328" s="43"/>
      <c r="AG1328" s="49" t="str">
        <f ca="1">IFERROR(__xludf.DUMMYFUNCTION("IFNA(vlookup(H1328,IMPORTRANGE(""1vUGwO1n0QQGx9kKbO0_M5gmuhXZ6-LaxQxgrmJnzgP0"",""'TP# look up'!A:C""),3,0),"""")"),"")</f>
        <v/>
      </c>
      <c r="AH1328" s="49" t="str">
        <f t="shared" si="20"/>
        <v/>
      </c>
    </row>
    <row r="1329" spans="8:34" ht="12.75">
      <c r="H1329" s="43"/>
      <c r="AG1329" s="49" t="str">
        <f ca="1">IFERROR(__xludf.DUMMYFUNCTION("IFNA(vlookup(H1329,IMPORTRANGE(""1vUGwO1n0QQGx9kKbO0_M5gmuhXZ6-LaxQxgrmJnzgP0"",""'TP# look up'!A:C""),3,0),"""")"),"")</f>
        <v/>
      </c>
      <c r="AH1329" s="49" t="str">
        <f t="shared" si="20"/>
        <v/>
      </c>
    </row>
    <row r="1330" spans="8:34" ht="12.75">
      <c r="H1330" s="43"/>
      <c r="AG1330" s="49" t="str">
        <f ca="1">IFERROR(__xludf.DUMMYFUNCTION("IFNA(vlookup(H1330,IMPORTRANGE(""1vUGwO1n0QQGx9kKbO0_M5gmuhXZ6-LaxQxgrmJnzgP0"",""'TP# look up'!A:C""),3,0),"""")"),"")</f>
        <v/>
      </c>
      <c r="AH1330" s="49" t="str">
        <f t="shared" si="20"/>
        <v/>
      </c>
    </row>
    <row r="1331" spans="8:34" ht="12.75">
      <c r="H1331" s="43"/>
      <c r="AG1331" s="49" t="str">
        <f ca="1">IFERROR(__xludf.DUMMYFUNCTION("IFNA(vlookup(H1331,IMPORTRANGE(""1vUGwO1n0QQGx9kKbO0_M5gmuhXZ6-LaxQxgrmJnzgP0"",""'TP# look up'!A:C""),3,0),"""")"),"")</f>
        <v/>
      </c>
      <c r="AH1331" s="49" t="str">
        <f t="shared" si="20"/>
        <v/>
      </c>
    </row>
    <row r="1332" spans="8:34" ht="12.75">
      <c r="H1332" s="43"/>
      <c r="AG1332" s="49" t="str">
        <f ca="1">IFERROR(__xludf.DUMMYFUNCTION("IFNA(vlookup(H1332,IMPORTRANGE(""1vUGwO1n0QQGx9kKbO0_M5gmuhXZ6-LaxQxgrmJnzgP0"",""'TP# look up'!A:C""),3,0),"""")"),"")</f>
        <v/>
      </c>
      <c r="AH1332" s="49" t="str">
        <f t="shared" si="20"/>
        <v/>
      </c>
    </row>
    <row r="1333" spans="8:34" ht="12.75">
      <c r="H1333" s="43"/>
      <c r="AG1333" s="49" t="str">
        <f ca="1">IFERROR(__xludf.DUMMYFUNCTION("IFNA(vlookup(H1333,IMPORTRANGE(""1vUGwO1n0QQGx9kKbO0_M5gmuhXZ6-LaxQxgrmJnzgP0"",""'TP# look up'!A:C""),3,0),"""")"),"")</f>
        <v/>
      </c>
      <c r="AH1333" s="49" t="str">
        <f t="shared" si="20"/>
        <v/>
      </c>
    </row>
    <row r="1334" spans="8:34" ht="12.75">
      <c r="H1334" s="43"/>
      <c r="AG1334" s="49" t="str">
        <f ca="1">IFERROR(__xludf.DUMMYFUNCTION("IFNA(vlookup(H1334,IMPORTRANGE(""1vUGwO1n0QQGx9kKbO0_M5gmuhXZ6-LaxQxgrmJnzgP0"",""'TP# look up'!A:C""),3,0),"""")"),"")</f>
        <v/>
      </c>
      <c r="AH1334" s="49" t="str">
        <f t="shared" si="20"/>
        <v/>
      </c>
    </row>
    <row r="1335" spans="8:34" ht="12.75">
      <c r="H1335" s="43"/>
      <c r="AG1335" s="49" t="str">
        <f ca="1">IFERROR(__xludf.DUMMYFUNCTION("IFNA(vlookup(H1335,IMPORTRANGE(""1vUGwO1n0QQGx9kKbO0_M5gmuhXZ6-LaxQxgrmJnzgP0"",""'TP# look up'!A:C""),3,0),"""")"),"")</f>
        <v/>
      </c>
      <c r="AH1335" s="49" t="str">
        <f t="shared" si="20"/>
        <v/>
      </c>
    </row>
    <row r="1336" spans="8:34" ht="12.75">
      <c r="H1336" s="43"/>
      <c r="AG1336" s="49" t="str">
        <f ca="1">IFERROR(__xludf.DUMMYFUNCTION("IFNA(vlookup(H1336,IMPORTRANGE(""1vUGwO1n0QQGx9kKbO0_M5gmuhXZ6-LaxQxgrmJnzgP0"",""'TP# look up'!A:C""),3,0),"""")"),"")</f>
        <v/>
      </c>
      <c r="AH1336" s="49" t="str">
        <f t="shared" si="20"/>
        <v/>
      </c>
    </row>
    <row r="1337" spans="8:34" ht="12.75">
      <c r="H1337" s="43"/>
      <c r="AG1337" s="49" t="str">
        <f ca="1">IFERROR(__xludf.DUMMYFUNCTION("IFNA(vlookup(H1337,IMPORTRANGE(""1vUGwO1n0QQGx9kKbO0_M5gmuhXZ6-LaxQxgrmJnzgP0"",""'TP# look up'!A:C""),3,0),"""")"),"")</f>
        <v/>
      </c>
      <c r="AH1337" s="49" t="str">
        <f t="shared" si="20"/>
        <v/>
      </c>
    </row>
    <row r="1338" spans="8:34" ht="12.75">
      <c r="H1338" s="43"/>
      <c r="AG1338" s="49" t="str">
        <f ca="1">IFERROR(__xludf.DUMMYFUNCTION("IFNA(vlookup(H1338,IMPORTRANGE(""1vUGwO1n0QQGx9kKbO0_M5gmuhXZ6-LaxQxgrmJnzgP0"",""'TP# look up'!A:C""),3,0),"""")"),"")</f>
        <v/>
      </c>
      <c r="AH1338" s="49" t="str">
        <f t="shared" si="20"/>
        <v/>
      </c>
    </row>
    <row r="1339" spans="8:34" ht="12.75">
      <c r="H1339" s="43"/>
      <c r="AG1339" s="49" t="str">
        <f ca="1">IFERROR(__xludf.DUMMYFUNCTION("IFNA(vlookup(H1339,IMPORTRANGE(""1vUGwO1n0QQGx9kKbO0_M5gmuhXZ6-LaxQxgrmJnzgP0"",""'TP# look up'!A:C""),3,0),"""")"),"")</f>
        <v/>
      </c>
      <c r="AH1339" s="49" t="str">
        <f t="shared" si="20"/>
        <v/>
      </c>
    </row>
    <row r="1340" spans="8:34" ht="12.75">
      <c r="H1340" s="43"/>
      <c r="AG1340" s="49" t="str">
        <f ca="1">IFERROR(__xludf.DUMMYFUNCTION("IFNA(vlookup(H1340,IMPORTRANGE(""1vUGwO1n0QQGx9kKbO0_M5gmuhXZ6-LaxQxgrmJnzgP0"",""'TP# look up'!A:C""),3,0),"""")"),"")</f>
        <v/>
      </c>
      <c r="AH1340" s="49" t="str">
        <f t="shared" si="20"/>
        <v/>
      </c>
    </row>
    <row r="1341" spans="8:34" ht="12.75">
      <c r="H1341" s="43"/>
      <c r="AG1341" s="49" t="str">
        <f ca="1">IFERROR(__xludf.DUMMYFUNCTION("IFNA(vlookup(H1341,IMPORTRANGE(""1vUGwO1n0QQGx9kKbO0_M5gmuhXZ6-LaxQxgrmJnzgP0"",""'TP# look up'!A:C""),3,0),"""")"),"")</f>
        <v/>
      </c>
      <c r="AH1341" s="49" t="str">
        <f t="shared" si="20"/>
        <v/>
      </c>
    </row>
    <row r="1342" spans="8:34" ht="12.75">
      <c r="H1342" s="43"/>
      <c r="AG1342" s="49" t="str">
        <f ca="1">IFERROR(__xludf.DUMMYFUNCTION("IFNA(vlookup(H1342,IMPORTRANGE(""1vUGwO1n0QQGx9kKbO0_M5gmuhXZ6-LaxQxgrmJnzgP0"",""'TP# look up'!A:C""),3,0),"""")"),"")</f>
        <v/>
      </c>
      <c r="AH1342" s="49" t="str">
        <f t="shared" si="20"/>
        <v/>
      </c>
    </row>
    <row r="1343" spans="8:34" ht="12.75">
      <c r="H1343" s="43"/>
      <c r="AG1343" s="49" t="str">
        <f ca="1">IFERROR(__xludf.DUMMYFUNCTION("IFNA(vlookup(H1343,IMPORTRANGE(""1vUGwO1n0QQGx9kKbO0_M5gmuhXZ6-LaxQxgrmJnzgP0"",""'TP# look up'!A:C""),3,0),"""")"),"")</f>
        <v/>
      </c>
      <c r="AH1343" s="49" t="str">
        <f t="shared" si="20"/>
        <v/>
      </c>
    </row>
    <row r="1344" spans="8:34" ht="12.75">
      <c r="H1344" s="43"/>
      <c r="AG1344" s="49" t="str">
        <f ca="1">IFERROR(__xludf.DUMMYFUNCTION("IFNA(vlookup(H1344,IMPORTRANGE(""1vUGwO1n0QQGx9kKbO0_M5gmuhXZ6-LaxQxgrmJnzgP0"",""'TP# look up'!A:C""),3,0),"""")"),"")</f>
        <v/>
      </c>
      <c r="AH1344" s="49" t="str">
        <f t="shared" si="20"/>
        <v/>
      </c>
    </row>
    <row r="1345" spans="8:34" ht="12.75">
      <c r="H1345" s="43"/>
      <c r="AG1345" s="49" t="str">
        <f ca="1">IFERROR(__xludf.DUMMYFUNCTION("IFNA(vlookup(H1345,IMPORTRANGE(""1vUGwO1n0QQGx9kKbO0_M5gmuhXZ6-LaxQxgrmJnzgP0"",""'TP# look up'!A:C""),3,0),"""")"),"")</f>
        <v/>
      </c>
      <c r="AH1345" s="49" t="str">
        <f t="shared" si="20"/>
        <v/>
      </c>
    </row>
    <row r="1346" spans="8:34" ht="12.75">
      <c r="H1346" s="43"/>
      <c r="AG1346" s="49" t="str">
        <f ca="1">IFERROR(__xludf.DUMMYFUNCTION("IFNA(vlookup(H1346,IMPORTRANGE(""1vUGwO1n0QQGx9kKbO0_M5gmuhXZ6-LaxQxgrmJnzgP0"",""'TP# look up'!A:C""),3,0),"""")"),"")</f>
        <v/>
      </c>
      <c r="AH1346" s="49" t="str">
        <f t="shared" ref="AH1346:AH1409" si="21">LEFT(J1346,2)</f>
        <v/>
      </c>
    </row>
    <row r="1347" spans="8:34" ht="12.75">
      <c r="H1347" s="43"/>
      <c r="AG1347" s="49" t="str">
        <f ca="1">IFERROR(__xludf.DUMMYFUNCTION("IFNA(vlookup(H1347,IMPORTRANGE(""1vUGwO1n0QQGx9kKbO0_M5gmuhXZ6-LaxQxgrmJnzgP0"",""'TP# look up'!A:C""),3,0),"""")"),"")</f>
        <v/>
      </c>
      <c r="AH1347" s="49" t="str">
        <f t="shared" si="21"/>
        <v/>
      </c>
    </row>
    <row r="1348" spans="8:34" ht="12.75">
      <c r="H1348" s="43"/>
      <c r="AG1348" s="49" t="str">
        <f ca="1">IFERROR(__xludf.DUMMYFUNCTION("IFNA(vlookup(H1348,IMPORTRANGE(""1vUGwO1n0QQGx9kKbO0_M5gmuhXZ6-LaxQxgrmJnzgP0"",""'TP# look up'!A:C""),3,0),"""")"),"")</f>
        <v/>
      </c>
      <c r="AH1348" s="49" t="str">
        <f t="shared" si="21"/>
        <v/>
      </c>
    </row>
    <row r="1349" spans="8:34" ht="12.75">
      <c r="H1349" s="43"/>
      <c r="AG1349" s="49" t="str">
        <f ca="1">IFERROR(__xludf.DUMMYFUNCTION("IFNA(vlookup(H1349,IMPORTRANGE(""1vUGwO1n0QQGx9kKbO0_M5gmuhXZ6-LaxQxgrmJnzgP0"",""'TP# look up'!A:C""),3,0),"""")"),"")</f>
        <v/>
      </c>
      <c r="AH1349" s="49" t="str">
        <f t="shared" si="21"/>
        <v/>
      </c>
    </row>
    <row r="1350" spans="8:34" ht="12.75">
      <c r="H1350" s="43"/>
      <c r="AG1350" s="49" t="str">
        <f ca="1">IFERROR(__xludf.DUMMYFUNCTION("IFNA(vlookup(H1350,IMPORTRANGE(""1vUGwO1n0QQGx9kKbO0_M5gmuhXZ6-LaxQxgrmJnzgP0"",""'TP# look up'!A:C""),3,0),"""")"),"")</f>
        <v/>
      </c>
      <c r="AH1350" s="49" t="str">
        <f t="shared" si="21"/>
        <v/>
      </c>
    </row>
    <row r="1351" spans="8:34" ht="12.75">
      <c r="H1351" s="43"/>
      <c r="AG1351" s="49" t="str">
        <f ca="1">IFERROR(__xludf.DUMMYFUNCTION("IFNA(vlookup(H1351,IMPORTRANGE(""1vUGwO1n0QQGx9kKbO0_M5gmuhXZ6-LaxQxgrmJnzgP0"",""'TP# look up'!A:C""),3,0),"""")"),"")</f>
        <v/>
      </c>
      <c r="AH1351" s="49" t="str">
        <f t="shared" si="21"/>
        <v/>
      </c>
    </row>
    <row r="1352" spans="8:34" ht="12.75">
      <c r="H1352" s="43"/>
      <c r="AG1352" s="49" t="str">
        <f ca="1">IFERROR(__xludf.DUMMYFUNCTION("IFNA(vlookup(H1352,IMPORTRANGE(""1vUGwO1n0QQGx9kKbO0_M5gmuhXZ6-LaxQxgrmJnzgP0"",""'TP# look up'!A:C""),3,0),"""")"),"")</f>
        <v/>
      </c>
      <c r="AH1352" s="49" t="str">
        <f t="shared" si="21"/>
        <v/>
      </c>
    </row>
    <row r="1353" spans="8:34" ht="12.75">
      <c r="H1353" s="43"/>
      <c r="AG1353" s="49" t="str">
        <f ca="1">IFERROR(__xludf.DUMMYFUNCTION("IFNA(vlookup(H1353,IMPORTRANGE(""1vUGwO1n0QQGx9kKbO0_M5gmuhXZ6-LaxQxgrmJnzgP0"",""'TP# look up'!A:C""),3,0),"""")"),"")</f>
        <v/>
      </c>
      <c r="AH1353" s="49" t="str">
        <f t="shared" si="21"/>
        <v/>
      </c>
    </row>
    <row r="1354" spans="8:34" ht="12.75">
      <c r="H1354" s="43"/>
      <c r="AG1354" s="49" t="str">
        <f ca="1">IFERROR(__xludf.DUMMYFUNCTION("IFNA(vlookup(H1354,IMPORTRANGE(""1vUGwO1n0QQGx9kKbO0_M5gmuhXZ6-LaxQxgrmJnzgP0"",""'TP# look up'!A:C""),3,0),"""")"),"")</f>
        <v/>
      </c>
      <c r="AH1354" s="49" t="str">
        <f t="shared" si="21"/>
        <v/>
      </c>
    </row>
    <row r="1355" spans="8:34" ht="12.75">
      <c r="H1355" s="43"/>
      <c r="AG1355" s="49" t="str">
        <f ca="1">IFERROR(__xludf.DUMMYFUNCTION("IFNA(vlookup(H1355,IMPORTRANGE(""1vUGwO1n0QQGx9kKbO0_M5gmuhXZ6-LaxQxgrmJnzgP0"",""'TP# look up'!A:C""),3,0),"""")"),"")</f>
        <v/>
      </c>
      <c r="AH1355" s="49" t="str">
        <f t="shared" si="21"/>
        <v/>
      </c>
    </row>
    <row r="1356" spans="8:34" ht="12.75">
      <c r="H1356" s="43"/>
      <c r="AG1356" s="49" t="str">
        <f ca="1">IFERROR(__xludf.DUMMYFUNCTION("IFNA(vlookup(H1356,IMPORTRANGE(""1vUGwO1n0QQGx9kKbO0_M5gmuhXZ6-LaxQxgrmJnzgP0"",""'TP# look up'!A:C""),3,0),"""")"),"")</f>
        <v/>
      </c>
      <c r="AH1356" s="49" t="str">
        <f t="shared" si="21"/>
        <v/>
      </c>
    </row>
    <row r="1357" spans="8:34" ht="12.75">
      <c r="H1357" s="43"/>
      <c r="AG1357" s="49" t="str">
        <f ca="1">IFERROR(__xludf.DUMMYFUNCTION("IFNA(vlookup(H1357,IMPORTRANGE(""1vUGwO1n0QQGx9kKbO0_M5gmuhXZ6-LaxQxgrmJnzgP0"",""'TP# look up'!A:C""),3,0),"""")"),"")</f>
        <v/>
      </c>
      <c r="AH1357" s="49" t="str">
        <f t="shared" si="21"/>
        <v/>
      </c>
    </row>
    <row r="1358" spans="8:34" ht="12.75">
      <c r="H1358" s="43"/>
      <c r="AG1358" s="49" t="str">
        <f ca="1">IFERROR(__xludf.DUMMYFUNCTION("IFNA(vlookup(H1358,IMPORTRANGE(""1vUGwO1n0QQGx9kKbO0_M5gmuhXZ6-LaxQxgrmJnzgP0"",""'TP# look up'!A:C""),3,0),"""")"),"")</f>
        <v/>
      </c>
      <c r="AH1358" s="49" t="str">
        <f t="shared" si="21"/>
        <v/>
      </c>
    </row>
    <row r="1359" spans="8:34" ht="12.75">
      <c r="H1359" s="43"/>
      <c r="AG1359" s="49" t="str">
        <f ca="1">IFERROR(__xludf.DUMMYFUNCTION("IFNA(vlookup(H1359,IMPORTRANGE(""1vUGwO1n0QQGx9kKbO0_M5gmuhXZ6-LaxQxgrmJnzgP0"",""'TP# look up'!A:C""),3,0),"""")"),"")</f>
        <v/>
      </c>
      <c r="AH1359" s="49" t="str">
        <f t="shared" si="21"/>
        <v/>
      </c>
    </row>
    <row r="1360" spans="8:34" ht="12.75">
      <c r="H1360" s="43"/>
      <c r="AG1360" s="49" t="str">
        <f ca="1">IFERROR(__xludf.DUMMYFUNCTION("IFNA(vlookup(H1360,IMPORTRANGE(""1vUGwO1n0QQGx9kKbO0_M5gmuhXZ6-LaxQxgrmJnzgP0"",""'TP# look up'!A:C""),3,0),"""")"),"")</f>
        <v/>
      </c>
      <c r="AH1360" s="49" t="str">
        <f t="shared" si="21"/>
        <v/>
      </c>
    </row>
    <row r="1361" spans="8:34" ht="12.75">
      <c r="H1361" s="43"/>
      <c r="AG1361" s="49" t="str">
        <f ca="1">IFERROR(__xludf.DUMMYFUNCTION("IFNA(vlookup(H1361,IMPORTRANGE(""1vUGwO1n0QQGx9kKbO0_M5gmuhXZ6-LaxQxgrmJnzgP0"",""'TP# look up'!A:C""),3,0),"""")"),"")</f>
        <v/>
      </c>
      <c r="AH1361" s="49" t="str">
        <f t="shared" si="21"/>
        <v/>
      </c>
    </row>
    <row r="1362" spans="8:34" ht="12.75">
      <c r="H1362" s="43"/>
      <c r="AG1362" s="49" t="str">
        <f ca="1">IFERROR(__xludf.DUMMYFUNCTION("IFNA(vlookup(H1362,IMPORTRANGE(""1vUGwO1n0QQGx9kKbO0_M5gmuhXZ6-LaxQxgrmJnzgP0"",""'TP# look up'!A:C""),3,0),"""")"),"")</f>
        <v/>
      </c>
      <c r="AH1362" s="49" t="str">
        <f t="shared" si="21"/>
        <v/>
      </c>
    </row>
    <row r="1363" spans="8:34" ht="12.75">
      <c r="H1363" s="43"/>
      <c r="AG1363" s="49" t="str">
        <f ca="1">IFERROR(__xludf.DUMMYFUNCTION("IFNA(vlookup(H1363,IMPORTRANGE(""1vUGwO1n0QQGx9kKbO0_M5gmuhXZ6-LaxQxgrmJnzgP0"",""'TP# look up'!A:C""),3,0),"""")"),"")</f>
        <v/>
      </c>
      <c r="AH1363" s="49" t="str">
        <f t="shared" si="21"/>
        <v/>
      </c>
    </row>
    <row r="1364" spans="8:34" ht="12.75">
      <c r="H1364" s="43"/>
      <c r="AG1364" s="49" t="str">
        <f ca="1">IFERROR(__xludf.DUMMYFUNCTION("IFNA(vlookup(H1364,IMPORTRANGE(""1vUGwO1n0QQGx9kKbO0_M5gmuhXZ6-LaxQxgrmJnzgP0"",""'TP# look up'!A:C""),3,0),"""")"),"")</f>
        <v/>
      </c>
      <c r="AH1364" s="49" t="str">
        <f t="shared" si="21"/>
        <v/>
      </c>
    </row>
    <row r="1365" spans="8:34" ht="12.75">
      <c r="H1365" s="43"/>
      <c r="AG1365" s="49" t="str">
        <f ca="1">IFERROR(__xludf.DUMMYFUNCTION("IFNA(vlookup(H1365,IMPORTRANGE(""1vUGwO1n0QQGx9kKbO0_M5gmuhXZ6-LaxQxgrmJnzgP0"",""'TP# look up'!A:C""),3,0),"""")"),"")</f>
        <v/>
      </c>
      <c r="AH1365" s="49" t="str">
        <f t="shared" si="21"/>
        <v/>
      </c>
    </row>
    <row r="1366" spans="8:34" ht="12.75">
      <c r="H1366" s="43"/>
      <c r="AG1366" s="49" t="str">
        <f ca="1">IFERROR(__xludf.DUMMYFUNCTION("IFNA(vlookup(H1366,IMPORTRANGE(""1vUGwO1n0QQGx9kKbO0_M5gmuhXZ6-LaxQxgrmJnzgP0"",""'TP# look up'!A:C""),3,0),"""")"),"")</f>
        <v/>
      </c>
      <c r="AH1366" s="49" t="str">
        <f t="shared" si="21"/>
        <v/>
      </c>
    </row>
    <row r="1367" spans="8:34" ht="12.75">
      <c r="H1367" s="43"/>
      <c r="AG1367" s="49" t="str">
        <f ca="1">IFERROR(__xludf.DUMMYFUNCTION("IFNA(vlookup(H1367,IMPORTRANGE(""1vUGwO1n0QQGx9kKbO0_M5gmuhXZ6-LaxQxgrmJnzgP0"",""'TP# look up'!A:C""),3,0),"""")"),"")</f>
        <v/>
      </c>
      <c r="AH1367" s="49" t="str">
        <f t="shared" si="21"/>
        <v/>
      </c>
    </row>
    <row r="1368" spans="8:34" ht="12.75">
      <c r="H1368" s="43"/>
      <c r="AG1368" s="49" t="str">
        <f ca="1">IFERROR(__xludf.DUMMYFUNCTION("IFNA(vlookup(H1368,IMPORTRANGE(""1vUGwO1n0QQGx9kKbO0_M5gmuhXZ6-LaxQxgrmJnzgP0"",""'TP# look up'!A:C""),3,0),"""")"),"")</f>
        <v/>
      </c>
      <c r="AH1368" s="49" t="str">
        <f t="shared" si="21"/>
        <v/>
      </c>
    </row>
    <row r="1369" spans="8:34" ht="12.75">
      <c r="H1369" s="43"/>
      <c r="AG1369" s="49" t="str">
        <f ca="1">IFERROR(__xludf.DUMMYFUNCTION("IFNA(vlookup(H1369,IMPORTRANGE(""1vUGwO1n0QQGx9kKbO0_M5gmuhXZ6-LaxQxgrmJnzgP0"",""'TP# look up'!A:C""),3,0),"""")"),"")</f>
        <v/>
      </c>
      <c r="AH1369" s="49" t="str">
        <f t="shared" si="21"/>
        <v/>
      </c>
    </row>
    <row r="1370" spans="8:34" ht="12.75">
      <c r="H1370" s="43"/>
      <c r="AG1370" s="49" t="str">
        <f ca="1">IFERROR(__xludf.DUMMYFUNCTION("IFNA(vlookup(H1370,IMPORTRANGE(""1vUGwO1n0QQGx9kKbO0_M5gmuhXZ6-LaxQxgrmJnzgP0"",""'TP# look up'!A:C""),3,0),"""")"),"")</f>
        <v/>
      </c>
      <c r="AH1370" s="49" t="str">
        <f t="shared" si="21"/>
        <v/>
      </c>
    </row>
    <row r="1371" spans="8:34" ht="12.75">
      <c r="H1371" s="43"/>
      <c r="AG1371" s="49" t="str">
        <f ca="1">IFERROR(__xludf.DUMMYFUNCTION("IFNA(vlookup(H1371,IMPORTRANGE(""1vUGwO1n0QQGx9kKbO0_M5gmuhXZ6-LaxQxgrmJnzgP0"",""'TP# look up'!A:C""),3,0),"""")"),"")</f>
        <v/>
      </c>
      <c r="AH1371" s="49" t="str">
        <f t="shared" si="21"/>
        <v/>
      </c>
    </row>
    <row r="1372" spans="8:34" ht="12.75">
      <c r="H1372" s="43"/>
      <c r="AG1372" s="49" t="str">
        <f ca="1">IFERROR(__xludf.DUMMYFUNCTION("IFNA(vlookup(H1372,IMPORTRANGE(""1vUGwO1n0QQGx9kKbO0_M5gmuhXZ6-LaxQxgrmJnzgP0"",""'TP# look up'!A:C""),3,0),"""")"),"")</f>
        <v/>
      </c>
      <c r="AH1372" s="49" t="str">
        <f t="shared" si="21"/>
        <v/>
      </c>
    </row>
    <row r="1373" spans="8:34" ht="12.75">
      <c r="H1373" s="43"/>
      <c r="AG1373" s="49" t="str">
        <f ca="1">IFERROR(__xludf.DUMMYFUNCTION("IFNA(vlookup(H1373,IMPORTRANGE(""1vUGwO1n0QQGx9kKbO0_M5gmuhXZ6-LaxQxgrmJnzgP0"",""'TP# look up'!A:C""),3,0),"""")"),"")</f>
        <v/>
      </c>
      <c r="AH1373" s="49" t="str">
        <f t="shared" si="21"/>
        <v/>
      </c>
    </row>
    <row r="1374" spans="8:34" ht="12.75">
      <c r="H1374" s="43"/>
      <c r="AG1374" s="49" t="str">
        <f ca="1">IFERROR(__xludf.DUMMYFUNCTION("IFNA(vlookup(H1374,IMPORTRANGE(""1vUGwO1n0QQGx9kKbO0_M5gmuhXZ6-LaxQxgrmJnzgP0"",""'TP# look up'!A:C""),3,0),"""")"),"")</f>
        <v/>
      </c>
      <c r="AH1374" s="49" t="str">
        <f t="shared" si="21"/>
        <v/>
      </c>
    </row>
    <row r="1375" spans="8:34" ht="12.75">
      <c r="H1375" s="43"/>
      <c r="AG1375" s="49" t="str">
        <f ca="1">IFERROR(__xludf.DUMMYFUNCTION("IFNA(vlookup(H1375,IMPORTRANGE(""1vUGwO1n0QQGx9kKbO0_M5gmuhXZ6-LaxQxgrmJnzgP0"",""'TP# look up'!A:C""),3,0),"""")"),"")</f>
        <v/>
      </c>
      <c r="AH1375" s="49" t="str">
        <f t="shared" si="21"/>
        <v/>
      </c>
    </row>
    <row r="1376" spans="8:34" ht="12.75">
      <c r="H1376" s="43"/>
      <c r="AG1376" s="49" t="str">
        <f ca="1">IFERROR(__xludf.DUMMYFUNCTION("IFNA(vlookup(H1376,IMPORTRANGE(""1vUGwO1n0QQGx9kKbO0_M5gmuhXZ6-LaxQxgrmJnzgP0"",""'TP# look up'!A:C""),3,0),"""")"),"")</f>
        <v/>
      </c>
      <c r="AH1376" s="49" t="str">
        <f t="shared" si="21"/>
        <v/>
      </c>
    </row>
    <row r="1377" spans="8:34" ht="12.75">
      <c r="H1377" s="43"/>
      <c r="AG1377" s="49" t="str">
        <f ca="1">IFERROR(__xludf.DUMMYFUNCTION("IFNA(vlookup(H1377,IMPORTRANGE(""1vUGwO1n0QQGx9kKbO0_M5gmuhXZ6-LaxQxgrmJnzgP0"",""'TP# look up'!A:C""),3,0),"""")"),"")</f>
        <v/>
      </c>
      <c r="AH1377" s="49" t="str">
        <f t="shared" si="21"/>
        <v/>
      </c>
    </row>
    <row r="1378" spans="8:34" ht="12.75">
      <c r="H1378" s="43"/>
      <c r="AG1378" s="49" t="str">
        <f ca="1">IFERROR(__xludf.DUMMYFUNCTION("IFNA(vlookup(H1378,IMPORTRANGE(""1vUGwO1n0QQGx9kKbO0_M5gmuhXZ6-LaxQxgrmJnzgP0"",""'TP# look up'!A:C""),3,0),"""")"),"")</f>
        <v/>
      </c>
      <c r="AH1378" s="49" t="str">
        <f t="shared" si="21"/>
        <v/>
      </c>
    </row>
    <row r="1379" spans="8:34" ht="12.75">
      <c r="H1379" s="43"/>
      <c r="AG1379" s="49" t="str">
        <f ca="1">IFERROR(__xludf.DUMMYFUNCTION("IFNA(vlookup(H1379,IMPORTRANGE(""1vUGwO1n0QQGx9kKbO0_M5gmuhXZ6-LaxQxgrmJnzgP0"",""'TP# look up'!A:C""),3,0),"""")"),"")</f>
        <v/>
      </c>
      <c r="AH1379" s="49" t="str">
        <f t="shared" si="21"/>
        <v/>
      </c>
    </row>
    <row r="1380" spans="8:34" ht="12.75">
      <c r="H1380" s="43"/>
      <c r="AG1380" s="49" t="str">
        <f ca="1">IFERROR(__xludf.DUMMYFUNCTION("IFNA(vlookup(H1380,IMPORTRANGE(""1vUGwO1n0QQGx9kKbO0_M5gmuhXZ6-LaxQxgrmJnzgP0"",""'TP# look up'!A:C""),3,0),"""")"),"")</f>
        <v/>
      </c>
      <c r="AH1380" s="49" t="str">
        <f t="shared" si="21"/>
        <v/>
      </c>
    </row>
    <row r="1381" spans="8:34" ht="12.75">
      <c r="H1381" s="43"/>
      <c r="AG1381" s="49" t="str">
        <f ca="1">IFERROR(__xludf.DUMMYFUNCTION("IFNA(vlookup(H1381,IMPORTRANGE(""1vUGwO1n0QQGx9kKbO0_M5gmuhXZ6-LaxQxgrmJnzgP0"",""'TP# look up'!A:C""),3,0),"""")"),"")</f>
        <v/>
      </c>
      <c r="AH1381" s="49" t="str">
        <f t="shared" si="21"/>
        <v/>
      </c>
    </row>
    <row r="1382" spans="8:34" ht="12.75">
      <c r="H1382" s="43"/>
      <c r="AG1382" s="49" t="str">
        <f ca="1">IFERROR(__xludf.DUMMYFUNCTION("IFNA(vlookup(H1382,IMPORTRANGE(""1vUGwO1n0QQGx9kKbO0_M5gmuhXZ6-LaxQxgrmJnzgP0"",""'TP# look up'!A:C""),3,0),"""")"),"")</f>
        <v/>
      </c>
      <c r="AH1382" s="49" t="str">
        <f t="shared" si="21"/>
        <v/>
      </c>
    </row>
    <row r="1383" spans="8:34" ht="12.75">
      <c r="H1383" s="43"/>
      <c r="AG1383" s="49" t="str">
        <f ca="1">IFERROR(__xludf.DUMMYFUNCTION("IFNA(vlookup(H1383,IMPORTRANGE(""1vUGwO1n0QQGx9kKbO0_M5gmuhXZ6-LaxQxgrmJnzgP0"",""'TP# look up'!A:C""),3,0),"""")"),"")</f>
        <v/>
      </c>
      <c r="AH1383" s="49" t="str">
        <f t="shared" si="21"/>
        <v/>
      </c>
    </row>
    <row r="1384" spans="8:34" ht="12.75">
      <c r="H1384" s="43"/>
      <c r="AG1384" s="49" t="str">
        <f ca="1">IFERROR(__xludf.DUMMYFUNCTION("IFNA(vlookup(H1384,IMPORTRANGE(""1vUGwO1n0QQGx9kKbO0_M5gmuhXZ6-LaxQxgrmJnzgP0"",""'TP# look up'!A:C""),3,0),"""")"),"")</f>
        <v/>
      </c>
      <c r="AH1384" s="49" t="str">
        <f t="shared" si="21"/>
        <v/>
      </c>
    </row>
    <row r="1385" spans="8:34" ht="12.75">
      <c r="H1385" s="43"/>
      <c r="AG1385" s="49" t="str">
        <f ca="1">IFERROR(__xludf.DUMMYFUNCTION("IFNA(vlookup(H1385,IMPORTRANGE(""1vUGwO1n0QQGx9kKbO0_M5gmuhXZ6-LaxQxgrmJnzgP0"",""'TP# look up'!A:C""),3,0),"""")"),"")</f>
        <v/>
      </c>
      <c r="AH1385" s="49" t="str">
        <f t="shared" si="21"/>
        <v/>
      </c>
    </row>
    <row r="1386" spans="8:34" ht="12.75">
      <c r="H1386" s="43"/>
      <c r="AG1386" s="49" t="str">
        <f ca="1">IFERROR(__xludf.DUMMYFUNCTION("IFNA(vlookup(H1386,IMPORTRANGE(""1vUGwO1n0QQGx9kKbO0_M5gmuhXZ6-LaxQxgrmJnzgP0"",""'TP# look up'!A:C""),3,0),"""")"),"")</f>
        <v/>
      </c>
      <c r="AH1386" s="49" t="str">
        <f t="shared" si="21"/>
        <v/>
      </c>
    </row>
    <row r="1387" spans="8:34" ht="12.75">
      <c r="H1387" s="43"/>
      <c r="AG1387" s="49" t="str">
        <f ca="1">IFERROR(__xludf.DUMMYFUNCTION("IFNA(vlookup(H1387,IMPORTRANGE(""1vUGwO1n0QQGx9kKbO0_M5gmuhXZ6-LaxQxgrmJnzgP0"",""'TP# look up'!A:C""),3,0),"""")"),"")</f>
        <v/>
      </c>
      <c r="AH1387" s="49" t="str">
        <f t="shared" si="21"/>
        <v/>
      </c>
    </row>
    <row r="1388" spans="8:34" ht="12.75">
      <c r="H1388" s="43"/>
      <c r="AG1388" s="49" t="str">
        <f ca="1">IFERROR(__xludf.DUMMYFUNCTION("IFNA(vlookup(H1388,IMPORTRANGE(""1vUGwO1n0QQGx9kKbO0_M5gmuhXZ6-LaxQxgrmJnzgP0"",""'TP# look up'!A:C""),3,0),"""")"),"")</f>
        <v/>
      </c>
      <c r="AH1388" s="49" t="str">
        <f t="shared" si="21"/>
        <v/>
      </c>
    </row>
    <row r="1389" spans="8:34" ht="12.75">
      <c r="H1389" s="43"/>
      <c r="AG1389" s="49" t="str">
        <f ca="1">IFERROR(__xludf.DUMMYFUNCTION("IFNA(vlookup(H1389,IMPORTRANGE(""1vUGwO1n0QQGx9kKbO0_M5gmuhXZ6-LaxQxgrmJnzgP0"",""'TP# look up'!A:C""),3,0),"""")"),"")</f>
        <v/>
      </c>
      <c r="AH1389" s="49" t="str">
        <f t="shared" si="21"/>
        <v/>
      </c>
    </row>
    <row r="1390" spans="8:34" ht="12.75">
      <c r="H1390" s="43"/>
      <c r="AG1390" s="49" t="str">
        <f ca="1">IFERROR(__xludf.DUMMYFUNCTION("IFNA(vlookup(H1390,IMPORTRANGE(""1vUGwO1n0QQGx9kKbO0_M5gmuhXZ6-LaxQxgrmJnzgP0"",""'TP# look up'!A:C""),3,0),"""")"),"")</f>
        <v/>
      </c>
      <c r="AH1390" s="49" t="str">
        <f t="shared" si="21"/>
        <v/>
      </c>
    </row>
    <row r="1391" spans="8:34" ht="12.75">
      <c r="H1391" s="43"/>
      <c r="AG1391" s="49" t="str">
        <f ca="1">IFERROR(__xludf.DUMMYFUNCTION("IFNA(vlookup(H1391,IMPORTRANGE(""1vUGwO1n0QQGx9kKbO0_M5gmuhXZ6-LaxQxgrmJnzgP0"",""'TP# look up'!A:C""),3,0),"""")"),"")</f>
        <v/>
      </c>
      <c r="AH1391" s="49" t="str">
        <f t="shared" si="21"/>
        <v/>
      </c>
    </row>
    <row r="1392" spans="8:34" ht="12.75">
      <c r="H1392" s="43"/>
      <c r="AG1392" s="49" t="str">
        <f ca="1">IFERROR(__xludf.DUMMYFUNCTION("IFNA(vlookup(H1392,IMPORTRANGE(""1vUGwO1n0QQGx9kKbO0_M5gmuhXZ6-LaxQxgrmJnzgP0"",""'TP# look up'!A:C""),3,0),"""")"),"")</f>
        <v/>
      </c>
      <c r="AH1392" s="49" t="str">
        <f t="shared" si="21"/>
        <v/>
      </c>
    </row>
    <row r="1393" spans="8:34" ht="12.75">
      <c r="H1393" s="43"/>
      <c r="AG1393" s="49" t="str">
        <f ca="1">IFERROR(__xludf.DUMMYFUNCTION("IFNA(vlookup(H1393,IMPORTRANGE(""1vUGwO1n0QQGx9kKbO0_M5gmuhXZ6-LaxQxgrmJnzgP0"",""'TP# look up'!A:C""),3,0),"""")"),"")</f>
        <v/>
      </c>
      <c r="AH1393" s="49" t="str">
        <f t="shared" si="21"/>
        <v/>
      </c>
    </row>
    <row r="1394" spans="8:34" ht="12.75">
      <c r="H1394" s="43"/>
      <c r="AG1394" s="49" t="str">
        <f ca="1">IFERROR(__xludf.DUMMYFUNCTION("IFNA(vlookup(H1394,IMPORTRANGE(""1vUGwO1n0QQGx9kKbO0_M5gmuhXZ6-LaxQxgrmJnzgP0"",""'TP# look up'!A:C""),3,0),"""")"),"")</f>
        <v/>
      </c>
      <c r="AH1394" s="49" t="str">
        <f t="shared" si="21"/>
        <v/>
      </c>
    </row>
    <row r="1395" spans="8:34" ht="12.75">
      <c r="H1395" s="43"/>
      <c r="AG1395" s="49" t="str">
        <f ca="1">IFERROR(__xludf.DUMMYFUNCTION("IFNA(vlookup(H1395,IMPORTRANGE(""1vUGwO1n0QQGx9kKbO0_M5gmuhXZ6-LaxQxgrmJnzgP0"",""'TP# look up'!A:C""),3,0),"""")"),"")</f>
        <v/>
      </c>
      <c r="AH1395" s="49" t="str">
        <f t="shared" si="21"/>
        <v/>
      </c>
    </row>
    <row r="1396" spans="8:34" ht="12.75">
      <c r="H1396" s="43"/>
      <c r="AG1396" s="49" t="str">
        <f ca="1">IFERROR(__xludf.DUMMYFUNCTION("IFNA(vlookup(H1396,IMPORTRANGE(""1vUGwO1n0QQGx9kKbO0_M5gmuhXZ6-LaxQxgrmJnzgP0"",""'TP# look up'!A:C""),3,0),"""")"),"")</f>
        <v/>
      </c>
      <c r="AH1396" s="49" t="str">
        <f t="shared" si="21"/>
        <v/>
      </c>
    </row>
    <row r="1397" spans="8:34" ht="12.75">
      <c r="H1397" s="43"/>
      <c r="AG1397" s="49" t="str">
        <f ca="1">IFERROR(__xludf.DUMMYFUNCTION("IFNA(vlookup(H1397,IMPORTRANGE(""1vUGwO1n0QQGx9kKbO0_M5gmuhXZ6-LaxQxgrmJnzgP0"",""'TP# look up'!A:C""),3,0),"""")"),"")</f>
        <v/>
      </c>
      <c r="AH1397" s="49" t="str">
        <f t="shared" si="21"/>
        <v/>
      </c>
    </row>
    <row r="1398" spans="8:34" ht="12.75">
      <c r="H1398" s="43"/>
      <c r="AG1398" s="49" t="str">
        <f ca="1">IFERROR(__xludf.DUMMYFUNCTION("IFNA(vlookup(H1398,IMPORTRANGE(""1vUGwO1n0QQGx9kKbO0_M5gmuhXZ6-LaxQxgrmJnzgP0"",""'TP# look up'!A:C""),3,0),"""")"),"")</f>
        <v/>
      </c>
      <c r="AH1398" s="49" t="str">
        <f t="shared" si="21"/>
        <v/>
      </c>
    </row>
    <row r="1399" spans="8:34" ht="12.75">
      <c r="H1399" s="43"/>
      <c r="AG1399" s="49" t="str">
        <f ca="1">IFERROR(__xludf.DUMMYFUNCTION("IFNA(vlookup(H1399,IMPORTRANGE(""1vUGwO1n0QQGx9kKbO0_M5gmuhXZ6-LaxQxgrmJnzgP0"",""'TP# look up'!A:C""),3,0),"""")"),"")</f>
        <v/>
      </c>
      <c r="AH1399" s="49" t="str">
        <f t="shared" si="21"/>
        <v/>
      </c>
    </row>
    <row r="1400" spans="8:34" ht="12.75">
      <c r="H1400" s="43"/>
      <c r="AG1400" s="49" t="str">
        <f ca="1">IFERROR(__xludf.DUMMYFUNCTION("IFNA(vlookup(H1400,IMPORTRANGE(""1vUGwO1n0QQGx9kKbO0_M5gmuhXZ6-LaxQxgrmJnzgP0"",""'TP# look up'!A:C""),3,0),"""")"),"")</f>
        <v/>
      </c>
      <c r="AH1400" s="49" t="str">
        <f t="shared" si="21"/>
        <v/>
      </c>
    </row>
    <row r="1401" spans="8:34" ht="12.75">
      <c r="H1401" s="43"/>
      <c r="AG1401" s="49" t="str">
        <f ca="1">IFERROR(__xludf.DUMMYFUNCTION("IFNA(vlookup(H1401,IMPORTRANGE(""1vUGwO1n0QQGx9kKbO0_M5gmuhXZ6-LaxQxgrmJnzgP0"",""'TP# look up'!A:C""),3,0),"""")"),"")</f>
        <v/>
      </c>
      <c r="AH1401" s="49" t="str">
        <f t="shared" si="21"/>
        <v/>
      </c>
    </row>
    <row r="1402" spans="8:34" ht="12.75">
      <c r="H1402" s="43"/>
      <c r="AG1402" s="49" t="str">
        <f ca="1">IFERROR(__xludf.DUMMYFUNCTION("IFNA(vlookup(H1402,IMPORTRANGE(""1vUGwO1n0QQGx9kKbO0_M5gmuhXZ6-LaxQxgrmJnzgP0"",""'TP# look up'!A:C""),3,0),"""")"),"")</f>
        <v/>
      </c>
      <c r="AH1402" s="49" t="str">
        <f t="shared" si="21"/>
        <v/>
      </c>
    </row>
    <row r="1403" spans="8:34" ht="12.75">
      <c r="H1403" s="43"/>
      <c r="AG1403" s="49" t="str">
        <f ca="1">IFERROR(__xludf.DUMMYFUNCTION("IFNA(vlookup(H1403,IMPORTRANGE(""1vUGwO1n0QQGx9kKbO0_M5gmuhXZ6-LaxQxgrmJnzgP0"",""'TP# look up'!A:C""),3,0),"""")"),"")</f>
        <v/>
      </c>
      <c r="AH1403" s="49" t="str">
        <f t="shared" si="21"/>
        <v/>
      </c>
    </row>
    <row r="1404" spans="8:34" ht="12.75">
      <c r="H1404" s="43"/>
      <c r="AG1404" s="49" t="str">
        <f ca="1">IFERROR(__xludf.DUMMYFUNCTION("IFNA(vlookup(H1404,IMPORTRANGE(""1vUGwO1n0QQGx9kKbO0_M5gmuhXZ6-LaxQxgrmJnzgP0"",""'TP# look up'!A:C""),3,0),"""")"),"")</f>
        <v/>
      </c>
      <c r="AH1404" s="49" t="str">
        <f t="shared" si="21"/>
        <v/>
      </c>
    </row>
    <row r="1405" spans="8:34" ht="12.75">
      <c r="H1405" s="43"/>
      <c r="AG1405" s="49" t="str">
        <f ca="1">IFERROR(__xludf.DUMMYFUNCTION("IFNA(vlookup(H1405,IMPORTRANGE(""1vUGwO1n0QQGx9kKbO0_M5gmuhXZ6-LaxQxgrmJnzgP0"",""'TP# look up'!A:C""),3,0),"""")"),"")</f>
        <v/>
      </c>
      <c r="AH1405" s="49" t="str">
        <f t="shared" si="21"/>
        <v/>
      </c>
    </row>
    <row r="1406" spans="8:34" ht="12.75">
      <c r="H1406" s="43"/>
      <c r="AG1406" s="49" t="str">
        <f ca="1">IFERROR(__xludf.DUMMYFUNCTION("IFNA(vlookup(H1406,IMPORTRANGE(""1vUGwO1n0QQGx9kKbO0_M5gmuhXZ6-LaxQxgrmJnzgP0"",""'TP# look up'!A:C""),3,0),"""")"),"")</f>
        <v/>
      </c>
      <c r="AH1406" s="49" t="str">
        <f t="shared" si="21"/>
        <v/>
      </c>
    </row>
    <row r="1407" spans="8:34" ht="12.75">
      <c r="H1407" s="43"/>
      <c r="AG1407" s="49" t="str">
        <f ca="1">IFERROR(__xludf.DUMMYFUNCTION("IFNA(vlookup(H1407,IMPORTRANGE(""1vUGwO1n0QQGx9kKbO0_M5gmuhXZ6-LaxQxgrmJnzgP0"",""'TP# look up'!A:C""),3,0),"""")"),"")</f>
        <v/>
      </c>
      <c r="AH1407" s="49" t="str">
        <f t="shared" si="21"/>
        <v/>
      </c>
    </row>
    <row r="1408" spans="8:34" ht="12.75">
      <c r="H1408" s="43"/>
      <c r="AG1408" s="49" t="str">
        <f ca="1">IFERROR(__xludf.DUMMYFUNCTION("IFNA(vlookup(H1408,IMPORTRANGE(""1vUGwO1n0QQGx9kKbO0_M5gmuhXZ6-LaxQxgrmJnzgP0"",""'TP# look up'!A:C""),3,0),"""")"),"")</f>
        <v/>
      </c>
      <c r="AH1408" s="49" t="str">
        <f t="shared" si="21"/>
        <v/>
      </c>
    </row>
    <row r="1409" spans="8:34" ht="12.75">
      <c r="H1409" s="43"/>
      <c r="AG1409" s="49" t="str">
        <f ca="1">IFERROR(__xludf.DUMMYFUNCTION("IFNA(vlookup(H1409,IMPORTRANGE(""1vUGwO1n0QQGx9kKbO0_M5gmuhXZ6-LaxQxgrmJnzgP0"",""'TP# look up'!A:C""),3,0),"""")"),"")</f>
        <v/>
      </c>
      <c r="AH1409" s="49" t="str">
        <f t="shared" si="21"/>
        <v/>
      </c>
    </row>
    <row r="1410" spans="8:34" ht="12.75">
      <c r="H1410" s="43"/>
      <c r="AG1410" s="49" t="str">
        <f ca="1">IFERROR(__xludf.DUMMYFUNCTION("IFNA(vlookup(H1410,IMPORTRANGE(""1vUGwO1n0QQGx9kKbO0_M5gmuhXZ6-LaxQxgrmJnzgP0"",""'TP# look up'!A:C""),3,0),"""")"),"")</f>
        <v/>
      </c>
      <c r="AH1410" s="49" t="str">
        <f t="shared" ref="AH1410:AH1473" si="22">LEFT(J1410,2)</f>
        <v/>
      </c>
    </row>
    <row r="1411" spans="8:34" ht="12.75">
      <c r="H1411" s="43"/>
      <c r="AG1411" s="49" t="str">
        <f ca="1">IFERROR(__xludf.DUMMYFUNCTION("IFNA(vlookup(H1411,IMPORTRANGE(""1vUGwO1n0QQGx9kKbO0_M5gmuhXZ6-LaxQxgrmJnzgP0"",""'TP# look up'!A:C""),3,0),"""")"),"")</f>
        <v/>
      </c>
      <c r="AH1411" s="49" t="str">
        <f t="shared" si="22"/>
        <v/>
      </c>
    </row>
    <row r="1412" spans="8:34" ht="12.75">
      <c r="H1412" s="43"/>
      <c r="AG1412" s="49" t="str">
        <f ca="1">IFERROR(__xludf.DUMMYFUNCTION("IFNA(vlookup(H1412,IMPORTRANGE(""1vUGwO1n0QQGx9kKbO0_M5gmuhXZ6-LaxQxgrmJnzgP0"",""'TP# look up'!A:C""),3,0),"""")"),"")</f>
        <v/>
      </c>
      <c r="AH1412" s="49" t="str">
        <f t="shared" si="22"/>
        <v/>
      </c>
    </row>
    <row r="1413" spans="8:34" ht="12.75">
      <c r="H1413" s="43"/>
      <c r="AG1413" s="49" t="str">
        <f ca="1">IFERROR(__xludf.DUMMYFUNCTION("IFNA(vlookup(H1413,IMPORTRANGE(""1vUGwO1n0QQGx9kKbO0_M5gmuhXZ6-LaxQxgrmJnzgP0"",""'TP# look up'!A:C""),3,0),"""")"),"")</f>
        <v/>
      </c>
      <c r="AH1413" s="49" t="str">
        <f t="shared" si="22"/>
        <v/>
      </c>
    </row>
    <row r="1414" spans="8:34" ht="12.75">
      <c r="H1414" s="43"/>
      <c r="AG1414" s="49" t="str">
        <f ca="1">IFERROR(__xludf.DUMMYFUNCTION("IFNA(vlookup(H1414,IMPORTRANGE(""1vUGwO1n0QQGx9kKbO0_M5gmuhXZ6-LaxQxgrmJnzgP0"",""'TP# look up'!A:C""),3,0),"""")"),"")</f>
        <v/>
      </c>
      <c r="AH1414" s="49" t="str">
        <f t="shared" si="22"/>
        <v/>
      </c>
    </row>
    <row r="1415" spans="8:34" ht="12.75">
      <c r="H1415" s="43"/>
      <c r="AG1415" s="49" t="str">
        <f ca="1">IFERROR(__xludf.DUMMYFUNCTION("IFNA(vlookup(H1415,IMPORTRANGE(""1vUGwO1n0QQGx9kKbO0_M5gmuhXZ6-LaxQxgrmJnzgP0"",""'TP# look up'!A:C""),3,0),"""")"),"")</f>
        <v/>
      </c>
      <c r="AH1415" s="49" t="str">
        <f t="shared" si="22"/>
        <v/>
      </c>
    </row>
    <row r="1416" spans="8:34" ht="12.75">
      <c r="H1416" s="43"/>
      <c r="AG1416" s="49" t="str">
        <f ca="1">IFERROR(__xludf.DUMMYFUNCTION("IFNA(vlookup(H1416,IMPORTRANGE(""1vUGwO1n0QQGx9kKbO0_M5gmuhXZ6-LaxQxgrmJnzgP0"",""'TP# look up'!A:C""),3,0),"""")"),"")</f>
        <v/>
      </c>
      <c r="AH1416" s="49" t="str">
        <f t="shared" si="22"/>
        <v/>
      </c>
    </row>
    <row r="1417" spans="8:34" ht="12.75">
      <c r="H1417" s="43"/>
      <c r="AG1417" s="49" t="str">
        <f ca="1">IFERROR(__xludf.DUMMYFUNCTION("IFNA(vlookup(H1417,IMPORTRANGE(""1vUGwO1n0QQGx9kKbO0_M5gmuhXZ6-LaxQxgrmJnzgP0"",""'TP# look up'!A:C""),3,0),"""")"),"")</f>
        <v/>
      </c>
      <c r="AH1417" s="49" t="str">
        <f t="shared" si="22"/>
        <v/>
      </c>
    </row>
    <row r="1418" spans="8:34" ht="12.75">
      <c r="H1418" s="43"/>
      <c r="AG1418" s="49" t="str">
        <f ca="1">IFERROR(__xludf.DUMMYFUNCTION("IFNA(vlookup(H1418,IMPORTRANGE(""1vUGwO1n0QQGx9kKbO0_M5gmuhXZ6-LaxQxgrmJnzgP0"",""'TP# look up'!A:C""),3,0),"""")"),"")</f>
        <v/>
      </c>
      <c r="AH1418" s="49" t="str">
        <f t="shared" si="22"/>
        <v/>
      </c>
    </row>
    <row r="1419" spans="8:34" ht="12.75">
      <c r="H1419" s="43"/>
      <c r="AG1419" s="49" t="str">
        <f ca="1">IFERROR(__xludf.DUMMYFUNCTION("IFNA(vlookup(H1419,IMPORTRANGE(""1vUGwO1n0QQGx9kKbO0_M5gmuhXZ6-LaxQxgrmJnzgP0"",""'TP# look up'!A:C""),3,0),"""")"),"")</f>
        <v/>
      </c>
      <c r="AH1419" s="49" t="str">
        <f t="shared" si="22"/>
        <v/>
      </c>
    </row>
    <row r="1420" spans="8:34" ht="12.75">
      <c r="H1420" s="43"/>
      <c r="AG1420" s="49" t="str">
        <f ca="1">IFERROR(__xludf.DUMMYFUNCTION("IFNA(vlookup(H1420,IMPORTRANGE(""1vUGwO1n0QQGx9kKbO0_M5gmuhXZ6-LaxQxgrmJnzgP0"",""'TP# look up'!A:C""),3,0),"""")"),"")</f>
        <v/>
      </c>
      <c r="AH1420" s="49" t="str">
        <f t="shared" si="22"/>
        <v/>
      </c>
    </row>
    <row r="1421" spans="8:34" ht="12.75">
      <c r="H1421" s="43"/>
      <c r="AG1421" s="49" t="str">
        <f ca="1">IFERROR(__xludf.DUMMYFUNCTION("IFNA(vlookup(H1421,IMPORTRANGE(""1vUGwO1n0QQGx9kKbO0_M5gmuhXZ6-LaxQxgrmJnzgP0"",""'TP# look up'!A:C""),3,0),"""")"),"")</f>
        <v/>
      </c>
      <c r="AH1421" s="49" t="str">
        <f t="shared" si="22"/>
        <v/>
      </c>
    </row>
    <row r="1422" spans="8:34" ht="12.75">
      <c r="H1422" s="43"/>
      <c r="AG1422" s="49" t="str">
        <f ca="1">IFERROR(__xludf.DUMMYFUNCTION("IFNA(vlookup(H1422,IMPORTRANGE(""1vUGwO1n0QQGx9kKbO0_M5gmuhXZ6-LaxQxgrmJnzgP0"",""'TP# look up'!A:C""),3,0),"""")"),"")</f>
        <v/>
      </c>
      <c r="AH1422" s="49" t="str">
        <f t="shared" si="22"/>
        <v/>
      </c>
    </row>
    <row r="1423" spans="8:34" ht="12.75">
      <c r="H1423" s="43"/>
      <c r="AG1423" s="49" t="str">
        <f ca="1">IFERROR(__xludf.DUMMYFUNCTION("IFNA(vlookup(H1423,IMPORTRANGE(""1vUGwO1n0QQGx9kKbO0_M5gmuhXZ6-LaxQxgrmJnzgP0"",""'TP# look up'!A:C""),3,0),"""")"),"")</f>
        <v/>
      </c>
      <c r="AH1423" s="49" t="str">
        <f t="shared" si="22"/>
        <v/>
      </c>
    </row>
    <row r="1424" spans="8:34" ht="12.75">
      <c r="H1424" s="43"/>
      <c r="AG1424" s="49" t="str">
        <f ca="1">IFERROR(__xludf.DUMMYFUNCTION("IFNA(vlookup(H1424,IMPORTRANGE(""1vUGwO1n0QQGx9kKbO0_M5gmuhXZ6-LaxQxgrmJnzgP0"",""'TP# look up'!A:C""),3,0),"""")"),"")</f>
        <v/>
      </c>
      <c r="AH1424" s="49" t="str">
        <f t="shared" si="22"/>
        <v/>
      </c>
    </row>
    <row r="1425" spans="8:34" ht="12.75">
      <c r="H1425" s="43"/>
      <c r="AG1425" s="49" t="str">
        <f ca="1">IFERROR(__xludf.DUMMYFUNCTION("IFNA(vlookup(H1425,IMPORTRANGE(""1vUGwO1n0QQGx9kKbO0_M5gmuhXZ6-LaxQxgrmJnzgP0"",""'TP# look up'!A:C""),3,0),"""")"),"")</f>
        <v/>
      </c>
      <c r="AH1425" s="49" t="str">
        <f t="shared" si="22"/>
        <v/>
      </c>
    </row>
    <row r="1426" spans="8:34" ht="12.75">
      <c r="H1426" s="43"/>
      <c r="AG1426" s="49" t="str">
        <f ca="1">IFERROR(__xludf.DUMMYFUNCTION("IFNA(vlookup(H1426,IMPORTRANGE(""1vUGwO1n0QQGx9kKbO0_M5gmuhXZ6-LaxQxgrmJnzgP0"",""'TP# look up'!A:C""),3,0),"""")"),"")</f>
        <v/>
      </c>
      <c r="AH1426" s="49" t="str">
        <f t="shared" si="22"/>
        <v/>
      </c>
    </row>
    <row r="1427" spans="8:34" ht="12.75">
      <c r="H1427" s="43"/>
      <c r="AG1427" s="49" t="str">
        <f ca="1">IFERROR(__xludf.DUMMYFUNCTION("IFNA(vlookup(H1427,IMPORTRANGE(""1vUGwO1n0QQGx9kKbO0_M5gmuhXZ6-LaxQxgrmJnzgP0"",""'TP# look up'!A:C""),3,0),"""")"),"")</f>
        <v/>
      </c>
      <c r="AH1427" s="49" t="str">
        <f t="shared" si="22"/>
        <v/>
      </c>
    </row>
    <row r="1428" spans="8:34" ht="12.75">
      <c r="H1428" s="43"/>
      <c r="AG1428" s="49" t="str">
        <f ca="1">IFERROR(__xludf.DUMMYFUNCTION("IFNA(vlookup(H1428,IMPORTRANGE(""1vUGwO1n0QQGx9kKbO0_M5gmuhXZ6-LaxQxgrmJnzgP0"",""'TP# look up'!A:C""),3,0),"""")"),"")</f>
        <v/>
      </c>
      <c r="AH1428" s="49" t="str">
        <f t="shared" si="22"/>
        <v/>
      </c>
    </row>
    <row r="1429" spans="8:34" ht="12.75">
      <c r="H1429" s="43"/>
      <c r="AG1429" s="49" t="str">
        <f ca="1">IFERROR(__xludf.DUMMYFUNCTION("IFNA(vlookup(H1429,IMPORTRANGE(""1vUGwO1n0QQGx9kKbO0_M5gmuhXZ6-LaxQxgrmJnzgP0"",""'TP# look up'!A:C""),3,0),"""")"),"")</f>
        <v/>
      </c>
      <c r="AH1429" s="49" t="str">
        <f t="shared" si="22"/>
        <v/>
      </c>
    </row>
    <row r="1430" spans="8:34" ht="12.75">
      <c r="H1430" s="43"/>
      <c r="AG1430" s="49" t="str">
        <f ca="1">IFERROR(__xludf.DUMMYFUNCTION("IFNA(vlookup(H1430,IMPORTRANGE(""1vUGwO1n0QQGx9kKbO0_M5gmuhXZ6-LaxQxgrmJnzgP0"",""'TP# look up'!A:C""),3,0),"""")"),"")</f>
        <v/>
      </c>
      <c r="AH1430" s="49" t="str">
        <f t="shared" si="22"/>
        <v/>
      </c>
    </row>
    <row r="1431" spans="8:34" ht="12.75">
      <c r="H1431" s="43"/>
      <c r="AG1431" s="49" t="str">
        <f ca="1">IFERROR(__xludf.DUMMYFUNCTION("IFNA(vlookup(H1431,IMPORTRANGE(""1vUGwO1n0QQGx9kKbO0_M5gmuhXZ6-LaxQxgrmJnzgP0"",""'TP# look up'!A:C""),3,0),"""")"),"")</f>
        <v/>
      </c>
      <c r="AH1431" s="49" t="str">
        <f t="shared" si="22"/>
        <v/>
      </c>
    </row>
    <row r="1432" spans="8:34" ht="12.75">
      <c r="H1432" s="43"/>
      <c r="AG1432" s="49" t="str">
        <f ca="1">IFERROR(__xludf.DUMMYFUNCTION("IFNA(vlookup(H1432,IMPORTRANGE(""1vUGwO1n0QQGx9kKbO0_M5gmuhXZ6-LaxQxgrmJnzgP0"",""'TP# look up'!A:C""),3,0),"""")"),"")</f>
        <v/>
      </c>
      <c r="AH1432" s="49" t="str">
        <f t="shared" si="22"/>
        <v/>
      </c>
    </row>
    <row r="1433" spans="8:34" ht="12.75">
      <c r="H1433" s="43"/>
      <c r="AG1433" s="49" t="str">
        <f ca="1">IFERROR(__xludf.DUMMYFUNCTION("IFNA(vlookup(H1433,IMPORTRANGE(""1vUGwO1n0QQGx9kKbO0_M5gmuhXZ6-LaxQxgrmJnzgP0"",""'TP# look up'!A:C""),3,0),"""")"),"")</f>
        <v/>
      </c>
      <c r="AH1433" s="49" t="str">
        <f t="shared" si="22"/>
        <v/>
      </c>
    </row>
    <row r="1434" spans="8:34" ht="12.75">
      <c r="H1434" s="43"/>
      <c r="AG1434" s="49" t="str">
        <f ca="1">IFERROR(__xludf.DUMMYFUNCTION("IFNA(vlookup(H1434,IMPORTRANGE(""1vUGwO1n0QQGx9kKbO0_M5gmuhXZ6-LaxQxgrmJnzgP0"",""'TP# look up'!A:C""),3,0),"""")"),"")</f>
        <v/>
      </c>
      <c r="AH1434" s="49" t="str">
        <f t="shared" si="22"/>
        <v/>
      </c>
    </row>
    <row r="1435" spans="8:34" ht="12.75">
      <c r="H1435" s="43"/>
      <c r="AG1435" s="49" t="str">
        <f ca="1">IFERROR(__xludf.DUMMYFUNCTION("IFNA(vlookup(H1435,IMPORTRANGE(""1vUGwO1n0QQGx9kKbO0_M5gmuhXZ6-LaxQxgrmJnzgP0"",""'TP# look up'!A:C""),3,0),"""")"),"")</f>
        <v/>
      </c>
      <c r="AH1435" s="49" t="str">
        <f t="shared" si="22"/>
        <v/>
      </c>
    </row>
    <row r="1436" spans="8:34" ht="12.75">
      <c r="H1436" s="43"/>
      <c r="AG1436" s="49" t="str">
        <f ca="1">IFERROR(__xludf.DUMMYFUNCTION("IFNA(vlookup(H1436,IMPORTRANGE(""1vUGwO1n0QQGx9kKbO0_M5gmuhXZ6-LaxQxgrmJnzgP0"",""'TP# look up'!A:C""),3,0),"""")"),"")</f>
        <v/>
      </c>
      <c r="AH1436" s="49" t="str">
        <f t="shared" si="22"/>
        <v/>
      </c>
    </row>
    <row r="1437" spans="8:34" ht="12.75">
      <c r="H1437" s="43"/>
      <c r="AG1437" s="49" t="str">
        <f ca="1">IFERROR(__xludf.DUMMYFUNCTION("IFNA(vlookup(H1437,IMPORTRANGE(""1vUGwO1n0QQGx9kKbO0_M5gmuhXZ6-LaxQxgrmJnzgP0"",""'TP# look up'!A:C""),3,0),"""")"),"")</f>
        <v/>
      </c>
      <c r="AH1437" s="49" t="str">
        <f t="shared" si="22"/>
        <v/>
      </c>
    </row>
    <row r="1438" spans="8:34" ht="12.75">
      <c r="H1438" s="43"/>
      <c r="AG1438" s="49" t="str">
        <f ca="1">IFERROR(__xludf.DUMMYFUNCTION("IFNA(vlookup(H1438,IMPORTRANGE(""1vUGwO1n0QQGx9kKbO0_M5gmuhXZ6-LaxQxgrmJnzgP0"",""'TP# look up'!A:C""),3,0),"""")"),"")</f>
        <v/>
      </c>
      <c r="AH1438" s="49" t="str">
        <f t="shared" si="22"/>
        <v/>
      </c>
    </row>
    <row r="1439" spans="8:34" ht="12.75">
      <c r="H1439" s="43"/>
      <c r="AG1439" s="49" t="str">
        <f ca="1">IFERROR(__xludf.DUMMYFUNCTION("IFNA(vlookup(H1439,IMPORTRANGE(""1vUGwO1n0QQGx9kKbO0_M5gmuhXZ6-LaxQxgrmJnzgP0"",""'TP# look up'!A:C""),3,0),"""")"),"")</f>
        <v/>
      </c>
      <c r="AH1439" s="49" t="str">
        <f t="shared" si="22"/>
        <v/>
      </c>
    </row>
    <row r="1440" spans="8:34" ht="12.75">
      <c r="H1440" s="43"/>
      <c r="AG1440" s="49" t="str">
        <f ca="1">IFERROR(__xludf.DUMMYFUNCTION("IFNA(vlookup(H1440,IMPORTRANGE(""1vUGwO1n0QQGx9kKbO0_M5gmuhXZ6-LaxQxgrmJnzgP0"",""'TP# look up'!A:C""),3,0),"""")"),"")</f>
        <v/>
      </c>
      <c r="AH1440" s="49" t="str">
        <f t="shared" si="22"/>
        <v/>
      </c>
    </row>
    <row r="1441" spans="8:34" ht="12.75">
      <c r="H1441" s="43"/>
      <c r="AG1441" s="49" t="str">
        <f ca="1">IFERROR(__xludf.DUMMYFUNCTION("IFNA(vlookup(H1441,IMPORTRANGE(""1vUGwO1n0QQGx9kKbO0_M5gmuhXZ6-LaxQxgrmJnzgP0"",""'TP# look up'!A:C""),3,0),"""")"),"")</f>
        <v/>
      </c>
      <c r="AH1441" s="49" t="str">
        <f t="shared" si="22"/>
        <v/>
      </c>
    </row>
    <row r="1442" spans="8:34" ht="12.75">
      <c r="H1442" s="43"/>
      <c r="AG1442" s="49" t="str">
        <f ca="1">IFERROR(__xludf.DUMMYFUNCTION("IFNA(vlookup(H1442,IMPORTRANGE(""1vUGwO1n0QQGx9kKbO0_M5gmuhXZ6-LaxQxgrmJnzgP0"",""'TP# look up'!A:C""),3,0),"""")"),"")</f>
        <v/>
      </c>
      <c r="AH1442" s="49" t="str">
        <f t="shared" si="22"/>
        <v/>
      </c>
    </row>
    <row r="1443" spans="8:34" ht="12.75">
      <c r="H1443" s="43"/>
      <c r="AG1443" s="49" t="str">
        <f ca="1">IFERROR(__xludf.DUMMYFUNCTION("IFNA(vlookup(H1443,IMPORTRANGE(""1vUGwO1n0QQGx9kKbO0_M5gmuhXZ6-LaxQxgrmJnzgP0"",""'TP# look up'!A:C""),3,0),"""")"),"")</f>
        <v/>
      </c>
      <c r="AH1443" s="49" t="str">
        <f t="shared" si="22"/>
        <v/>
      </c>
    </row>
    <row r="1444" spans="8:34" ht="12.75">
      <c r="H1444" s="43"/>
      <c r="AG1444" s="49" t="str">
        <f ca="1">IFERROR(__xludf.DUMMYFUNCTION("IFNA(vlookup(H1444,IMPORTRANGE(""1vUGwO1n0QQGx9kKbO0_M5gmuhXZ6-LaxQxgrmJnzgP0"",""'TP# look up'!A:C""),3,0),"""")"),"")</f>
        <v/>
      </c>
      <c r="AH1444" s="49" t="str">
        <f t="shared" si="22"/>
        <v/>
      </c>
    </row>
    <row r="1445" spans="8:34" ht="12.75">
      <c r="H1445" s="43"/>
      <c r="AG1445" s="49" t="str">
        <f ca="1">IFERROR(__xludf.DUMMYFUNCTION("IFNA(vlookup(H1445,IMPORTRANGE(""1vUGwO1n0QQGx9kKbO0_M5gmuhXZ6-LaxQxgrmJnzgP0"",""'TP# look up'!A:C""),3,0),"""")"),"")</f>
        <v/>
      </c>
      <c r="AH1445" s="49" t="str">
        <f t="shared" si="22"/>
        <v/>
      </c>
    </row>
    <row r="1446" spans="8:34" ht="12.75">
      <c r="H1446" s="43"/>
      <c r="AG1446" s="49" t="str">
        <f ca="1">IFERROR(__xludf.DUMMYFUNCTION("IFNA(vlookup(H1446,IMPORTRANGE(""1vUGwO1n0QQGx9kKbO0_M5gmuhXZ6-LaxQxgrmJnzgP0"",""'TP# look up'!A:C""),3,0),"""")"),"")</f>
        <v/>
      </c>
      <c r="AH1446" s="49" t="str">
        <f t="shared" si="22"/>
        <v/>
      </c>
    </row>
    <row r="1447" spans="8:34" ht="12.75">
      <c r="H1447" s="43"/>
      <c r="AG1447" s="49" t="str">
        <f ca="1">IFERROR(__xludf.DUMMYFUNCTION("IFNA(vlookup(H1447,IMPORTRANGE(""1vUGwO1n0QQGx9kKbO0_M5gmuhXZ6-LaxQxgrmJnzgP0"",""'TP# look up'!A:C""),3,0),"""")"),"")</f>
        <v/>
      </c>
      <c r="AH1447" s="49" t="str">
        <f t="shared" si="22"/>
        <v/>
      </c>
    </row>
    <row r="1448" spans="8:34" ht="12.75">
      <c r="H1448" s="43"/>
      <c r="AG1448" s="49" t="str">
        <f ca="1">IFERROR(__xludf.DUMMYFUNCTION("IFNA(vlookup(H1448,IMPORTRANGE(""1vUGwO1n0QQGx9kKbO0_M5gmuhXZ6-LaxQxgrmJnzgP0"",""'TP# look up'!A:C""),3,0),"""")"),"")</f>
        <v/>
      </c>
      <c r="AH1448" s="49" t="str">
        <f t="shared" si="22"/>
        <v/>
      </c>
    </row>
    <row r="1449" spans="8:34" ht="12.75">
      <c r="H1449" s="43"/>
      <c r="AG1449" s="49" t="str">
        <f ca="1">IFERROR(__xludf.DUMMYFUNCTION("IFNA(vlookup(H1449,IMPORTRANGE(""1vUGwO1n0QQGx9kKbO0_M5gmuhXZ6-LaxQxgrmJnzgP0"",""'TP# look up'!A:C""),3,0),"""")"),"")</f>
        <v/>
      </c>
      <c r="AH1449" s="49" t="str">
        <f t="shared" si="22"/>
        <v/>
      </c>
    </row>
    <row r="1450" spans="8:34" ht="12.75">
      <c r="H1450" s="43"/>
      <c r="AG1450" s="49" t="str">
        <f ca="1">IFERROR(__xludf.DUMMYFUNCTION("IFNA(vlookup(H1450,IMPORTRANGE(""1vUGwO1n0QQGx9kKbO0_M5gmuhXZ6-LaxQxgrmJnzgP0"",""'TP# look up'!A:C""),3,0),"""")"),"")</f>
        <v/>
      </c>
      <c r="AH1450" s="49" t="str">
        <f t="shared" si="22"/>
        <v/>
      </c>
    </row>
    <row r="1451" spans="8:34" ht="12.75">
      <c r="H1451" s="43"/>
      <c r="AG1451" s="49" t="str">
        <f ca="1">IFERROR(__xludf.DUMMYFUNCTION("IFNA(vlookup(H1451,IMPORTRANGE(""1vUGwO1n0QQGx9kKbO0_M5gmuhXZ6-LaxQxgrmJnzgP0"",""'TP# look up'!A:C""),3,0),"""")"),"")</f>
        <v/>
      </c>
      <c r="AH1451" s="49" t="str">
        <f t="shared" si="22"/>
        <v/>
      </c>
    </row>
    <row r="1452" spans="8:34" ht="12.75">
      <c r="H1452" s="43"/>
      <c r="AG1452" s="49" t="str">
        <f ca="1">IFERROR(__xludf.DUMMYFUNCTION("IFNA(vlookup(H1452,IMPORTRANGE(""1vUGwO1n0QQGx9kKbO0_M5gmuhXZ6-LaxQxgrmJnzgP0"",""'TP# look up'!A:C""),3,0),"""")"),"")</f>
        <v/>
      </c>
      <c r="AH1452" s="49" t="str">
        <f t="shared" si="22"/>
        <v/>
      </c>
    </row>
    <row r="1453" spans="8:34" ht="12.75">
      <c r="H1453" s="43"/>
      <c r="AG1453" s="49" t="str">
        <f ca="1">IFERROR(__xludf.DUMMYFUNCTION("IFNA(vlookup(H1453,IMPORTRANGE(""1vUGwO1n0QQGx9kKbO0_M5gmuhXZ6-LaxQxgrmJnzgP0"",""'TP# look up'!A:C""),3,0),"""")"),"")</f>
        <v/>
      </c>
      <c r="AH1453" s="49" t="str">
        <f t="shared" si="22"/>
        <v/>
      </c>
    </row>
    <row r="1454" spans="8:34" ht="12.75">
      <c r="H1454" s="43"/>
      <c r="AG1454" s="49" t="str">
        <f ca="1">IFERROR(__xludf.DUMMYFUNCTION("IFNA(vlookup(H1454,IMPORTRANGE(""1vUGwO1n0QQGx9kKbO0_M5gmuhXZ6-LaxQxgrmJnzgP0"",""'TP# look up'!A:C""),3,0),"""")"),"")</f>
        <v/>
      </c>
      <c r="AH1454" s="49" t="str">
        <f t="shared" si="22"/>
        <v/>
      </c>
    </row>
    <row r="1455" spans="8:34" ht="12.75">
      <c r="H1455" s="43"/>
      <c r="AG1455" s="49" t="str">
        <f ca="1">IFERROR(__xludf.DUMMYFUNCTION("IFNA(vlookup(H1455,IMPORTRANGE(""1vUGwO1n0QQGx9kKbO0_M5gmuhXZ6-LaxQxgrmJnzgP0"",""'TP# look up'!A:C""),3,0),"""")"),"")</f>
        <v/>
      </c>
      <c r="AH1455" s="49" t="str">
        <f t="shared" si="22"/>
        <v/>
      </c>
    </row>
    <row r="1456" spans="8:34" ht="12.75">
      <c r="H1456" s="43"/>
      <c r="AG1456" s="49" t="str">
        <f ca="1">IFERROR(__xludf.DUMMYFUNCTION("IFNA(vlookup(H1456,IMPORTRANGE(""1vUGwO1n0QQGx9kKbO0_M5gmuhXZ6-LaxQxgrmJnzgP0"",""'TP# look up'!A:C""),3,0),"""")"),"")</f>
        <v/>
      </c>
      <c r="AH1456" s="49" t="str">
        <f t="shared" si="22"/>
        <v/>
      </c>
    </row>
    <row r="1457" spans="8:34" ht="12.75">
      <c r="H1457" s="43"/>
      <c r="AG1457" s="49" t="str">
        <f ca="1">IFERROR(__xludf.DUMMYFUNCTION("IFNA(vlookup(H1457,IMPORTRANGE(""1vUGwO1n0QQGx9kKbO0_M5gmuhXZ6-LaxQxgrmJnzgP0"",""'TP# look up'!A:C""),3,0),"""")"),"")</f>
        <v/>
      </c>
      <c r="AH1457" s="49" t="str">
        <f t="shared" si="22"/>
        <v/>
      </c>
    </row>
    <row r="1458" spans="8:34" ht="12.75">
      <c r="H1458" s="43"/>
      <c r="AG1458" s="49" t="str">
        <f ca="1">IFERROR(__xludf.DUMMYFUNCTION("IFNA(vlookup(H1458,IMPORTRANGE(""1vUGwO1n0QQGx9kKbO0_M5gmuhXZ6-LaxQxgrmJnzgP0"",""'TP# look up'!A:C""),3,0),"""")"),"")</f>
        <v/>
      </c>
      <c r="AH1458" s="49" t="str">
        <f t="shared" si="22"/>
        <v/>
      </c>
    </row>
    <row r="1459" spans="8:34" ht="12.75">
      <c r="H1459" s="43"/>
      <c r="AG1459" s="49" t="str">
        <f ca="1">IFERROR(__xludf.DUMMYFUNCTION("IFNA(vlookup(H1459,IMPORTRANGE(""1vUGwO1n0QQGx9kKbO0_M5gmuhXZ6-LaxQxgrmJnzgP0"",""'TP# look up'!A:C""),3,0),"""")"),"")</f>
        <v/>
      </c>
      <c r="AH1459" s="49" t="str">
        <f t="shared" si="22"/>
        <v/>
      </c>
    </row>
    <row r="1460" spans="8:34" ht="12.75">
      <c r="H1460" s="43"/>
      <c r="AG1460" s="49" t="str">
        <f ca="1">IFERROR(__xludf.DUMMYFUNCTION("IFNA(vlookup(H1460,IMPORTRANGE(""1vUGwO1n0QQGx9kKbO0_M5gmuhXZ6-LaxQxgrmJnzgP0"",""'TP# look up'!A:C""),3,0),"""")"),"")</f>
        <v/>
      </c>
      <c r="AH1460" s="49" t="str">
        <f t="shared" si="22"/>
        <v/>
      </c>
    </row>
    <row r="1461" spans="8:34" ht="12.75">
      <c r="H1461" s="43"/>
      <c r="AG1461" s="49" t="str">
        <f ca="1">IFERROR(__xludf.DUMMYFUNCTION("IFNA(vlookup(H1461,IMPORTRANGE(""1vUGwO1n0QQGx9kKbO0_M5gmuhXZ6-LaxQxgrmJnzgP0"",""'TP# look up'!A:C""),3,0),"""")"),"")</f>
        <v/>
      </c>
      <c r="AH1461" s="49" t="str">
        <f t="shared" si="22"/>
        <v/>
      </c>
    </row>
    <row r="1462" spans="8:34" ht="12.75">
      <c r="H1462" s="43"/>
      <c r="AG1462" s="49" t="str">
        <f ca="1">IFERROR(__xludf.DUMMYFUNCTION("IFNA(vlookup(H1462,IMPORTRANGE(""1vUGwO1n0QQGx9kKbO0_M5gmuhXZ6-LaxQxgrmJnzgP0"",""'TP# look up'!A:C""),3,0),"""")"),"")</f>
        <v/>
      </c>
      <c r="AH1462" s="49" t="str">
        <f t="shared" si="22"/>
        <v/>
      </c>
    </row>
    <row r="1463" spans="8:34" ht="12.75">
      <c r="H1463" s="43"/>
      <c r="AG1463" s="49" t="str">
        <f ca="1">IFERROR(__xludf.DUMMYFUNCTION("IFNA(vlookup(H1463,IMPORTRANGE(""1vUGwO1n0QQGx9kKbO0_M5gmuhXZ6-LaxQxgrmJnzgP0"",""'TP# look up'!A:C""),3,0),"""")"),"")</f>
        <v/>
      </c>
      <c r="AH1463" s="49" t="str">
        <f t="shared" si="22"/>
        <v/>
      </c>
    </row>
    <row r="1464" spans="8:34" ht="12.75">
      <c r="H1464" s="43"/>
      <c r="AG1464" s="49" t="str">
        <f ca="1">IFERROR(__xludf.DUMMYFUNCTION("IFNA(vlookup(H1464,IMPORTRANGE(""1vUGwO1n0QQGx9kKbO0_M5gmuhXZ6-LaxQxgrmJnzgP0"",""'TP# look up'!A:C""),3,0),"""")"),"")</f>
        <v/>
      </c>
      <c r="AH1464" s="49" t="str">
        <f t="shared" si="22"/>
        <v/>
      </c>
    </row>
    <row r="1465" spans="8:34" ht="12.75">
      <c r="H1465" s="43"/>
      <c r="AG1465" s="49" t="str">
        <f ca="1">IFERROR(__xludf.DUMMYFUNCTION("IFNA(vlookup(H1465,IMPORTRANGE(""1vUGwO1n0QQGx9kKbO0_M5gmuhXZ6-LaxQxgrmJnzgP0"",""'TP# look up'!A:C""),3,0),"""")"),"")</f>
        <v/>
      </c>
      <c r="AH1465" s="49" t="str">
        <f t="shared" si="22"/>
        <v/>
      </c>
    </row>
    <row r="1466" spans="8:34" ht="12.75">
      <c r="H1466" s="43"/>
      <c r="AG1466" s="49" t="str">
        <f ca="1">IFERROR(__xludf.DUMMYFUNCTION("IFNA(vlookup(H1466,IMPORTRANGE(""1vUGwO1n0QQGx9kKbO0_M5gmuhXZ6-LaxQxgrmJnzgP0"",""'TP# look up'!A:C""),3,0),"""")"),"")</f>
        <v/>
      </c>
      <c r="AH1466" s="49" t="str">
        <f t="shared" si="22"/>
        <v/>
      </c>
    </row>
    <row r="1467" spans="8:34" ht="12.75">
      <c r="H1467" s="43"/>
      <c r="AG1467" s="49" t="str">
        <f ca="1">IFERROR(__xludf.DUMMYFUNCTION("IFNA(vlookup(H1467,IMPORTRANGE(""1vUGwO1n0QQGx9kKbO0_M5gmuhXZ6-LaxQxgrmJnzgP0"",""'TP# look up'!A:C""),3,0),"""")"),"")</f>
        <v/>
      </c>
      <c r="AH1467" s="49" t="str">
        <f t="shared" si="22"/>
        <v/>
      </c>
    </row>
    <row r="1468" spans="8:34" ht="12.75">
      <c r="H1468" s="43"/>
      <c r="AG1468" s="49" t="str">
        <f ca="1">IFERROR(__xludf.DUMMYFUNCTION("IFNA(vlookup(H1468,IMPORTRANGE(""1vUGwO1n0QQGx9kKbO0_M5gmuhXZ6-LaxQxgrmJnzgP0"",""'TP# look up'!A:C""),3,0),"""")"),"")</f>
        <v/>
      </c>
      <c r="AH1468" s="49" t="str">
        <f t="shared" si="22"/>
        <v/>
      </c>
    </row>
    <row r="1469" spans="8:34" ht="12.75">
      <c r="H1469" s="43"/>
      <c r="AG1469" s="49" t="str">
        <f ca="1">IFERROR(__xludf.DUMMYFUNCTION("IFNA(vlookup(H1469,IMPORTRANGE(""1vUGwO1n0QQGx9kKbO0_M5gmuhXZ6-LaxQxgrmJnzgP0"",""'TP# look up'!A:C""),3,0),"""")"),"")</f>
        <v/>
      </c>
      <c r="AH1469" s="49" t="str">
        <f t="shared" si="22"/>
        <v/>
      </c>
    </row>
    <row r="1470" spans="8:34" ht="12.75">
      <c r="H1470" s="43"/>
      <c r="AG1470" s="49" t="str">
        <f ca="1">IFERROR(__xludf.DUMMYFUNCTION("IFNA(vlookup(H1470,IMPORTRANGE(""1vUGwO1n0QQGx9kKbO0_M5gmuhXZ6-LaxQxgrmJnzgP0"",""'TP# look up'!A:C""),3,0),"""")"),"")</f>
        <v/>
      </c>
      <c r="AH1470" s="49" t="str">
        <f t="shared" si="22"/>
        <v/>
      </c>
    </row>
    <row r="1471" spans="8:34" ht="12.75">
      <c r="H1471" s="43"/>
      <c r="AG1471" s="49" t="str">
        <f ca="1">IFERROR(__xludf.DUMMYFUNCTION("IFNA(vlookup(H1471,IMPORTRANGE(""1vUGwO1n0QQGx9kKbO0_M5gmuhXZ6-LaxQxgrmJnzgP0"",""'TP# look up'!A:C""),3,0),"""")"),"")</f>
        <v/>
      </c>
      <c r="AH1471" s="49" t="str">
        <f t="shared" si="22"/>
        <v/>
      </c>
    </row>
    <row r="1472" spans="8:34" ht="12.75">
      <c r="H1472" s="43"/>
      <c r="AG1472" s="49" t="str">
        <f ca="1">IFERROR(__xludf.DUMMYFUNCTION("IFNA(vlookup(H1472,IMPORTRANGE(""1vUGwO1n0QQGx9kKbO0_M5gmuhXZ6-LaxQxgrmJnzgP0"",""'TP# look up'!A:C""),3,0),"""")"),"")</f>
        <v/>
      </c>
      <c r="AH1472" s="49" t="str">
        <f t="shared" si="22"/>
        <v/>
      </c>
    </row>
    <row r="1473" spans="8:34" ht="12.75">
      <c r="H1473" s="43"/>
      <c r="AG1473" s="49" t="str">
        <f ca="1">IFERROR(__xludf.DUMMYFUNCTION("IFNA(vlookup(H1473,IMPORTRANGE(""1vUGwO1n0QQGx9kKbO0_M5gmuhXZ6-LaxQxgrmJnzgP0"",""'TP# look up'!A:C""),3,0),"""")"),"")</f>
        <v/>
      </c>
      <c r="AH1473" s="49" t="str">
        <f t="shared" si="22"/>
        <v/>
      </c>
    </row>
    <row r="1474" spans="8:34" ht="12.75">
      <c r="H1474" s="43"/>
      <c r="AG1474" s="49" t="str">
        <f ca="1">IFERROR(__xludf.DUMMYFUNCTION("IFNA(vlookup(H1474,IMPORTRANGE(""1vUGwO1n0QQGx9kKbO0_M5gmuhXZ6-LaxQxgrmJnzgP0"",""'TP# look up'!A:C""),3,0),"""")"),"")</f>
        <v/>
      </c>
      <c r="AH1474" s="49" t="str">
        <f t="shared" ref="AH1474:AH1537" si="23">LEFT(J1474,2)</f>
        <v/>
      </c>
    </row>
    <row r="1475" spans="8:34" ht="12.75">
      <c r="H1475" s="43"/>
      <c r="AG1475" s="49" t="str">
        <f ca="1">IFERROR(__xludf.DUMMYFUNCTION("IFNA(vlookup(H1475,IMPORTRANGE(""1vUGwO1n0QQGx9kKbO0_M5gmuhXZ6-LaxQxgrmJnzgP0"",""'TP# look up'!A:C""),3,0),"""")"),"")</f>
        <v/>
      </c>
      <c r="AH1475" s="49" t="str">
        <f t="shared" si="23"/>
        <v/>
      </c>
    </row>
    <row r="1476" spans="8:34" ht="12.75">
      <c r="H1476" s="43"/>
      <c r="AG1476" s="49" t="str">
        <f ca="1">IFERROR(__xludf.DUMMYFUNCTION("IFNA(vlookup(H1476,IMPORTRANGE(""1vUGwO1n0QQGx9kKbO0_M5gmuhXZ6-LaxQxgrmJnzgP0"",""'TP# look up'!A:C""),3,0),"""")"),"")</f>
        <v/>
      </c>
      <c r="AH1476" s="49" t="str">
        <f t="shared" si="23"/>
        <v/>
      </c>
    </row>
    <row r="1477" spans="8:34" ht="12.75">
      <c r="H1477" s="43"/>
      <c r="AG1477" s="49" t="str">
        <f ca="1">IFERROR(__xludf.DUMMYFUNCTION("IFNA(vlookup(H1477,IMPORTRANGE(""1vUGwO1n0QQGx9kKbO0_M5gmuhXZ6-LaxQxgrmJnzgP0"",""'TP# look up'!A:C""),3,0),"""")"),"")</f>
        <v/>
      </c>
      <c r="AH1477" s="49" t="str">
        <f t="shared" si="23"/>
        <v/>
      </c>
    </row>
    <row r="1478" spans="8:34" ht="12.75">
      <c r="H1478" s="43"/>
      <c r="AG1478" s="49" t="str">
        <f ca="1">IFERROR(__xludf.DUMMYFUNCTION("IFNA(vlookup(H1478,IMPORTRANGE(""1vUGwO1n0QQGx9kKbO0_M5gmuhXZ6-LaxQxgrmJnzgP0"",""'TP# look up'!A:C""),3,0),"""")"),"")</f>
        <v/>
      </c>
      <c r="AH1478" s="49" t="str">
        <f t="shared" si="23"/>
        <v/>
      </c>
    </row>
    <row r="1479" spans="8:34" ht="12.75">
      <c r="H1479" s="43"/>
      <c r="AG1479" s="49" t="str">
        <f ca="1">IFERROR(__xludf.DUMMYFUNCTION("IFNA(vlookup(H1479,IMPORTRANGE(""1vUGwO1n0QQGx9kKbO0_M5gmuhXZ6-LaxQxgrmJnzgP0"",""'TP# look up'!A:C""),3,0),"""")"),"")</f>
        <v/>
      </c>
      <c r="AH1479" s="49" t="str">
        <f t="shared" si="23"/>
        <v/>
      </c>
    </row>
    <row r="1480" spans="8:34" ht="12.75">
      <c r="H1480" s="43"/>
      <c r="AG1480" s="49" t="str">
        <f ca="1">IFERROR(__xludf.DUMMYFUNCTION("IFNA(vlookup(H1480,IMPORTRANGE(""1vUGwO1n0QQGx9kKbO0_M5gmuhXZ6-LaxQxgrmJnzgP0"",""'TP# look up'!A:C""),3,0),"""")"),"")</f>
        <v/>
      </c>
      <c r="AH1480" s="49" t="str">
        <f t="shared" si="23"/>
        <v/>
      </c>
    </row>
    <row r="1481" spans="8:34" ht="12.75">
      <c r="H1481" s="43"/>
      <c r="AG1481" s="49" t="str">
        <f ca="1">IFERROR(__xludf.DUMMYFUNCTION("IFNA(vlookup(H1481,IMPORTRANGE(""1vUGwO1n0QQGx9kKbO0_M5gmuhXZ6-LaxQxgrmJnzgP0"",""'TP# look up'!A:C""),3,0),"""")"),"")</f>
        <v/>
      </c>
      <c r="AH1481" s="49" t="str">
        <f t="shared" si="23"/>
        <v/>
      </c>
    </row>
    <row r="1482" spans="8:34" ht="12.75">
      <c r="H1482" s="43"/>
      <c r="AG1482" s="49" t="str">
        <f ca="1">IFERROR(__xludf.DUMMYFUNCTION("IFNA(vlookup(H1482,IMPORTRANGE(""1vUGwO1n0QQGx9kKbO0_M5gmuhXZ6-LaxQxgrmJnzgP0"",""'TP# look up'!A:C""),3,0),"""")"),"")</f>
        <v/>
      </c>
      <c r="AH1482" s="49" t="str">
        <f t="shared" si="23"/>
        <v/>
      </c>
    </row>
    <row r="1483" spans="8:34" ht="12.75">
      <c r="H1483" s="43"/>
      <c r="AG1483" s="49" t="str">
        <f ca="1">IFERROR(__xludf.DUMMYFUNCTION("IFNA(vlookup(H1483,IMPORTRANGE(""1vUGwO1n0QQGx9kKbO0_M5gmuhXZ6-LaxQxgrmJnzgP0"",""'TP# look up'!A:C""),3,0),"""")"),"")</f>
        <v/>
      </c>
      <c r="AH1483" s="49" t="str">
        <f t="shared" si="23"/>
        <v/>
      </c>
    </row>
    <row r="1484" spans="8:34" ht="12.75">
      <c r="H1484" s="43"/>
      <c r="AG1484" s="49" t="str">
        <f ca="1">IFERROR(__xludf.DUMMYFUNCTION("IFNA(vlookup(H1484,IMPORTRANGE(""1vUGwO1n0QQGx9kKbO0_M5gmuhXZ6-LaxQxgrmJnzgP0"",""'TP# look up'!A:C""),3,0),"""")"),"")</f>
        <v/>
      </c>
      <c r="AH1484" s="49" t="str">
        <f t="shared" si="23"/>
        <v/>
      </c>
    </row>
    <row r="1485" spans="8:34" ht="12.75">
      <c r="H1485" s="43"/>
      <c r="AG1485" s="49" t="str">
        <f ca="1">IFERROR(__xludf.DUMMYFUNCTION("IFNA(vlookup(H1485,IMPORTRANGE(""1vUGwO1n0QQGx9kKbO0_M5gmuhXZ6-LaxQxgrmJnzgP0"",""'TP# look up'!A:C""),3,0),"""")"),"")</f>
        <v/>
      </c>
      <c r="AH1485" s="49" t="str">
        <f t="shared" si="23"/>
        <v/>
      </c>
    </row>
    <row r="1486" spans="8:34" ht="12.75">
      <c r="H1486" s="43"/>
      <c r="AG1486" s="49" t="str">
        <f ca="1">IFERROR(__xludf.DUMMYFUNCTION("IFNA(vlookup(H1486,IMPORTRANGE(""1vUGwO1n0QQGx9kKbO0_M5gmuhXZ6-LaxQxgrmJnzgP0"",""'TP# look up'!A:C""),3,0),"""")"),"")</f>
        <v/>
      </c>
      <c r="AH1486" s="49" t="str">
        <f t="shared" si="23"/>
        <v/>
      </c>
    </row>
    <row r="1487" spans="8:34" ht="12.75">
      <c r="H1487" s="43"/>
      <c r="AG1487" s="49" t="str">
        <f ca="1">IFERROR(__xludf.DUMMYFUNCTION("IFNA(vlookup(H1487,IMPORTRANGE(""1vUGwO1n0QQGx9kKbO0_M5gmuhXZ6-LaxQxgrmJnzgP0"",""'TP# look up'!A:C""),3,0),"""")"),"")</f>
        <v/>
      </c>
      <c r="AH1487" s="49" t="str">
        <f t="shared" si="23"/>
        <v/>
      </c>
    </row>
    <row r="1488" spans="8:34" ht="12.75">
      <c r="H1488" s="43"/>
      <c r="AG1488" s="49" t="str">
        <f ca="1">IFERROR(__xludf.DUMMYFUNCTION("IFNA(vlookup(H1488,IMPORTRANGE(""1vUGwO1n0QQGx9kKbO0_M5gmuhXZ6-LaxQxgrmJnzgP0"",""'TP# look up'!A:C""),3,0),"""")"),"")</f>
        <v/>
      </c>
      <c r="AH1488" s="49" t="str">
        <f t="shared" si="23"/>
        <v/>
      </c>
    </row>
    <row r="1489" spans="8:34" ht="12.75">
      <c r="H1489" s="43"/>
      <c r="AG1489" s="49" t="str">
        <f ca="1">IFERROR(__xludf.DUMMYFUNCTION("IFNA(vlookup(H1489,IMPORTRANGE(""1vUGwO1n0QQGx9kKbO0_M5gmuhXZ6-LaxQxgrmJnzgP0"",""'TP# look up'!A:C""),3,0),"""")"),"")</f>
        <v/>
      </c>
      <c r="AH1489" s="49" t="str">
        <f t="shared" si="23"/>
        <v/>
      </c>
    </row>
    <row r="1490" spans="8:34" ht="12.75">
      <c r="H1490" s="43"/>
      <c r="AG1490" s="49" t="str">
        <f ca="1">IFERROR(__xludf.DUMMYFUNCTION("IFNA(vlookup(H1490,IMPORTRANGE(""1vUGwO1n0QQGx9kKbO0_M5gmuhXZ6-LaxQxgrmJnzgP0"",""'TP# look up'!A:C""),3,0),"""")"),"")</f>
        <v/>
      </c>
      <c r="AH1490" s="49" t="str">
        <f t="shared" si="23"/>
        <v/>
      </c>
    </row>
    <row r="1491" spans="8:34" ht="12.75">
      <c r="H1491" s="43"/>
      <c r="AG1491" s="49" t="str">
        <f ca="1">IFERROR(__xludf.DUMMYFUNCTION("IFNA(vlookup(H1491,IMPORTRANGE(""1vUGwO1n0QQGx9kKbO0_M5gmuhXZ6-LaxQxgrmJnzgP0"",""'TP# look up'!A:C""),3,0),"""")"),"")</f>
        <v/>
      </c>
      <c r="AH1491" s="49" t="str">
        <f t="shared" si="23"/>
        <v/>
      </c>
    </row>
    <row r="1492" spans="8:34" ht="12.75">
      <c r="H1492" s="43"/>
      <c r="AG1492" s="49" t="str">
        <f ca="1">IFERROR(__xludf.DUMMYFUNCTION("IFNA(vlookup(H1492,IMPORTRANGE(""1vUGwO1n0QQGx9kKbO0_M5gmuhXZ6-LaxQxgrmJnzgP0"",""'TP# look up'!A:C""),3,0),"""")"),"")</f>
        <v/>
      </c>
      <c r="AH1492" s="49" t="str">
        <f t="shared" si="23"/>
        <v/>
      </c>
    </row>
    <row r="1493" spans="8:34" ht="12.75">
      <c r="H1493" s="43"/>
      <c r="AG1493" s="49" t="str">
        <f ca="1">IFERROR(__xludf.DUMMYFUNCTION("IFNA(vlookup(H1493,IMPORTRANGE(""1vUGwO1n0QQGx9kKbO0_M5gmuhXZ6-LaxQxgrmJnzgP0"",""'TP# look up'!A:C""),3,0),"""")"),"")</f>
        <v/>
      </c>
      <c r="AH1493" s="49" t="str">
        <f t="shared" si="23"/>
        <v/>
      </c>
    </row>
    <row r="1494" spans="8:34" ht="12.75">
      <c r="H1494" s="43"/>
      <c r="AG1494" s="49" t="str">
        <f ca="1">IFERROR(__xludf.DUMMYFUNCTION("IFNA(vlookup(H1494,IMPORTRANGE(""1vUGwO1n0QQGx9kKbO0_M5gmuhXZ6-LaxQxgrmJnzgP0"",""'TP# look up'!A:C""),3,0),"""")"),"")</f>
        <v/>
      </c>
      <c r="AH1494" s="49" t="str">
        <f t="shared" si="23"/>
        <v/>
      </c>
    </row>
    <row r="1495" spans="8:34" ht="12.75">
      <c r="H1495" s="43"/>
      <c r="AG1495" s="49" t="str">
        <f ca="1">IFERROR(__xludf.DUMMYFUNCTION("IFNA(vlookup(H1495,IMPORTRANGE(""1vUGwO1n0QQGx9kKbO0_M5gmuhXZ6-LaxQxgrmJnzgP0"",""'TP# look up'!A:C""),3,0),"""")"),"")</f>
        <v/>
      </c>
      <c r="AH1495" s="49" t="str">
        <f t="shared" si="23"/>
        <v/>
      </c>
    </row>
    <row r="1496" spans="8:34" ht="12.75">
      <c r="H1496" s="43"/>
      <c r="AG1496" s="49" t="str">
        <f ca="1">IFERROR(__xludf.DUMMYFUNCTION("IFNA(vlookup(H1496,IMPORTRANGE(""1vUGwO1n0QQGx9kKbO0_M5gmuhXZ6-LaxQxgrmJnzgP0"",""'TP# look up'!A:C""),3,0),"""")"),"")</f>
        <v/>
      </c>
      <c r="AH1496" s="49" t="str">
        <f t="shared" si="23"/>
        <v/>
      </c>
    </row>
    <row r="1497" spans="8:34" ht="12.75">
      <c r="H1497" s="43"/>
      <c r="AG1497" s="49" t="str">
        <f ca="1">IFERROR(__xludf.DUMMYFUNCTION("IFNA(vlookup(H1497,IMPORTRANGE(""1vUGwO1n0QQGx9kKbO0_M5gmuhXZ6-LaxQxgrmJnzgP0"",""'TP# look up'!A:C""),3,0),"""")"),"")</f>
        <v/>
      </c>
      <c r="AH1497" s="49" t="str">
        <f t="shared" si="23"/>
        <v/>
      </c>
    </row>
    <row r="1498" spans="8:34" ht="12.75">
      <c r="H1498" s="43"/>
      <c r="AG1498" s="49" t="str">
        <f ca="1">IFERROR(__xludf.DUMMYFUNCTION("IFNA(vlookup(H1498,IMPORTRANGE(""1vUGwO1n0QQGx9kKbO0_M5gmuhXZ6-LaxQxgrmJnzgP0"",""'TP# look up'!A:C""),3,0),"""")"),"")</f>
        <v/>
      </c>
      <c r="AH1498" s="49" t="str">
        <f t="shared" si="23"/>
        <v/>
      </c>
    </row>
    <row r="1499" spans="8:34" ht="12.75">
      <c r="H1499" s="43"/>
      <c r="AG1499" s="49" t="str">
        <f ca="1">IFERROR(__xludf.DUMMYFUNCTION("IFNA(vlookup(H1499,IMPORTRANGE(""1vUGwO1n0QQGx9kKbO0_M5gmuhXZ6-LaxQxgrmJnzgP0"",""'TP# look up'!A:C""),3,0),"""")"),"")</f>
        <v/>
      </c>
      <c r="AH1499" s="49" t="str">
        <f t="shared" si="23"/>
        <v/>
      </c>
    </row>
    <row r="1500" spans="8:34" ht="12.75">
      <c r="H1500" s="43"/>
      <c r="AG1500" s="49" t="str">
        <f ca="1">IFERROR(__xludf.DUMMYFUNCTION("IFNA(vlookup(H1500,IMPORTRANGE(""1vUGwO1n0QQGx9kKbO0_M5gmuhXZ6-LaxQxgrmJnzgP0"",""'TP# look up'!A:C""),3,0),"""")"),"")</f>
        <v/>
      </c>
      <c r="AH1500" s="49" t="str">
        <f t="shared" si="23"/>
        <v/>
      </c>
    </row>
    <row r="1501" spans="8:34" ht="12.75">
      <c r="H1501" s="43"/>
      <c r="AG1501" s="49" t="str">
        <f ca="1">IFERROR(__xludf.DUMMYFUNCTION("IFNA(vlookup(H1501,IMPORTRANGE(""1vUGwO1n0QQGx9kKbO0_M5gmuhXZ6-LaxQxgrmJnzgP0"",""'TP# look up'!A:C""),3,0),"""")"),"")</f>
        <v/>
      </c>
      <c r="AH1501" s="49" t="str">
        <f t="shared" si="23"/>
        <v/>
      </c>
    </row>
    <row r="1502" spans="8:34" ht="12.75">
      <c r="H1502" s="43"/>
      <c r="AG1502" s="49" t="str">
        <f ca="1">IFERROR(__xludf.DUMMYFUNCTION("IFNA(vlookup(H1502,IMPORTRANGE(""1vUGwO1n0QQGx9kKbO0_M5gmuhXZ6-LaxQxgrmJnzgP0"",""'TP# look up'!A:C""),3,0),"""")"),"")</f>
        <v/>
      </c>
      <c r="AH1502" s="49" t="str">
        <f t="shared" si="23"/>
        <v/>
      </c>
    </row>
    <row r="1503" spans="8:34" ht="12.75">
      <c r="H1503" s="43"/>
      <c r="AG1503" s="49" t="str">
        <f ca="1">IFERROR(__xludf.DUMMYFUNCTION("IFNA(vlookup(H1503,IMPORTRANGE(""1vUGwO1n0QQGx9kKbO0_M5gmuhXZ6-LaxQxgrmJnzgP0"",""'TP# look up'!A:C""),3,0),"""")"),"")</f>
        <v/>
      </c>
      <c r="AH1503" s="49" t="str">
        <f t="shared" si="23"/>
        <v/>
      </c>
    </row>
    <row r="1504" spans="8:34" ht="12.75">
      <c r="H1504" s="43"/>
      <c r="AG1504" s="49" t="str">
        <f ca="1">IFERROR(__xludf.DUMMYFUNCTION("IFNA(vlookup(H1504,IMPORTRANGE(""1vUGwO1n0QQGx9kKbO0_M5gmuhXZ6-LaxQxgrmJnzgP0"",""'TP# look up'!A:C""),3,0),"""")"),"")</f>
        <v/>
      </c>
      <c r="AH1504" s="49" t="str">
        <f t="shared" si="23"/>
        <v/>
      </c>
    </row>
    <row r="1505" spans="8:34" ht="12.75">
      <c r="H1505" s="43"/>
      <c r="AG1505" s="49" t="str">
        <f ca="1">IFERROR(__xludf.DUMMYFUNCTION("IFNA(vlookup(H1505,IMPORTRANGE(""1vUGwO1n0QQGx9kKbO0_M5gmuhXZ6-LaxQxgrmJnzgP0"",""'TP# look up'!A:C""),3,0),"""")"),"")</f>
        <v/>
      </c>
      <c r="AH1505" s="49" t="str">
        <f t="shared" si="23"/>
        <v/>
      </c>
    </row>
    <row r="1506" spans="8:34" ht="12.75">
      <c r="H1506" s="43"/>
      <c r="AG1506" s="49" t="str">
        <f ca="1">IFERROR(__xludf.DUMMYFUNCTION("IFNA(vlookup(H1506,IMPORTRANGE(""1vUGwO1n0QQGx9kKbO0_M5gmuhXZ6-LaxQxgrmJnzgP0"",""'TP# look up'!A:C""),3,0),"""")"),"")</f>
        <v/>
      </c>
      <c r="AH1506" s="49" t="str">
        <f t="shared" si="23"/>
        <v/>
      </c>
    </row>
    <row r="1507" spans="8:34" ht="12.75">
      <c r="H1507" s="43"/>
      <c r="AG1507" s="49" t="str">
        <f ca="1">IFERROR(__xludf.DUMMYFUNCTION("IFNA(vlookup(H1507,IMPORTRANGE(""1vUGwO1n0QQGx9kKbO0_M5gmuhXZ6-LaxQxgrmJnzgP0"",""'TP# look up'!A:C""),3,0),"""")"),"")</f>
        <v/>
      </c>
      <c r="AH1507" s="49" t="str">
        <f t="shared" si="23"/>
        <v/>
      </c>
    </row>
    <row r="1508" spans="8:34" ht="12.75">
      <c r="H1508" s="43"/>
      <c r="AG1508" s="49" t="str">
        <f ca="1">IFERROR(__xludf.DUMMYFUNCTION("IFNA(vlookup(H1508,IMPORTRANGE(""1vUGwO1n0QQGx9kKbO0_M5gmuhXZ6-LaxQxgrmJnzgP0"",""'TP# look up'!A:C""),3,0),"""")"),"")</f>
        <v/>
      </c>
      <c r="AH1508" s="49" t="str">
        <f t="shared" si="23"/>
        <v/>
      </c>
    </row>
    <row r="1509" spans="8:34" ht="12.75">
      <c r="H1509" s="43"/>
      <c r="AG1509" s="49" t="str">
        <f ca="1">IFERROR(__xludf.DUMMYFUNCTION("IFNA(vlookup(H1509,IMPORTRANGE(""1vUGwO1n0QQGx9kKbO0_M5gmuhXZ6-LaxQxgrmJnzgP0"",""'TP# look up'!A:C""),3,0),"""")"),"")</f>
        <v/>
      </c>
      <c r="AH1509" s="49" t="str">
        <f t="shared" si="23"/>
        <v/>
      </c>
    </row>
    <row r="1510" spans="8:34" ht="12.75">
      <c r="H1510" s="43"/>
      <c r="AG1510" s="49" t="str">
        <f ca="1">IFERROR(__xludf.DUMMYFUNCTION("IFNA(vlookup(H1510,IMPORTRANGE(""1vUGwO1n0QQGx9kKbO0_M5gmuhXZ6-LaxQxgrmJnzgP0"",""'TP# look up'!A:C""),3,0),"""")"),"")</f>
        <v/>
      </c>
      <c r="AH1510" s="49" t="str">
        <f t="shared" si="23"/>
        <v/>
      </c>
    </row>
    <row r="1511" spans="8:34" ht="12.75">
      <c r="H1511" s="43"/>
      <c r="AG1511" s="49" t="str">
        <f ca="1">IFERROR(__xludf.DUMMYFUNCTION("IFNA(vlookup(H1511,IMPORTRANGE(""1vUGwO1n0QQGx9kKbO0_M5gmuhXZ6-LaxQxgrmJnzgP0"",""'TP# look up'!A:C""),3,0),"""")"),"")</f>
        <v/>
      </c>
      <c r="AH1511" s="49" t="str">
        <f t="shared" si="23"/>
        <v/>
      </c>
    </row>
    <row r="1512" spans="8:34" ht="12.75">
      <c r="H1512" s="43"/>
      <c r="AG1512" s="49" t="str">
        <f ca="1">IFERROR(__xludf.DUMMYFUNCTION("IFNA(vlookup(H1512,IMPORTRANGE(""1vUGwO1n0QQGx9kKbO0_M5gmuhXZ6-LaxQxgrmJnzgP0"",""'TP# look up'!A:C""),3,0),"""")"),"")</f>
        <v/>
      </c>
      <c r="AH1512" s="49" t="str">
        <f t="shared" si="23"/>
        <v/>
      </c>
    </row>
    <row r="1513" spans="8:34" ht="12.75">
      <c r="H1513" s="43"/>
      <c r="AG1513" s="49" t="str">
        <f ca="1">IFERROR(__xludf.DUMMYFUNCTION("IFNA(vlookup(H1513,IMPORTRANGE(""1vUGwO1n0QQGx9kKbO0_M5gmuhXZ6-LaxQxgrmJnzgP0"",""'TP# look up'!A:C""),3,0),"""")"),"")</f>
        <v/>
      </c>
      <c r="AH1513" s="49" t="str">
        <f t="shared" si="23"/>
        <v/>
      </c>
    </row>
    <row r="1514" spans="8:34" ht="12.75">
      <c r="H1514" s="43"/>
      <c r="AG1514" s="49" t="str">
        <f ca="1">IFERROR(__xludf.DUMMYFUNCTION("IFNA(vlookup(H1514,IMPORTRANGE(""1vUGwO1n0QQGx9kKbO0_M5gmuhXZ6-LaxQxgrmJnzgP0"",""'TP# look up'!A:C""),3,0),"""")"),"")</f>
        <v/>
      </c>
      <c r="AH1514" s="49" t="str">
        <f t="shared" si="23"/>
        <v/>
      </c>
    </row>
    <row r="1515" spans="8:34" ht="12.75">
      <c r="H1515" s="43"/>
      <c r="AG1515" s="49" t="str">
        <f ca="1">IFERROR(__xludf.DUMMYFUNCTION("IFNA(vlookup(H1515,IMPORTRANGE(""1vUGwO1n0QQGx9kKbO0_M5gmuhXZ6-LaxQxgrmJnzgP0"",""'TP# look up'!A:C""),3,0),"""")"),"")</f>
        <v/>
      </c>
      <c r="AH1515" s="49" t="str">
        <f t="shared" si="23"/>
        <v/>
      </c>
    </row>
    <row r="1516" spans="8:34" ht="12.75">
      <c r="H1516" s="43"/>
      <c r="AG1516" s="49" t="str">
        <f ca="1">IFERROR(__xludf.DUMMYFUNCTION("IFNA(vlookup(H1516,IMPORTRANGE(""1vUGwO1n0QQGx9kKbO0_M5gmuhXZ6-LaxQxgrmJnzgP0"",""'TP# look up'!A:C""),3,0),"""")"),"")</f>
        <v/>
      </c>
      <c r="AH1516" s="49" t="str">
        <f t="shared" si="23"/>
        <v/>
      </c>
    </row>
    <row r="1517" spans="8:34" ht="12.75">
      <c r="H1517" s="43"/>
      <c r="AG1517" s="49" t="str">
        <f ca="1">IFERROR(__xludf.DUMMYFUNCTION("IFNA(vlookup(H1517,IMPORTRANGE(""1vUGwO1n0QQGx9kKbO0_M5gmuhXZ6-LaxQxgrmJnzgP0"",""'TP# look up'!A:C""),3,0),"""")"),"")</f>
        <v/>
      </c>
      <c r="AH1517" s="49" t="str">
        <f t="shared" si="23"/>
        <v/>
      </c>
    </row>
    <row r="1518" spans="8:34" ht="12.75">
      <c r="H1518" s="43"/>
      <c r="AG1518" s="49" t="str">
        <f ca="1">IFERROR(__xludf.DUMMYFUNCTION("IFNA(vlookup(H1518,IMPORTRANGE(""1vUGwO1n0QQGx9kKbO0_M5gmuhXZ6-LaxQxgrmJnzgP0"",""'TP# look up'!A:C""),3,0),"""")"),"")</f>
        <v/>
      </c>
      <c r="AH1518" s="49" t="str">
        <f t="shared" si="23"/>
        <v/>
      </c>
    </row>
    <row r="1519" spans="8:34" ht="12.75">
      <c r="H1519" s="43"/>
      <c r="AG1519" s="49" t="str">
        <f ca="1">IFERROR(__xludf.DUMMYFUNCTION("IFNA(vlookup(H1519,IMPORTRANGE(""1vUGwO1n0QQGx9kKbO0_M5gmuhXZ6-LaxQxgrmJnzgP0"",""'TP# look up'!A:C""),3,0),"""")"),"")</f>
        <v/>
      </c>
      <c r="AH1519" s="49" t="str">
        <f t="shared" si="23"/>
        <v/>
      </c>
    </row>
    <row r="1520" spans="8:34" ht="12.75">
      <c r="H1520" s="43"/>
      <c r="AG1520" s="49" t="str">
        <f ca="1">IFERROR(__xludf.DUMMYFUNCTION("IFNA(vlookup(H1520,IMPORTRANGE(""1vUGwO1n0QQGx9kKbO0_M5gmuhXZ6-LaxQxgrmJnzgP0"",""'TP# look up'!A:C""),3,0),"""")"),"")</f>
        <v/>
      </c>
      <c r="AH1520" s="49" t="str">
        <f t="shared" si="23"/>
        <v/>
      </c>
    </row>
    <row r="1521" spans="8:34" ht="12.75">
      <c r="H1521" s="43"/>
      <c r="AG1521" s="49" t="str">
        <f ca="1">IFERROR(__xludf.DUMMYFUNCTION("IFNA(vlookup(H1521,IMPORTRANGE(""1vUGwO1n0QQGx9kKbO0_M5gmuhXZ6-LaxQxgrmJnzgP0"",""'TP# look up'!A:C""),3,0),"""")"),"")</f>
        <v/>
      </c>
      <c r="AH1521" s="49" t="str">
        <f t="shared" si="23"/>
        <v/>
      </c>
    </row>
    <row r="1522" spans="8:34" ht="12.75">
      <c r="H1522" s="43"/>
      <c r="AG1522" s="49" t="str">
        <f ca="1">IFERROR(__xludf.DUMMYFUNCTION("IFNA(vlookup(H1522,IMPORTRANGE(""1vUGwO1n0QQGx9kKbO0_M5gmuhXZ6-LaxQxgrmJnzgP0"",""'TP# look up'!A:C""),3,0),"""")"),"")</f>
        <v/>
      </c>
      <c r="AH1522" s="49" t="str">
        <f t="shared" si="23"/>
        <v/>
      </c>
    </row>
    <row r="1523" spans="8:34" ht="12.75">
      <c r="H1523" s="43"/>
      <c r="AG1523" s="49" t="str">
        <f ca="1">IFERROR(__xludf.DUMMYFUNCTION("IFNA(vlookup(H1523,IMPORTRANGE(""1vUGwO1n0QQGx9kKbO0_M5gmuhXZ6-LaxQxgrmJnzgP0"",""'TP# look up'!A:C""),3,0),"""")"),"")</f>
        <v/>
      </c>
      <c r="AH1523" s="49" t="str">
        <f t="shared" si="23"/>
        <v/>
      </c>
    </row>
    <row r="1524" spans="8:34" ht="12.75">
      <c r="H1524" s="43"/>
      <c r="AG1524" s="49" t="str">
        <f ca="1">IFERROR(__xludf.DUMMYFUNCTION("IFNA(vlookup(H1524,IMPORTRANGE(""1vUGwO1n0QQGx9kKbO0_M5gmuhXZ6-LaxQxgrmJnzgP0"",""'TP# look up'!A:C""),3,0),"""")"),"")</f>
        <v/>
      </c>
      <c r="AH1524" s="49" t="str">
        <f t="shared" si="23"/>
        <v/>
      </c>
    </row>
    <row r="1525" spans="8:34" ht="12.75">
      <c r="H1525" s="43"/>
      <c r="AG1525" s="49" t="str">
        <f ca="1">IFERROR(__xludf.DUMMYFUNCTION("IFNA(vlookup(H1525,IMPORTRANGE(""1vUGwO1n0QQGx9kKbO0_M5gmuhXZ6-LaxQxgrmJnzgP0"",""'TP# look up'!A:C""),3,0),"""")"),"")</f>
        <v/>
      </c>
      <c r="AH1525" s="49" t="str">
        <f t="shared" si="23"/>
        <v/>
      </c>
    </row>
    <row r="1526" spans="8:34" ht="12.75">
      <c r="H1526" s="43"/>
      <c r="AG1526" s="49" t="str">
        <f ca="1">IFERROR(__xludf.DUMMYFUNCTION("IFNA(vlookup(H1526,IMPORTRANGE(""1vUGwO1n0QQGx9kKbO0_M5gmuhXZ6-LaxQxgrmJnzgP0"",""'TP# look up'!A:C""),3,0),"""")"),"")</f>
        <v/>
      </c>
      <c r="AH1526" s="49" t="str">
        <f t="shared" si="23"/>
        <v/>
      </c>
    </row>
    <row r="1527" spans="8:34" ht="12.75">
      <c r="H1527" s="43"/>
      <c r="AG1527" s="49" t="str">
        <f ca="1">IFERROR(__xludf.DUMMYFUNCTION("IFNA(vlookup(H1527,IMPORTRANGE(""1vUGwO1n0QQGx9kKbO0_M5gmuhXZ6-LaxQxgrmJnzgP0"",""'TP# look up'!A:C""),3,0),"""")"),"")</f>
        <v/>
      </c>
      <c r="AH1527" s="49" t="str">
        <f t="shared" si="23"/>
        <v/>
      </c>
    </row>
    <row r="1528" spans="8:34" ht="12.75">
      <c r="H1528" s="43"/>
      <c r="AG1528" s="49" t="str">
        <f ca="1">IFERROR(__xludf.DUMMYFUNCTION("IFNA(vlookup(H1528,IMPORTRANGE(""1vUGwO1n0QQGx9kKbO0_M5gmuhXZ6-LaxQxgrmJnzgP0"",""'TP# look up'!A:C""),3,0),"""")"),"")</f>
        <v/>
      </c>
      <c r="AH1528" s="49" t="str">
        <f t="shared" si="23"/>
        <v/>
      </c>
    </row>
    <row r="1529" spans="8:34" ht="12.75">
      <c r="H1529" s="43"/>
      <c r="AG1529" s="49" t="str">
        <f ca="1">IFERROR(__xludf.DUMMYFUNCTION("IFNA(vlookup(H1529,IMPORTRANGE(""1vUGwO1n0QQGx9kKbO0_M5gmuhXZ6-LaxQxgrmJnzgP0"",""'TP# look up'!A:C""),3,0),"""")"),"")</f>
        <v/>
      </c>
      <c r="AH1529" s="49" t="str">
        <f t="shared" si="23"/>
        <v/>
      </c>
    </row>
    <row r="1530" spans="8:34" ht="12.75">
      <c r="H1530" s="43"/>
      <c r="AG1530" s="49" t="str">
        <f ca="1">IFERROR(__xludf.DUMMYFUNCTION("IFNA(vlookup(H1530,IMPORTRANGE(""1vUGwO1n0QQGx9kKbO0_M5gmuhXZ6-LaxQxgrmJnzgP0"",""'TP# look up'!A:C""),3,0),"""")"),"")</f>
        <v/>
      </c>
      <c r="AH1530" s="49" t="str">
        <f t="shared" si="23"/>
        <v/>
      </c>
    </row>
    <row r="1531" spans="8:34" ht="12.75">
      <c r="H1531" s="43"/>
      <c r="AG1531" s="49" t="str">
        <f ca="1">IFERROR(__xludf.DUMMYFUNCTION("IFNA(vlookup(H1531,IMPORTRANGE(""1vUGwO1n0QQGx9kKbO0_M5gmuhXZ6-LaxQxgrmJnzgP0"",""'TP# look up'!A:C""),3,0),"""")"),"")</f>
        <v/>
      </c>
      <c r="AH1531" s="49" t="str">
        <f t="shared" si="23"/>
        <v/>
      </c>
    </row>
    <row r="1532" spans="8:34" ht="12.75">
      <c r="H1532" s="43"/>
      <c r="AG1532" s="49" t="str">
        <f ca="1">IFERROR(__xludf.DUMMYFUNCTION("IFNA(vlookup(H1532,IMPORTRANGE(""1vUGwO1n0QQGx9kKbO0_M5gmuhXZ6-LaxQxgrmJnzgP0"",""'TP# look up'!A:C""),3,0),"""")"),"")</f>
        <v/>
      </c>
      <c r="AH1532" s="49" t="str">
        <f t="shared" si="23"/>
        <v/>
      </c>
    </row>
    <row r="1533" spans="8:34" ht="12.75">
      <c r="H1533" s="43"/>
      <c r="AG1533" s="49" t="str">
        <f ca="1">IFERROR(__xludf.DUMMYFUNCTION("IFNA(vlookup(H1533,IMPORTRANGE(""1vUGwO1n0QQGx9kKbO0_M5gmuhXZ6-LaxQxgrmJnzgP0"",""'TP# look up'!A:C""),3,0),"""")"),"")</f>
        <v/>
      </c>
      <c r="AH1533" s="49" t="str">
        <f t="shared" si="23"/>
        <v/>
      </c>
    </row>
    <row r="1534" spans="8:34" ht="12.75">
      <c r="H1534" s="43"/>
      <c r="AG1534" s="49" t="str">
        <f ca="1">IFERROR(__xludf.DUMMYFUNCTION("IFNA(vlookup(H1534,IMPORTRANGE(""1vUGwO1n0QQGx9kKbO0_M5gmuhXZ6-LaxQxgrmJnzgP0"",""'TP# look up'!A:C""),3,0),"""")"),"")</f>
        <v/>
      </c>
      <c r="AH1534" s="49" t="str">
        <f t="shared" si="23"/>
        <v/>
      </c>
    </row>
    <row r="1535" spans="8:34" ht="12.75">
      <c r="H1535" s="43"/>
      <c r="AG1535" s="49" t="str">
        <f ca="1">IFERROR(__xludf.DUMMYFUNCTION("IFNA(vlookup(H1535,IMPORTRANGE(""1vUGwO1n0QQGx9kKbO0_M5gmuhXZ6-LaxQxgrmJnzgP0"",""'TP# look up'!A:C""),3,0),"""")"),"")</f>
        <v/>
      </c>
      <c r="AH1535" s="49" t="str">
        <f t="shared" si="23"/>
        <v/>
      </c>
    </row>
    <row r="1536" spans="8:34" ht="12.75">
      <c r="H1536" s="43"/>
      <c r="AG1536" s="49" t="str">
        <f ca="1">IFERROR(__xludf.DUMMYFUNCTION("IFNA(vlookup(H1536,IMPORTRANGE(""1vUGwO1n0QQGx9kKbO0_M5gmuhXZ6-LaxQxgrmJnzgP0"",""'TP# look up'!A:C""),3,0),"""")"),"")</f>
        <v/>
      </c>
      <c r="AH1536" s="49" t="str">
        <f t="shared" si="23"/>
        <v/>
      </c>
    </row>
    <row r="1537" spans="8:34" ht="12.75">
      <c r="H1537" s="43"/>
      <c r="AG1537" s="49" t="str">
        <f ca="1">IFERROR(__xludf.DUMMYFUNCTION("IFNA(vlookup(H1537,IMPORTRANGE(""1vUGwO1n0QQGx9kKbO0_M5gmuhXZ6-LaxQxgrmJnzgP0"",""'TP# look up'!A:C""),3,0),"""")"),"")</f>
        <v/>
      </c>
      <c r="AH1537" s="49" t="str">
        <f t="shared" si="23"/>
        <v/>
      </c>
    </row>
    <row r="1538" spans="8:34" ht="12.75">
      <c r="H1538" s="43"/>
      <c r="AG1538" s="49" t="str">
        <f ca="1">IFERROR(__xludf.DUMMYFUNCTION("IFNA(vlookup(H1538,IMPORTRANGE(""1vUGwO1n0QQGx9kKbO0_M5gmuhXZ6-LaxQxgrmJnzgP0"",""'TP# look up'!A:C""),3,0),"""")"),"")</f>
        <v/>
      </c>
      <c r="AH1538" s="49" t="str">
        <f t="shared" ref="AH1538:AH1601" si="24">LEFT(J1538,2)</f>
        <v/>
      </c>
    </row>
    <row r="1539" spans="8:34" ht="12.75">
      <c r="H1539" s="43"/>
      <c r="AG1539" s="49" t="str">
        <f ca="1">IFERROR(__xludf.DUMMYFUNCTION("IFNA(vlookup(H1539,IMPORTRANGE(""1vUGwO1n0QQGx9kKbO0_M5gmuhXZ6-LaxQxgrmJnzgP0"",""'TP# look up'!A:C""),3,0),"""")"),"")</f>
        <v/>
      </c>
      <c r="AH1539" s="49" t="str">
        <f t="shared" si="24"/>
        <v/>
      </c>
    </row>
    <row r="1540" spans="8:34" ht="12.75">
      <c r="H1540" s="43"/>
      <c r="AG1540" s="49" t="str">
        <f ca="1">IFERROR(__xludf.DUMMYFUNCTION("IFNA(vlookup(H1540,IMPORTRANGE(""1vUGwO1n0QQGx9kKbO0_M5gmuhXZ6-LaxQxgrmJnzgP0"",""'TP# look up'!A:C""),3,0),"""")"),"")</f>
        <v/>
      </c>
      <c r="AH1540" s="49" t="str">
        <f t="shared" si="24"/>
        <v/>
      </c>
    </row>
    <row r="1541" spans="8:34" ht="12.75">
      <c r="H1541" s="43"/>
      <c r="AG1541" s="49" t="str">
        <f ca="1">IFERROR(__xludf.DUMMYFUNCTION("IFNA(vlookup(H1541,IMPORTRANGE(""1vUGwO1n0QQGx9kKbO0_M5gmuhXZ6-LaxQxgrmJnzgP0"",""'TP# look up'!A:C""),3,0),"""")"),"")</f>
        <v/>
      </c>
      <c r="AH1541" s="49" t="str">
        <f t="shared" si="24"/>
        <v/>
      </c>
    </row>
    <row r="1542" spans="8:34" ht="12.75">
      <c r="H1542" s="43"/>
      <c r="AG1542" s="49" t="str">
        <f ca="1">IFERROR(__xludf.DUMMYFUNCTION("IFNA(vlookup(H1542,IMPORTRANGE(""1vUGwO1n0QQGx9kKbO0_M5gmuhXZ6-LaxQxgrmJnzgP0"",""'TP# look up'!A:C""),3,0),"""")"),"")</f>
        <v/>
      </c>
      <c r="AH1542" s="49" t="str">
        <f t="shared" si="24"/>
        <v/>
      </c>
    </row>
    <row r="1543" spans="8:34" ht="12.75">
      <c r="H1543" s="43"/>
      <c r="AG1543" s="49" t="str">
        <f ca="1">IFERROR(__xludf.DUMMYFUNCTION("IFNA(vlookup(H1543,IMPORTRANGE(""1vUGwO1n0QQGx9kKbO0_M5gmuhXZ6-LaxQxgrmJnzgP0"",""'TP# look up'!A:C""),3,0),"""")"),"")</f>
        <v/>
      </c>
      <c r="AH1543" s="49" t="str">
        <f t="shared" si="24"/>
        <v/>
      </c>
    </row>
    <row r="1544" spans="8:34" ht="12.75">
      <c r="H1544" s="43"/>
      <c r="AG1544" s="49" t="str">
        <f ca="1">IFERROR(__xludf.DUMMYFUNCTION("IFNA(vlookup(H1544,IMPORTRANGE(""1vUGwO1n0QQGx9kKbO0_M5gmuhXZ6-LaxQxgrmJnzgP0"",""'TP# look up'!A:C""),3,0),"""")"),"")</f>
        <v/>
      </c>
      <c r="AH1544" s="49" t="str">
        <f t="shared" si="24"/>
        <v/>
      </c>
    </row>
    <row r="1545" spans="8:34" ht="12.75">
      <c r="H1545" s="43"/>
      <c r="AG1545" s="49" t="str">
        <f ca="1">IFERROR(__xludf.DUMMYFUNCTION("IFNA(vlookup(H1545,IMPORTRANGE(""1vUGwO1n0QQGx9kKbO0_M5gmuhXZ6-LaxQxgrmJnzgP0"",""'TP# look up'!A:C""),3,0),"""")"),"")</f>
        <v/>
      </c>
      <c r="AH1545" s="49" t="str">
        <f t="shared" si="24"/>
        <v/>
      </c>
    </row>
    <row r="1546" spans="8:34" ht="12.75">
      <c r="H1546" s="43"/>
      <c r="AG1546" s="49" t="str">
        <f ca="1">IFERROR(__xludf.DUMMYFUNCTION("IFNA(vlookup(H1546,IMPORTRANGE(""1vUGwO1n0QQGx9kKbO0_M5gmuhXZ6-LaxQxgrmJnzgP0"",""'TP# look up'!A:C""),3,0),"""")"),"")</f>
        <v/>
      </c>
      <c r="AH1546" s="49" t="str">
        <f t="shared" si="24"/>
        <v/>
      </c>
    </row>
    <row r="1547" spans="8:34" ht="12.75">
      <c r="H1547" s="43"/>
      <c r="AG1547" s="49" t="str">
        <f ca="1">IFERROR(__xludf.DUMMYFUNCTION("IFNA(vlookup(H1547,IMPORTRANGE(""1vUGwO1n0QQGx9kKbO0_M5gmuhXZ6-LaxQxgrmJnzgP0"",""'TP# look up'!A:C""),3,0),"""")"),"")</f>
        <v/>
      </c>
      <c r="AH1547" s="49" t="str">
        <f t="shared" si="24"/>
        <v/>
      </c>
    </row>
    <row r="1548" spans="8:34" ht="12.75">
      <c r="H1548" s="43"/>
      <c r="AG1548" s="49" t="str">
        <f ca="1">IFERROR(__xludf.DUMMYFUNCTION("IFNA(vlookup(H1548,IMPORTRANGE(""1vUGwO1n0QQGx9kKbO0_M5gmuhXZ6-LaxQxgrmJnzgP0"",""'TP# look up'!A:C""),3,0),"""")"),"")</f>
        <v/>
      </c>
      <c r="AH1548" s="49" t="str">
        <f t="shared" si="24"/>
        <v/>
      </c>
    </row>
    <row r="1549" spans="8:34" ht="12.75">
      <c r="H1549" s="43"/>
      <c r="AG1549" s="49" t="str">
        <f ca="1">IFERROR(__xludf.DUMMYFUNCTION("IFNA(vlookup(H1549,IMPORTRANGE(""1vUGwO1n0QQGx9kKbO0_M5gmuhXZ6-LaxQxgrmJnzgP0"",""'TP# look up'!A:C""),3,0),"""")"),"")</f>
        <v/>
      </c>
      <c r="AH1549" s="49" t="str">
        <f t="shared" si="24"/>
        <v/>
      </c>
    </row>
    <row r="1550" spans="8:34" ht="12.75">
      <c r="H1550" s="43"/>
      <c r="AG1550" s="49" t="str">
        <f ca="1">IFERROR(__xludf.DUMMYFUNCTION("IFNA(vlookup(H1550,IMPORTRANGE(""1vUGwO1n0QQGx9kKbO0_M5gmuhXZ6-LaxQxgrmJnzgP0"",""'TP# look up'!A:C""),3,0),"""")"),"")</f>
        <v/>
      </c>
      <c r="AH1550" s="49" t="str">
        <f t="shared" si="24"/>
        <v/>
      </c>
    </row>
    <row r="1551" spans="8:34" ht="12.75">
      <c r="H1551" s="43"/>
      <c r="AG1551" s="49" t="str">
        <f ca="1">IFERROR(__xludf.DUMMYFUNCTION("IFNA(vlookup(H1551,IMPORTRANGE(""1vUGwO1n0QQGx9kKbO0_M5gmuhXZ6-LaxQxgrmJnzgP0"",""'TP# look up'!A:C""),3,0),"""")"),"")</f>
        <v/>
      </c>
      <c r="AH1551" s="49" t="str">
        <f t="shared" si="24"/>
        <v/>
      </c>
    </row>
    <row r="1552" spans="8:34" ht="12.75">
      <c r="H1552" s="43"/>
      <c r="AG1552" s="49" t="str">
        <f ca="1">IFERROR(__xludf.DUMMYFUNCTION("IFNA(vlookup(H1552,IMPORTRANGE(""1vUGwO1n0QQGx9kKbO0_M5gmuhXZ6-LaxQxgrmJnzgP0"",""'TP# look up'!A:C""),3,0),"""")"),"")</f>
        <v/>
      </c>
      <c r="AH1552" s="49" t="str">
        <f t="shared" si="24"/>
        <v/>
      </c>
    </row>
    <row r="1553" spans="8:34" ht="12.75">
      <c r="H1553" s="43"/>
      <c r="AG1553" s="49" t="str">
        <f ca="1">IFERROR(__xludf.DUMMYFUNCTION("IFNA(vlookup(H1553,IMPORTRANGE(""1vUGwO1n0QQGx9kKbO0_M5gmuhXZ6-LaxQxgrmJnzgP0"",""'TP# look up'!A:C""),3,0),"""")"),"")</f>
        <v/>
      </c>
      <c r="AH1553" s="49" t="str">
        <f t="shared" si="24"/>
        <v/>
      </c>
    </row>
    <row r="1554" spans="8:34" ht="12.75">
      <c r="H1554" s="43"/>
      <c r="AG1554" s="49" t="str">
        <f ca="1">IFERROR(__xludf.DUMMYFUNCTION("IFNA(vlookup(H1554,IMPORTRANGE(""1vUGwO1n0QQGx9kKbO0_M5gmuhXZ6-LaxQxgrmJnzgP0"",""'TP# look up'!A:C""),3,0),"""")"),"")</f>
        <v/>
      </c>
      <c r="AH1554" s="49" t="str">
        <f t="shared" si="24"/>
        <v/>
      </c>
    </row>
    <row r="1555" spans="8:34" ht="12.75">
      <c r="H1555" s="43"/>
      <c r="AG1555" s="49" t="str">
        <f ca="1">IFERROR(__xludf.DUMMYFUNCTION("IFNA(vlookup(H1555,IMPORTRANGE(""1vUGwO1n0QQGx9kKbO0_M5gmuhXZ6-LaxQxgrmJnzgP0"",""'TP# look up'!A:C""),3,0),"""")"),"")</f>
        <v/>
      </c>
      <c r="AH1555" s="49" t="str">
        <f t="shared" si="24"/>
        <v/>
      </c>
    </row>
    <row r="1556" spans="8:34" ht="12.75">
      <c r="H1556" s="43"/>
      <c r="AG1556" s="49" t="str">
        <f ca="1">IFERROR(__xludf.DUMMYFUNCTION("IFNA(vlookup(H1556,IMPORTRANGE(""1vUGwO1n0QQGx9kKbO0_M5gmuhXZ6-LaxQxgrmJnzgP0"",""'TP# look up'!A:C""),3,0),"""")"),"")</f>
        <v/>
      </c>
      <c r="AH1556" s="49" t="str">
        <f t="shared" si="24"/>
        <v/>
      </c>
    </row>
    <row r="1557" spans="8:34" ht="12.75">
      <c r="H1557" s="43"/>
      <c r="AG1557" s="49" t="str">
        <f ca="1">IFERROR(__xludf.DUMMYFUNCTION("IFNA(vlookup(H1557,IMPORTRANGE(""1vUGwO1n0QQGx9kKbO0_M5gmuhXZ6-LaxQxgrmJnzgP0"",""'TP# look up'!A:C""),3,0),"""")"),"")</f>
        <v/>
      </c>
      <c r="AH1557" s="49" t="str">
        <f t="shared" si="24"/>
        <v/>
      </c>
    </row>
    <row r="1558" spans="8:34" ht="12.75">
      <c r="H1558" s="43"/>
      <c r="AG1558" s="49" t="str">
        <f ca="1">IFERROR(__xludf.DUMMYFUNCTION("IFNA(vlookup(H1558,IMPORTRANGE(""1vUGwO1n0QQGx9kKbO0_M5gmuhXZ6-LaxQxgrmJnzgP0"",""'TP# look up'!A:C""),3,0),"""")"),"")</f>
        <v/>
      </c>
      <c r="AH1558" s="49" t="str">
        <f t="shared" si="24"/>
        <v/>
      </c>
    </row>
    <row r="1559" spans="8:34" ht="12.75">
      <c r="H1559" s="43"/>
      <c r="AG1559" s="49" t="str">
        <f ca="1">IFERROR(__xludf.DUMMYFUNCTION("IFNA(vlookup(H1559,IMPORTRANGE(""1vUGwO1n0QQGx9kKbO0_M5gmuhXZ6-LaxQxgrmJnzgP0"",""'TP# look up'!A:C""),3,0),"""")"),"")</f>
        <v/>
      </c>
      <c r="AH1559" s="49" t="str">
        <f t="shared" si="24"/>
        <v/>
      </c>
    </row>
    <row r="1560" spans="8:34" ht="12.75">
      <c r="H1560" s="43"/>
      <c r="AG1560" s="49" t="str">
        <f ca="1">IFERROR(__xludf.DUMMYFUNCTION("IFNA(vlookup(H1560,IMPORTRANGE(""1vUGwO1n0QQGx9kKbO0_M5gmuhXZ6-LaxQxgrmJnzgP0"",""'TP# look up'!A:C""),3,0),"""")"),"")</f>
        <v/>
      </c>
      <c r="AH1560" s="49" t="str">
        <f t="shared" si="24"/>
        <v/>
      </c>
    </row>
    <row r="1561" spans="8:34" ht="12.75">
      <c r="H1561" s="43"/>
      <c r="AG1561" s="49" t="str">
        <f ca="1">IFERROR(__xludf.DUMMYFUNCTION("IFNA(vlookup(H1561,IMPORTRANGE(""1vUGwO1n0QQGx9kKbO0_M5gmuhXZ6-LaxQxgrmJnzgP0"",""'TP# look up'!A:C""),3,0),"""")"),"")</f>
        <v/>
      </c>
      <c r="AH1561" s="49" t="str">
        <f t="shared" si="24"/>
        <v/>
      </c>
    </row>
    <row r="1562" spans="8:34" ht="12.75">
      <c r="H1562" s="43"/>
      <c r="AG1562" s="49" t="str">
        <f ca="1">IFERROR(__xludf.DUMMYFUNCTION("IFNA(vlookup(H1562,IMPORTRANGE(""1vUGwO1n0QQGx9kKbO0_M5gmuhXZ6-LaxQxgrmJnzgP0"",""'TP# look up'!A:C""),3,0),"""")"),"")</f>
        <v/>
      </c>
      <c r="AH1562" s="49" t="str">
        <f t="shared" si="24"/>
        <v/>
      </c>
    </row>
    <row r="1563" spans="8:34" ht="12.75">
      <c r="H1563" s="43"/>
      <c r="AG1563" s="49" t="str">
        <f ca="1">IFERROR(__xludf.DUMMYFUNCTION("IFNA(vlookup(H1563,IMPORTRANGE(""1vUGwO1n0QQGx9kKbO0_M5gmuhXZ6-LaxQxgrmJnzgP0"",""'TP# look up'!A:C""),3,0),"""")"),"")</f>
        <v/>
      </c>
      <c r="AH1563" s="49" t="str">
        <f t="shared" si="24"/>
        <v/>
      </c>
    </row>
    <row r="1564" spans="8:34" ht="12.75">
      <c r="H1564" s="43"/>
      <c r="AG1564" s="49" t="str">
        <f ca="1">IFERROR(__xludf.DUMMYFUNCTION("IFNA(vlookup(H1564,IMPORTRANGE(""1vUGwO1n0QQGx9kKbO0_M5gmuhXZ6-LaxQxgrmJnzgP0"",""'TP# look up'!A:C""),3,0),"""")"),"")</f>
        <v/>
      </c>
      <c r="AH1564" s="49" t="str">
        <f t="shared" si="24"/>
        <v/>
      </c>
    </row>
    <row r="1565" spans="8:34" ht="12.75">
      <c r="H1565" s="43"/>
      <c r="AG1565" s="49" t="str">
        <f ca="1">IFERROR(__xludf.DUMMYFUNCTION("IFNA(vlookup(H1565,IMPORTRANGE(""1vUGwO1n0QQGx9kKbO0_M5gmuhXZ6-LaxQxgrmJnzgP0"",""'TP# look up'!A:C""),3,0),"""")"),"")</f>
        <v/>
      </c>
      <c r="AH1565" s="49" t="str">
        <f t="shared" si="24"/>
        <v/>
      </c>
    </row>
    <row r="1566" spans="8:34" ht="12.75">
      <c r="H1566" s="43"/>
      <c r="AG1566" s="49" t="str">
        <f ca="1">IFERROR(__xludf.DUMMYFUNCTION("IFNA(vlookup(H1566,IMPORTRANGE(""1vUGwO1n0QQGx9kKbO0_M5gmuhXZ6-LaxQxgrmJnzgP0"",""'TP# look up'!A:C""),3,0),"""")"),"")</f>
        <v/>
      </c>
      <c r="AH1566" s="49" t="str">
        <f t="shared" si="24"/>
        <v/>
      </c>
    </row>
    <row r="1567" spans="8:34" ht="12.75">
      <c r="H1567" s="43"/>
      <c r="AG1567" s="49" t="str">
        <f ca="1">IFERROR(__xludf.DUMMYFUNCTION("IFNA(vlookup(H1567,IMPORTRANGE(""1vUGwO1n0QQGx9kKbO0_M5gmuhXZ6-LaxQxgrmJnzgP0"",""'TP# look up'!A:C""),3,0),"""")"),"")</f>
        <v/>
      </c>
      <c r="AH1567" s="49" t="str">
        <f t="shared" si="24"/>
        <v/>
      </c>
    </row>
    <row r="1568" spans="8:34" ht="12.75">
      <c r="H1568" s="43"/>
      <c r="AG1568" s="49" t="str">
        <f ca="1">IFERROR(__xludf.DUMMYFUNCTION("IFNA(vlookup(H1568,IMPORTRANGE(""1vUGwO1n0QQGx9kKbO0_M5gmuhXZ6-LaxQxgrmJnzgP0"",""'TP# look up'!A:C""),3,0),"""")"),"")</f>
        <v/>
      </c>
      <c r="AH1568" s="49" t="str">
        <f t="shared" si="24"/>
        <v/>
      </c>
    </row>
    <row r="1569" spans="8:34" ht="12.75">
      <c r="H1569" s="43"/>
      <c r="AG1569" s="49" t="str">
        <f ca="1">IFERROR(__xludf.DUMMYFUNCTION("IFNA(vlookup(H1569,IMPORTRANGE(""1vUGwO1n0QQGx9kKbO0_M5gmuhXZ6-LaxQxgrmJnzgP0"",""'TP# look up'!A:C""),3,0),"""")"),"")</f>
        <v/>
      </c>
      <c r="AH1569" s="49" t="str">
        <f t="shared" si="24"/>
        <v/>
      </c>
    </row>
    <row r="1570" spans="8:34" ht="12.75">
      <c r="H1570" s="43"/>
      <c r="AG1570" s="49" t="str">
        <f ca="1">IFERROR(__xludf.DUMMYFUNCTION("IFNA(vlookup(H1570,IMPORTRANGE(""1vUGwO1n0QQGx9kKbO0_M5gmuhXZ6-LaxQxgrmJnzgP0"",""'TP# look up'!A:C""),3,0),"""")"),"")</f>
        <v/>
      </c>
      <c r="AH1570" s="49" t="str">
        <f t="shared" si="24"/>
        <v/>
      </c>
    </row>
    <row r="1571" spans="8:34" ht="12.75">
      <c r="H1571" s="43"/>
      <c r="AG1571" s="49" t="str">
        <f ca="1">IFERROR(__xludf.DUMMYFUNCTION("IFNA(vlookup(H1571,IMPORTRANGE(""1vUGwO1n0QQGx9kKbO0_M5gmuhXZ6-LaxQxgrmJnzgP0"",""'TP# look up'!A:C""),3,0),"""")"),"")</f>
        <v/>
      </c>
      <c r="AH1571" s="49" t="str">
        <f t="shared" si="24"/>
        <v/>
      </c>
    </row>
    <row r="1572" spans="8:34" ht="12.75">
      <c r="H1572" s="43"/>
      <c r="AG1572" s="49" t="str">
        <f ca="1">IFERROR(__xludf.DUMMYFUNCTION("IFNA(vlookup(H1572,IMPORTRANGE(""1vUGwO1n0QQGx9kKbO0_M5gmuhXZ6-LaxQxgrmJnzgP0"",""'TP# look up'!A:C""),3,0),"""")"),"")</f>
        <v/>
      </c>
      <c r="AH1572" s="49" t="str">
        <f t="shared" si="24"/>
        <v/>
      </c>
    </row>
    <row r="1573" spans="8:34" ht="12.75">
      <c r="H1573" s="43"/>
      <c r="AG1573" s="49" t="str">
        <f ca="1">IFERROR(__xludf.DUMMYFUNCTION("IFNA(vlookup(H1573,IMPORTRANGE(""1vUGwO1n0QQGx9kKbO0_M5gmuhXZ6-LaxQxgrmJnzgP0"",""'TP# look up'!A:C""),3,0),"""")"),"")</f>
        <v/>
      </c>
      <c r="AH1573" s="49" t="str">
        <f t="shared" si="24"/>
        <v/>
      </c>
    </row>
    <row r="1574" spans="8:34" ht="12.75">
      <c r="H1574" s="43"/>
      <c r="AG1574" s="49" t="str">
        <f ca="1">IFERROR(__xludf.DUMMYFUNCTION("IFNA(vlookup(H1574,IMPORTRANGE(""1vUGwO1n0QQGx9kKbO0_M5gmuhXZ6-LaxQxgrmJnzgP0"",""'TP# look up'!A:C""),3,0),"""")"),"")</f>
        <v/>
      </c>
      <c r="AH1574" s="49" t="str">
        <f t="shared" si="24"/>
        <v/>
      </c>
    </row>
    <row r="1575" spans="8:34" ht="12.75">
      <c r="H1575" s="43"/>
      <c r="AG1575" s="49" t="str">
        <f ca="1">IFERROR(__xludf.DUMMYFUNCTION("IFNA(vlookup(H1575,IMPORTRANGE(""1vUGwO1n0QQGx9kKbO0_M5gmuhXZ6-LaxQxgrmJnzgP0"",""'TP# look up'!A:C""),3,0),"""")"),"")</f>
        <v/>
      </c>
      <c r="AH1575" s="49" t="str">
        <f t="shared" si="24"/>
        <v/>
      </c>
    </row>
    <row r="1576" spans="8:34" ht="12.75">
      <c r="H1576" s="43"/>
      <c r="AG1576" s="49" t="str">
        <f ca="1">IFERROR(__xludf.DUMMYFUNCTION("IFNA(vlookup(H1576,IMPORTRANGE(""1vUGwO1n0QQGx9kKbO0_M5gmuhXZ6-LaxQxgrmJnzgP0"",""'TP# look up'!A:C""),3,0),"""")"),"")</f>
        <v/>
      </c>
      <c r="AH1576" s="49" t="str">
        <f t="shared" si="24"/>
        <v/>
      </c>
    </row>
    <row r="1577" spans="8:34" ht="12.75">
      <c r="H1577" s="43"/>
      <c r="AG1577" s="49" t="str">
        <f ca="1">IFERROR(__xludf.DUMMYFUNCTION("IFNA(vlookup(H1577,IMPORTRANGE(""1vUGwO1n0QQGx9kKbO0_M5gmuhXZ6-LaxQxgrmJnzgP0"",""'TP# look up'!A:C""),3,0),"""")"),"")</f>
        <v/>
      </c>
      <c r="AH1577" s="49" t="str">
        <f t="shared" si="24"/>
        <v/>
      </c>
    </row>
    <row r="1578" spans="8:34" ht="12.75">
      <c r="H1578" s="43"/>
      <c r="AG1578" s="49" t="str">
        <f ca="1">IFERROR(__xludf.DUMMYFUNCTION("IFNA(vlookup(H1578,IMPORTRANGE(""1vUGwO1n0QQGx9kKbO0_M5gmuhXZ6-LaxQxgrmJnzgP0"",""'TP# look up'!A:C""),3,0),"""")"),"")</f>
        <v/>
      </c>
      <c r="AH1578" s="49" t="str">
        <f t="shared" si="24"/>
        <v/>
      </c>
    </row>
    <row r="1579" spans="8:34" ht="12.75">
      <c r="H1579" s="43"/>
      <c r="AG1579" s="49" t="str">
        <f ca="1">IFERROR(__xludf.DUMMYFUNCTION("IFNA(vlookup(H1579,IMPORTRANGE(""1vUGwO1n0QQGx9kKbO0_M5gmuhXZ6-LaxQxgrmJnzgP0"",""'TP# look up'!A:C""),3,0),"""")"),"")</f>
        <v/>
      </c>
      <c r="AH1579" s="49" t="str">
        <f t="shared" si="24"/>
        <v/>
      </c>
    </row>
    <row r="1580" spans="8:34" ht="12.75">
      <c r="H1580" s="43"/>
      <c r="AG1580" s="49" t="str">
        <f ca="1">IFERROR(__xludf.DUMMYFUNCTION("IFNA(vlookup(H1580,IMPORTRANGE(""1vUGwO1n0QQGx9kKbO0_M5gmuhXZ6-LaxQxgrmJnzgP0"",""'TP# look up'!A:C""),3,0),"""")"),"")</f>
        <v/>
      </c>
      <c r="AH1580" s="49" t="str">
        <f t="shared" si="24"/>
        <v/>
      </c>
    </row>
    <row r="1581" spans="8:34" ht="12.75">
      <c r="H1581" s="43"/>
      <c r="AG1581" s="49" t="str">
        <f ca="1">IFERROR(__xludf.DUMMYFUNCTION("IFNA(vlookup(H1581,IMPORTRANGE(""1vUGwO1n0QQGx9kKbO0_M5gmuhXZ6-LaxQxgrmJnzgP0"",""'TP# look up'!A:C""),3,0),"""")"),"")</f>
        <v/>
      </c>
      <c r="AH1581" s="49" t="str">
        <f t="shared" si="24"/>
        <v/>
      </c>
    </row>
    <row r="1582" spans="8:34" ht="12.75">
      <c r="H1582" s="43"/>
      <c r="AG1582" s="49" t="str">
        <f ca="1">IFERROR(__xludf.DUMMYFUNCTION("IFNA(vlookup(H1582,IMPORTRANGE(""1vUGwO1n0QQGx9kKbO0_M5gmuhXZ6-LaxQxgrmJnzgP0"",""'TP# look up'!A:C""),3,0),"""")"),"")</f>
        <v/>
      </c>
      <c r="AH1582" s="49" t="str">
        <f t="shared" si="24"/>
        <v/>
      </c>
    </row>
    <row r="1583" spans="8:34" ht="12.75">
      <c r="H1583" s="43"/>
      <c r="AG1583" s="49" t="str">
        <f ca="1">IFERROR(__xludf.DUMMYFUNCTION("IFNA(vlookup(H1583,IMPORTRANGE(""1vUGwO1n0QQGx9kKbO0_M5gmuhXZ6-LaxQxgrmJnzgP0"",""'TP# look up'!A:C""),3,0),"""")"),"")</f>
        <v/>
      </c>
      <c r="AH1583" s="49" t="str">
        <f t="shared" si="24"/>
        <v/>
      </c>
    </row>
    <row r="1584" spans="8:34" ht="12.75">
      <c r="H1584" s="43"/>
      <c r="AG1584" s="49" t="str">
        <f ca="1">IFERROR(__xludf.DUMMYFUNCTION("IFNA(vlookup(H1584,IMPORTRANGE(""1vUGwO1n0QQGx9kKbO0_M5gmuhXZ6-LaxQxgrmJnzgP0"",""'TP# look up'!A:C""),3,0),"""")"),"")</f>
        <v/>
      </c>
      <c r="AH1584" s="49" t="str">
        <f t="shared" si="24"/>
        <v/>
      </c>
    </row>
    <row r="1585" spans="8:34" ht="12.75">
      <c r="H1585" s="43"/>
      <c r="AG1585" s="49" t="str">
        <f ca="1">IFERROR(__xludf.DUMMYFUNCTION("IFNA(vlookup(H1585,IMPORTRANGE(""1vUGwO1n0QQGx9kKbO0_M5gmuhXZ6-LaxQxgrmJnzgP0"",""'TP# look up'!A:C""),3,0),"""")"),"")</f>
        <v/>
      </c>
      <c r="AH1585" s="49" t="str">
        <f t="shared" si="24"/>
        <v/>
      </c>
    </row>
    <row r="1586" spans="8:34" ht="12.75">
      <c r="H1586" s="43"/>
      <c r="AG1586" s="49" t="str">
        <f ca="1">IFERROR(__xludf.DUMMYFUNCTION("IFNA(vlookup(H1586,IMPORTRANGE(""1vUGwO1n0QQGx9kKbO0_M5gmuhXZ6-LaxQxgrmJnzgP0"",""'TP# look up'!A:C""),3,0),"""")"),"")</f>
        <v/>
      </c>
      <c r="AH1586" s="49" t="str">
        <f t="shared" si="24"/>
        <v/>
      </c>
    </row>
    <row r="1587" spans="8:34" ht="12.75">
      <c r="H1587" s="43"/>
      <c r="AG1587" s="49" t="str">
        <f ca="1">IFERROR(__xludf.DUMMYFUNCTION("IFNA(vlookup(H1587,IMPORTRANGE(""1vUGwO1n0QQGx9kKbO0_M5gmuhXZ6-LaxQxgrmJnzgP0"",""'TP# look up'!A:C""),3,0),"""")"),"")</f>
        <v/>
      </c>
      <c r="AH1587" s="49" t="str">
        <f t="shared" si="24"/>
        <v/>
      </c>
    </row>
    <row r="1588" spans="8:34" ht="12.75">
      <c r="H1588" s="43"/>
      <c r="AG1588" s="49" t="str">
        <f ca="1">IFERROR(__xludf.DUMMYFUNCTION("IFNA(vlookup(H1588,IMPORTRANGE(""1vUGwO1n0QQGx9kKbO0_M5gmuhXZ6-LaxQxgrmJnzgP0"",""'TP# look up'!A:C""),3,0),"""")"),"")</f>
        <v/>
      </c>
      <c r="AH1588" s="49" t="str">
        <f t="shared" si="24"/>
        <v/>
      </c>
    </row>
    <row r="1589" spans="8:34" ht="12.75">
      <c r="H1589" s="43"/>
      <c r="AG1589" s="49" t="str">
        <f ca="1">IFERROR(__xludf.DUMMYFUNCTION("IFNA(vlookup(H1589,IMPORTRANGE(""1vUGwO1n0QQGx9kKbO0_M5gmuhXZ6-LaxQxgrmJnzgP0"",""'TP# look up'!A:C""),3,0),"""")"),"")</f>
        <v/>
      </c>
      <c r="AH1589" s="49" t="str">
        <f t="shared" si="24"/>
        <v/>
      </c>
    </row>
    <row r="1590" spans="8:34" ht="12.75">
      <c r="H1590" s="43"/>
      <c r="AG1590" s="49" t="str">
        <f ca="1">IFERROR(__xludf.DUMMYFUNCTION("IFNA(vlookup(H1590,IMPORTRANGE(""1vUGwO1n0QQGx9kKbO0_M5gmuhXZ6-LaxQxgrmJnzgP0"",""'TP# look up'!A:C""),3,0),"""")"),"")</f>
        <v/>
      </c>
      <c r="AH1590" s="49" t="str">
        <f t="shared" si="24"/>
        <v/>
      </c>
    </row>
    <row r="1591" spans="8:34" ht="12.75">
      <c r="H1591" s="43"/>
      <c r="AG1591" s="49" t="str">
        <f ca="1">IFERROR(__xludf.DUMMYFUNCTION("IFNA(vlookup(H1591,IMPORTRANGE(""1vUGwO1n0QQGx9kKbO0_M5gmuhXZ6-LaxQxgrmJnzgP0"",""'TP# look up'!A:C""),3,0),"""")"),"")</f>
        <v/>
      </c>
      <c r="AH1591" s="49" t="str">
        <f t="shared" si="24"/>
        <v/>
      </c>
    </row>
    <row r="1592" spans="8:34" ht="12.75">
      <c r="H1592" s="43"/>
      <c r="AG1592" s="49" t="str">
        <f ca="1">IFERROR(__xludf.DUMMYFUNCTION("IFNA(vlookup(H1592,IMPORTRANGE(""1vUGwO1n0QQGx9kKbO0_M5gmuhXZ6-LaxQxgrmJnzgP0"",""'TP# look up'!A:C""),3,0),"""")"),"")</f>
        <v/>
      </c>
      <c r="AH1592" s="49" t="str">
        <f t="shared" si="24"/>
        <v/>
      </c>
    </row>
    <row r="1593" spans="8:34" ht="12.75">
      <c r="H1593" s="43"/>
      <c r="AG1593" s="49" t="str">
        <f ca="1">IFERROR(__xludf.DUMMYFUNCTION("IFNA(vlookup(H1593,IMPORTRANGE(""1vUGwO1n0QQGx9kKbO0_M5gmuhXZ6-LaxQxgrmJnzgP0"",""'TP# look up'!A:C""),3,0),"""")"),"")</f>
        <v/>
      </c>
      <c r="AH1593" s="49" t="str">
        <f t="shared" si="24"/>
        <v/>
      </c>
    </row>
    <row r="1594" spans="8:34" ht="12.75">
      <c r="H1594" s="43"/>
      <c r="AG1594" s="49" t="str">
        <f ca="1">IFERROR(__xludf.DUMMYFUNCTION("IFNA(vlookup(H1594,IMPORTRANGE(""1vUGwO1n0QQGx9kKbO0_M5gmuhXZ6-LaxQxgrmJnzgP0"",""'TP# look up'!A:C""),3,0),"""")"),"")</f>
        <v/>
      </c>
      <c r="AH1594" s="49" t="str">
        <f t="shared" si="24"/>
        <v/>
      </c>
    </row>
    <row r="1595" spans="8:34" ht="12.75">
      <c r="H1595" s="43"/>
      <c r="AG1595" s="49" t="str">
        <f ca="1">IFERROR(__xludf.DUMMYFUNCTION("IFNA(vlookup(H1595,IMPORTRANGE(""1vUGwO1n0QQGx9kKbO0_M5gmuhXZ6-LaxQxgrmJnzgP0"",""'TP# look up'!A:C""),3,0),"""")"),"")</f>
        <v/>
      </c>
      <c r="AH1595" s="49" t="str">
        <f t="shared" si="24"/>
        <v/>
      </c>
    </row>
    <row r="1596" spans="8:34" ht="12.75">
      <c r="H1596" s="43"/>
      <c r="AG1596" s="49" t="str">
        <f ca="1">IFERROR(__xludf.DUMMYFUNCTION("IFNA(vlookup(H1596,IMPORTRANGE(""1vUGwO1n0QQGx9kKbO0_M5gmuhXZ6-LaxQxgrmJnzgP0"",""'TP# look up'!A:C""),3,0),"""")"),"")</f>
        <v/>
      </c>
      <c r="AH1596" s="49" t="str">
        <f t="shared" si="24"/>
        <v/>
      </c>
    </row>
    <row r="1597" spans="8:34" ht="12.75">
      <c r="H1597" s="43"/>
      <c r="AG1597" s="49" t="str">
        <f ca="1">IFERROR(__xludf.DUMMYFUNCTION("IFNA(vlookup(H1597,IMPORTRANGE(""1vUGwO1n0QQGx9kKbO0_M5gmuhXZ6-LaxQxgrmJnzgP0"",""'TP# look up'!A:C""),3,0),"""")"),"")</f>
        <v/>
      </c>
      <c r="AH1597" s="49" t="str">
        <f t="shared" si="24"/>
        <v/>
      </c>
    </row>
    <row r="1598" spans="8:34" ht="12.75">
      <c r="H1598" s="43"/>
      <c r="AG1598" s="49" t="str">
        <f ca="1">IFERROR(__xludf.DUMMYFUNCTION("IFNA(vlookup(H1598,IMPORTRANGE(""1vUGwO1n0QQGx9kKbO0_M5gmuhXZ6-LaxQxgrmJnzgP0"",""'TP# look up'!A:C""),3,0),"""")"),"")</f>
        <v/>
      </c>
      <c r="AH1598" s="49" t="str">
        <f t="shared" si="24"/>
        <v/>
      </c>
    </row>
    <row r="1599" spans="8:34" ht="12.75">
      <c r="H1599" s="43"/>
      <c r="AG1599" s="49" t="str">
        <f ca="1">IFERROR(__xludf.DUMMYFUNCTION("IFNA(vlookup(H1599,IMPORTRANGE(""1vUGwO1n0QQGx9kKbO0_M5gmuhXZ6-LaxQxgrmJnzgP0"",""'TP# look up'!A:C""),3,0),"""")"),"")</f>
        <v/>
      </c>
      <c r="AH1599" s="49" t="str">
        <f t="shared" si="24"/>
        <v/>
      </c>
    </row>
    <row r="1600" spans="8:34" ht="12.75">
      <c r="H1600" s="43"/>
      <c r="AG1600" s="49" t="str">
        <f ca="1">IFERROR(__xludf.DUMMYFUNCTION("IFNA(vlookup(H1600,IMPORTRANGE(""1vUGwO1n0QQGx9kKbO0_M5gmuhXZ6-LaxQxgrmJnzgP0"",""'TP# look up'!A:C""),3,0),"""")"),"")</f>
        <v/>
      </c>
      <c r="AH1600" s="49" t="str">
        <f t="shared" si="24"/>
        <v/>
      </c>
    </row>
    <row r="1601" spans="8:34" ht="12.75">
      <c r="H1601" s="43"/>
      <c r="AG1601" s="49" t="str">
        <f ca="1">IFERROR(__xludf.DUMMYFUNCTION("IFNA(vlookup(H1601,IMPORTRANGE(""1vUGwO1n0QQGx9kKbO0_M5gmuhXZ6-LaxQxgrmJnzgP0"",""'TP# look up'!A:C""),3,0),"""")"),"")</f>
        <v/>
      </c>
      <c r="AH1601" s="49" t="str">
        <f t="shared" si="24"/>
        <v/>
      </c>
    </row>
    <row r="1602" spans="8:34" ht="12.75">
      <c r="H1602" s="43"/>
      <c r="AG1602" s="49" t="str">
        <f ca="1">IFERROR(__xludf.DUMMYFUNCTION("IFNA(vlookup(H1602,IMPORTRANGE(""1vUGwO1n0QQGx9kKbO0_M5gmuhXZ6-LaxQxgrmJnzgP0"",""'TP# look up'!A:C""),3,0),"""")"),"")</f>
        <v/>
      </c>
      <c r="AH1602" s="49" t="str">
        <f t="shared" ref="AH1602:AH1665" si="25">LEFT(J1602,2)</f>
        <v/>
      </c>
    </row>
    <row r="1603" spans="8:34" ht="12.75">
      <c r="H1603" s="43"/>
      <c r="AG1603" s="49" t="str">
        <f ca="1">IFERROR(__xludf.DUMMYFUNCTION("IFNA(vlookup(H1603,IMPORTRANGE(""1vUGwO1n0QQGx9kKbO0_M5gmuhXZ6-LaxQxgrmJnzgP0"",""'TP# look up'!A:C""),3,0),"""")"),"")</f>
        <v/>
      </c>
      <c r="AH1603" s="49" t="str">
        <f t="shared" si="25"/>
        <v/>
      </c>
    </row>
    <row r="1604" spans="8:34" ht="12.75">
      <c r="H1604" s="43"/>
      <c r="AG1604" s="49" t="str">
        <f ca="1">IFERROR(__xludf.DUMMYFUNCTION("IFNA(vlookup(H1604,IMPORTRANGE(""1vUGwO1n0QQGx9kKbO0_M5gmuhXZ6-LaxQxgrmJnzgP0"",""'TP# look up'!A:C""),3,0),"""")"),"")</f>
        <v/>
      </c>
      <c r="AH1604" s="49" t="str">
        <f t="shared" si="25"/>
        <v/>
      </c>
    </row>
    <row r="1605" spans="8:34" ht="12.75">
      <c r="H1605" s="43"/>
      <c r="AG1605" s="49" t="str">
        <f ca="1">IFERROR(__xludf.DUMMYFUNCTION("IFNA(vlookup(H1605,IMPORTRANGE(""1vUGwO1n0QQGx9kKbO0_M5gmuhXZ6-LaxQxgrmJnzgP0"",""'TP# look up'!A:C""),3,0),"""")"),"")</f>
        <v/>
      </c>
      <c r="AH1605" s="49" t="str">
        <f t="shared" si="25"/>
        <v/>
      </c>
    </row>
    <row r="1606" spans="8:34" ht="12.75">
      <c r="H1606" s="43"/>
      <c r="AG1606" s="49" t="str">
        <f ca="1">IFERROR(__xludf.DUMMYFUNCTION("IFNA(vlookup(H1606,IMPORTRANGE(""1vUGwO1n0QQGx9kKbO0_M5gmuhXZ6-LaxQxgrmJnzgP0"",""'TP# look up'!A:C""),3,0),"""")"),"")</f>
        <v/>
      </c>
      <c r="AH1606" s="49" t="str">
        <f t="shared" si="25"/>
        <v/>
      </c>
    </row>
    <row r="1607" spans="8:34" ht="12.75">
      <c r="H1607" s="43"/>
      <c r="AG1607" s="49" t="str">
        <f ca="1">IFERROR(__xludf.DUMMYFUNCTION("IFNA(vlookup(H1607,IMPORTRANGE(""1vUGwO1n0QQGx9kKbO0_M5gmuhXZ6-LaxQxgrmJnzgP0"",""'TP# look up'!A:C""),3,0),"""")"),"")</f>
        <v/>
      </c>
      <c r="AH1607" s="49" t="str">
        <f t="shared" si="25"/>
        <v/>
      </c>
    </row>
    <row r="1608" spans="8:34" ht="12.75">
      <c r="H1608" s="43"/>
      <c r="AG1608" s="49" t="str">
        <f ca="1">IFERROR(__xludf.DUMMYFUNCTION("IFNA(vlookup(H1608,IMPORTRANGE(""1vUGwO1n0QQGx9kKbO0_M5gmuhXZ6-LaxQxgrmJnzgP0"",""'TP# look up'!A:C""),3,0),"""")"),"")</f>
        <v/>
      </c>
      <c r="AH1608" s="49" t="str">
        <f t="shared" si="25"/>
        <v/>
      </c>
    </row>
    <row r="1609" spans="8:34" ht="12.75">
      <c r="H1609" s="43"/>
      <c r="AG1609" s="49" t="str">
        <f ca="1">IFERROR(__xludf.DUMMYFUNCTION("IFNA(vlookup(H1609,IMPORTRANGE(""1vUGwO1n0QQGx9kKbO0_M5gmuhXZ6-LaxQxgrmJnzgP0"",""'TP# look up'!A:C""),3,0),"""")"),"")</f>
        <v/>
      </c>
      <c r="AH1609" s="49" t="str">
        <f t="shared" si="25"/>
        <v/>
      </c>
    </row>
    <row r="1610" spans="8:34" ht="12.75">
      <c r="H1610" s="43"/>
      <c r="AG1610" s="49" t="str">
        <f ca="1">IFERROR(__xludf.DUMMYFUNCTION("IFNA(vlookup(H1610,IMPORTRANGE(""1vUGwO1n0QQGx9kKbO0_M5gmuhXZ6-LaxQxgrmJnzgP0"",""'TP# look up'!A:C""),3,0),"""")"),"")</f>
        <v/>
      </c>
      <c r="AH1610" s="49" t="str">
        <f t="shared" si="25"/>
        <v/>
      </c>
    </row>
    <row r="1611" spans="8:34" ht="12.75">
      <c r="H1611" s="43"/>
      <c r="AG1611" s="49" t="str">
        <f ca="1">IFERROR(__xludf.DUMMYFUNCTION("IFNA(vlookup(H1611,IMPORTRANGE(""1vUGwO1n0QQGx9kKbO0_M5gmuhXZ6-LaxQxgrmJnzgP0"",""'TP# look up'!A:C""),3,0),"""")"),"")</f>
        <v/>
      </c>
      <c r="AH1611" s="49" t="str">
        <f t="shared" si="25"/>
        <v/>
      </c>
    </row>
    <row r="1612" spans="8:34" ht="12.75">
      <c r="H1612" s="43"/>
      <c r="AG1612" s="49" t="str">
        <f ca="1">IFERROR(__xludf.DUMMYFUNCTION("IFNA(vlookup(H1612,IMPORTRANGE(""1vUGwO1n0QQGx9kKbO0_M5gmuhXZ6-LaxQxgrmJnzgP0"",""'TP# look up'!A:C""),3,0),"""")"),"")</f>
        <v/>
      </c>
      <c r="AH1612" s="49" t="str">
        <f t="shared" si="25"/>
        <v/>
      </c>
    </row>
    <row r="1613" spans="8:34" ht="12.75">
      <c r="H1613" s="43"/>
      <c r="AG1613" s="49" t="str">
        <f ca="1">IFERROR(__xludf.DUMMYFUNCTION("IFNA(vlookup(H1613,IMPORTRANGE(""1vUGwO1n0QQGx9kKbO0_M5gmuhXZ6-LaxQxgrmJnzgP0"",""'TP# look up'!A:C""),3,0),"""")"),"")</f>
        <v/>
      </c>
      <c r="AH1613" s="49" t="str">
        <f t="shared" si="25"/>
        <v/>
      </c>
    </row>
    <row r="1614" spans="8:34" ht="12.75">
      <c r="H1614" s="43"/>
      <c r="AG1614" s="49" t="str">
        <f ca="1">IFERROR(__xludf.DUMMYFUNCTION("IFNA(vlookup(H1614,IMPORTRANGE(""1vUGwO1n0QQGx9kKbO0_M5gmuhXZ6-LaxQxgrmJnzgP0"",""'TP# look up'!A:C""),3,0),"""")"),"")</f>
        <v/>
      </c>
      <c r="AH1614" s="49" t="str">
        <f t="shared" si="25"/>
        <v/>
      </c>
    </row>
    <row r="1615" spans="8:34" ht="12.75">
      <c r="H1615" s="43"/>
      <c r="AG1615" s="49" t="str">
        <f ca="1">IFERROR(__xludf.DUMMYFUNCTION("IFNA(vlookup(H1615,IMPORTRANGE(""1vUGwO1n0QQGx9kKbO0_M5gmuhXZ6-LaxQxgrmJnzgP0"",""'TP# look up'!A:C""),3,0),"""")"),"")</f>
        <v/>
      </c>
      <c r="AH1615" s="49" t="str">
        <f t="shared" si="25"/>
        <v/>
      </c>
    </row>
    <row r="1616" spans="8:34" ht="12.75">
      <c r="H1616" s="43"/>
      <c r="AG1616" s="49" t="str">
        <f ca="1">IFERROR(__xludf.DUMMYFUNCTION("IFNA(vlookup(H1616,IMPORTRANGE(""1vUGwO1n0QQGx9kKbO0_M5gmuhXZ6-LaxQxgrmJnzgP0"",""'TP# look up'!A:C""),3,0),"""")"),"")</f>
        <v/>
      </c>
      <c r="AH1616" s="49" t="str">
        <f t="shared" si="25"/>
        <v/>
      </c>
    </row>
    <row r="1617" spans="8:34" ht="12.75">
      <c r="H1617" s="43"/>
      <c r="AG1617" s="49" t="str">
        <f ca="1">IFERROR(__xludf.DUMMYFUNCTION("IFNA(vlookup(H1617,IMPORTRANGE(""1vUGwO1n0QQGx9kKbO0_M5gmuhXZ6-LaxQxgrmJnzgP0"",""'TP# look up'!A:C""),3,0),"""")"),"")</f>
        <v/>
      </c>
      <c r="AH1617" s="49" t="str">
        <f t="shared" si="25"/>
        <v/>
      </c>
    </row>
    <row r="1618" spans="8:34" ht="12.75">
      <c r="H1618" s="43"/>
      <c r="AG1618" s="49" t="str">
        <f ca="1">IFERROR(__xludf.DUMMYFUNCTION("IFNA(vlookup(H1618,IMPORTRANGE(""1vUGwO1n0QQGx9kKbO0_M5gmuhXZ6-LaxQxgrmJnzgP0"",""'TP# look up'!A:C""),3,0),"""")"),"")</f>
        <v/>
      </c>
      <c r="AH1618" s="49" t="str">
        <f t="shared" si="25"/>
        <v/>
      </c>
    </row>
    <row r="1619" spans="8:34" ht="12.75">
      <c r="H1619" s="43"/>
      <c r="AG1619" s="49" t="str">
        <f ca="1">IFERROR(__xludf.DUMMYFUNCTION("IFNA(vlookup(H1619,IMPORTRANGE(""1vUGwO1n0QQGx9kKbO0_M5gmuhXZ6-LaxQxgrmJnzgP0"",""'TP# look up'!A:C""),3,0),"""")"),"")</f>
        <v/>
      </c>
      <c r="AH1619" s="49" t="str">
        <f t="shared" si="25"/>
        <v/>
      </c>
    </row>
    <row r="1620" spans="8:34" ht="12.75">
      <c r="H1620" s="43"/>
      <c r="AG1620" s="49" t="str">
        <f ca="1">IFERROR(__xludf.DUMMYFUNCTION("IFNA(vlookup(H1620,IMPORTRANGE(""1vUGwO1n0QQGx9kKbO0_M5gmuhXZ6-LaxQxgrmJnzgP0"",""'TP# look up'!A:C""),3,0),"""")"),"")</f>
        <v/>
      </c>
      <c r="AH1620" s="49" t="str">
        <f t="shared" si="25"/>
        <v/>
      </c>
    </row>
    <row r="1621" spans="8:34" ht="12.75">
      <c r="H1621" s="43"/>
      <c r="AG1621" s="49" t="str">
        <f ca="1">IFERROR(__xludf.DUMMYFUNCTION("IFNA(vlookup(H1621,IMPORTRANGE(""1vUGwO1n0QQGx9kKbO0_M5gmuhXZ6-LaxQxgrmJnzgP0"",""'TP# look up'!A:C""),3,0),"""")"),"")</f>
        <v/>
      </c>
      <c r="AH1621" s="49" t="str">
        <f t="shared" si="25"/>
        <v/>
      </c>
    </row>
    <row r="1622" spans="8:34" ht="12.75">
      <c r="H1622" s="43"/>
      <c r="AG1622" s="49" t="str">
        <f ca="1">IFERROR(__xludf.DUMMYFUNCTION("IFNA(vlookup(H1622,IMPORTRANGE(""1vUGwO1n0QQGx9kKbO0_M5gmuhXZ6-LaxQxgrmJnzgP0"",""'TP# look up'!A:C""),3,0),"""")"),"")</f>
        <v/>
      </c>
      <c r="AH1622" s="49" t="str">
        <f t="shared" si="25"/>
        <v/>
      </c>
    </row>
    <row r="1623" spans="8:34" ht="12.75">
      <c r="H1623" s="43"/>
      <c r="AG1623" s="49" t="str">
        <f ca="1">IFERROR(__xludf.DUMMYFUNCTION("IFNA(vlookup(H1623,IMPORTRANGE(""1vUGwO1n0QQGx9kKbO0_M5gmuhXZ6-LaxQxgrmJnzgP0"",""'TP# look up'!A:C""),3,0),"""")"),"")</f>
        <v/>
      </c>
      <c r="AH1623" s="49" t="str">
        <f t="shared" si="25"/>
        <v/>
      </c>
    </row>
    <row r="1624" spans="8:34" ht="12.75">
      <c r="H1624" s="43"/>
      <c r="AG1624" s="49" t="str">
        <f ca="1">IFERROR(__xludf.DUMMYFUNCTION("IFNA(vlookup(H1624,IMPORTRANGE(""1vUGwO1n0QQGx9kKbO0_M5gmuhXZ6-LaxQxgrmJnzgP0"",""'TP# look up'!A:C""),3,0),"""")"),"")</f>
        <v/>
      </c>
      <c r="AH1624" s="49" t="str">
        <f t="shared" si="25"/>
        <v/>
      </c>
    </row>
    <row r="1625" spans="8:34" ht="12.75">
      <c r="H1625" s="43"/>
      <c r="AG1625" s="49" t="str">
        <f ca="1">IFERROR(__xludf.DUMMYFUNCTION("IFNA(vlookup(H1625,IMPORTRANGE(""1vUGwO1n0QQGx9kKbO0_M5gmuhXZ6-LaxQxgrmJnzgP0"",""'TP# look up'!A:C""),3,0),"""")"),"")</f>
        <v/>
      </c>
      <c r="AH1625" s="49" t="str">
        <f t="shared" si="25"/>
        <v/>
      </c>
    </row>
    <row r="1626" spans="8:34" ht="12.75">
      <c r="H1626" s="43"/>
      <c r="AG1626" s="49" t="str">
        <f ca="1">IFERROR(__xludf.DUMMYFUNCTION("IFNA(vlookup(H1626,IMPORTRANGE(""1vUGwO1n0QQGx9kKbO0_M5gmuhXZ6-LaxQxgrmJnzgP0"",""'TP# look up'!A:C""),3,0),"""")"),"")</f>
        <v/>
      </c>
      <c r="AH1626" s="49" t="str">
        <f t="shared" si="25"/>
        <v/>
      </c>
    </row>
    <row r="1627" spans="8:34" ht="12.75">
      <c r="H1627" s="43"/>
      <c r="AG1627" s="49" t="str">
        <f ca="1">IFERROR(__xludf.DUMMYFUNCTION("IFNA(vlookup(H1627,IMPORTRANGE(""1vUGwO1n0QQGx9kKbO0_M5gmuhXZ6-LaxQxgrmJnzgP0"",""'TP# look up'!A:C""),3,0),"""")"),"")</f>
        <v/>
      </c>
      <c r="AH1627" s="49" t="str">
        <f t="shared" si="25"/>
        <v/>
      </c>
    </row>
    <row r="1628" spans="8:34" ht="12.75">
      <c r="H1628" s="43"/>
      <c r="AG1628" s="49" t="str">
        <f ca="1">IFERROR(__xludf.DUMMYFUNCTION("IFNA(vlookup(H1628,IMPORTRANGE(""1vUGwO1n0QQGx9kKbO0_M5gmuhXZ6-LaxQxgrmJnzgP0"",""'TP# look up'!A:C""),3,0),"""")"),"")</f>
        <v/>
      </c>
      <c r="AH1628" s="49" t="str">
        <f t="shared" si="25"/>
        <v/>
      </c>
    </row>
    <row r="1629" spans="8:34" ht="12.75">
      <c r="H1629" s="43"/>
      <c r="AG1629" s="49" t="str">
        <f ca="1">IFERROR(__xludf.DUMMYFUNCTION("IFNA(vlookup(H1629,IMPORTRANGE(""1vUGwO1n0QQGx9kKbO0_M5gmuhXZ6-LaxQxgrmJnzgP0"",""'TP# look up'!A:C""),3,0),"""")"),"")</f>
        <v/>
      </c>
      <c r="AH1629" s="49" t="str">
        <f t="shared" si="25"/>
        <v/>
      </c>
    </row>
    <row r="1630" spans="8:34" ht="12.75">
      <c r="H1630" s="43"/>
      <c r="AG1630" s="49" t="str">
        <f ca="1">IFERROR(__xludf.DUMMYFUNCTION("IFNA(vlookup(H1630,IMPORTRANGE(""1vUGwO1n0QQGx9kKbO0_M5gmuhXZ6-LaxQxgrmJnzgP0"",""'TP# look up'!A:C""),3,0),"""")"),"")</f>
        <v/>
      </c>
      <c r="AH1630" s="49" t="str">
        <f t="shared" si="25"/>
        <v/>
      </c>
    </row>
    <row r="1631" spans="8:34" ht="12.75">
      <c r="H1631" s="43"/>
      <c r="AG1631" s="49" t="str">
        <f ca="1">IFERROR(__xludf.DUMMYFUNCTION("IFNA(vlookup(H1631,IMPORTRANGE(""1vUGwO1n0QQGx9kKbO0_M5gmuhXZ6-LaxQxgrmJnzgP0"",""'TP# look up'!A:C""),3,0),"""")"),"")</f>
        <v/>
      </c>
      <c r="AH1631" s="49" t="str">
        <f t="shared" si="25"/>
        <v/>
      </c>
    </row>
    <row r="1632" spans="8:34" ht="12.75">
      <c r="H1632" s="43"/>
      <c r="AG1632" s="49" t="str">
        <f ca="1">IFERROR(__xludf.DUMMYFUNCTION("IFNA(vlookup(H1632,IMPORTRANGE(""1vUGwO1n0QQGx9kKbO0_M5gmuhXZ6-LaxQxgrmJnzgP0"",""'TP# look up'!A:C""),3,0),"""")"),"")</f>
        <v/>
      </c>
      <c r="AH1632" s="49" t="str">
        <f t="shared" si="25"/>
        <v/>
      </c>
    </row>
    <row r="1633" spans="8:34" ht="12.75">
      <c r="H1633" s="43"/>
      <c r="AG1633" s="49" t="str">
        <f ca="1">IFERROR(__xludf.DUMMYFUNCTION("IFNA(vlookup(H1633,IMPORTRANGE(""1vUGwO1n0QQGx9kKbO0_M5gmuhXZ6-LaxQxgrmJnzgP0"",""'TP# look up'!A:C""),3,0),"""")"),"")</f>
        <v/>
      </c>
      <c r="AH1633" s="49" t="str">
        <f t="shared" si="25"/>
        <v/>
      </c>
    </row>
    <row r="1634" spans="8:34" ht="12.75">
      <c r="H1634" s="43"/>
      <c r="AG1634" s="49" t="str">
        <f ca="1">IFERROR(__xludf.DUMMYFUNCTION("IFNA(vlookup(H1634,IMPORTRANGE(""1vUGwO1n0QQGx9kKbO0_M5gmuhXZ6-LaxQxgrmJnzgP0"",""'TP# look up'!A:C""),3,0),"""")"),"")</f>
        <v/>
      </c>
      <c r="AH1634" s="49" t="str">
        <f t="shared" si="25"/>
        <v/>
      </c>
    </row>
    <row r="1635" spans="8:34" ht="12.75">
      <c r="H1635" s="43"/>
      <c r="AG1635" s="49" t="str">
        <f ca="1">IFERROR(__xludf.DUMMYFUNCTION("IFNA(vlookup(H1635,IMPORTRANGE(""1vUGwO1n0QQGx9kKbO0_M5gmuhXZ6-LaxQxgrmJnzgP0"",""'TP# look up'!A:C""),3,0),"""")"),"")</f>
        <v/>
      </c>
      <c r="AH1635" s="49" t="str">
        <f t="shared" si="25"/>
        <v/>
      </c>
    </row>
    <row r="1636" spans="8:34" ht="12.75">
      <c r="H1636" s="43"/>
      <c r="AG1636" s="49" t="str">
        <f ca="1">IFERROR(__xludf.DUMMYFUNCTION("IFNA(vlookup(H1636,IMPORTRANGE(""1vUGwO1n0QQGx9kKbO0_M5gmuhXZ6-LaxQxgrmJnzgP0"",""'TP# look up'!A:C""),3,0),"""")"),"")</f>
        <v/>
      </c>
      <c r="AH1636" s="49" t="str">
        <f t="shared" si="25"/>
        <v/>
      </c>
    </row>
    <row r="1637" spans="8:34" ht="12.75">
      <c r="H1637" s="43"/>
      <c r="AG1637" s="49" t="str">
        <f ca="1">IFERROR(__xludf.DUMMYFUNCTION("IFNA(vlookup(H1637,IMPORTRANGE(""1vUGwO1n0QQGx9kKbO0_M5gmuhXZ6-LaxQxgrmJnzgP0"",""'TP# look up'!A:C""),3,0),"""")"),"")</f>
        <v/>
      </c>
      <c r="AH1637" s="49" t="str">
        <f t="shared" si="25"/>
        <v/>
      </c>
    </row>
    <row r="1638" spans="8:34" ht="12.75">
      <c r="H1638" s="43"/>
      <c r="AG1638" s="49" t="str">
        <f ca="1">IFERROR(__xludf.DUMMYFUNCTION("IFNA(vlookup(H1638,IMPORTRANGE(""1vUGwO1n0QQGx9kKbO0_M5gmuhXZ6-LaxQxgrmJnzgP0"",""'TP# look up'!A:C""),3,0),"""")"),"")</f>
        <v/>
      </c>
      <c r="AH1638" s="49" t="str">
        <f t="shared" si="25"/>
        <v/>
      </c>
    </row>
    <row r="1639" spans="8:34" ht="12.75">
      <c r="H1639" s="43"/>
      <c r="AG1639" s="49" t="str">
        <f ca="1">IFERROR(__xludf.DUMMYFUNCTION("IFNA(vlookup(H1639,IMPORTRANGE(""1vUGwO1n0QQGx9kKbO0_M5gmuhXZ6-LaxQxgrmJnzgP0"",""'TP# look up'!A:C""),3,0),"""")"),"")</f>
        <v/>
      </c>
      <c r="AH1639" s="49" t="str">
        <f t="shared" si="25"/>
        <v/>
      </c>
    </row>
    <row r="1640" spans="8:34" ht="12.75">
      <c r="H1640" s="43"/>
      <c r="AG1640" s="49" t="str">
        <f ca="1">IFERROR(__xludf.DUMMYFUNCTION("IFNA(vlookup(H1640,IMPORTRANGE(""1vUGwO1n0QQGx9kKbO0_M5gmuhXZ6-LaxQxgrmJnzgP0"",""'TP# look up'!A:C""),3,0),"""")"),"")</f>
        <v/>
      </c>
      <c r="AH1640" s="49" t="str">
        <f t="shared" si="25"/>
        <v/>
      </c>
    </row>
    <row r="1641" spans="8:34" ht="12.75">
      <c r="H1641" s="43"/>
      <c r="AG1641" s="49" t="str">
        <f ca="1">IFERROR(__xludf.DUMMYFUNCTION("IFNA(vlookup(H1641,IMPORTRANGE(""1vUGwO1n0QQGx9kKbO0_M5gmuhXZ6-LaxQxgrmJnzgP0"",""'TP# look up'!A:C""),3,0),"""")"),"")</f>
        <v/>
      </c>
      <c r="AH1641" s="49" t="str">
        <f t="shared" si="25"/>
        <v/>
      </c>
    </row>
    <row r="1642" spans="8:34" ht="12.75">
      <c r="H1642" s="43"/>
      <c r="AG1642" s="49" t="str">
        <f ca="1">IFERROR(__xludf.DUMMYFUNCTION("IFNA(vlookup(H1642,IMPORTRANGE(""1vUGwO1n0QQGx9kKbO0_M5gmuhXZ6-LaxQxgrmJnzgP0"",""'TP# look up'!A:C""),3,0),"""")"),"")</f>
        <v/>
      </c>
      <c r="AH1642" s="49" t="str">
        <f t="shared" si="25"/>
        <v/>
      </c>
    </row>
    <row r="1643" spans="8:34" ht="12.75">
      <c r="H1643" s="43"/>
      <c r="AG1643" s="49" t="str">
        <f ca="1">IFERROR(__xludf.DUMMYFUNCTION("IFNA(vlookup(H1643,IMPORTRANGE(""1vUGwO1n0QQGx9kKbO0_M5gmuhXZ6-LaxQxgrmJnzgP0"",""'TP# look up'!A:C""),3,0),"""")"),"")</f>
        <v/>
      </c>
      <c r="AH1643" s="49" t="str">
        <f t="shared" si="25"/>
        <v/>
      </c>
    </row>
    <row r="1644" spans="8:34" ht="12.75">
      <c r="H1644" s="43"/>
      <c r="AG1644" s="49" t="str">
        <f ca="1">IFERROR(__xludf.DUMMYFUNCTION("IFNA(vlookup(H1644,IMPORTRANGE(""1vUGwO1n0QQGx9kKbO0_M5gmuhXZ6-LaxQxgrmJnzgP0"",""'TP# look up'!A:C""),3,0),"""")"),"")</f>
        <v/>
      </c>
      <c r="AH1644" s="49" t="str">
        <f t="shared" si="25"/>
        <v/>
      </c>
    </row>
    <row r="1645" spans="8:34" ht="12.75">
      <c r="H1645" s="43"/>
      <c r="AG1645" s="49" t="str">
        <f ca="1">IFERROR(__xludf.DUMMYFUNCTION("IFNA(vlookup(H1645,IMPORTRANGE(""1vUGwO1n0QQGx9kKbO0_M5gmuhXZ6-LaxQxgrmJnzgP0"",""'TP# look up'!A:C""),3,0),"""")"),"")</f>
        <v/>
      </c>
      <c r="AH1645" s="49" t="str">
        <f t="shared" si="25"/>
        <v/>
      </c>
    </row>
    <row r="1646" spans="8:34" ht="12.75">
      <c r="H1646" s="43"/>
      <c r="AG1646" s="49" t="str">
        <f ca="1">IFERROR(__xludf.DUMMYFUNCTION("IFNA(vlookup(H1646,IMPORTRANGE(""1vUGwO1n0QQGx9kKbO0_M5gmuhXZ6-LaxQxgrmJnzgP0"",""'TP# look up'!A:C""),3,0),"""")"),"")</f>
        <v/>
      </c>
      <c r="AH1646" s="49" t="str">
        <f t="shared" si="25"/>
        <v/>
      </c>
    </row>
    <row r="1647" spans="8:34" ht="12.75">
      <c r="H1647" s="43"/>
      <c r="AG1647" s="49" t="str">
        <f ca="1">IFERROR(__xludf.DUMMYFUNCTION("IFNA(vlookup(H1647,IMPORTRANGE(""1vUGwO1n0QQGx9kKbO0_M5gmuhXZ6-LaxQxgrmJnzgP0"",""'TP# look up'!A:C""),3,0),"""")"),"")</f>
        <v/>
      </c>
      <c r="AH1647" s="49" t="str">
        <f t="shared" si="25"/>
        <v/>
      </c>
    </row>
    <row r="1648" spans="8:34" ht="12.75">
      <c r="H1648" s="43"/>
      <c r="AG1648" s="49" t="str">
        <f ca="1">IFERROR(__xludf.DUMMYFUNCTION("IFNA(vlookup(H1648,IMPORTRANGE(""1vUGwO1n0QQGx9kKbO0_M5gmuhXZ6-LaxQxgrmJnzgP0"",""'TP# look up'!A:C""),3,0),"""")"),"")</f>
        <v/>
      </c>
      <c r="AH1648" s="49" t="str">
        <f t="shared" si="25"/>
        <v/>
      </c>
    </row>
    <row r="1649" spans="8:34" ht="12.75">
      <c r="H1649" s="43"/>
      <c r="AG1649" s="49" t="str">
        <f ca="1">IFERROR(__xludf.DUMMYFUNCTION("IFNA(vlookup(H1649,IMPORTRANGE(""1vUGwO1n0QQGx9kKbO0_M5gmuhXZ6-LaxQxgrmJnzgP0"",""'TP# look up'!A:C""),3,0),"""")"),"")</f>
        <v/>
      </c>
      <c r="AH1649" s="49" t="str">
        <f t="shared" si="25"/>
        <v/>
      </c>
    </row>
    <row r="1650" spans="8:34" ht="12.75">
      <c r="H1650" s="43"/>
      <c r="AG1650" s="49" t="str">
        <f ca="1">IFERROR(__xludf.DUMMYFUNCTION("IFNA(vlookup(H1650,IMPORTRANGE(""1vUGwO1n0QQGx9kKbO0_M5gmuhXZ6-LaxQxgrmJnzgP0"",""'TP# look up'!A:C""),3,0),"""")"),"")</f>
        <v/>
      </c>
      <c r="AH1650" s="49" t="str">
        <f t="shared" si="25"/>
        <v/>
      </c>
    </row>
    <row r="1651" spans="8:34" ht="12.75">
      <c r="H1651" s="43"/>
      <c r="AG1651" s="49" t="str">
        <f ca="1">IFERROR(__xludf.DUMMYFUNCTION("IFNA(vlookup(H1651,IMPORTRANGE(""1vUGwO1n0QQGx9kKbO0_M5gmuhXZ6-LaxQxgrmJnzgP0"",""'TP# look up'!A:C""),3,0),"""")"),"")</f>
        <v/>
      </c>
      <c r="AH1651" s="49" t="str">
        <f t="shared" si="25"/>
        <v/>
      </c>
    </row>
    <row r="1652" spans="8:34" ht="12.75">
      <c r="H1652" s="43"/>
      <c r="AG1652" s="49" t="str">
        <f ca="1">IFERROR(__xludf.DUMMYFUNCTION("IFNA(vlookup(H1652,IMPORTRANGE(""1vUGwO1n0QQGx9kKbO0_M5gmuhXZ6-LaxQxgrmJnzgP0"",""'TP# look up'!A:C""),3,0),"""")"),"")</f>
        <v/>
      </c>
      <c r="AH1652" s="49" t="str">
        <f t="shared" si="25"/>
        <v/>
      </c>
    </row>
    <row r="1653" spans="8:34" ht="12.75">
      <c r="H1653" s="43"/>
      <c r="AG1653" s="49" t="str">
        <f ca="1">IFERROR(__xludf.DUMMYFUNCTION("IFNA(vlookup(H1653,IMPORTRANGE(""1vUGwO1n0QQGx9kKbO0_M5gmuhXZ6-LaxQxgrmJnzgP0"",""'TP# look up'!A:C""),3,0),"""")"),"")</f>
        <v/>
      </c>
      <c r="AH1653" s="49" t="str">
        <f t="shared" si="25"/>
        <v/>
      </c>
    </row>
    <row r="1654" spans="8:34" ht="12.75">
      <c r="H1654" s="43"/>
      <c r="AG1654" s="49" t="str">
        <f ca="1">IFERROR(__xludf.DUMMYFUNCTION("IFNA(vlookup(H1654,IMPORTRANGE(""1vUGwO1n0QQGx9kKbO0_M5gmuhXZ6-LaxQxgrmJnzgP0"",""'TP# look up'!A:C""),3,0),"""")"),"")</f>
        <v/>
      </c>
      <c r="AH1654" s="49" t="str">
        <f t="shared" si="25"/>
        <v/>
      </c>
    </row>
    <row r="1655" spans="8:34" ht="12.75">
      <c r="H1655" s="43"/>
      <c r="AG1655" s="49" t="str">
        <f ca="1">IFERROR(__xludf.DUMMYFUNCTION("IFNA(vlookup(H1655,IMPORTRANGE(""1vUGwO1n0QQGx9kKbO0_M5gmuhXZ6-LaxQxgrmJnzgP0"",""'TP# look up'!A:C""),3,0),"""")"),"")</f>
        <v/>
      </c>
      <c r="AH1655" s="49" t="str">
        <f t="shared" si="25"/>
        <v/>
      </c>
    </row>
    <row r="1656" spans="8:34" ht="12.75">
      <c r="H1656" s="43"/>
      <c r="AG1656" s="49" t="str">
        <f ca="1">IFERROR(__xludf.DUMMYFUNCTION("IFNA(vlookup(H1656,IMPORTRANGE(""1vUGwO1n0QQGx9kKbO0_M5gmuhXZ6-LaxQxgrmJnzgP0"",""'TP# look up'!A:C""),3,0),"""")"),"")</f>
        <v/>
      </c>
      <c r="AH1656" s="49" t="str">
        <f t="shared" si="25"/>
        <v/>
      </c>
    </row>
    <row r="1657" spans="8:34" ht="12.75">
      <c r="H1657" s="43"/>
      <c r="AG1657" s="49" t="str">
        <f ca="1">IFERROR(__xludf.DUMMYFUNCTION("IFNA(vlookup(H1657,IMPORTRANGE(""1vUGwO1n0QQGx9kKbO0_M5gmuhXZ6-LaxQxgrmJnzgP0"",""'TP# look up'!A:C""),3,0),"""")"),"")</f>
        <v/>
      </c>
      <c r="AH1657" s="49" t="str">
        <f t="shared" si="25"/>
        <v/>
      </c>
    </row>
    <row r="1658" spans="8:34" ht="12.75">
      <c r="H1658" s="43"/>
      <c r="AG1658" s="49" t="str">
        <f ca="1">IFERROR(__xludf.DUMMYFUNCTION("IFNA(vlookup(H1658,IMPORTRANGE(""1vUGwO1n0QQGx9kKbO0_M5gmuhXZ6-LaxQxgrmJnzgP0"",""'TP# look up'!A:C""),3,0),"""")"),"")</f>
        <v/>
      </c>
      <c r="AH1658" s="49" t="str">
        <f t="shared" si="25"/>
        <v/>
      </c>
    </row>
    <row r="1659" spans="8:34" ht="12.75">
      <c r="H1659" s="43"/>
      <c r="AG1659" s="49" t="str">
        <f ca="1">IFERROR(__xludf.DUMMYFUNCTION("IFNA(vlookup(H1659,IMPORTRANGE(""1vUGwO1n0QQGx9kKbO0_M5gmuhXZ6-LaxQxgrmJnzgP0"",""'TP# look up'!A:C""),3,0),"""")"),"")</f>
        <v/>
      </c>
      <c r="AH1659" s="49" t="str">
        <f t="shared" si="25"/>
        <v/>
      </c>
    </row>
    <row r="1660" spans="8:34" ht="12.75">
      <c r="H1660" s="43"/>
      <c r="AG1660" s="49" t="str">
        <f ca="1">IFERROR(__xludf.DUMMYFUNCTION("IFNA(vlookup(H1660,IMPORTRANGE(""1vUGwO1n0QQGx9kKbO0_M5gmuhXZ6-LaxQxgrmJnzgP0"",""'TP# look up'!A:C""),3,0),"""")"),"")</f>
        <v/>
      </c>
      <c r="AH1660" s="49" t="str">
        <f t="shared" si="25"/>
        <v/>
      </c>
    </row>
    <row r="1661" spans="8:34" ht="12.75">
      <c r="H1661" s="43"/>
      <c r="AG1661" s="49" t="str">
        <f ca="1">IFERROR(__xludf.DUMMYFUNCTION("IFNA(vlookup(H1661,IMPORTRANGE(""1vUGwO1n0QQGx9kKbO0_M5gmuhXZ6-LaxQxgrmJnzgP0"",""'TP# look up'!A:C""),3,0),"""")"),"")</f>
        <v/>
      </c>
      <c r="AH1661" s="49" t="str">
        <f t="shared" si="25"/>
        <v/>
      </c>
    </row>
    <row r="1662" spans="8:34" ht="12.75">
      <c r="H1662" s="43"/>
      <c r="AG1662" s="49" t="str">
        <f ca="1">IFERROR(__xludf.DUMMYFUNCTION("IFNA(vlookup(H1662,IMPORTRANGE(""1vUGwO1n0QQGx9kKbO0_M5gmuhXZ6-LaxQxgrmJnzgP0"",""'TP# look up'!A:C""),3,0),"""")"),"")</f>
        <v/>
      </c>
      <c r="AH1662" s="49" t="str">
        <f t="shared" si="25"/>
        <v/>
      </c>
    </row>
    <row r="1663" spans="8:34" ht="12.75">
      <c r="H1663" s="43"/>
      <c r="AG1663" s="49" t="str">
        <f ca="1">IFERROR(__xludf.DUMMYFUNCTION("IFNA(vlookup(H1663,IMPORTRANGE(""1vUGwO1n0QQGx9kKbO0_M5gmuhXZ6-LaxQxgrmJnzgP0"",""'TP# look up'!A:C""),3,0),"""")"),"")</f>
        <v/>
      </c>
      <c r="AH1663" s="49" t="str">
        <f t="shared" si="25"/>
        <v/>
      </c>
    </row>
    <row r="1664" spans="8:34" ht="12.75">
      <c r="H1664" s="43"/>
      <c r="AG1664" s="49" t="str">
        <f ca="1">IFERROR(__xludf.DUMMYFUNCTION("IFNA(vlookup(H1664,IMPORTRANGE(""1vUGwO1n0QQGx9kKbO0_M5gmuhXZ6-LaxQxgrmJnzgP0"",""'TP# look up'!A:C""),3,0),"""")"),"")</f>
        <v/>
      </c>
      <c r="AH1664" s="49" t="str">
        <f t="shared" si="25"/>
        <v/>
      </c>
    </row>
    <row r="1665" spans="8:34" ht="12.75">
      <c r="H1665" s="43"/>
      <c r="AG1665" s="49" t="str">
        <f ca="1">IFERROR(__xludf.DUMMYFUNCTION("IFNA(vlookup(H1665,IMPORTRANGE(""1vUGwO1n0QQGx9kKbO0_M5gmuhXZ6-LaxQxgrmJnzgP0"",""'TP# look up'!A:C""),3,0),"""")"),"")</f>
        <v/>
      </c>
      <c r="AH1665" s="49" t="str">
        <f t="shared" si="25"/>
        <v/>
      </c>
    </row>
    <row r="1666" spans="8:34" ht="12.75">
      <c r="H1666" s="43"/>
      <c r="AG1666" s="49" t="str">
        <f ca="1">IFERROR(__xludf.DUMMYFUNCTION("IFNA(vlookup(H1666,IMPORTRANGE(""1vUGwO1n0QQGx9kKbO0_M5gmuhXZ6-LaxQxgrmJnzgP0"",""'TP# look up'!A:C""),3,0),"""")"),"")</f>
        <v/>
      </c>
      <c r="AH1666" s="49" t="str">
        <f t="shared" ref="AH1666:AH1729" si="26">LEFT(J1666,2)</f>
        <v/>
      </c>
    </row>
    <row r="1667" spans="8:34" ht="12.75">
      <c r="H1667" s="43"/>
      <c r="AG1667" s="49" t="str">
        <f ca="1">IFERROR(__xludf.DUMMYFUNCTION("IFNA(vlookup(H1667,IMPORTRANGE(""1vUGwO1n0QQGx9kKbO0_M5gmuhXZ6-LaxQxgrmJnzgP0"",""'TP# look up'!A:C""),3,0),"""")"),"")</f>
        <v/>
      </c>
      <c r="AH1667" s="49" t="str">
        <f t="shared" si="26"/>
        <v/>
      </c>
    </row>
    <row r="1668" spans="8:34" ht="12.75">
      <c r="H1668" s="43"/>
      <c r="AG1668" s="49" t="str">
        <f ca="1">IFERROR(__xludf.DUMMYFUNCTION("IFNA(vlookup(H1668,IMPORTRANGE(""1vUGwO1n0QQGx9kKbO0_M5gmuhXZ6-LaxQxgrmJnzgP0"",""'TP# look up'!A:C""),3,0),"""")"),"")</f>
        <v/>
      </c>
      <c r="AH1668" s="49" t="str">
        <f t="shared" si="26"/>
        <v/>
      </c>
    </row>
    <row r="1669" spans="8:34" ht="12.75">
      <c r="H1669" s="43"/>
      <c r="AG1669" s="49" t="str">
        <f ca="1">IFERROR(__xludf.DUMMYFUNCTION("IFNA(vlookup(H1669,IMPORTRANGE(""1vUGwO1n0QQGx9kKbO0_M5gmuhXZ6-LaxQxgrmJnzgP0"",""'TP# look up'!A:C""),3,0),"""")"),"")</f>
        <v/>
      </c>
      <c r="AH1669" s="49" t="str">
        <f t="shared" si="26"/>
        <v/>
      </c>
    </row>
    <row r="1670" spans="8:34" ht="12.75">
      <c r="H1670" s="43"/>
      <c r="AG1670" s="49" t="str">
        <f ca="1">IFERROR(__xludf.DUMMYFUNCTION("IFNA(vlookup(H1670,IMPORTRANGE(""1vUGwO1n0QQGx9kKbO0_M5gmuhXZ6-LaxQxgrmJnzgP0"",""'TP# look up'!A:C""),3,0),"""")"),"")</f>
        <v/>
      </c>
      <c r="AH1670" s="49" t="str">
        <f t="shared" si="26"/>
        <v/>
      </c>
    </row>
    <row r="1671" spans="8:34" ht="12.75">
      <c r="H1671" s="43"/>
      <c r="AG1671" s="49" t="str">
        <f ca="1">IFERROR(__xludf.DUMMYFUNCTION("IFNA(vlookup(H1671,IMPORTRANGE(""1vUGwO1n0QQGx9kKbO0_M5gmuhXZ6-LaxQxgrmJnzgP0"",""'TP# look up'!A:C""),3,0),"""")"),"")</f>
        <v/>
      </c>
      <c r="AH1671" s="49" t="str">
        <f t="shared" si="26"/>
        <v/>
      </c>
    </row>
    <row r="1672" spans="8:34" ht="12.75">
      <c r="H1672" s="43"/>
      <c r="AG1672" s="49" t="str">
        <f ca="1">IFERROR(__xludf.DUMMYFUNCTION("IFNA(vlookup(H1672,IMPORTRANGE(""1vUGwO1n0QQGx9kKbO0_M5gmuhXZ6-LaxQxgrmJnzgP0"",""'TP# look up'!A:C""),3,0),"""")"),"")</f>
        <v/>
      </c>
      <c r="AH1672" s="49" t="str">
        <f t="shared" si="26"/>
        <v/>
      </c>
    </row>
    <row r="1673" spans="8:34" ht="12.75">
      <c r="H1673" s="43"/>
      <c r="AG1673" s="49" t="str">
        <f ca="1">IFERROR(__xludf.DUMMYFUNCTION("IFNA(vlookup(H1673,IMPORTRANGE(""1vUGwO1n0QQGx9kKbO0_M5gmuhXZ6-LaxQxgrmJnzgP0"",""'TP# look up'!A:C""),3,0),"""")"),"")</f>
        <v/>
      </c>
      <c r="AH1673" s="49" t="str">
        <f t="shared" si="26"/>
        <v/>
      </c>
    </row>
    <row r="1674" spans="8:34" ht="12.75">
      <c r="H1674" s="43"/>
      <c r="AG1674" s="49" t="str">
        <f ca="1">IFERROR(__xludf.DUMMYFUNCTION("IFNA(vlookup(H1674,IMPORTRANGE(""1vUGwO1n0QQGx9kKbO0_M5gmuhXZ6-LaxQxgrmJnzgP0"",""'TP# look up'!A:C""),3,0),"""")"),"")</f>
        <v/>
      </c>
      <c r="AH1674" s="49" t="str">
        <f t="shared" si="26"/>
        <v/>
      </c>
    </row>
    <row r="1675" spans="8:34" ht="12.75">
      <c r="H1675" s="43"/>
      <c r="AG1675" s="49" t="str">
        <f ca="1">IFERROR(__xludf.DUMMYFUNCTION("IFNA(vlookup(H1675,IMPORTRANGE(""1vUGwO1n0QQGx9kKbO0_M5gmuhXZ6-LaxQxgrmJnzgP0"",""'TP# look up'!A:C""),3,0),"""")"),"")</f>
        <v/>
      </c>
      <c r="AH1675" s="49" t="str">
        <f t="shared" si="26"/>
        <v/>
      </c>
    </row>
    <row r="1676" spans="8:34" ht="12.75">
      <c r="H1676" s="43"/>
      <c r="AG1676" s="49" t="str">
        <f ca="1">IFERROR(__xludf.DUMMYFUNCTION("IFNA(vlookup(H1676,IMPORTRANGE(""1vUGwO1n0QQGx9kKbO0_M5gmuhXZ6-LaxQxgrmJnzgP0"",""'TP# look up'!A:C""),3,0),"""")"),"")</f>
        <v/>
      </c>
      <c r="AH1676" s="49" t="str">
        <f t="shared" si="26"/>
        <v/>
      </c>
    </row>
    <row r="1677" spans="8:34" ht="12.75">
      <c r="H1677" s="43"/>
      <c r="AG1677" s="49" t="str">
        <f ca="1">IFERROR(__xludf.DUMMYFUNCTION("IFNA(vlookup(H1677,IMPORTRANGE(""1vUGwO1n0QQGx9kKbO0_M5gmuhXZ6-LaxQxgrmJnzgP0"",""'TP# look up'!A:C""),3,0),"""")"),"")</f>
        <v/>
      </c>
      <c r="AH1677" s="49" t="str">
        <f t="shared" si="26"/>
        <v/>
      </c>
    </row>
    <row r="1678" spans="8:34" ht="12.75">
      <c r="H1678" s="43"/>
      <c r="AG1678" s="49" t="str">
        <f ca="1">IFERROR(__xludf.DUMMYFUNCTION("IFNA(vlookup(H1678,IMPORTRANGE(""1vUGwO1n0QQGx9kKbO0_M5gmuhXZ6-LaxQxgrmJnzgP0"",""'TP# look up'!A:C""),3,0),"""")"),"")</f>
        <v/>
      </c>
      <c r="AH1678" s="49" t="str">
        <f t="shared" si="26"/>
        <v/>
      </c>
    </row>
    <row r="1679" spans="8:34" ht="12.75">
      <c r="H1679" s="43"/>
      <c r="AG1679" s="49" t="str">
        <f ca="1">IFERROR(__xludf.DUMMYFUNCTION("IFNA(vlookup(H1679,IMPORTRANGE(""1vUGwO1n0QQGx9kKbO0_M5gmuhXZ6-LaxQxgrmJnzgP0"",""'TP# look up'!A:C""),3,0),"""")"),"")</f>
        <v/>
      </c>
      <c r="AH1679" s="49" t="str">
        <f t="shared" si="26"/>
        <v/>
      </c>
    </row>
    <row r="1680" spans="8:34" ht="12.75">
      <c r="H1680" s="43"/>
      <c r="AG1680" s="49" t="str">
        <f ca="1">IFERROR(__xludf.DUMMYFUNCTION("IFNA(vlookup(H1680,IMPORTRANGE(""1vUGwO1n0QQGx9kKbO0_M5gmuhXZ6-LaxQxgrmJnzgP0"",""'TP# look up'!A:C""),3,0),"""")"),"")</f>
        <v/>
      </c>
      <c r="AH1680" s="49" t="str">
        <f t="shared" si="26"/>
        <v/>
      </c>
    </row>
    <row r="1681" spans="8:34" ht="12.75">
      <c r="H1681" s="43"/>
      <c r="AG1681" s="49" t="str">
        <f ca="1">IFERROR(__xludf.DUMMYFUNCTION("IFNA(vlookup(H1681,IMPORTRANGE(""1vUGwO1n0QQGx9kKbO0_M5gmuhXZ6-LaxQxgrmJnzgP0"",""'TP# look up'!A:C""),3,0),"""")"),"")</f>
        <v/>
      </c>
      <c r="AH1681" s="49" t="str">
        <f t="shared" si="26"/>
        <v/>
      </c>
    </row>
    <row r="1682" spans="8:34" ht="12.75">
      <c r="H1682" s="43"/>
      <c r="AG1682" s="49" t="str">
        <f ca="1">IFERROR(__xludf.DUMMYFUNCTION("IFNA(vlookup(H1682,IMPORTRANGE(""1vUGwO1n0QQGx9kKbO0_M5gmuhXZ6-LaxQxgrmJnzgP0"",""'TP# look up'!A:C""),3,0),"""")"),"")</f>
        <v/>
      </c>
      <c r="AH1682" s="49" t="str">
        <f t="shared" si="26"/>
        <v/>
      </c>
    </row>
    <row r="1683" spans="8:34" ht="12.75">
      <c r="H1683" s="43"/>
      <c r="AG1683" s="49" t="str">
        <f ca="1">IFERROR(__xludf.DUMMYFUNCTION("IFNA(vlookup(H1683,IMPORTRANGE(""1vUGwO1n0QQGx9kKbO0_M5gmuhXZ6-LaxQxgrmJnzgP0"",""'TP# look up'!A:C""),3,0),"""")"),"")</f>
        <v/>
      </c>
      <c r="AH1683" s="49" t="str">
        <f t="shared" si="26"/>
        <v/>
      </c>
    </row>
    <row r="1684" spans="8:34" ht="12.75">
      <c r="H1684" s="43"/>
      <c r="AG1684" s="49" t="str">
        <f ca="1">IFERROR(__xludf.DUMMYFUNCTION("IFNA(vlookup(H1684,IMPORTRANGE(""1vUGwO1n0QQGx9kKbO0_M5gmuhXZ6-LaxQxgrmJnzgP0"",""'TP# look up'!A:C""),3,0),"""")"),"")</f>
        <v/>
      </c>
      <c r="AH1684" s="49" t="str">
        <f t="shared" si="26"/>
        <v/>
      </c>
    </row>
    <row r="1685" spans="8:34" ht="12.75">
      <c r="H1685" s="43"/>
      <c r="AG1685" s="49" t="str">
        <f ca="1">IFERROR(__xludf.DUMMYFUNCTION("IFNA(vlookup(H1685,IMPORTRANGE(""1vUGwO1n0QQGx9kKbO0_M5gmuhXZ6-LaxQxgrmJnzgP0"",""'TP# look up'!A:C""),3,0),"""")"),"")</f>
        <v/>
      </c>
      <c r="AH1685" s="49" t="str">
        <f t="shared" si="26"/>
        <v/>
      </c>
    </row>
    <row r="1686" spans="8:34" ht="12.75">
      <c r="H1686" s="43"/>
      <c r="AG1686" s="49" t="str">
        <f ca="1">IFERROR(__xludf.DUMMYFUNCTION("IFNA(vlookup(H1686,IMPORTRANGE(""1vUGwO1n0QQGx9kKbO0_M5gmuhXZ6-LaxQxgrmJnzgP0"",""'TP# look up'!A:C""),3,0),"""")"),"")</f>
        <v/>
      </c>
      <c r="AH1686" s="49" t="str">
        <f t="shared" si="26"/>
        <v/>
      </c>
    </row>
    <row r="1687" spans="8:34" ht="12.75">
      <c r="H1687" s="43"/>
      <c r="AG1687" s="49" t="str">
        <f ca="1">IFERROR(__xludf.DUMMYFUNCTION("IFNA(vlookup(H1687,IMPORTRANGE(""1vUGwO1n0QQGx9kKbO0_M5gmuhXZ6-LaxQxgrmJnzgP0"",""'TP# look up'!A:C""),3,0),"""")"),"")</f>
        <v/>
      </c>
      <c r="AH1687" s="49" t="str">
        <f t="shared" si="26"/>
        <v/>
      </c>
    </row>
    <row r="1688" spans="8:34" ht="12.75">
      <c r="H1688" s="43"/>
      <c r="AG1688" s="49" t="str">
        <f ca="1">IFERROR(__xludf.DUMMYFUNCTION("IFNA(vlookup(H1688,IMPORTRANGE(""1vUGwO1n0QQGx9kKbO0_M5gmuhXZ6-LaxQxgrmJnzgP0"",""'TP# look up'!A:C""),3,0),"""")"),"")</f>
        <v/>
      </c>
      <c r="AH1688" s="49" t="str">
        <f t="shared" si="26"/>
        <v/>
      </c>
    </row>
    <row r="1689" spans="8:34" ht="12.75">
      <c r="H1689" s="43"/>
      <c r="AG1689" s="49" t="str">
        <f ca="1">IFERROR(__xludf.DUMMYFUNCTION("IFNA(vlookup(H1689,IMPORTRANGE(""1vUGwO1n0QQGx9kKbO0_M5gmuhXZ6-LaxQxgrmJnzgP0"",""'TP# look up'!A:C""),3,0),"""")"),"")</f>
        <v/>
      </c>
      <c r="AH1689" s="49" t="str">
        <f t="shared" si="26"/>
        <v/>
      </c>
    </row>
    <row r="1690" spans="8:34" ht="12.75">
      <c r="H1690" s="43"/>
      <c r="AG1690" s="49" t="str">
        <f ca="1">IFERROR(__xludf.DUMMYFUNCTION("IFNA(vlookup(H1690,IMPORTRANGE(""1vUGwO1n0QQGx9kKbO0_M5gmuhXZ6-LaxQxgrmJnzgP0"",""'TP# look up'!A:C""),3,0),"""")"),"")</f>
        <v/>
      </c>
      <c r="AH1690" s="49" t="str">
        <f t="shared" si="26"/>
        <v/>
      </c>
    </row>
    <row r="1691" spans="8:34" ht="12.75">
      <c r="H1691" s="43"/>
      <c r="AG1691" s="49" t="str">
        <f ca="1">IFERROR(__xludf.DUMMYFUNCTION("IFNA(vlookup(H1691,IMPORTRANGE(""1vUGwO1n0QQGx9kKbO0_M5gmuhXZ6-LaxQxgrmJnzgP0"",""'TP# look up'!A:C""),3,0),"""")"),"")</f>
        <v/>
      </c>
      <c r="AH1691" s="49" t="str">
        <f t="shared" si="26"/>
        <v/>
      </c>
    </row>
    <row r="1692" spans="8:34" ht="12.75">
      <c r="H1692" s="43"/>
      <c r="AG1692" s="49" t="str">
        <f ca="1">IFERROR(__xludf.DUMMYFUNCTION("IFNA(vlookup(H1692,IMPORTRANGE(""1vUGwO1n0QQGx9kKbO0_M5gmuhXZ6-LaxQxgrmJnzgP0"",""'TP# look up'!A:C""),3,0),"""")"),"")</f>
        <v/>
      </c>
      <c r="AH1692" s="49" t="str">
        <f t="shared" si="26"/>
        <v/>
      </c>
    </row>
    <row r="1693" spans="8:34" ht="12.75">
      <c r="H1693" s="43"/>
      <c r="AG1693" s="49" t="str">
        <f ca="1">IFERROR(__xludf.DUMMYFUNCTION("IFNA(vlookup(H1693,IMPORTRANGE(""1vUGwO1n0QQGx9kKbO0_M5gmuhXZ6-LaxQxgrmJnzgP0"",""'TP# look up'!A:C""),3,0),"""")"),"")</f>
        <v/>
      </c>
      <c r="AH1693" s="49" t="str">
        <f t="shared" si="26"/>
        <v/>
      </c>
    </row>
    <row r="1694" spans="8:34" ht="12.75">
      <c r="H1694" s="43"/>
      <c r="AG1694" s="49" t="str">
        <f ca="1">IFERROR(__xludf.DUMMYFUNCTION("IFNA(vlookup(H1694,IMPORTRANGE(""1vUGwO1n0QQGx9kKbO0_M5gmuhXZ6-LaxQxgrmJnzgP0"",""'TP# look up'!A:C""),3,0),"""")"),"")</f>
        <v/>
      </c>
      <c r="AH1694" s="49" t="str">
        <f t="shared" si="26"/>
        <v/>
      </c>
    </row>
    <row r="1695" spans="8:34" ht="12.75">
      <c r="H1695" s="43"/>
      <c r="AG1695" s="49" t="str">
        <f ca="1">IFERROR(__xludf.DUMMYFUNCTION("IFNA(vlookup(H1695,IMPORTRANGE(""1vUGwO1n0QQGx9kKbO0_M5gmuhXZ6-LaxQxgrmJnzgP0"",""'TP# look up'!A:C""),3,0),"""")"),"")</f>
        <v/>
      </c>
      <c r="AH1695" s="49" t="str">
        <f t="shared" si="26"/>
        <v/>
      </c>
    </row>
    <row r="1696" spans="8:34" ht="12.75">
      <c r="H1696" s="43"/>
      <c r="AG1696" s="49" t="str">
        <f ca="1">IFERROR(__xludf.DUMMYFUNCTION("IFNA(vlookup(H1696,IMPORTRANGE(""1vUGwO1n0QQGx9kKbO0_M5gmuhXZ6-LaxQxgrmJnzgP0"",""'TP# look up'!A:C""),3,0),"""")"),"")</f>
        <v/>
      </c>
      <c r="AH1696" s="49" t="str">
        <f t="shared" si="26"/>
        <v/>
      </c>
    </row>
    <row r="1697" spans="8:34" ht="12.75">
      <c r="H1697" s="43"/>
      <c r="AG1697" s="49" t="str">
        <f ca="1">IFERROR(__xludf.DUMMYFUNCTION("IFNA(vlookup(H1697,IMPORTRANGE(""1vUGwO1n0QQGx9kKbO0_M5gmuhXZ6-LaxQxgrmJnzgP0"",""'TP# look up'!A:C""),3,0),"""")"),"")</f>
        <v/>
      </c>
      <c r="AH1697" s="49" t="str">
        <f t="shared" si="26"/>
        <v/>
      </c>
    </row>
    <row r="1698" spans="8:34" ht="12.75">
      <c r="H1698" s="43"/>
      <c r="AG1698" s="49" t="str">
        <f ca="1">IFERROR(__xludf.DUMMYFUNCTION("IFNA(vlookup(H1698,IMPORTRANGE(""1vUGwO1n0QQGx9kKbO0_M5gmuhXZ6-LaxQxgrmJnzgP0"",""'TP# look up'!A:C""),3,0),"""")"),"")</f>
        <v/>
      </c>
      <c r="AH1698" s="49" t="str">
        <f t="shared" si="26"/>
        <v/>
      </c>
    </row>
    <row r="1699" spans="8:34" ht="12.75">
      <c r="H1699" s="43"/>
      <c r="AG1699" s="49" t="str">
        <f ca="1">IFERROR(__xludf.DUMMYFUNCTION("IFNA(vlookup(H1699,IMPORTRANGE(""1vUGwO1n0QQGx9kKbO0_M5gmuhXZ6-LaxQxgrmJnzgP0"",""'TP# look up'!A:C""),3,0),"""")"),"")</f>
        <v/>
      </c>
      <c r="AH1699" s="49" t="str">
        <f t="shared" si="26"/>
        <v/>
      </c>
    </row>
    <row r="1700" spans="8:34" ht="12.75">
      <c r="H1700" s="43"/>
      <c r="AG1700" s="49" t="str">
        <f ca="1">IFERROR(__xludf.DUMMYFUNCTION("IFNA(vlookup(H1700,IMPORTRANGE(""1vUGwO1n0QQGx9kKbO0_M5gmuhXZ6-LaxQxgrmJnzgP0"",""'TP# look up'!A:C""),3,0),"""")"),"")</f>
        <v/>
      </c>
      <c r="AH1700" s="49" t="str">
        <f t="shared" si="26"/>
        <v/>
      </c>
    </row>
    <row r="1701" spans="8:34" ht="12.75">
      <c r="H1701" s="43"/>
      <c r="AG1701" s="49" t="str">
        <f ca="1">IFERROR(__xludf.DUMMYFUNCTION("IFNA(vlookup(H1701,IMPORTRANGE(""1vUGwO1n0QQGx9kKbO0_M5gmuhXZ6-LaxQxgrmJnzgP0"",""'TP# look up'!A:C""),3,0),"""")"),"")</f>
        <v/>
      </c>
      <c r="AH1701" s="49" t="str">
        <f t="shared" si="26"/>
        <v/>
      </c>
    </row>
    <row r="1702" spans="8:34" ht="12.75">
      <c r="H1702" s="43"/>
      <c r="AG1702" s="49" t="str">
        <f ca="1">IFERROR(__xludf.DUMMYFUNCTION("IFNA(vlookup(H1702,IMPORTRANGE(""1vUGwO1n0QQGx9kKbO0_M5gmuhXZ6-LaxQxgrmJnzgP0"",""'TP# look up'!A:C""),3,0),"""")"),"")</f>
        <v/>
      </c>
      <c r="AH1702" s="49" t="str">
        <f t="shared" si="26"/>
        <v/>
      </c>
    </row>
    <row r="1703" spans="8:34" ht="12.75">
      <c r="H1703" s="43"/>
      <c r="AG1703" s="49" t="str">
        <f ca="1">IFERROR(__xludf.DUMMYFUNCTION("IFNA(vlookup(H1703,IMPORTRANGE(""1vUGwO1n0QQGx9kKbO0_M5gmuhXZ6-LaxQxgrmJnzgP0"",""'TP# look up'!A:C""),3,0),"""")"),"")</f>
        <v/>
      </c>
      <c r="AH1703" s="49" t="str">
        <f t="shared" si="26"/>
        <v/>
      </c>
    </row>
    <row r="1704" spans="8:34" ht="12.75">
      <c r="H1704" s="43"/>
      <c r="AG1704" s="49" t="str">
        <f ca="1">IFERROR(__xludf.DUMMYFUNCTION("IFNA(vlookup(H1704,IMPORTRANGE(""1vUGwO1n0QQGx9kKbO0_M5gmuhXZ6-LaxQxgrmJnzgP0"",""'TP# look up'!A:C""),3,0),"""")"),"")</f>
        <v/>
      </c>
      <c r="AH1704" s="49" t="str">
        <f t="shared" si="26"/>
        <v/>
      </c>
    </row>
    <row r="1705" spans="8:34" ht="12.75">
      <c r="H1705" s="43"/>
      <c r="AG1705" s="49" t="str">
        <f ca="1">IFERROR(__xludf.DUMMYFUNCTION("IFNA(vlookup(H1705,IMPORTRANGE(""1vUGwO1n0QQGx9kKbO0_M5gmuhXZ6-LaxQxgrmJnzgP0"",""'TP# look up'!A:C""),3,0),"""")"),"")</f>
        <v/>
      </c>
      <c r="AH1705" s="49" t="str">
        <f t="shared" si="26"/>
        <v/>
      </c>
    </row>
    <row r="1706" spans="8:34" ht="12.75">
      <c r="H1706" s="43"/>
      <c r="AG1706" s="49" t="str">
        <f ca="1">IFERROR(__xludf.DUMMYFUNCTION("IFNA(vlookup(H1706,IMPORTRANGE(""1vUGwO1n0QQGx9kKbO0_M5gmuhXZ6-LaxQxgrmJnzgP0"",""'TP# look up'!A:C""),3,0),"""")"),"")</f>
        <v/>
      </c>
      <c r="AH1706" s="49" t="str">
        <f t="shared" si="26"/>
        <v/>
      </c>
    </row>
    <row r="1707" spans="8:34" ht="12.75">
      <c r="H1707" s="43"/>
      <c r="AG1707" s="49" t="str">
        <f ca="1">IFERROR(__xludf.DUMMYFUNCTION("IFNA(vlookup(H1707,IMPORTRANGE(""1vUGwO1n0QQGx9kKbO0_M5gmuhXZ6-LaxQxgrmJnzgP0"",""'TP# look up'!A:C""),3,0),"""")"),"")</f>
        <v/>
      </c>
      <c r="AH1707" s="49" t="str">
        <f t="shared" si="26"/>
        <v/>
      </c>
    </row>
    <row r="1708" spans="8:34" ht="12.75">
      <c r="H1708" s="43"/>
      <c r="AG1708" s="49" t="str">
        <f ca="1">IFERROR(__xludf.DUMMYFUNCTION("IFNA(vlookup(H1708,IMPORTRANGE(""1vUGwO1n0QQGx9kKbO0_M5gmuhXZ6-LaxQxgrmJnzgP0"",""'TP# look up'!A:C""),3,0),"""")"),"")</f>
        <v/>
      </c>
      <c r="AH1708" s="49" t="str">
        <f t="shared" si="26"/>
        <v/>
      </c>
    </row>
    <row r="1709" spans="8:34" ht="12.75">
      <c r="H1709" s="43"/>
      <c r="AG1709" s="49" t="str">
        <f ca="1">IFERROR(__xludf.DUMMYFUNCTION("IFNA(vlookup(H1709,IMPORTRANGE(""1vUGwO1n0QQGx9kKbO0_M5gmuhXZ6-LaxQxgrmJnzgP0"",""'TP# look up'!A:C""),3,0),"""")"),"")</f>
        <v/>
      </c>
      <c r="AH1709" s="49" t="str">
        <f t="shared" si="26"/>
        <v/>
      </c>
    </row>
    <row r="1710" spans="8:34" ht="12.75">
      <c r="H1710" s="43"/>
      <c r="AG1710" s="49" t="str">
        <f ca="1">IFERROR(__xludf.DUMMYFUNCTION("IFNA(vlookup(H1710,IMPORTRANGE(""1vUGwO1n0QQGx9kKbO0_M5gmuhXZ6-LaxQxgrmJnzgP0"",""'TP# look up'!A:C""),3,0),"""")"),"")</f>
        <v/>
      </c>
      <c r="AH1710" s="49" t="str">
        <f t="shared" si="26"/>
        <v/>
      </c>
    </row>
    <row r="1711" spans="8:34" ht="12.75">
      <c r="H1711" s="43"/>
      <c r="AG1711" s="49" t="str">
        <f ca="1">IFERROR(__xludf.DUMMYFUNCTION("IFNA(vlookup(H1711,IMPORTRANGE(""1vUGwO1n0QQGx9kKbO0_M5gmuhXZ6-LaxQxgrmJnzgP0"",""'TP# look up'!A:C""),3,0),"""")"),"")</f>
        <v/>
      </c>
      <c r="AH1711" s="49" t="str">
        <f t="shared" si="26"/>
        <v/>
      </c>
    </row>
    <row r="1712" spans="8:34" ht="12.75">
      <c r="H1712" s="43"/>
      <c r="AG1712" s="49" t="str">
        <f ca="1">IFERROR(__xludf.DUMMYFUNCTION("IFNA(vlookup(H1712,IMPORTRANGE(""1vUGwO1n0QQGx9kKbO0_M5gmuhXZ6-LaxQxgrmJnzgP0"",""'TP# look up'!A:C""),3,0),"""")"),"")</f>
        <v/>
      </c>
      <c r="AH1712" s="49" t="str">
        <f t="shared" si="26"/>
        <v/>
      </c>
    </row>
    <row r="1713" spans="8:34" ht="12.75">
      <c r="H1713" s="43"/>
      <c r="AG1713" s="49" t="str">
        <f ca="1">IFERROR(__xludf.DUMMYFUNCTION("IFNA(vlookup(H1713,IMPORTRANGE(""1vUGwO1n0QQGx9kKbO0_M5gmuhXZ6-LaxQxgrmJnzgP0"",""'TP# look up'!A:C""),3,0),"""")"),"")</f>
        <v/>
      </c>
      <c r="AH1713" s="49" t="str">
        <f t="shared" si="26"/>
        <v/>
      </c>
    </row>
    <row r="1714" spans="8:34" ht="12.75">
      <c r="H1714" s="43"/>
      <c r="AG1714" s="49" t="str">
        <f ca="1">IFERROR(__xludf.DUMMYFUNCTION("IFNA(vlookup(H1714,IMPORTRANGE(""1vUGwO1n0QQGx9kKbO0_M5gmuhXZ6-LaxQxgrmJnzgP0"",""'TP# look up'!A:C""),3,0),"""")"),"")</f>
        <v/>
      </c>
      <c r="AH1714" s="49" t="str">
        <f t="shared" si="26"/>
        <v/>
      </c>
    </row>
    <row r="1715" spans="8:34" ht="12.75">
      <c r="H1715" s="43"/>
      <c r="AG1715" s="49" t="str">
        <f ca="1">IFERROR(__xludf.DUMMYFUNCTION("IFNA(vlookup(H1715,IMPORTRANGE(""1vUGwO1n0QQGx9kKbO0_M5gmuhXZ6-LaxQxgrmJnzgP0"",""'TP# look up'!A:C""),3,0),"""")"),"")</f>
        <v/>
      </c>
      <c r="AH1715" s="49" t="str">
        <f t="shared" si="26"/>
        <v/>
      </c>
    </row>
    <row r="1716" spans="8:34" ht="12.75">
      <c r="H1716" s="43"/>
      <c r="AG1716" s="49" t="str">
        <f ca="1">IFERROR(__xludf.DUMMYFUNCTION("IFNA(vlookup(H1716,IMPORTRANGE(""1vUGwO1n0QQGx9kKbO0_M5gmuhXZ6-LaxQxgrmJnzgP0"",""'TP# look up'!A:C""),3,0),"""")"),"")</f>
        <v/>
      </c>
      <c r="AH1716" s="49" t="str">
        <f t="shared" si="26"/>
        <v/>
      </c>
    </row>
    <row r="1717" spans="8:34" ht="12.75">
      <c r="H1717" s="43"/>
      <c r="AG1717" s="49" t="str">
        <f ca="1">IFERROR(__xludf.DUMMYFUNCTION("IFNA(vlookup(H1717,IMPORTRANGE(""1vUGwO1n0QQGx9kKbO0_M5gmuhXZ6-LaxQxgrmJnzgP0"",""'TP# look up'!A:C""),3,0),"""")"),"")</f>
        <v/>
      </c>
      <c r="AH1717" s="49" t="str">
        <f t="shared" si="26"/>
        <v/>
      </c>
    </row>
    <row r="1718" spans="8:34" ht="12.75">
      <c r="H1718" s="43"/>
      <c r="AG1718" s="49" t="str">
        <f ca="1">IFERROR(__xludf.DUMMYFUNCTION("IFNA(vlookup(H1718,IMPORTRANGE(""1vUGwO1n0QQGx9kKbO0_M5gmuhXZ6-LaxQxgrmJnzgP0"",""'TP# look up'!A:C""),3,0),"""")"),"")</f>
        <v/>
      </c>
      <c r="AH1718" s="49" t="str">
        <f t="shared" si="26"/>
        <v/>
      </c>
    </row>
    <row r="1719" spans="8:34" ht="12.75">
      <c r="H1719" s="43"/>
      <c r="AG1719" s="49" t="str">
        <f ca="1">IFERROR(__xludf.DUMMYFUNCTION("IFNA(vlookup(H1719,IMPORTRANGE(""1vUGwO1n0QQGx9kKbO0_M5gmuhXZ6-LaxQxgrmJnzgP0"",""'TP# look up'!A:C""),3,0),"""")"),"")</f>
        <v/>
      </c>
      <c r="AH1719" s="49" t="str">
        <f t="shared" si="26"/>
        <v/>
      </c>
    </row>
    <row r="1720" spans="8:34" ht="12.75">
      <c r="H1720" s="43"/>
      <c r="AG1720" s="49" t="str">
        <f ca="1">IFERROR(__xludf.DUMMYFUNCTION("IFNA(vlookup(H1720,IMPORTRANGE(""1vUGwO1n0QQGx9kKbO0_M5gmuhXZ6-LaxQxgrmJnzgP0"",""'TP# look up'!A:C""),3,0),"""")"),"")</f>
        <v/>
      </c>
      <c r="AH1720" s="49" t="str">
        <f t="shared" si="26"/>
        <v/>
      </c>
    </row>
    <row r="1721" spans="8:34" ht="12.75">
      <c r="H1721" s="43"/>
      <c r="AG1721" s="49" t="str">
        <f ca="1">IFERROR(__xludf.DUMMYFUNCTION("IFNA(vlookup(H1721,IMPORTRANGE(""1vUGwO1n0QQGx9kKbO0_M5gmuhXZ6-LaxQxgrmJnzgP0"",""'TP# look up'!A:C""),3,0),"""")"),"")</f>
        <v/>
      </c>
      <c r="AH1721" s="49" t="str">
        <f t="shared" si="26"/>
        <v/>
      </c>
    </row>
    <row r="1722" spans="8:34" ht="12.75">
      <c r="H1722" s="43"/>
      <c r="AG1722" s="49" t="str">
        <f ca="1">IFERROR(__xludf.DUMMYFUNCTION("IFNA(vlookup(H1722,IMPORTRANGE(""1vUGwO1n0QQGx9kKbO0_M5gmuhXZ6-LaxQxgrmJnzgP0"",""'TP# look up'!A:C""),3,0),"""")"),"")</f>
        <v/>
      </c>
      <c r="AH1722" s="49" t="str">
        <f t="shared" si="26"/>
        <v/>
      </c>
    </row>
    <row r="1723" spans="8:34" ht="12.75">
      <c r="H1723" s="43"/>
      <c r="AG1723" s="49" t="str">
        <f ca="1">IFERROR(__xludf.DUMMYFUNCTION("IFNA(vlookup(H1723,IMPORTRANGE(""1vUGwO1n0QQGx9kKbO0_M5gmuhXZ6-LaxQxgrmJnzgP0"",""'TP# look up'!A:C""),3,0),"""")"),"")</f>
        <v/>
      </c>
      <c r="AH1723" s="49" t="str">
        <f t="shared" si="26"/>
        <v/>
      </c>
    </row>
    <row r="1724" spans="8:34" ht="12.75">
      <c r="H1724" s="43"/>
      <c r="AG1724" s="49" t="str">
        <f ca="1">IFERROR(__xludf.DUMMYFUNCTION("IFNA(vlookup(H1724,IMPORTRANGE(""1vUGwO1n0QQGx9kKbO0_M5gmuhXZ6-LaxQxgrmJnzgP0"",""'TP# look up'!A:C""),3,0),"""")"),"")</f>
        <v/>
      </c>
      <c r="AH1724" s="49" t="str">
        <f t="shared" si="26"/>
        <v/>
      </c>
    </row>
    <row r="1725" spans="8:34" ht="12.75">
      <c r="H1725" s="43"/>
      <c r="AG1725" s="49" t="str">
        <f ca="1">IFERROR(__xludf.DUMMYFUNCTION("IFNA(vlookup(H1725,IMPORTRANGE(""1vUGwO1n0QQGx9kKbO0_M5gmuhXZ6-LaxQxgrmJnzgP0"",""'TP# look up'!A:C""),3,0),"""")"),"")</f>
        <v/>
      </c>
      <c r="AH1725" s="49" t="str">
        <f t="shared" si="26"/>
        <v/>
      </c>
    </row>
    <row r="1726" spans="8:34" ht="12.75">
      <c r="H1726" s="43"/>
      <c r="AG1726" s="49" t="str">
        <f ca="1">IFERROR(__xludf.DUMMYFUNCTION("IFNA(vlookup(H1726,IMPORTRANGE(""1vUGwO1n0QQGx9kKbO0_M5gmuhXZ6-LaxQxgrmJnzgP0"",""'TP# look up'!A:C""),3,0),"""")"),"")</f>
        <v/>
      </c>
      <c r="AH1726" s="49" t="str">
        <f t="shared" si="26"/>
        <v/>
      </c>
    </row>
    <row r="1727" spans="8:34" ht="12.75">
      <c r="H1727" s="43"/>
      <c r="AG1727" s="49" t="str">
        <f ca="1">IFERROR(__xludf.DUMMYFUNCTION("IFNA(vlookup(H1727,IMPORTRANGE(""1vUGwO1n0QQGx9kKbO0_M5gmuhXZ6-LaxQxgrmJnzgP0"",""'TP# look up'!A:C""),3,0),"""")"),"")</f>
        <v/>
      </c>
      <c r="AH1727" s="49" t="str">
        <f t="shared" si="26"/>
        <v/>
      </c>
    </row>
    <row r="1728" spans="8:34" ht="12.75">
      <c r="H1728" s="43"/>
      <c r="AG1728" s="49" t="str">
        <f ca="1">IFERROR(__xludf.DUMMYFUNCTION("IFNA(vlookup(H1728,IMPORTRANGE(""1vUGwO1n0QQGx9kKbO0_M5gmuhXZ6-LaxQxgrmJnzgP0"",""'TP# look up'!A:C""),3,0),"""")"),"")</f>
        <v/>
      </c>
      <c r="AH1728" s="49" t="str">
        <f t="shared" si="26"/>
        <v/>
      </c>
    </row>
    <row r="1729" spans="8:34" ht="12.75">
      <c r="H1729" s="43"/>
      <c r="AG1729" s="49" t="str">
        <f ca="1">IFERROR(__xludf.DUMMYFUNCTION("IFNA(vlookup(H1729,IMPORTRANGE(""1vUGwO1n0QQGx9kKbO0_M5gmuhXZ6-LaxQxgrmJnzgP0"",""'TP# look up'!A:C""),3,0),"""")"),"")</f>
        <v/>
      </c>
      <c r="AH1729" s="49" t="str">
        <f t="shared" si="26"/>
        <v/>
      </c>
    </row>
    <row r="1730" spans="8:34" ht="12.75">
      <c r="H1730" s="43"/>
      <c r="AG1730" s="49" t="str">
        <f ca="1">IFERROR(__xludf.DUMMYFUNCTION("IFNA(vlookup(H1730,IMPORTRANGE(""1vUGwO1n0QQGx9kKbO0_M5gmuhXZ6-LaxQxgrmJnzgP0"",""'TP# look up'!A:C""),3,0),"""")"),"")</f>
        <v/>
      </c>
      <c r="AH1730" s="49" t="str">
        <f t="shared" ref="AH1730:AH1793" si="27">LEFT(J1730,2)</f>
        <v/>
      </c>
    </row>
    <row r="1731" spans="8:34" ht="12.75">
      <c r="H1731" s="43"/>
      <c r="AG1731" s="49" t="str">
        <f ca="1">IFERROR(__xludf.DUMMYFUNCTION("IFNA(vlookup(H1731,IMPORTRANGE(""1vUGwO1n0QQGx9kKbO0_M5gmuhXZ6-LaxQxgrmJnzgP0"",""'TP# look up'!A:C""),3,0),"""")"),"")</f>
        <v/>
      </c>
      <c r="AH1731" s="49" t="str">
        <f t="shared" si="27"/>
        <v/>
      </c>
    </row>
    <row r="1732" spans="8:34" ht="12.75">
      <c r="H1732" s="43"/>
      <c r="AG1732" s="49" t="str">
        <f ca="1">IFERROR(__xludf.DUMMYFUNCTION("IFNA(vlookup(H1732,IMPORTRANGE(""1vUGwO1n0QQGx9kKbO0_M5gmuhXZ6-LaxQxgrmJnzgP0"",""'TP# look up'!A:C""),3,0),"""")"),"")</f>
        <v/>
      </c>
      <c r="AH1732" s="49" t="str">
        <f t="shared" si="27"/>
        <v/>
      </c>
    </row>
    <row r="1733" spans="8:34" ht="12.75">
      <c r="H1733" s="43"/>
      <c r="AG1733" s="49" t="str">
        <f ca="1">IFERROR(__xludf.DUMMYFUNCTION("IFNA(vlookup(H1733,IMPORTRANGE(""1vUGwO1n0QQGx9kKbO0_M5gmuhXZ6-LaxQxgrmJnzgP0"",""'TP# look up'!A:C""),3,0),"""")"),"")</f>
        <v/>
      </c>
      <c r="AH1733" s="49" t="str">
        <f t="shared" si="27"/>
        <v/>
      </c>
    </row>
    <row r="1734" spans="8:34" ht="12.75">
      <c r="H1734" s="43"/>
      <c r="AG1734" s="49" t="str">
        <f ca="1">IFERROR(__xludf.DUMMYFUNCTION("IFNA(vlookup(H1734,IMPORTRANGE(""1vUGwO1n0QQGx9kKbO0_M5gmuhXZ6-LaxQxgrmJnzgP0"",""'TP# look up'!A:C""),3,0),"""")"),"")</f>
        <v/>
      </c>
      <c r="AH1734" s="49" t="str">
        <f t="shared" si="27"/>
        <v/>
      </c>
    </row>
    <row r="1735" spans="8:34" ht="12.75">
      <c r="H1735" s="43"/>
      <c r="AG1735" s="49" t="str">
        <f ca="1">IFERROR(__xludf.DUMMYFUNCTION("IFNA(vlookup(H1735,IMPORTRANGE(""1vUGwO1n0QQGx9kKbO0_M5gmuhXZ6-LaxQxgrmJnzgP0"",""'TP# look up'!A:C""),3,0),"""")"),"")</f>
        <v/>
      </c>
      <c r="AH1735" s="49" t="str">
        <f t="shared" si="27"/>
        <v/>
      </c>
    </row>
    <row r="1736" spans="8:34" ht="12.75">
      <c r="H1736" s="43"/>
      <c r="AG1736" s="49" t="str">
        <f ca="1">IFERROR(__xludf.DUMMYFUNCTION("IFNA(vlookup(H1736,IMPORTRANGE(""1vUGwO1n0QQGx9kKbO0_M5gmuhXZ6-LaxQxgrmJnzgP0"",""'TP# look up'!A:C""),3,0),"""")"),"")</f>
        <v/>
      </c>
      <c r="AH1736" s="49" t="str">
        <f t="shared" si="27"/>
        <v/>
      </c>
    </row>
    <row r="1737" spans="8:34" ht="12.75">
      <c r="H1737" s="43"/>
      <c r="AG1737" s="49" t="str">
        <f ca="1">IFERROR(__xludf.DUMMYFUNCTION("IFNA(vlookup(H1737,IMPORTRANGE(""1vUGwO1n0QQGx9kKbO0_M5gmuhXZ6-LaxQxgrmJnzgP0"",""'TP# look up'!A:C""),3,0),"""")"),"")</f>
        <v/>
      </c>
      <c r="AH1737" s="49" t="str">
        <f t="shared" si="27"/>
        <v/>
      </c>
    </row>
    <row r="1738" spans="8:34" ht="12.75">
      <c r="H1738" s="43"/>
      <c r="AG1738" s="49" t="str">
        <f ca="1">IFERROR(__xludf.DUMMYFUNCTION("IFNA(vlookup(H1738,IMPORTRANGE(""1vUGwO1n0QQGx9kKbO0_M5gmuhXZ6-LaxQxgrmJnzgP0"",""'TP# look up'!A:C""),3,0),"""")"),"")</f>
        <v/>
      </c>
      <c r="AH1738" s="49" t="str">
        <f t="shared" si="27"/>
        <v/>
      </c>
    </row>
    <row r="1739" spans="8:34" ht="12.75">
      <c r="H1739" s="43"/>
      <c r="AG1739" s="49" t="str">
        <f ca="1">IFERROR(__xludf.DUMMYFUNCTION("IFNA(vlookup(H1739,IMPORTRANGE(""1vUGwO1n0QQGx9kKbO0_M5gmuhXZ6-LaxQxgrmJnzgP0"",""'TP# look up'!A:C""),3,0),"""")"),"")</f>
        <v/>
      </c>
      <c r="AH1739" s="49" t="str">
        <f t="shared" si="27"/>
        <v/>
      </c>
    </row>
    <row r="1740" spans="8:34" ht="12.75">
      <c r="H1740" s="43"/>
      <c r="AG1740" s="49" t="str">
        <f ca="1">IFERROR(__xludf.DUMMYFUNCTION("IFNA(vlookup(H1740,IMPORTRANGE(""1vUGwO1n0QQGx9kKbO0_M5gmuhXZ6-LaxQxgrmJnzgP0"",""'TP# look up'!A:C""),3,0),"""")"),"")</f>
        <v/>
      </c>
      <c r="AH1740" s="49" t="str">
        <f t="shared" si="27"/>
        <v/>
      </c>
    </row>
    <row r="1741" spans="8:34" ht="12.75">
      <c r="H1741" s="43"/>
      <c r="AG1741" s="49" t="str">
        <f ca="1">IFERROR(__xludf.DUMMYFUNCTION("IFNA(vlookup(H1741,IMPORTRANGE(""1vUGwO1n0QQGx9kKbO0_M5gmuhXZ6-LaxQxgrmJnzgP0"",""'TP# look up'!A:C""),3,0),"""")"),"")</f>
        <v/>
      </c>
      <c r="AH1741" s="49" t="str">
        <f t="shared" si="27"/>
        <v/>
      </c>
    </row>
    <row r="1742" spans="8:34" ht="12.75">
      <c r="H1742" s="43"/>
      <c r="AG1742" s="49" t="str">
        <f ca="1">IFERROR(__xludf.DUMMYFUNCTION("IFNA(vlookup(H1742,IMPORTRANGE(""1vUGwO1n0QQGx9kKbO0_M5gmuhXZ6-LaxQxgrmJnzgP0"",""'TP# look up'!A:C""),3,0),"""")"),"")</f>
        <v/>
      </c>
      <c r="AH1742" s="49" t="str">
        <f t="shared" si="27"/>
        <v/>
      </c>
    </row>
    <row r="1743" spans="8:34" ht="12.75">
      <c r="H1743" s="43"/>
      <c r="AG1743" s="49" t="str">
        <f ca="1">IFERROR(__xludf.DUMMYFUNCTION("IFNA(vlookup(H1743,IMPORTRANGE(""1vUGwO1n0QQGx9kKbO0_M5gmuhXZ6-LaxQxgrmJnzgP0"",""'TP# look up'!A:C""),3,0),"""")"),"")</f>
        <v/>
      </c>
      <c r="AH1743" s="49" t="str">
        <f t="shared" si="27"/>
        <v/>
      </c>
    </row>
    <row r="1744" spans="8:34" ht="12.75">
      <c r="H1744" s="43"/>
      <c r="AG1744" s="49" t="str">
        <f ca="1">IFERROR(__xludf.DUMMYFUNCTION("IFNA(vlookup(H1744,IMPORTRANGE(""1vUGwO1n0QQGx9kKbO0_M5gmuhXZ6-LaxQxgrmJnzgP0"",""'TP# look up'!A:C""),3,0),"""")"),"")</f>
        <v/>
      </c>
      <c r="AH1744" s="49" t="str">
        <f t="shared" si="27"/>
        <v/>
      </c>
    </row>
    <row r="1745" spans="8:34" ht="12.75">
      <c r="H1745" s="43"/>
      <c r="AG1745" s="49" t="str">
        <f ca="1">IFERROR(__xludf.DUMMYFUNCTION("IFNA(vlookup(H1745,IMPORTRANGE(""1vUGwO1n0QQGx9kKbO0_M5gmuhXZ6-LaxQxgrmJnzgP0"",""'TP# look up'!A:C""),3,0),"""")"),"")</f>
        <v/>
      </c>
      <c r="AH1745" s="49" t="str">
        <f t="shared" si="27"/>
        <v/>
      </c>
    </row>
    <row r="1746" spans="8:34" ht="12.75">
      <c r="H1746" s="43"/>
      <c r="AG1746" s="49" t="str">
        <f ca="1">IFERROR(__xludf.DUMMYFUNCTION("IFNA(vlookup(H1746,IMPORTRANGE(""1vUGwO1n0QQGx9kKbO0_M5gmuhXZ6-LaxQxgrmJnzgP0"",""'TP# look up'!A:C""),3,0),"""")"),"")</f>
        <v/>
      </c>
      <c r="AH1746" s="49" t="str">
        <f t="shared" si="27"/>
        <v/>
      </c>
    </row>
    <row r="1747" spans="8:34" ht="12.75">
      <c r="H1747" s="43"/>
      <c r="AG1747" s="49" t="str">
        <f ca="1">IFERROR(__xludf.DUMMYFUNCTION("IFNA(vlookup(H1747,IMPORTRANGE(""1vUGwO1n0QQGx9kKbO0_M5gmuhXZ6-LaxQxgrmJnzgP0"",""'TP# look up'!A:C""),3,0),"""")"),"")</f>
        <v/>
      </c>
      <c r="AH1747" s="49" t="str">
        <f t="shared" si="27"/>
        <v/>
      </c>
    </row>
    <row r="1748" spans="8:34" ht="12.75">
      <c r="H1748" s="43"/>
      <c r="AG1748" s="49" t="str">
        <f ca="1">IFERROR(__xludf.DUMMYFUNCTION("IFNA(vlookup(H1748,IMPORTRANGE(""1vUGwO1n0QQGx9kKbO0_M5gmuhXZ6-LaxQxgrmJnzgP0"",""'TP# look up'!A:C""),3,0),"""")"),"")</f>
        <v/>
      </c>
      <c r="AH1748" s="49" t="str">
        <f t="shared" si="27"/>
        <v/>
      </c>
    </row>
    <row r="1749" spans="8:34" ht="12.75">
      <c r="H1749" s="43"/>
      <c r="AG1749" s="49" t="str">
        <f ca="1">IFERROR(__xludf.DUMMYFUNCTION("IFNA(vlookup(H1749,IMPORTRANGE(""1vUGwO1n0QQGx9kKbO0_M5gmuhXZ6-LaxQxgrmJnzgP0"",""'TP# look up'!A:C""),3,0),"""")"),"")</f>
        <v/>
      </c>
      <c r="AH1749" s="49" t="str">
        <f t="shared" si="27"/>
        <v/>
      </c>
    </row>
    <row r="1750" spans="8:34" ht="12.75">
      <c r="H1750" s="43"/>
      <c r="AG1750" s="49" t="str">
        <f ca="1">IFERROR(__xludf.DUMMYFUNCTION("IFNA(vlookup(H1750,IMPORTRANGE(""1vUGwO1n0QQGx9kKbO0_M5gmuhXZ6-LaxQxgrmJnzgP0"",""'TP# look up'!A:C""),3,0),"""")"),"")</f>
        <v/>
      </c>
      <c r="AH1750" s="49" t="str">
        <f t="shared" si="27"/>
        <v/>
      </c>
    </row>
    <row r="1751" spans="8:34" ht="12.75">
      <c r="H1751" s="43"/>
      <c r="AG1751" s="49" t="str">
        <f ca="1">IFERROR(__xludf.DUMMYFUNCTION("IFNA(vlookup(H1751,IMPORTRANGE(""1vUGwO1n0QQGx9kKbO0_M5gmuhXZ6-LaxQxgrmJnzgP0"",""'TP# look up'!A:C""),3,0),"""")"),"")</f>
        <v/>
      </c>
      <c r="AH1751" s="49" t="str">
        <f t="shared" si="27"/>
        <v/>
      </c>
    </row>
    <row r="1752" spans="8:34" ht="12.75">
      <c r="H1752" s="43"/>
      <c r="AG1752" s="49" t="str">
        <f ca="1">IFERROR(__xludf.DUMMYFUNCTION("IFNA(vlookup(H1752,IMPORTRANGE(""1vUGwO1n0QQGx9kKbO0_M5gmuhXZ6-LaxQxgrmJnzgP0"",""'TP# look up'!A:C""),3,0),"""")"),"")</f>
        <v/>
      </c>
      <c r="AH1752" s="49" t="str">
        <f t="shared" si="27"/>
        <v/>
      </c>
    </row>
    <row r="1753" spans="8:34" ht="12.75">
      <c r="H1753" s="43"/>
      <c r="AG1753" s="49" t="str">
        <f ca="1">IFERROR(__xludf.DUMMYFUNCTION("IFNA(vlookup(H1753,IMPORTRANGE(""1vUGwO1n0QQGx9kKbO0_M5gmuhXZ6-LaxQxgrmJnzgP0"",""'TP# look up'!A:C""),3,0),"""")"),"")</f>
        <v/>
      </c>
      <c r="AH1753" s="49" t="str">
        <f t="shared" si="27"/>
        <v/>
      </c>
    </row>
    <row r="1754" spans="8:34" ht="12.75">
      <c r="H1754" s="43"/>
      <c r="AG1754" s="49" t="str">
        <f ca="1">IFERROR(__xludf.DUMMYFUNCTION("IFNA(vlookup(H1754,IMPORTRANGE(""1vUGwO1n0QQGx9kKbO0_M5gmuhXZ6-LaxQxgrmJnzgP0"",""'TP# look up'!A:C""),3,0),"""")"),"")</f>
        <v/>
      </c>
      <c r="AH1754" s="49" t="str">
        <f t="shared" si="27"/>
        <v/>
      </c>
    </row>
    <row r="1755" spans="8:34" ht="12.75">
      <c r="H1755" s="43"/>
      <c r="AG1755" s="49" t="str">
        <f ca="1">IFERROR(__xludf.DUMMYFUNCTION("IFNA(vlookup(H1755,IMPORTRANGE(""1vUGwO1n0QQGx9kKbO0_M5gmuhXZ6-LaxQxgrmJnzgP0"",""'TP# look up'!A:C""),3,0),"""")"),"")</f>
        <v/>
      </c>
      <c r="AH1755" s="49" t="str">
        <f t="shared" si="27"/>
        <v/>
      </c>
    </row>
    <row r="1756" spans="8:34" ht="12.75">
      <c r="H1756" s="43"/>
      <c r="AG1756" s="49" t="str">
        <f ca="1">IFERROR(__xludf.DUMMYFUNCTION("IFNA(vlookup(H1756,IMPORTRANGE(""1vUGwO1n0QQGx9kKbO0_M5gmuhXZ6-LaxQxgrmJnzgP0"",""'TP# look up'!A:C""),3,0),"""")"),"")</f>
        <v/>
      </c>
      <c r="AH1756" s="49" t="str">
        <f t="shared" si="27"/>
        <v/>
      </c>
    </row>
    <row r="1757" spans="8:34" ht="12.75">
      <c r="H1757" s="43"/>
      <c r="AG1757" s="49" t="str">
        <f ca="1">IFERROR(__xludf.DUMMYFUNCTION("IFNA(vlookup(H1757,IMPORTRANGE(""1vUGwO1n0QQGx9kKbO0_M5gmuhXZ6-LaxQxgrmJnzgP0"",""'TP# look up'!A:C""),3,0),"""")"),"")</f>
        <v/>
      </c>
      <c r="AH1757" s="49" t="str">
        <f t="shared" si="27"/>
        <v/>
      </c>
    </row>
    <row r="1758" spans="8:34" ht="12.75">
      <c r="H1758" s="43"/>
      <c r="AG1758" s="49" t="str">
        <f ca="1">IFERROR(__xludf.DUMMYFUNCTION("IFNA(vlookup(H1758,IMPORTRANGE(""1vUGwO1n0QQGx9kKbO0_M5gmuhXZ6-LaxQxgrmJnzgP0"",""'TP# look up'!A:C""),3,0),"""")"),"")</f>
        <v/>
      </c>
      <c r="AH1758" s="49" t="str">
        <f t="shared" si="27"/>
        <v/>
      </c>
    </row>
    <row r="1759" spans="8:34" ht="12.75">
      <c r="H1759" s="43"/>
      <c r="AG1759" s="49" t="str">
        <f ca="1">IFERROR(__xludf.DUMMYFUNCTION("IFNA(vlookup(H1759,IMPORTRANGE(""1vUGwO1n0QQGx9kKbO0_M5gmuhXZ6-LaxQxgrmJnzgP0"",""'TP# look up'!A:C""),3,0),"""")"),"")</f>
        <v/>
      </c>
      <c r="AH1759" s="49" t="str">
        <f t="shared" si="27"/>
        <v/>
      </c>
    </row>
    <row r="1760" spans="8:34" ht="12.75">
      <c r="H1760" s="43"/>
      <c r="AG1760" s="49" t="str">
        <f ca="1">IFERROR(__xludf.DUMMYFUNCTION("IFNA(vlookup(H1760,IMPORTRANGE(""1vUGwO1n0QQGx9kKbO0_M5gmuhXZ6-LaxQxgrmJnzgP0"",""'TP# look up'!A:C""),3,0),"""")"),"")</f>
        <v/>
      </c>
      <c r="AH1760" s="49" t="str">
        <f t="shared" si="27"/>
        <v/>
      </c>
    </row>
    <row r="1761" spans="8:34" ht="12.75">
      <c r="H1761" s="43"/>
      <c r="AG1761" s="49" t="str">
        <f ca="1">IFERROR(__xludf.DUMMYFUNCTION("IFNA(vlookup(H1761,IMPORTRANGE(""1vUGwO1n0QQGx9kKbO0_M5gmuhXZ6-LaxQxgrmJnzgP0"",""'TP# look up'!A:C""),3,0),"""")"),"")</f>
        <v/>
      </c>
      <c r="AH1761" s="49" t="str">
        <f t="shared" si="27"/>
        <v/>
      </c>
    </row>
    <row r="1762" spans="8:34" ht="12.75">
      <c r="H1762" s="43"/>
      <c r="AG1762" s="49" t="str">
        <f ca="1">IFERROR(__xludf.DUMMYFUNCTION("IFNA(vlookup(H1762,IMPORTRANGE(""1vUGwO1n0QQGx9kKbO0_M5gmuhXZ6-LaxQxgrmJnzgP0"",""'TP# look up'!A:C""),3,0),"""")"),"")</f>
        <v/>
      </c>
      <c r="AH1762" s="49" t="str">
        <f t="shared" si="27"/>
        <v/>
      </c>
    </row>
    <row r="1763" spans="8:34" ht="12.75">
      <c r="H1763" s="43"/>
      <c r="AG1763" s="49" t="str">
        <f ca="1">IFERROR(__xludf.DUMMYFUNCTION("IFNA(vlookup(H1763,IMPORTRANGE(""1vUGwO1n0QQGx9kKbO0_M5gmuhXZ6-LaxQxgrmJnzgP0"",""'TP# look up'!A:C""),3,0),"""")"),"")</f>
        <v/>
      </c>
      <c r="AH1763" s="49" t="str">
        <f t="shared" si="27"/>
        <v/>
      </c>
    </row>
    <row r="1764" spans="8:34" ht="12.75">
      <c r="H1764" s="43"/>
      <c r="AG1764" s="49" t="str">
        <f ca="1">IFERROR(__xludf.DUMMYFUNCTION("IFNA(vlookup(H1764,IMPORTRANGE(""1vUGwO1n0QQGx9kKbO0_M5gmuhXZ6-LaxQxgrmJnzgP0"",""'TP# look up'!A:C""),3,0),"""")"),"")</f>
        <v/>
      </c>
      <c r="AH1764" s="49" t="str">
        <f t="shared" si="27"/>
        <v/>
      </c>
    </row>
    <row r="1765" spans="8:34" ht="12.75">
      <c r="H1765" s="43"/>
      <c r="AG1765" s="49" t="str">
        <f ca="1">IFERROR(__xludf.DUMMYFUNCTION("IFNA(vlookup(H1765,IMPORTRANGE(""1vUGwO1n0QQGx9kKbO0_M5gmuhXZ6-LaxQxgrmJnzgP0"",""'TP# look up'!A:C""),3,0),"""")"),"")</f>
        <v/>
      </c>
      <c r="AH1765" s="49" t="str">
        <f t="shared" si="27"/>
        <v/>
      </c>
    </row>
    <row r="1766" spans="8:34" ht="12.75">
      <c r="H1766" s="43"/>
      <c r="AG1766" s="49" t="str">
        <f ca="1">IFERROR(__xludf.DUMMYFUNCTION("IFNA(vlookup(H1766,IMPORTRANGE(""1vUGwO1n0QQGx9kKbO0_M5gmuhXZ6-LaxQxgrmJnzgP0"",""'TP# look up'!A:C""),3,0),"""")"),"")</f>
        <v/>
      </c>
      <c r="AH1766" s="49" t="str">
        <f t="shared" si="27"/>
        <v/>
      </c>
    </row>
    <row r="1767" spans="8:34" ht="12.75">
      <c r="H1767" s="43"/>
      <c r="AG1767" s="49" t="str">
        <f ca="1">IFERROR(__xludf.DUMMYFUNCTION("IFNA(vlookup(H1767,IMPORTRANGE(""1vUGwO1n0QQGx9kKbO0_M5gmuhXZ6-LaxQxgrmJnzgP0"",""'TP# look up'!A:C""),3,0),"""")"),"")</f>
        <v/>
      </c>
      <c r="AH1767" s="49" t="str">
        <f t="shared" si="27"/>
        <v/>
      </c>
    </row>
    <row r="1768" spans="8:34" ht="12.75">
      <c r="H1768" s="43"/>
      <c r="AG1768" s="49" t="str">
        <f ca="1">IFERROR(__xludf.DUMMYFUNCTION("IFNA(vlookup(H1768,IMPORTRANGE(""1vUGwO1n0QQGx9kKbO0_M5gmuhXZ6-LaxQxgrmJnzgP0"",""'TP# look up'!A:C""),3,0),"""")"),"")</f>
        <v/>
      </c>
      <c r="AH1768" s="49" t="str">
        <f t="shared" si="27"/>
        <v/>
      </c>
    </row>
    <row r="1769" spans="8:34" ht="12.75">
      <c r="H1769" s="43"/>
      <c r="AG1769" s="49" t="str">
        <f ca="1">IFERROR(__xludf.DUMMYFUNCTION("IFNA(vlookup(H1769,IMPORTRANGE(""1vUGwO1n0QQGx9kKbO0_M5gmuhXZ6-LaxQxgrmJnzgP0"",""'TP# look up'!A:C""),3,0),"""")"),"")</f>
        <v/>
      </c>
      <c r="AH1769" s="49" t="str">
        <f t="shared" si="27"/>
        <v/>
      </c>
    </row>
    <row r="1770" spans="8:34" ht="12.75">
      <c r="H1770" s="43"/>
      <c r="AG1770" s="49" t="str">
        <f ca="1">IFERROR(__xludf.DUMMYFUNCTION("IFNA(vlookup(H1770,IMPORTRANGE(""1vUGwO1n0QQGx9kKbO0_M5gmuhXZ6-LaxQxgrmJnzgP0"",""'TP# look up'!A:C""),3,0),"""")"),"")</f>
        <v/>
      </c>
      <c r="AH1770" s="49" t="str">
        <f t="shared" si="27"/>
        <v/>
      </c>
    </row>
    <row r="1771" spans="8:34" ht="12.75">
      <c r="H1771" s="43"/>
      <c r="AG1771" s="49" t="str">
        <f ca="1">IFERROR(__xludf.DUMMYFUNCTION("IFNA(vlookup(H1771,IMPORTRANGE(""1vUGwO1n0QQGx9kKbO0_M5gmuhXZ6-LaxQxgrmJnzgP0"",""'TP# look up'!A:C""),3,0),"""")"),"")</f>
        <v/>
      </c>
      <c r="AH1771" s="49" t="str">
        <f t="shared" si="27"/>
        <v/>
      </c>
    </row>
    <row r="1772" spans="8:34" ht="12.75">
      <c r="H1772" s="43"/>
      <c r="AG1772" s="49" t="str">
        <f ca="1">IFERROR(__xludf.DUMMYFUNCTION("IFNA(vlookup(H1772,IMPORTRANGE(""1vUGwO1n0QQGx9kKbO0_M5gmuhXZ6-LaxQxgrmJnzgP0"",""'TP# look up'!A:C""),3,0),"""")"),"")</f>
        <v/>
      </c>
      <c r="AH1772" s="49" t="str">
        <f t="shared" si="27"/>
        <v/>
      </c>
    </row>
    <row r="1773" spans="8:34" ht="12.75">
      <c r="H1773" s="43"/>
      <c r="AG1773" s="49" t="str">
        <f ca="1">IFERROR(__xludf.DUMMYFUNCTION("IFNA(vlookup(H1773,IMPORTRANGE(""1vUGwO1n0QQGx9kKbO0_M5gmuhXZ6-LaxQxgrmJnzgP0"",""'TP# look up'!A:C""),3,0),"""")"),"")</f>
        <v/>
      </c>
      <c r="AH1773" s="49" t="str">
        <f t="shared" si="27"/>
        <v/>
      </c>
    </row>
    <row r="1774" spans="8:34" ht="12.75">
      <c r="H1774" s="43"/>
      <c r="AG1774" s="49" t="str">
        <f ca="1">IFERROR(__xludf.DUMMYFUNCTION("IFNA(vlookup(H1774,IMPORTRANGE(""1vUGwO1n0QQGx9kKbO0_M5gmuhXZ6-LaxQxgrmJnzgP0"",""'TP# look up'!A:C""),3,0),"""")"),"")</f>
        <v/>
      </c>
      <c r="AH1774" s="49" t="str">
        <f t="shared" si="27"/>
        <v/>
      </c>
    </row>
    <row r="1775" spans="8:34" ht="12.75">
      <c r="H1775" s="43"/>
      <c r="AG1775" s="49" t="str">
        <f ca="1">IFERROR(__xludf.DUMMYFUNCTION("IFNA(vlookup(H1775,IMPORTRANGE(""1vUGwO1n0QQGx9kKbO0_M5gmuhXZ6-LaxQxgrmJnzgP0"",""'TP# look up'!A:C""),3,0),"""")"),"")</f>
        <v/>
      </c>
      <c r="AH1775" s="49" t="str">
        <f t="shared" si="27"/>
        <v/>
      </c>
    </row>
    <row r="1776" spans="8:34" ht="12.75">
      <c r="H1776" s="43"/>
      <c r="AG1776" s="49" t="str">
        <f ca="1">IFERROR(__xludf.DUMMYFUNCTION("IFNA(vlookup(H1776,IMPORTRANGE(""1vUGwO1n0QQGx9kKbO0_M5gmuhXZ6-LaxQxgrmJnzgP0"",""'TP# look up'!A:C""),3,0),"""")"),"")</f>
        <v/>
      </c>
      <c r="AH1776" s="49" t="str">
        <f t="shared" si="27"/>
        <v/>
      </c>
    </row>
    <row r="1777" spans="8:34" ht="12.75">
      <c r="H1777" s="43"/>
      <c r="AG1777" s="49" t="str">
        <f ca="1">IFERROR(__xludf.DUMMYFUNCTION("IFNA(vlookup(H1777,IMPORTRANGE(""1vUGwO1n0QQGx9kKbO0_M5gmuhXZ6-LaxQxgrmJnzgP0"",""'TP# look up'!A:C""),3,0),"""")"),"")</f>
        <v/>
      </c>
      <c r="AH1777" s="49" t="str">
        <f t="shared" si="27"/>
        <v/>
      </c>
    </row>
    <row r="1778" spans="8:34" ht="12.75">
      <c r="H1778" s="43"/>
      <c r="AG1778" s="49" t="str">
        <f ca="1">IFERROR(__xludf.DUMMYFUNCTION("IFNA(vlookup(H1778,IMPORTRANGE(""1vUGwO1n0QQGx9kKbO0_M5gmuhXZ6-LaxQxgrmJnzgP0"",""'TP# look up'!A:C""),3,0),"""")"),"")</f>
        <v/>
      </c>
      <c r="AH1778" s="49" t="str">
        <f t="shared" si="27"/>
        <v/>
      </c>
    </row>
    <row r="1779" spans="8:34" ht="12.75">
      <c r="H1779" s="43"/>
      <c r="AG1779" s="49" t="str">
        <f ca="1">IFERROR(__xludf.DUMMYFUNCTION("IFNA(vlookup(H1779,IMPORTRANGE(""1vUGwO1n0QQGx9kKbO0_M5gmuhXZ6-LaxQxgrmJnzgP0"",""'TP# look up'!A:C""),3,0),"""")"),"")</f>
        <v/>
      </c>
      <c r="AH1779" s="49" t="str">
        <f t="shared" si="27"/>
        <v/>
      </c>
    </row>
    <row r="1780" spans="8:34" ht="12.75">
      <c r="H1780" s="43"/>
      <c r="AG1780" s="49" t="str">
        <f ca="1">IFERROR(__xludf.DUMMYFUNCTION("IFNA(vlookup(H1780,IMPORTRANGE(""1vUGwO1n0QQGx9kKbO0_M5gmuhXZ6-LaxQxgrmJnzgP0"",""'TP# look up'!A:C""),3,0),"""")"),"")</f>
        <v/>
      </c>
      <c r="AH1780" s="49" t="str">
        <f t="shared" si="27"/>
        <v/>
      </c>
    </row>
    <row r="1781" spans="8:34" ht="12.75">
      <c r="H1781" s="43"/>
      <c r="AG1781" s="49" t="str">
        <f ca="1">IFERROR(__xludf.DUMMYFUNCTION("IFNA(vlookup(H1781,IMPORTRANGE(""1vUGwO1n0QQGx9kKbO0_M5gmuhXZ6-LaxQxgrmJnzgP0"",""'TP# look up'!A:C""),3,0),"""")"),"")</f>
        <v/>
      </c>
      <c r="AH1781" s="49" t="str">
        <f t="shared" si="27"/>
        <v/>
      </c>
    </row>
    <row r="1782" spans="8:34" ht="12.75">
      <c r="H1782" s="43"/>
      <c r="AG1782" s="49" t="str">
        <f ca="1">IFERROR(__xludf.DUMMYFUNCTION("IFNA(vlookup(H1782,IMPORTRANGE(""1vUGwO1n0QQGx9kKbO0_M5gmuhXZ6-LaxQxgrmJnzgP0"",""'TP# look up'!A:C""),3,0),"""")"),"")</f>
        <v/>
      </c>
      <c r="AH1782" s="49" t="str">
        <f t="shared" si="27"/>
        <v/>
      </c>
    </row>
    <row r="1783" spans="8:34" ht="12.75">
      <c r="H1783" s="43"/>
      <c r="AG1783" s="49" t="str">
        <f ca="1">IFERROR(__xludf.DUMMYFUNCTION("IFNA(vlookup(H1783,IMPORTRANGE(""1vUGwO1n0QQGx9kKbO0_M5gmuhXZ6-LaxQxgrmJnzgP0"",""'TP# look up'!A:C""),3,0),"""")"),"")</f>
        <v/>
      </c>
      <c r="AH1783" s="49" t="str">
        <f t="shared" si="27"/>
        <v/>
      </c>
    </row>
    <row r="1784" spans="8:34" ht="12.75">
      <c r="H1784" s="43"/>
      <c r="AG1784" s="49" t="str">
        <f ca="1">IFERROR(__xludf.DUMMYFUNCTION("IFNA(vlookup(H1784,IMPORTRANGE(""1vUGwO1n0QQGx9kKbO0_M5gmuhXZ6-LaxQxgrmJnzgP0"",""'TP# look up'!A:C""),3,0),"""")"),"")</f>
        <v/>
      </c>
      <c r="AH1784" s="49" t="str">
        <f t="shared" si="27"/>
        <v/>
      </c>
    </row>
    <row r="1785" spans="8:34" ht="12.75">
      <c r="H1785" s="43"/>
      <c r="AG1785" s="49" t="str">
        <f ca="1">IFERROR(__xludf.DUMMYFUNCTION("IFNA(vlookup(H1785,IMPORTRANGE(""1vUGwO1n0QQGx9kKbO0_M5gmuhXZ6-LaxQxgrmJnzgP0"",""'TP# look up'!A:C""),3,0),"""")"),"")</f>
        <v/>
      </c>
      <c r="AH1785" s="49" t="str">
        <f t="shared" si="27"/>
        <v/>
      </c>
    </row>
    <row r="1786" spans="8:34" ht="12.75">
      <c r="H1786" s="43"/>
      <c r="AG1786" s="49" t="str">
        <f ca="1">IFERROR(__xludf.DUMMYFUNCTION("IFNA(vlookup(H1786,IMPORTRANGE(""1vUGwO1n0QQGx9kKbO0_M5gmuhXZ6-LaxQxgrmJnzgP0"",""'TP# look up'!A:C""),3,0),"""")"),"")</f>
        <v/>
      </c>
      <c r="AH1786" s="49" t="str">
        <f t="shared" si="27"/>
        <v/>
      </c>
    </row>
    <row r="1787" spans="8:34" ht="12.75">
      <c r="H1787" s="43"/>
      <c r="AG1787" s="49" t="str">
        <f ca="1">IFERROR(__xludf.DUMMYFUNCTION("IFNA(vlookup(H1787,IMPORTRANGE(""1vUGwO1n0QQGx9kKbO0_M5gmuhXZ6-LaxQxgrmJnzgP0"",""'TP# look up'!A:C""),3,0),"""")"),"")</f>
        <v/>
      </c>
      <c r="AH1787" s="49" t="str">
        <f t="shared" si="27"/>
        <v/>
      </c>
    </row>
    <row r="1788" spans="8:34" ht="12.75">
      <c r="H1788" s="43"/>
      <c r="AG1788" s="49" t="str">
        <f ca="1">IFERROR(__xludf.DUMMYFUNCTION("IFNA(vlookup(H1788,IMPORTRANGE(""1vUGwO1n0QQGx9kKbO0_M5gmuhXZ6-LaxQxgrmJnzgP0"",""'TP# look up'!A:C""),3,0),"""")"),"")</f>
        <v/>
      </c>
      <c r="AH1788" s="49" t="str">
        <f t="shared" si="27"/>
        <v/>
      </c>
    </row>
    <row r="1789" spans="8:34" ht="12.75">
      <c r="H1789" s="43"/>
      <c r="AG1789" s="49" t="str">
        <f ca="1">IFERROR(__xludf.DUMMYFUNCTION("IFNA(vlookup(H1789,IMPORTRANGE(""1vUGwO1n0QQGx9kKbO0_M5gmuhXZ6-LaxQxgrmJnzgP0"",""'TP# look up'!A:C""),3,0),"""")"),"")</f>
        <v/>
      </c>
      <c r="AH1789" s="49" t="str">
        <f t="shared" si="27"/>
        <v/>
      </c>
    </row>
    <row r="1790" spans="8:34" ht="12.75">
      <c r="H1790" s="43"/>
      <c r="AG1790" s="49" t="str">
        <f ca="1">IFERROR(__xludf.DUMMYFUNCTION("IFNA(vlookup(H1790,IMPORTRANGE(""1vUGwO1n0QQGx9kKbO0_M5gmuhXZ6-LaxQxgrmJnzgP0"",""'TP# look up'!A:C""),3,0),"""")"),"")</f>
        <v/>
      </c>
      <c r="AH1790" s="49" t="str">
        <f t="shared" si="27"/>
        <v/>
      </c>
    </row>
    <row r="1791" spans="8:34" ht="12.75">
      <c r="H1791" s="43"/>
      <c r="AG1791" s="49" t="str">
        <f ca="1">IFERROR(__xludf.DUMMYFUNCTION("IFNA(vlookup(H1791,IMPORTRANGE(""1vUGwO1n0QQGx9kKbO0_M5gmuhXZ6-LaxQxgrmJnzgP0"",""'TP# look up'!A:C""),3,0),"""")"),"")</f>
        <v/>
      </c>
      <c r="AH1791" s="49" t="str">
        <f t="shared" si="27"/>
        <v/>
      </c>
    </row>
    <row r="1792" spans="8:34" ht="12.75">
      <c r="H1792" s="43"/>
      <c r="AG1792" s="49" t="str">
        <f ca="1">IFERROR(__xludf.DUMMYFUNCTION("IFNA(vlookup(H1792,IMPORTRANGE(""1vUGwO1n0QQGx9kKbO0_M5gmuhXZ6-LaxQxgrmJnzgP0"",""'TP# look up'!A:C""),3,0),"""")"),"")</f>
        <v/>
      </c>
      <c r="AH1792" s="49" t="str">
        <f t="shared" si="27"/>
        <v/>
      </c>
    </row>
    <row r="1793" spans="8:34" ht="12.75">
      <c r="H1793" s="43"/>
      <c r="AG1793" s="49" t="str">
        <f ca="1">IFERROR(__xludf.DUMMYFUNCTION("IFNA(vlookup(H1793,IMPORTRANGE(""1vUGwO1n0QQGx9kKbO0_M5gmuhXZ6-LaxQxgrmJnzgP0"",""'TP# look up'!A:C""),3,0),"""")"),"")</f>
        <v/>
      </c>
      <c r="AH1793" s="49" t="str">
        <f t="shared" si="27"/>
        <v/>
      </c>
    </row>
    <row r="1794" spans="8:34" ht="12.75">
      <c r="H1794" s="43"/>
      <c r="AG1794" s="49" t="str">
        <f ca="1">IFERROR(__xludf.DUMMYFUNCTION("IFNA(vlookup(H1794,IMPORTRANGE(""1vUGwO1n0QQGx9kKbO0_M5gmuhXZ6-LaxQxgrmJnzgP0"",""'TP# look up'!A:C""),3,0),"""")"),"")</f>
        <v/>
      </c>
      <c r="AH1794" s="49" t="str">
        <f t="shared" ref="AH1794:AH1857" si="28">LEFT(J1794,2)</f>
        <v/>
      </c>
    </row>
    <row r="1795" spans="8:34" ht="12.75">
      <c r="H1795" s="43"/>
      <c r="AG1795" s="49" t="str">
        <f ca="1">IFERROR(__xludf.DUMMYFUNCTION("IFNA(vlookup(H1795,IMPORTRANGE(""1vUGwO1n0QQGx9kKbO0_M5gmuhXZ6-LaxQxgrmJnzgP0"",""'TP# look up'!A:C""),3,0),"""")"),"")</f>
        <v/>
      </c>
      <c r="AH1795" s="49" t="str">
        <f t="shared" si="28"/>
        <v/>
      </c>
    </row>
    <row r="1796" spans="8:34" ht="12.75">
      <c r="H1796" s="43"/>
      <c r="AG1796" s="49" t="str">
        <f ca="1">IFERROR(__xludf.DUMMYFUNCTION("IFNA(vlookup(H1796,IMPORTRANGE(""1vUGwO1n0QQGx9kKbO0_M5gmuhXZ6-LaxQxgrmJnzgP0"",""'TP# look up'!A:C""),3,0),"""")"),"")</f>
        <v/>
      </c>
      <c r="AH1796" s="49" t="str">
        <f t="shared" si="28"/>
        <v/>
      </c>
    </row>
    <row r="1797" spans="8:34" ht="12.75">
      <c r="H1797" s="43"/>
      <c r="AG1797" s="49" t="str">
        <f ca="1">IFERROR(__xludf.DUMMYFUNCTION("IFNA(vlookup(H1797,IMPORTRANGE(""1vUGwO1n0QQGx9kKbO0_M5gmuhXZ6-LaxQxgrmJnzgP0"",""'TP# look up'!A:C""),3,0),"""")"),"")</f>
        <v/>
      </c>
      <c r="AH1797" s="49" t="str">
        <f t="shared" si="28"/>
        <v/>
      </c>
    </row>
    <row r="1798" spans="8:34" ht="12.75">
      <c r="H1798" s="43"/>
      <c r="AG1798" s="49" t="str">
        <f ca="1">IFERROR(__xludf.DUMMYFUNCTION("IFNA(vlookup(H1798,IMPORTRANGE(""1vUGwO1n0QQGx9kKbO0_M5gmuhXZ6-LaxQxgrmJnzgP0"",""'TP# look up'!A:C""),3,0),"""")"),"")</f>
        <v/>
      </c>
      <c r="AH1798" s="49" t="str">
        <f t="shared" si="28"/>
        <v/>
      </c>
    </row>
    <row r="1799" spans="8:34" ht="12.75">
      <c r="H1799" s="43"/>
      <c r="AG1799" s="49" t="str">
        <f ca="1">IFERROR(__xludf.DUMMYFUNCTION("IFNA(vlookup(H1799,IMPORTRANGE(""1vUGwO1n0QQGx9kKbO0_M5gmuhXZ6-LaxQxgrmJnzgP0"",""'TP# look up'!A:C""),3,0),"""")"),"")</f>
        <v/>
      </c>
      <c r="AH1799" s="49" t="str">
        <f t="shared" si="28"/>
        <v/>
      </c>
    </row>
    <row r="1800" spans="8:34" ht="12.75">
      <c r="H1800" s="43"/>
      <c r="AG1800" s="49" t="str">
        <f ca="1">IFERROR(__xludf.DUMMYFUNCTION("IFNA(vlookup(H1800,IMPORTRANGE(""1vUGwO1n0QQGx9kKbO0_M5gmuhXZ6-LaxQxgrmJnzgP0"",""'TP# look up'!A:C""),3,0),"""")"),"")</f>
        <v/>
      </c>
      <c r="AH1800" s="49" t="str">
        <f t="shared" si="28"/>
        <v/>
      </c>
    </row>
    <row r="1801" spans="8:34" ht="12.75">
      <c r="H1801" s="43"/>
      <c r="AG1801" s="49" t="str">
        <f ca="1">IFERROR(__xludf.DUMMYFUNCTION("IFNA(vlookup(H1801,IMPORTRANGE(""1vUGwO1n0QQGx9kKbO0_M5gmuhXZ6-LaxQxgrmJnzgP0"",""'TP# look up'!A:C""),3,0),"""")"),"")</f>
        <v/>
      </c>
      <c r="AH1801" s="49" t="str">
        <f t="shared" si="28"/>
        <v/>
      </c>
    </row>
    <row r="1802" spans="8:34" ht="12.75">
      <c r="H1802" s="43"/>
      <c r="AG1802" s="49" t="str">
        <f ca="1">IFERROR(__xludf.DUMMYFUNCTION("IFNA(vlookup(H1802,IMPORTRANGE(""1vUGwO1n0QQGx9kKbO0_M5gmuhXZ6-LaxQxgrmJnzgP0"",""'TP# look up'!A:C""),3,0),"""")"),"")</f>
        <v/>
      </c>
      <c r="AH1802" s="49" t="str">
        <f t="shared" si="28"/>
        <v/>
      </c>
    </row>
    <row r="1803" spans="8:34" ht="12.75">
      <c r="H1803" s="43"/>
      <c r="AG1803" s="49" t="str">
        <f ca="1">IFERROR(__xludf.DUMMYFUNCTION("IFNA(vlookup(H1803,IMPORTRANGE(""1vUGwO1n0QQGx9kKbO0_M5gmuhXZ6-LaxQxgrmJnzgP0"",""'TP# look up'!A:C""),3,0),"""")"),"")</f>
        <v/>
      </c>
      <c r="AH1803" s="49" t="str">
        <f t="shared" si="28"/>
        <v/>
      </c>
    </row>
    <row r="1804" spans="8:34" ht="12.75">
      <c r="H1804" s="43"/>
      <c r="AG1804" s="49" t="str">
        <f ca="1">IFERROR(__xludf.DUMMYFUNCTION("IFNA(vlookup(H1804,IMPORTRANGE(""1vUGwO1n0QQGx9kKbO0_M5gmuhXZ6-LaxQxgrmJnzgP0"",""'TP# look up'!A:C""),3,0),"""")"),"")</f>
        <v/>
      </c>
      <c r="AH1804" s="49" t="str">
        <f t="shared" si="28"/>
        <v/>
      </c>
    </row>
    <row r="1805" spans="8:34" ht="12.75">
      <c r="H1805" s="43"/>
      <c r="AG1805" s="49" t="str">
        <f ca="1">IFERROR(__xludf.DUMMYFUNCTION("IFNA(vlookup(H1805,IMPORTRANGE(""1vUGwO1n0QQGx9kKbO0_M5gmuhXZ6-LaxQxgrmJnzgP0"",""'TP# look up'!A:C""),3,0),"""")"),"")</f>
        <v/>
      </c>
      <c r="AH1805" s="49" t="str">
        <f t="shared" si="28"/>
        <v/>
      </c>
    </row>
    <row r="1806" spans="8:34" ht="12.75">
      <c r="H1806" s="43"/>
      <c r="AG1806" s="49" t="str">
        <f ca="1">IFERROR(__xludf.DUMMYFUNCTION("IFNA(vlookup(H1806,IMPORTRANGE(""1vUGwO1n0QQGx9kKbO0_M5gmuhXZ6-LaxQxgrmJnzgP0"",""'TP# look up'!A:C""),3,0),"""")"),"")</f>
        <v/>
      </c>
      <c r="AH1806" s="49" t="str">
        <f t="shared" si="28"/>
        <v/>
      </c>
    </row>
    <row r="1807" spans="8:34" ht="12.75">
      <c r="H1807" s="43"/>
      <c r="AG1807" s="49" t="str">
        <f ca="1">IFERROR(__xludf.DUMMYFUNCTION("IFNA(vlookup(H1807,IMPORTRANGE(""1vUGwO1n0QQGx9kKbO0_M5gmuhXZ6-LaxQxgrmJnzgP0"",""'TP# look up'!A:C""),3,0),"""")"),"")</f>
        <v/>
      </c>
      <c r="AH1807" s="49" t="str">
        <f t="shared" si="28"/>
        <v/>
      </c>
    </row>
    <row r="1808" spans="8:34" ht="12.75">
      <c r="H1808" s="43"/>
      <c r="AG1808" s="49" t="str">
        <f ca="1">IFERROR(__xludf.DUMMYFUNCTION("IFNA(vlookup(H1808,IMPORTRANGE(""1vUGwO1n0QQGx9kKbO0_M5gmuhXZ6-LaxQxgrmJnzgP0"",""'TP# look up'!A:C""),3,0),"""")"),"")</f>
        <v/>
      </c>
      <c r="AH1808" s="49" t="str">
        <f t="shared" si="28"/>
        <v/>
      </c>
    </row>
    <row r="1809" spans="8:34" ht="12.75">
      <c r="H1809" s="43"/>
      <c r="AG1809" s="49" t="str">
        <f ca="1">IFERROR(__xludf.DUMMYFUNCTION("IFNA(vlookup(H1809,IMPORTRANGE(""1vUGwO1n0QQGx9kKbO0_M5gmuhXZ6-LaxQxgrmJnzgP0"",""'TP# look up'!A:C""),3,0),"""")"),"")</f>
        <v/>
      </c>
      <c r="AH1809" s="49" t="str">
        <f t="shared" si="28"/>
        <v/>
      </c>
    </row>
    <row r="1810" spans="8:34" ht="12.75">
      <c r="H1810" s="43"/>
      <c r="AG1810" s="49" t="str">
        <f ca="1">IFERROR(__xludf.DUMMYFUNCTION("IFNA(vlookup(H1810,IMPORTRANGE(""1vUGwO1n0QQGx9kKbO0_M5gmuhXZ6-LaxQxgrmJnzgP0"",""'TP# look up'!A:C""),3,0),"""")"),"")</f>
        <v/>
      </c>
      <c r="AH1810" s="49" t="str">
        <f t="shared" si="28"/>
        <v/>
      </c>
    </row>
    <row r="1811" spans="8:34" ht="12.75">
      <c r="H1811" s="43"/>
      <c r="AG1811" s="49" t="str">
        <f ca="1">IFERROR(__xludf.DUMMYFUNCTION("IFNA(vlookup(H1811,IMPORTRANGE(""1vUGwO1n0QQGx9kKbO0_M5gmuhXZ6-LaxQxgrmJnzgP0"",""'TP# look up'!A:C""),3,0),"""")"),"")</f>
        <v/>
      </c>
      <c r="AH1811" s="49" t="str">
        <f t="shared" si="28"/>
        <v/>
      </c>
    </row>
    <row r="1812" spans="8:34" ht="12.75">
      <c r="H1812" s="43"/>
      <c r="AG1812" s="49" t="str">
        <f ca="1">IFERROR(__xludf.DUMMYFUNCTION("IFNA(vlookup(H1812,IMPORTRANGE(""1vUGwO1n0QQGx9kKbO0_M5gmuhXZ6-LaxQxgrmJnzgP0"",""'TP# look up'!A:C""),3,0),"""")"),"")</f>
        <v/>
      </c>
      <c r="AH1812" s="49" t="str">
        <f t="shared" si="28"/>
        <v/>
      </c>
    </row>
    <row r="1813" spans="8:34" ht="12.75">
      <c r="H1813" s="43"/>
      <c r="AG1813" s="49" t="str">
        <f ca="1">IFERROR(__xludf.DUMMYFUNCTION("IFNA(vlookup(H1813,IMPORTRANGE(""1vUGwO1n0QQGx9kKbO0_M5gmuhXZ6-LaxQxgrmJnzgP0"",""'TP# look up'!A:C""),3,0),"""")"),"")</f>
        <v/>
      </c>
      <c r="AH1813" s="49" t="str">
        <f t="shared" si="28"/>
        <v/>
      </c>
    </row>
    <row r="1814" spans="8:34" ht="12.75">
      <c r="H1814" s="43"/>
      <c r="AG1814" s="49" t="str">
        <f ca="1">IFERROR(__xludf.DUMMYFUNCTION("IFNA(vlookup(H1814,IMPORTRANGE(""1vUGwO1n0QQGx9kKbO0_M5gmuhXZ6-LaxQxgrmJnzgP0"",""'TP# look up'!A:C""),3,0),"""")"),"")</f>
        <v/>
      </c>
      <c r="AH1814" s="49" t="str">
        <f t="shared" si="28"/>
        <v/>
      </c>
    </row>
    <row r="1815" spans="8:34" ht="12.75">
      <c r="H1815" s="43"/>
      <c r="AG1815" s="49" t="str">
        <f ca="1">IFERROR(__xludf.DUMMYFUNCTION("IFNA(vlookup(H1815,IMPORTRANGE(""1vUGwO1n0QQGx9kKbO0_M5gmuhXZ6-LaxQxgrmJnzgP0"",""'TP# look up'!A:C""),3,0),"""")"),"")</f>
        <v/>
      </c>
      <c r="AH1815" s="49" t="str">
        <f t="shared" si="28"/>
        <v/>
      </c>
    </row>
    <row r="1816" spans="8:34" ht="12.75">
      <c r="H1816" s="43"/>
      <c r="AG1816" s="49" t="str">
        <f ca="1">IFERROR(__xludf.DUMMYFUNCTION("IFNA(vlookup(H1816,IMPORTRANGE(""1vUGwO1n0QQGx9kKbO0_M5gmuhXZ6-LaxQxgrmJnzgP0"",""'TP# look up'!A:C""),3,0),"""")"),"")</f>
        <v/>
      </c>
      <c r="AH1816" s="49" t="str">
        <f t="shared" si="28"/>
        <v/>
      </c>
    </row>
    <row r="1817" spans="8:34" ht="12.75">
      <c r="H1817" s="43"/>
      <c r="AG1817" s="49" t="str">
        <f ca="1">IFERROR(__xludf.DUMMYFUNCTION("IFNA(vlookup(H1817,IMPORTRANGE(""1vUGwO1n0QQGx9kKbO0_M5gmuhXZ6-LaxQxgrmJnzgP0"",""'TP# look up'!A:C""),3,0),"""")"),"")</f>
        <v/>
      </c>
      <c r="AH1817" s="49" t="str">
        <f t="shared" si="28"/>
        <v/>
      </c>
    </row>
    <row r="1818" spans="8:34" ht="12.75">
      <c r="H1818" s="43"/>
      <c r="AG1818" s="49" t="str">
        <f ca="1">IFERROR(__xludf.DUMMYFUNCTION("IFNA(vlookup(H1818,IMPORTRANGE(""1vUGwO1n0QQGx9kKbO0_M5gmuhXZ6-LaxQxgrmJnzgP0"",""'TP# look up'!A:C""),3,0),"""")"),"")</f>
        <v/>
      </c>
      <c r="AH1818" s="49" t="str">
        <f t="shared" si="28"/>
        <v/>
      </c>
    </row>
    <row r="1819" spans="8:34" ht="12.75">
      <c r="H1819" s="43"/>
      <c r="AG1819" s="49" t="str">
        <f ca="1">IFERROR(__xludf.DUMMYFUNCTION("IFNA(vlookup(H1819,IMPORTRANGE(""1vUGwO1n0QQGx9kKbO0_M5gmuhXZ6-LaxQxgrmJnzgP0"",""'TP# look up'!A:C""),3,0),"""")"),"")</f>
        <v/>
      </c>
      <c r="AH1819" s="49" t="str">
        <f t="shared" si="28"/>
        <v/>
      </c>
    </row>
    <row r="1820" spans="8:34" ht="12.75">
      <c r="H1820" s="43"/>
      <c r="AG1820" s="49" t="str">
        <f ca="1">IFERROR(__xludf.DUMMYFUNCTION("IFNA(vlookup(H1820,IMPORTRANGE(""1vUGwO1n0QQGx9kKbO0_M5gmuhXZ6-LaxQxgrmJnzgP0"",""'TP# look up'!A:C""),3,0),"""")"),"")</f>
        <v/>
      </c>
      <c r="AH1820" s="49" t="str">
        <f t="shared" si="28"/>
        <v/>
      </c>
    </row>
    <row r="1821" spans="8:34" ht="12.75">
      <c r="H1821" s="43"/>
      <c r="AG1821" s="49" t="str">
        <f ca="1">IFERROR(__xludf.DUMMYFUNCTION("IFNA(vlookup(H1821,IMPORTRANGE(""1vUGwO1n0QQGx9kKbO0_M5gmuhXZ6-LaxQxgrmJnzgP0"",""'TP# look up'!A:C""),3,0),"""")"),"")</f>
        <v/>
      </c>
      <c r="AH1821" s="49" t="str">
        <f t="shared" si="28"/>
        <v/>
      </c>
    </row>
    <row r="1822" spans="8:34" ht="12.75">
      <c r="H1822" s="43"/>
      <c r="AG1822" s="49" t="str">
        <f ca="1">IFERROR(__xludf.DUMMYFUNCTION("IFNA(vlookup(H1822,IMPORTRANGE(""1vUGwO1n0QQGx9kKbO0_M5gmuhXZ6-LaxQxgrmJnzgP0"",""'TP# look up'!A:C""),3,0),"""")"),"")</f>
        <v/>
      </c>
      <c r="AH1822" s="49" t="str">
        <f t="shared" si="28"/>
        <v/>
      </c>
    </row>
    <row r="1823" spans="8:34" ht="12.75">
      <c r="H1823" s="43"/>
      <c r="AG1823" s="49" t="str">
        <f ca="1">IFERROR(__xludf.DUMMYFUNCTION("IFNA(vlookup(H1823,IMPORTRANGE(""1vUGwO1n0QQGx9kKbO0_M5gmuhXZ6-LaxQxgrmJnzgP0"",""'TP# look up'!A:C""),3,0),"""")"),"")</f>
        <v/>
      </c>
      <c r="AH1823" s="49" t="str">
        <f t="shared" si="28"/>
        <v/>
      </c>
    </row>
    <row r="1824" spans="8:34" ht="12.75">
      <c r="H1824" s="43"/>
      <c r="AG1824" s="49" t="str">
        <f ca="1">IFERROR(__xludf.DUMMYFUNCTION("IFNA(vlookup(H1824,IMPORTRANGE(""1vUGwO1n0QQGx9kKbO0_M5gmuhXZ6-LaxQxgrmJnzgP0"",""'TP# look up'!A:C""),3,0),"""")"),"")</f>
        <v/>
      </c>
      <c r="AH1824" s="49" t="str">
        <f t="shared" si="28"/>
        <v/>
      </c>
    </row>
    <row r="1825" spans="8:34" ht="12.75">
      <c r="H1825" s="43"/>
      <c r="AG1825" s="49" t="str">
        <f ca="1">IFERROR(__xludf.DUMMYFUNCTION("IFNA(vlookup(H1825,IMPORTRANGE(""1vUGwO1n0QQGx9kKbO0_M5gmuhXZ6-LaxQxgrmJnzgP0"",""'TP# look up'!A:C""),3,0),"""")"),"")</f>
        <v/>
      </c>
      <c r="AH1825" s="49" t="str">
        <f t="shared" si="28"/>
        <v/>
      </c>
    </row>
    <row r="1826" spans="8:34" ht="12.75">
      <c r="H1826" s="43"/>
      <c r="AG1826" s="49" t="str">
        <f ca="1">IFERROR(__xludf.DUMMYFUNCTION("IFNA(vlookup(H1826,IMPORTRANGE(""1vUGwO1n0QQGx9kKbO0_M5gmuhXZ6-LaxQxgrmJnzgP0"",""'TP# look up'!A:C""),3,0),"""")"),"")</f>
        <v/>
      </c>
      <c r="AH1826" s="49" t="str">
        <f t="shared" si="28"/>
        <v/>
      </c>
    </row>
    <row r="1827" spans="8:34" ht="12.75">
      <c r="H1827" s="43"/>
      <c r="AG1827" s="49" t="str">
        <f ca="1">IFERROR(__xludf.DUMMYFUNCTION("IFNA(vlookup(H1827,IMPORTRANGE(""1vUGwO1n0QQGx9kKbO0_M5gmuhXZ6-LaxQxgrmJnzgP0"",""'TP# look up'!A:C""),3,0),"""")"),"")</f>
        <v/>
      </c>
      <c r="AH1827" s="49" t="str">
        <f t="shared" si="28"/>
        <v/>
      </c>
    </row>
    <row r="1828" spans="8:34" ht="12.75">
      <c r="H1828" s="43"/>
      <c r="AG1828" s="49" t="str">
        <f ca="1">IFERROR(__xludf.DUMMYFUNCTION("IFNA(vlookup(H1828,IMPORTRANGE(""1vUGwO1n0QQGx9kKbO0_M5gmuhXZ6-LaxQxgrmJnzgP0"",""'TP# look up'!A:C""),3,0),"""")"),"")</f>
        <v/>
      </c>
      <c r="AH1828" s="49" t="str">
        <f t="shared" si="28"/>
        <v/>
      </c>
    </row>
    <row r="1829" spans="8:34" ht="12.75">
      <c r="H1829" s="43"/>
      <c r="AG1829" s="49" t="str">
        <f ca="1">IFERROR(__xludf.DUMMYFUNCTION("IFNA(vlookup(H1829,IMPORTRANGE(""1vUGwO1n0QQGx9kKbO0_M5gmuhXZ6-LaxQxgrmJnzgP0"",""'TP# look up'!A:C""),3,0),"""")"),"")</f>
        <v/>
      </c>
      <c r="AH1829" s="49" t="str">
        <f t="shared" si="28"/>
        <v/>
      </c>
    </row>
    <row r="1830" spans="8:34" ht="12.75">
      <c r="H1830" s="43"/>
      <c r="AG1830" s="49" t="str">
        <f ca="1">IFERROR(__xludf.DUMMYFUNCTION("IFNA(vlookup(H1830,IMPORTRANGE(""1vUGwO1n0QQGx9kKbO0_M5gmuhXZ6-LaxQxgrmJnzgP0"",""'TP# look up'!A:C""),3,0),"""")"),"")</f>
        <v/>
      </c>
      <c r="AH1830" s="49" t="str">
        <f t="shared" si="28"/>
        <v/>
      </c>
    </row>
    <row r="1831" spans="8:34" ht="12.75">
      <c r="H1831" s="43"/>
      <c r="AG1831" s="49" t="str">
        <f ca="1">IFERROR(__xludf.DUMMYFUNCTION("IFNA(vlookup(H1831,IMPORTRANGE(""1vUGwO1n0QQGx9kKbO0_M5gmuhXZ6-LaxQxgrmJnzgP0"",""'TP# look up'!A:C""),3,0),"""")"),"")</f>
        <v/>
      </c>
      <c r="AH1831" s="49" t="str">
        <f t="shared" si="28"/>
        <v/>
      </c>
    </row>
    <row r="1832" spans="8:34" ht="12.75">
      <c r="H1832" s="43"/>
      <c r="AG1832" s="49" t="str">
        <f ca="1">IFERROR(__xludf.DUMMYFUNCTION("IFNA(vlookup(H1832,IMPORTRANGE(""1vUGwO1n0QQGx9kKbO0_M5gmuhXZ6-LaxQxgrmJnzgP0"",""'TP# look up'!A:C""),3,0),"""")"),"")</f>
        <v/>
      </c>
      <c r="AH1832" s="49" t="str">
        <f t="shared" si="28"/>
        <v/>
      </c>
    </row>
    <row r="1833" spans="8:34" ht="12.75">
      <c r="H1833" s="43"/>
      <c r="AG1833" s="49" t="str">
        <f ca="1">IFERROR(__xludf.DUMMYFUNCTION("IFNA(vlookup(H1833,IMPORTRANGE(""1vUGwO1n0QQGx9kKbO0_M5gmuhXZ6-LaxQxgrmJnzgP0"",""'TP# look up'!A:C""),3,0),"""")"),"")</f>
        <v/>
      </c>
      <c r="AH1833" s="49" t="str">
        <f t="shared" si="28"/>
        <v/>
      </c>
    </row>
    <row r="1834" spans="8:34" ht="12.75">
      <c r="H1834" s="43"/>
      <c r="AG1834" s="49" t="str">
        <f ca="1">IFERROR(__xludf.DUMMYFUNCTION("IFNA(vlookup(H1834,IMPORTRANGE(""1vUGwO1n0QQGx9kKbO0_M5gmuhXZ6-LaxQxgrmJnzgP0"",""'TP# look up'!A:C""),3,0),"""")"),"")</f>
        <v/>
      </c>
      <c r="AH1834" s="49" t="str">
        <f t="shared" si="28"/>
        <v/>
      </c>
    </row>
    <row r="1835" spans="8:34" ht="12.75">
      <c r="H1835" s="43"/>
      <c r="AG1835" s="49" t="str">
        <f ca="1">IFERROR(__xludf.DUMMYFUNCTION("IFNA(vlookup(H1835,IMPORTRANGE(""1vUGwO1n0QQGx9kKbO0_M5gmuhXZ6-LaxQxgrmJnzgP0"",""'TP# look up'!A:C""),3,0),"""")"),"")</f>
        <v/>
      </c>
      <c r="AH1835" s="49" t="str">
        <f t="shared" si="28"/>
        <v/>
      </c>
    </row>
    <row r="1836" spans="8:34" ht="12.75">
      <c r="H1836" s="43"/>
      <c r="AG1836" s="49" t="str">
        <f ca="1">IFERROR(__xludf.DUMMYFUNCTION("IFNA(vlookup(H1836,IMPORTRANGE(""1vUGwO1n0QQGx9kKbO0_M5gmuhXZ6-LaxQxgrmJnzgP0"",""'TP# look up'!A:C""),3,0),"""")"),"")</f>
        <v/>
      </c>
      <c r="AH1836" s="49" t="str">
        <f t="shared" si="28"/>
        <v/>
      </c>
    </row>
    <row r="1837" spans="8:34" ht="12.75">
      <c r="H1837" s="43"/>
      <c r="AG1837" s="49" t="str">
        <f ca="1">IFERROR(__xludf.DUMMYFUNCTION("IFNA(vlookup(H1837,IMPORTRANGE(""1vUGwO1n0QQGx9kKbO0_M5gmuhXZ6-LaxQxgrmJnzgP0"",""'TP# look up'!A:C""),3,0),"""")"),"")</f>
        <v/>
      </c>
      <c r="AH1837" s="49" t="str">
        <f t="shared" si="28"/>
        <v/>
      </c>
    </row>
    <row r="1838" spans="8:34" ht="12.75">
      <c r="H1838" s="43"/>
      <c r="AG1838" s="49" t="str">
        <f ca="1">IFERROR(__xludf.DUMMYFUNCTION("IFNA(vlookup(H1838,IMPORTRANGE(""1vUGwO1n0QQGx9kKbO0_M5gmuhXZ6-LaxQxgrmJnzgP0"",""'TP# look up'!A:C""),3,0),"""")"),"")</f>
        <v/>
      </c>
      <c r="AH1838" s="49" t="str">
        <f t="shared" si="28"/>
        <v/>
      </c>
    </row>
    <row r="1839" spans="8:34" ht="12.75">
      <c r="H1839" s="43"/>
      <c r="AG1839" s="49" t="str">
        <f ca="1">IFERROR(__xludf.DUMMYFUNCTION("IFNA(vlookup(H1839,IMPORTRANGE(""1vUGwO1n0QQGx9kKbO0_M5gmuhXZ6-LaxQxgrmJnzgP0"",""'TP# look up'!A:C""),3,0),"""")"),"")</f>
        <v/>
      </c>
      <c r="AH1839" s="49" t="str">
        <f t="shared" si="28"/>
        <v/>
      </c>
    </row>
    <row r="1840" spans="8:34" ht="12.75">
      <c r="H1840" s="43"/>
      <c r="AG1840" s="49" t="str">
        <f ca="1">IFERROR(__xludf.DUMMYFUNCTION("IFNA(vlookup(H1840,IMPORTRANGE(""1vUGwO1n0QQGx9kKbO0_M5gmuhXZ6-LaxQxgrmJnzgP0"",""'TP# look up'!A:C""),3,0),"""")"),"")</f>
        <v/>
      </c>
      <c r="AH1840" s="49" t="str">
        <f t="shared" si="28"/>
        <v/>
      </c>
    </row>
    <row r="1841" spans="8:34" ht="12.75">
      <c r="H1841" s="43"/>
      <c r="AG1841" s="49" t="str">
        <f ca="1">IFERROR(__xludf.DUMMYFUNCTION("IFNA(vlookup(H1841,IMPORTRANGE(""1vUGwO1n0QQGx9kKbO0_M5gmuhXZ6-LaxQxgrmJnzgP0"",""'TP# look up'!A:C""),3,0),"""")"),"")</f>
        <v/>
      </c>
      <c r="AH1841" s="49" t="str">
        <f t="shared" si="28"/>
        <v/>
      </c>
    </row>
    <row r="1842" spans="8:34" ht="12.75">
      <c r="H1842" s="43"/>
      <c r="AG1842" s="49" t="str">
        <f ca="1">IFERROR(__xludf.DUMMYFUNCTION("IFNA(vlookup(H1842,IMPORTRANGE(""1vUGwO1n0QQGx9kKbO0_M5gmuhXZ6-LaxQxgrmJnzgP0"",""'TP# look up'!A:C""),3,0),"""")"),"")</f>
        <v/>
      </c>
      <c r="AH1842" s="49" t="str">
        <f t="shared" si="28"/>
        <v/>
      </c>
    </row>
    <row r="1843" spans="8:34" ht="12.75">
      <c r="H1843" s="43"/>
      <c r="AG1843" s="49" t="str">
        <f ca="1">IFERROR(__xludf.DUMMYFUNCTION("IFNA(vlookup(H1843,IMPORTRANGE(""1vUGwO1n0QQGx9kKbO0_M5gmuhXZ6-LaxQxgrmJnzgP0"",""'TP# look up'!A:C""),3,0),"""")"),"")</f>
        <v/>
      </c>
      <c r="AH1843" s="49" t="str">
        <f t="shared" si="28"/>
        <v/>
      </c>
    </row>
    <row r="1844" spans="8:34" ht="12.75">
      <c r="H1844" s="43"/>
      <c r="AG1844" s="49" t="str">
        <f ca="1">IFERROR(__xludf.DUMMYFUNCTION("IFNA(vlookup(H1844,IMPORTRANGE(""1vUGwO1n0QQGx9kKbO0_M5gmuhXZ6-LaxQxgrmJnzgP0"",""'TP# look up'!A:C""),3,0),"""")"),"")</f>
        <v/>
      </c>
      <c r="AH1844" s="49" t="str">
        <f t="shared" si="28"/>
        <v/>
      </c>
    </row>
    <row r="1845" spans="8:34" ht="12.75">
      <c r="H1845" s="43"/>
      <c r="AG1845" s="49" t="str">
        <f ca="1">IFERROR(__xludf.DUMMYFUNCTION("IFNA(vlookup(H1845,IMPORTRANGE(""1vUGwO1n0QQGx9kKbO0_M5gmuhXZ6-LaxQxgrmJnzgP0"",""'TP# look up'!A:C""),3,0),"""")"),"")</f>
        <v/>
      </c>
      <c r="AH1845" s="49" t="str">
        <f t="shared" si="28"/>
        <v/>
      </c>
    </row>
    <row r="1846" spans="8:34" ht="12.75">
      <c r="H1846" s="43"/>
      <c r="AG1846" s="49" t="str">
        <f ca="1">IFERROR(__xludf.DUMMYFUNCTION("IFNA(vlookup(H1846,IMPORTRANGE(""1vUGwO1n0QQGx9kKbO0_M5gmuhXZ6-LaxQxgrmJnzgP0"",""'TP# look up'!A:C""),3,0),"""")"),"")</f>
        <v/>
      </c>
      <c r="AH1846" s="49" t="str">
        <f t="shared" si="28"/>
        <v/>
      </c>
    </row>
    <row r="1847" spans="8:34" ht="12.75">
      <c r="H1847" s="43"/>
      <c r="AG1847" s="49" t="str">
        <f ca="1">IFERROR(__xludf.DUMMYFUNCTION("IFNA(vlookup(H1847,IMPORTRANGE(""1vUGwO1n0QQGx9kKbO0_M5gmuhXZ6-LaxQxgrmJnzgP0"",""'TP# look up'!A:C""),3,0),"""")"),"")</f>
        <v/>
      </c>
      <c r="AH1847" s="49" t="str">
        <f t="shared" si="28"/>
        <v/>
      </c>
    </row>
    <row r="1848" spans="8:34" ht="12.75">
      <c r="H1848" s="43"/>
      <c r="AG1848" s="49" t="str">
        <f ca="1">IFERROR(__xludf.DUMMYFUNCTION("IFNA(vlookup(H1848,IMPORTRANGE(""1vUGwO1n0QQGx9kKbO0_M5gmuhXZ6-LaxQxgrmJnzgP0"",""'TP# look up'!A:C""),3,0),"""")"),"")</f>
        <v/>
      </c>
      <c r="AH1848" s="49" t="str">
        <f t="shared" si="28"/>
        <v/>
      </c>
    </row>
    <row r="1849" spans="8:34" ht="12.75">
      <c r="H1849" s="43"/>
      <c r="AG1849" s="49" t="str">
        <f ca="1">IFERROR(__xludf.DUMMYFUNCTION("IFNA(vlookup(H1849,IMPORTRANGE(""1vUGwO1n0QQGx9kKbO0_M5gmuhXZ6-LaxQxgrmJnzgP0"",""'TP# look up'!A:C""),3,0),"""")"),"")</f>
        <v/>
      </c>
      <c r="AH1849" s="49" t="str">
        <f t="shared" si="28"/>
        <v/>
      </c>
    </row>
    <row r="1850" spans="8:34" ht="12.75">
      <c r="H1850" s="43"/>
      <c r="AG1850" s="49" t="str">
        <f ca="1">IFERROR(__xludf.DUMMYFUNCTION("IFNA(vlookup(H1850,IMPORTRANGE(""1vUGwO1n0QQGx9kKbO0_M5gmuhXZ6-LaxQxgrmJnzgP0"",""'TP# look up'!A:C""),3,0),"""")"),"")</f>
        <v/>
      </c>
      <c r="AH1850" s="49" t="str">
        <f t="shared" si="28"/>
        <v/>
      </c>
    </row>
    <row r="1851" spans="8:34" ht="12.75">
      <c r="H1851" s="43"/>
      <c r="AG1851" s="49" t="str">
        <f ca="1">IFERROR(__xludf.DUMMYFUNCTION("IFNA(vlookup(H1851,IMPORTRANGE(""1vUGwO1n0QQGx9kKbO0_M5gmuhXZ6-LaxQxgrmJnzgP0"",""'TP# look up'!A:C""),3,0),"""")"),"")</f>
        <v/>
      </c>
      <c r="AH1851" s="49" t="str">
        <f t="shared" si="28"/>
        <v/>
      </c>
    </row>
    <row r="1852" spans="8:34" ht="12.75">
      <c r="H1852" s="43"/>
      <c r="AG1852" s="49" t="str">
        <f ca="1">IFERROR(__xludf.DUMMYFUNCTION("IFNA(vlookup(H1852,IMPORTRANGE(""1vUGwO1n0QQGx9kKbO0_M5gmuhXZ6-LaxQxgrmJnzgP0"",""'TP# look up'!A:C""),3,0),"""")"),"")</f>
        <v/>
      </c>
      <c r="AH1852" s="49" t="str">
        <f t="shared" si="28"/>
        <v/>
      </c>
    </row>
    <row r="1853" spans="8:34" ht="12.75">
      <c r="H1853" s="43"/>
      <c r="AG1853" s="49" t="str">
        <f ca="1">IFERROR(__xludf.DUMMYFUNCTION("IFNA(vlookup(H1853,IMPORTRANGE(""1vUGwO1n0QQGx9kKbO0_M5gmuhXZ6-LaxQxgrmJnzgP0"",""'TP# look up'!A:C""),3,0),"""")"),"")</f>
        <v/>
      </c>
      <c r="AH1853" s="49" t="str">
        <f t="shared" si="28"/>
        <v/>
      </c>
    </row>
    <row r="1854" spans="8:34" ht="12.75">
      <c r="H1854" s="43"/>
      <c r="AG1854" s="49" t="str">
        <f ca="1">IFERROR(__xludf.DUMMYFUNCTION("IFNA(vlookup(H1854,IMPORTRANGE(""1vUGwO1n0QQGx9kKbO0_M5gmuhXZ6-LaxQxgrmJnzgP0"",""'TP# look up'!A:C""),3,0),"""")"),"")</f>
        <v/>
      </c>
      <c r="AH1854" s="49" t="str">
        <f t="shared" si="28"/>
        <v/>
      </c>
    </row>
    <row r="1855" spans="8:34" ht="12.75">
      <c r="H1855" s="43"/>
      <c r="AG1855" s="49" t="str">
        <f ca="1">IFERROR(__xludf.DUMMYFUNCTION("IFNA(vlookup(H1855,IMPORTRANGE(""1vUGwO1n0QQGx9kKbO0_M5gmuhXZ6-LaxQxgrmJnzgP0"",""'TP# look up'!A:C""),3,0),"""")"),"")</f>
        <v/>
      </c>
      <c r="AH1855" s="49" t="str">
        <f t="shared" si="28"/>
        <v/>
      </c>
    </row>
    <row r="1856" spans="8:34" ht="12.75">
      <c r="H1856" s="43"/>
      <c r="AG1856" s="49" t="str">
        <f ca="1">IFERROR(__xludf.DUMMYFUNCTION("IFNA(vlookup(H1856,IMPORTRANGE(""1vUGwO1n0QQGx9kKbO0_M5gmuhXZ6-LaxQxgrmJnzgP0"",""'TP# look up'!A:C""),3,0),"""")"),"")</f>
        <v/>
      </c>
      <c r="AH1856" s="49" t="str">
        <f t="shared" si="28"/>
        <v/>
      </c>
    </row>
    <row r="1857" spans="8:34" ht="12.75">
      <c r="H1857" s="43"/>
      <c r="AG1857" s="49" t="str">
        <f ca="1">IFERROR(__xludf.DUMMYFUNCTION("IFNA(vlookup(H1857,IMPORTRANGE(""1vUGwO1n0QQGx9kKbO0_M5gmuhXZ6-LaxQxgrmJnzgP0"",""'TP# look up'!A:C""),3,0),"""")"),"")</f>
        <v/>
      </c>
      <c r="AH1857" s="49" t="str">
        <f t="shared" si="28"/>
        <v/>
      </c>
    </row>
    <row r="1858" spans="8:34" ht="12.75">
      <c r="H1858" s="43"/>
      <c r="AG1858" s="49" t="str">
        <f ca="1">IFERROR(__xludf.DUMMYFUNCTION("IFNA(vlookup(H1858,IMPORTRANGE(""1vUGwO1n0QQGx9kKbO0_M5gmuhXZ6-LaxQxgrmJnzgP0"",""'TP# look up'!A:C""),3,0),"""")"),"")</f>
        <v/>
      </c>
      <c r="AH1858" s="49" t="str">
        <f t="shared" ref="AH1858:AH1921" si="29">LEFT(J1858,2)</f>
        <v/>
      </c>
    </row>
    <row r="1859" spans="8:34" ht="12.75">
      <c r="H1859" s="43"/>
      <c r="AG1859" s="49" t="str">
        <f ca="1">IFERROR(__xludf.DUMMYFUNCTION("IFNA(vlookup(H1859,IMPORTRANGE(""1vUGwO1n0QQGx9kKbO0_M5gmuhXZ6-LaxQxgrmJnzgP0"",""'TP# look up'!A:C""),3,0),"""")"),"")</f>
        <v/>
      </c>
      <c r="AH1859" s="49" t="str">
        <f t="shared" si="29"/>
        <v/>
      </c>
    </row>
    <row r="1860" spans="8:34" ht="12.75">
      <c r="H1860" s="43"/>
      <c r="AG1860" s="49" t="str">
        <f ca="1">IFERROR(__xludf.DUMMYFUNCTION("IFNA(vlookup(H1860,IMPORTRANGE(""1vUGwO1n0QQGx9kKbO0_M5gmuhXZ6-LaxQxgrmJnzgP0"",""'TP# look up'!A:C""),3,0),"""")"),"")</f>
        <v/>
      </c>
      <c r="AH1860" s="49" t="str">
        <f t="shared" si="29"/>
        <v/>
      </c>
    </row>
    <row r="1861" spans="8:34" ht="12.75">
      <c r="H1861" s="43"/>
      <c r="AG1861" s="49" t="str">
        <f ca="1">IFERROR(__xludf.DUMMYFUNCTION("IFNA(vlookup(H1861,IMPORTRANGE(""1vUGwO1n0QQGx9kKbO0_M5gmuhXZ6-LaxQxgrmJnzgP0"",""'TP# look up'!A:C""),3,0),"""")"),"")</f>
        <v/>
      </c>
      <c r="AH1861" s="49" t="str">
        <f t="shared" si="29"/>
        <v/>
      </c>
    </row>
    <row r="1862" spans="8:34" ht="12.75">
      <c r="H1862" s="43"/>
      <c r="AG1862" s="49" t="str">
        <f ca="1">IFERROR(__xludf.DUMMYFUNCTION("IFNA(vlookup(H1862,IMPORTRANGE(""1vUGwO1n0QQGx9kKbO0_M5gmuhXZ6-LaxQxgrmJnzgP0"",""'TP# look up'!A:C""),3,0),"""")"),"")</f>
        <v/>
      </c>
      <c r="AH1862" s="49" t="str">
        <f t="shared" si="29"/>
        <v/>
      </c>
    </row>
    <row r="1863" spans="8:34" ht="12.75">
      <c r="H1863" s="43"/>
      <c r="AG1863" s="49" t="str">
        <f ca="1">IFERROR(__xludf.DUMMYFUNCTION("IFNA(vlookup(H1863,IMPORTRANGE(""1vUGwO1n0QQGx9kKbO0_M5gmuhXZ6-LaxQxgrmJnzgP0"",""'TP# look up'!A:C""),3,0),"""")"),"")</f>
        <v/>
      </c>
      <c r="AH1863" s="49" t="str">
        <f t="shared" si="29"/>
        <v/>
      </c>
    </row>
    <row r="1864" spans="8:34" ht="12.75">
      <c r="H1864" s="43"/>
      <c r="AG1864" s="49" t="str">
        <f ca="1">IFERROR(__xludf.DUMMYFUNCTION("IFNA(vlookup(H1864,IMPORTRANGE(""1vUGwO1n0QQGx9kKbO0_M5gmuhXZ6-LaxQxgrmJnzgP0"",""'TP# look up'!A:C""),3,0),"""")"),"")</f>
        <v/>
      </c>
      <c r="AH1864" s="49" t="str">
        <f t="shared" si="29"/>
        <v/>
      </c>
    </row>
    <row r="1865" spans="8:34" ht="12.75">
      <c r="H1865" s="43"/>
      <c r="AG1865" s="49" t="str">
        <f ca="1">IFERROR(__xludf.DUMMYFUNCTION("IFNA(vlookup(H1865,IMPORTRANGE(""1vUGwO1n0QQGx9kKbO0_M5gmuhXZ6-LaxQxgrmJnzgP0"",""'TP# look up'!A:C""),3,0),"""")"),"")</f>
        <v/>
      </c>
      <c r="AH1865" s="49" t="str">
        <f t="shared" si="29"/>
        <v/>
      </c>
    </row>
    <row r="1866" spans="8:34" ht="12.75">
      <c r="H1866" s="43"/>
      <c r="AG1866" s="49" t="str">
        <f ca="1">IFERROR(__xludf.DUMMYFUNCTION("IFNA(vlookup(H1866,IMPORTRANGE(""1vUGwO1n0QQGx9kKbO0_M5gmuhXZ6-LaxQxgrmJnzgP0"",""'TP# look up'!A:C""),3,0),"""")"),"")</f>
        <v/>
      </c>
      <c r="AH1866" s="49" t="str">
        <f t="shared" si="29"/>
        <v/>
      </c>
    </row>
    <row r="1867" spans="8:34" ht="12.75">
      <c r="H1867" s="43"/>
      <c r="AG1867" s="49" t="str">
        <f ca="1">IFERROR(__xludf.DUMMYFUNCTION("IFNA(vlookup(H1867,IMPORTRANGE(""1vUGwO1n0QQGx9kKbO0_M5gmuhXZ6-LaxQxgrmJnzgP0"",""'TP# look up'!A:C""),3,0),"""")"),"")</f>
        <v/>
      </c>
      <c r="AH1867" s="49" t="str">
        <f t="shared" si="29"/>
        <v/>
      </c>
    </row>
    <row r="1868" spans="8:34" ht="12.75">
      <c r="H1868" s="43"/>
      <c r="AG1868" s="49" t="str">
        <f ca="1">IFERROR(__xludf.DUMMYFUNCTION("IFNA(vlookup(H1868,IMPORTRANGE(""1vUGwO1n0QQGx9kKbO0_M5gmuhXZ6-LaxQxgrmJnzgP0"",""'TP# look up'!A:C""),3,0),"""")"),"")</f>
        <v/>
      </c>
      <c r="AH1868" s="49" t="str">
        <f t="shared" si="29"/>
        <v/>
      </c>
    </row>
    <row r="1869" spans="8:34" ht="12.75">
      <c r="H1869" s="43"/>
      <c r="AG1869" s="49" t="str">
        <f ca="1">IFERROR(__xludf.DUMMYFUNCTION("IFNA(vlookup(H1869,IMPORTRANGE(""1vUGwO1n0QQGx9kKbO0_M5gmuhXZ6-LaxQxgrmJnzgP0"",""'TP# look up'!A:C""),3,0),"""")"),"")</f>
        <v/>
      </c>
      <c r="AH1869" s="49" t="str">
        <f t="shared" si="29"/>
        <v/>
      </c>
    </row>
    <row r="1870" spans="8:34" ht="12.75">
      <c r="H1870" s="43"/>
      <c r="AG1870" s="49" t="str">
        <f ca="1">IFERROR(__xludf.DUMMYFUNCTION("IFNA(vlookup(H1870,IMPORTRANGE(""1vUGwO1n0QQGx9kKbO0_M5gmuhXZ6-LaxQxgrmJnzgP0"",""'TP# look up'!A:C""),3,0),"""")"),"")</f>
        <v/>
      </c>
      <c r="AH1870" s="49" t="str">
        <f t="shared" si="29"/>
        <v/>
      </c>
    </row>
    <row r="1871" spans="8:34" ht="12.75">
      <c r="H1871" s="43"/>
      <c r="AG1871" s="49" t="str">
        <f ca="1">IFERROR(__xludf.DUMMYFUNCTION("IFNA(vlookup(H1871,IMPORTRANGE(""1vUGwO1n0QQGx9kKbO0_M5gmuhXZ6-LaxQxgrmJnzgP0"",""'TP# look up'!A:C""),3,0),"""")"),"")</f>
        <v/>
      </c>
      <c r="AH1871" s="49" t="str">
        <f t="shared" si="29"/>
        <v/>
      </c>
    </row>
    <row r="1872" spans="8:34" ht="12.75">
      <c r="H1872" s="43"/>
      <c r="AG1872" s="49" t="str">
        <f ca="1">IFERROR(__xludf.DUMMYFUNCTION("IFNA(vlookup(H1872,IMPORTRANGE(""1vUGwO1n0QQGx9kKbO0_M5gmuhXZ6-LaxQxgrmJnzgP0"",""'TP# look up'!A:C""),3,0),"""")"),"")</f>
        <v/>
      </c>
      <c r="AH1872" s="49" t="str">
        <f t="shared" si="29"/>
        <v/>
      </c>
    </row>
    <row r="1873" spans="8:34" ht="12.75">
      <c r="H1873" s="43"/>
      <c r="AG1873" s="49" t="str">
        <f ca="1">IFERROR(__xludf.DUMMYFUNCTION("IFNA(vlookup(H1873,IMPORTRANGE(""1vUGwO1n0QQGx9kKbO0_M5gmuhXZ6-LaxQxgrmJnzgP0"",""'TP# look up'!A:C""),3,0),"""")"),"")</f>
        <v/>
      </c>
      <c r="AH1873" s="49" t="str">
        <f t="shared" si="29"/>
        <v/>
      </c>
    </row>
    <row r="1874" spans="8:34" ht="12.75">
      <c r="H1874" s="43"/>
      <c r="AG1874" s="49" t="str">
        <f ca="1">IFERROR(__xludf.DUMMYFUNCTION("IFNA(vlookup(H1874,IMPORTRANGE(""1vUGwO1n0QQGx9kKbO0_M5gmuhXZ6-LaxQxgrmJnzgP0"",""'TP# look up'!A:C""),3,0),"""")"),"")</f>
        <v/>
      </c>
      <c r="AH1874" s="49" t="str">
        <f t="shared" si="29"/>
        <v/>
      </c>
    </row>
    <row r="1875" spans="8:34" ht="12.75">
      <c r="H1875" s="43"/>
      <c r="AG1875" s="49" t="str">
        <f ca="1">IFERROR(__xludf.DUMMYFUNCTION("IFNA(vlookup(H1875,IMPORTRANGE(""1vUGwO1n0QQGx9kKbO0_M5gmuhXZ6-LaxQxgrmJnzgP0"",""'TP# look up'!A:C""),3,0),"""")"),"")</f>
        <v/>
      </c>
      <c r="AH1875" s="49" t="str">
        <f t="shared" si="29"/>
        <v/>
      </c>
    </row>
    <row r="1876" spans="8:34" ht="12.75">
      <c r="H1876" s="43"/>
      <c r="AG1876" s="49" t="str">
        <f ca="1">IFERROR(__xludf.DUMMYFUNCTION("IFNA(vlookup(H1876,IMPORTRANGE(""1vUGwO1n0QQGx9kKbO0_M5gmuhXZ6-LaxQxgrmJnzgP0"",""'TP# look up'!A:C""),3,0),"""")"),"")</f>
        <v/>
      </c>
      <c r="AH1876" s="49" t="str">
        <f t="shared" si="29"/>
        <v/>
      </c>
    </row>
    <row r="1877" spans="8:34" ht="12.75">
      <c r="H1877" s="43"/>
      <c r="AG1877" s="49" t="str">
        <f ca="1">IFERROR(__xludf.DUMMYFUNCTION("IFNA(vlookup(H1877,IMPORTRANGE(""1vUGwO1n0QQGx9kKbO0_M5gmuhXZ6-LaxQxgrmJnzgP0"",""'TP# look up'!A:C""),3,0),"""")"),"")</f>
        <v/>
      </c>
      <c r="AH1877" s="49" t="str">
        <f t="shared" si="29"/>
        <v/>
      </c>
    </row>
    <row r="1878" spans="8:34" ht="12.75">
      <c r="H1878" s="43"/>
      <c r="AG1878" s="49" t="str">
        <f ca="1">IFERROR(__xludf.DUMMYFUNCTION("IFNA(vlookup(H1878,IMPORTRANGE(""1vUGwO1n0QQGx9kKbO0_M5gmuhXZ6-LaxQxgrmJnzgP0"",""'TP# look up'!A:C""),3,0),"""")"),"")</f>
        <v/>
      </c>
      <c r="AH1878" s="49" t="str">
        <f t="shared" si="29"/>
        <v/>
      </c>
    </row>
    <row r="1879" spans="8:34" ht="12.75">
      <c r="H1879" s="43"/>
      <c r="AG1879" s="49" t="str">
        <f ca="1">IFERROR(__xludf.DUMMYFUNCTION("IFNA(vlookup(H1879,IMPORTRANGE(""1vUGwO1n0QQGx9kKbO0_M5gmuhXZ6-LaxQxgrmJnzgP0"",""'TP# look up'!A:C""),3,0),"""")"),"")</f>
        <v/>
      </c>
      <c r="AH1879" s="49" t="str">
        <f t="shared" si="29"/>
        <v/>
      </c>
    </row>
    <row r="1880" spans="8:34" ht="12.75">
      <c r="H1880" s="43"/>
      <c r="AG1880" s="49" t="str">
        <f ca="1">IFERROR(__xludf.DUMMYFUNCTION("IFNA(vlookup(H1880,IMPORTRANGE(""1vUGwO1n0QQGx9kKbO0_M5gmuhXZ6-LaxQxgrmJnzgP0"",""'TP# look up'!A:C""),3,0),"""")"),"")</f>
        <v/>
      </c>
      <c r="AH1880" s="49" t="str">
        <f t="shared" si="29"/>
        <v/>
      </c>
    </row>
    <row r="1881" spans="8:34" ht="12.75">
      <c r="H1881" s="43"/>
      <c r="AG1881" s="49" t="str">
        <f ca="1">IFERROR(__xludf.DUMMYFUNCTION("IFNA(vlookup(H1881,IMPORTRANGE(""1vUGwO1n0QQGx9kKbO0_M5gmuhXZ6-LaxQxgrmJnzgP0"",""'TP# look up'!A:C""),3,0),"""")"),"")</f>
        <v/>
      </c>
      <c r="AH1881" s="49" t="str">
        <f t="shared" si="29"/>
        <v/>
      </c>
    </row>
    <row r="1882" spans="8:34" ht="12.75">
      <c r="H1882" s="43"/>
      <c r="AG1882" s="49" t="str">
        <f ca="1">IFERROR(__xludf.DUMMYFUNCTION("IFNA(vlookup(H1882,IMPORTRANGE(""1vUGwO1n0QQGx9kKbO0_M5gmuhXZ6-LaxQxgrmJnzgP0"",""'TP# look up'!A:C""),3,0),"""")"),"")</f>
        <v/>
      </c>
      <c r="AH1882" s="49" t="str">
        <f t="shared" si="29"/>
        <v/>
      </c>
    </row>
    <row r="1883" spans="8:34" ht="12.75">
      <c r="H1883" s="43"/>
      <c r="AG1883" s="49" t="str">
        <f ca="1">IFERROR(__xludf.DUMMYFUNCTION("IFNA(vlookup(H1883,IMPORTRANGE(""1vUGwO1n0QQGx9kKbO0_M5gmuhXZ6-LaxQxgrmJnzgP0"",""'TP# look up'!A:C""),3,0),"""")"),"")</f>
        <v/>
      </c>
      <c r="AH1883" s="49" t="str">
        <f t="shared" si="29"/>
        <v/>
      </c>
    </row>
    <row r="1884" spans="8:34" ht="12.75">
      <c r="H1884" s="43"/>
      <c r="AG1884" s="49" t="str">
        <f ca="1">IFERROR(__xludf.DUMMYFUNCTION("IFNA(vlookup(H1884,IMPORTRANGE(""1vUGwO1n0QQGx9kKbO0_M5gmuhXZ6-LaxQxgrmJnzgP0"",""'TP# look up'!A:C""),3,0),"""")"),"")</f>
        <v/>
      </c>
      <c r="AH1884" s="49" t="str">
        <f t="shared" si="29"/>
        <v/>
      </c>
    </row>
    <row r="1885" spans="8:34" ht="12.75">
      <c r="H1885" s="43"/>
      <c r="AG1885" s="49" t="str">
        <f ca="1">IFERROR(__xludf.DUMMYFUNCTION("IFNA(vlookup(H1885,IMPORTRANGE(""1vUGwO1n0QQGx9kKbO0_M5gmuhXZ6-LaxQxgrmJnzgP0"",""'TP# look up'!A:C""),3,0),"""")"),"")</f>
        <v/>
      </c>
      <c r="AH1885" s="49" t="str">
        <f t="shared" si="29"/>
        <v/>
      </c>
    </row>
    <row r="1886" spans="8:34" ht="12.75">
      <c r="H1886" s="43"/>
      <c r="AG1886" s="49" t="str">
        <f ca="1">IFERROR(__xludf.DUMMYFUNCTION("IFNA(vlookup(H1886,IMPORTRANGE(""1vUGwO1n0QQGx9kKbO0_M5gmuhXZ6-LaxQxgrmJnzgP0"",""'TP# look up'!A:C""),3,0),"""")"),"")</f>
        <v/>
      </c>
      <c r="AH1886" s="49" t="str">
        <f t="shared" si="29"/>
        <v/>
      </c>
    </row>
    <row r="1887" spans="8:34" ht="12.75">
      <c r="H1887" s="43"/>
      <c r="AG1887" s="49" t="str">
        <f ca="1">IFERROR(__xludf.DUMMYFUNCTION("IFNA(vlookup(H1887,IMPORTRANGE(""1vUGwO1n0QQGx9kKbO0_M5gmuhXZ6-LaxQxgrmJnzgP0"",""'TP# look up'!A:C""),3,0),"""")"),"")</f>
        <v/>
      </c>
      <c r="AH1887" s="49" t="str">
        <f t="shared" si="29"/>
        <v/>
      </c>
    </row>
    <row r="1888" spans="8:34" ht="12.75">
      <c r="H1888" s="43"/>
      <c r="AG1888" s="49" t="str">
        <f ca="1">IFERROR(__xludf.DUMMYFUNCTION("IFNA(vlookup(H1888,IMPORTRANGE(""1vUGwO1n0QQGx9kKbO0_M5gmuhXZ6-LaxQxgrmJnzgP0"",""'TP# look up'!A:C""),3,0),"""")"),"")</f>
        <v/>
      </c>
      <c r="AH1888" s="49" t="str">
        <f t="shared" si="29"/>
        <v/>
      </c>
    </row>
    <row r="1889" spans="8:34" ht="12.75">
      <c r="H1889" s="43"/>
      <c r="AG1889" s="49" t="str">
        <f ca="1">IFERROR(__xludf.DUMMYFUNCTION("IFNA(vlookup(H1889,IMPORTRANGE(""1vUGwO1n0QQGx9kKbO0_M5gmuhXZ6-LaxQxgrmJnzgP0"",""'TP# look up'!A:C""),3,0),"""")"),"")</f>
        <v/>
      </c>
      <c r="AH1889" s="49" t="str">
        <f t="shared" si="29"/>
        <v/>
      </c>
    </row>
    <row r="1890" spans="8:34" ht="12.75">
      <c r="H1890" s="43"/>
      <c r="AG1890" s="49" t="str">
        <f ca="1">IFERROR(__xludf.DUMMYFUNCTION("IFNA(vlookup(H1890,IMPORTRANGE(""1vUGwO1n0QQGx9kKbO0_M5gmuhXZ6-LaxQxgrmJnzgP0"",""'TP# look up'!A:C""),3,0),"""")"),"")</f>
        <v/>
      </c>
      <c r="AH1890" s="49" t="str">
        <f t="shared" si="29"/>
        <v/>
      </c>
    </row>
    <row r="1891" spans="8:34" ht="12.75">
      <c r="H1891" s="43"/>
      <c r="AG1891" s="49" t="str">
        <f ca="1">IFERROR(__xludf.DUMMYFUNCTION("IFNA(vlookup(H1891,IMPORTRANGE(""1vUGwO1n0QQGx9kKbO0_M5gmuhXZ6-LaxQxgrmJnzgP0"",""'TP# look up'!A:C""),3,0),"""")"),"")</f>
        <v/>
      </c>
      <c r="AH1891" s="49" t="str">
        <f t="shared" si="29"/>
        <v/>
      </c>
    </row>
    <row r="1892" spans="8:34" ht="12.75">
      <c r="H1892" s="43"/>
      <c r="AG1892" s="49" t="str">
        <f ca="1">IFERROR(__xludf.DUMMYFUNCTION("IFNA(vlookup(H1892,IMPORTRANGE(""1vUGwO1n0QQGx9kKbO0_M5gmuhXZ6-LaxQxgrmJnzgP0"",""'TP# look up'!A:C""),3,0),"""")"),"")</f>
        <v/>
      </c>
      <c r="AH1892" s="49" t="str">
        <f t="shared" si="29"/>
        <v/>
      </c>
    </row>
    <row r="1893" spans="8:34" ht="12.75">
      <c r="H1893" s="43"/>
      <c r="AG1893" s="49" t="str">
        <f ca="1">IFERROR(__xludf.DUMMYFUNCTION("IFNA(vlookup(H1893,IMPORTRANGE(""1vUGwO1n0QQGx9kKbO0_M5gmuhXZ6-LaxQxgrmJnzgP0"",""'TP# look up'!A:C""),3,0),"""")"),"")</f>
        <v/>
      </c>
      <c r="AH1893" s="49" t="str">
        <f t="shared" si="29"/>
        <v/>
      </c>
    </row>
    <row r="1894" spans="8:34" ht="12.75">
      <c r="H1894" s="43"/>
      <c r="AG1894" s="49" t="str">
        <f ca="1">IFERROR(__xludf.DUMMYFUNCTION("IFNA(vlookup(H1894,IMPORTRANGE(""1vUGwO1n0QQGx9kKbO0_M5gmuhXZ6-LaxQxgrmJnzgP0"",""'TP# look up'!A:C""),3,0),"""")"),"")</f>
        <v/>
      </c>
      <c r="AH1894" s="49" t="str">
        <f t="shared" si="29"/>
        <v/>
      </c>
    </row>
    <row r="1895" spans="8:34" ht="12.75">
      <c r="H1895" s="43"/>
      <c r="AG1895" s="49" t="str">
        <f ca="1">IFERROR(__xludf.DUMMYFUNCTION("IFNA(vlookup(H1895,IMPORTRANGE(""1vUGwO1n0QQGx9kKbO0_M5gmuhXZ6-LaxQxgrmJnzgP0"",""'TP# look up'!A:C""),3,0),"""")"),"")</f>
        <v/>
      </c>
      <c r="AH1895" s="49" t="str">
        <f t="shared" si="29"/>
        <v/>
      </c>
    </row>
    <row r="1896" spans="8:34" ht="12.75">
      <c r="H1896" s="43"/>
      <c r="AG1896" s="49" t="str">
        <f ca="1">IFERROR(__xludf.DUMMYFUNCTION("IFNA(vlookup(H1896,IMPORTRANGE(""1vUGwO1n0QQGx9kKbO0_M5gmuhXZ6-LaxQxgrmJnzgP0"",""'TP# look up'!A:C""),3,0),"""")"),"")</f>
        <v/>
      </c>
      <c r="AH1896" s="49" t="str">
        <f t="shared" si="29"/>
        <v/>
      </c>
    </row>
    <row r="1897" spans="8:34" ht="12.75">
      <c r="H1897" s="43"/>
      <c r="AG1897" s="49" t="str">
        <f ca="1">IFERROR(__xludf.DUMMYFUNCTION("IFNA(vlookup(H1897,IMPORTRANGE(""1vUGwO1n0QQGx9kKbO0_M5gmuhXZ6-LaxQxgrmJnzgP0"",""'TP# look up'!A:C""),3,0),"""")"),"")</f>
        <v/>
      </c>
      <c r="AH1897" s="49" t="str">
        <f t="shared" si="29"/>
        <v/>
      </c>
    </row>
    <row r="1898" spans="8:34" ht="12.75">
      <c r="H1898" s="43"/>
      <c r="AG1898" s="49" t="str">
        <f ca="1">IFERROR(__xludf.DUMMYFUNCTION("IFNA(vlookup(H1898,IMPORTRANGE(""1vUGwO1n0QQGx9kKbO0_M5gmuhXZ6-LaxQxgrmJnzgP0"",""'TP# look up'!A:C""),3,0),"""")"),"")</f>
        <v/>
      </c>
      <c r="AH1898" s="49" t="str">
        <f t="shared" si="29"/>
        <v/>
      </c>
    </row>
    <row r="1899" spans="8:34" ht="12.75">
      <c r="H1899" s="43"/>
      <c r="AG1899" s="49" t="str">
        <f ca="1">IFERROR(__xludf.DUMMYFUNCTION("IFNA(vlookup(H1899,IMPORTRANGE(""1vUGwO1n0QQGx9kKbO0_M5gmuhXZ6-LaxQxgrmJnzgP0"",""'TP# look up'!A:C""),3,0),"""")"),"")</f>
        <v/>
      </c>
      <c r="AH1899" s="49" t="str">
        <f t="shared" si="29"/>
        <v/>
      </c>
    </row>
    <row r="1900" spans="8:34" ht="12.75">
      <c r="H1900" s="43"/>
      <c r="AG1900" s="49" t="str">
        <f ca="1">IFERROR(__xludf.DUMMYFUNCTION("IFNA(vlookup(H1900,IMPORTRANGE(""1vUGwO1n0QQGx9kKbO0_M5gmuhXZ6-LaxQxgrmJnzgP0"",""'TP# look up'!A:C""),3,0),"""")"),"")</f>
        <v/>
      </c>
      <c r="AH1900" s="49" t="str">
        <f t="shared" si="29"/>
        <v/>
      </c>
    </row>
    <row r="1901" spans="8:34" ht="12.75">
      <c r="H1901" s="43"/>
      <c r="AG1901" s="49" t="str">
        <f ca="1">IFERROR(__xludf.DUMMYFUNCTION("IFNA(vlookup(H1901,IMPORTRANGE(""1vUGwO1n0QQGx9kKbO0_M5gmuhXZ6-LaxQxgrmJnzgP0"",""'TP# look up'!A:C""),3,0),"""")"),"")</f>
        <v/>
      </c>
      <c r="AH1901" s="49" t="str">
        <f t="shared" si="29"/>
        <v/>
      </c>
    </row>
    <row r="1902" spans="8:34" ht="12.75">
      <c r="H1902" s="43"/>
      <c r="AG1902" s="49" t="str">
        <f ca="1">IFERROR(__xludf.DUMMYFUNCTION("IFNA(vlookup(H1902,IMPORTRANGE(""1vUGwO1n0QQGx9kKbO0_M5gmuhXZ6-LaxQxgrmJnzgP0"",""'TP# look up'!A:C""),3,0),"""")"),"")</f>
        <v/>
      </c>
      <c r="AH1902" s="49" t="str">
        <f t="shared" si="29"/>
        <v/>
      </c>
    </row>
    <row r="1903" spans="8:34" ht="12.75">
      <c r="H1903" s="43"/>
      <c r="AG1903" s="49" t="str">
        <f ca="1">IFERROR(__xludf.DUMMYFUNCTION("IFNA(vlookup(H1903,IMPORTRANGE(""1vUGwO1n0QQGx9kKbO0_M5gmuhXZ6-LaxQxgrmJnzgP0"",""'TP# look up'!A:C""),3,0),"""")"),"")</f>
        <v/>
      </c>
      <c r="AH1903" s="49" t="str">
        <f t="shared" si="29"/>
        <v/>
      </c>
    </row>
    <row r="1904" spans="8:34" ht="12.75">
      <c r="H1904" s="43"/>
      <c r="AG1904" s="49" t="str">
        <f ca="1">IFERROR(__xludf.DUMMYFUNCTION("IFNA(vlookup(H1904,IMPORTRANGE(""1vUGwO1n0QQGx9kKbO0_M5gmuhXZ6-LaxQxgrmJnzgP0"",""'TP# look up'!A:C""),3,0),"""")"),"")</f>
        <v/>
      </c>
      <c r="AH1904" s="49" t="str">
        <f t="shared" si="29"/>
        <v/>
      </c>
    </row>
    <row r="1905" spans="8:34" ht="12.75">
      <c r="H1905" s="43"/>
      <c r="AG1905" s="49" t="str">
        <f ca="1">IFERROR(__xludf.DUMMYFUNCTION("IFNA(vlookup(H1905,IMPORTRANGE(""1vUGwO1n0QQGx9kKbO0_M5gmuhXZ6-LaxQxgrmJnzgP0"",""'TP# look up'!A:C""),3,0),"""")"),"")</f>
        <v/>
      </c>
      <c r="AH1905" s="49" t="str">
        <f t="shared" si="29"/>
        <v/>
      </c>
    </row>
    <row r="1906" spans="8:34" ht="12.75">
      <c r="H1906" s="43"/>
      <c r="AG1906" s="49" t="str">
        <f ca="1">IFERROR(__xludf.DUMMYFUNCTION("IFNA(vlookup(H1906,IMPORTRANGE(""1vUGwO1n0QQGx9kKbO0_M5gmuhXZ6-LaxQxgrmJnzgP0"",""'TP# look up'!A:C""),3,0),"""")"),"")</f>
        <v/>
      </c>
      <c r="AH1906" s="49" t="str">
        <f t="shared" si="29"/>
        <v/>
      </c>
    </row>
    <row r="1907" spans="8:34" ht="12.75">
      <c r="H1907" s="43"/>
      <c r="AG1907" s="49" t="str">
        <f ca="1">IFERROR(__xludf.DUMMYFUNCTION("IFNA(vlookup(H1907,IMPORTRANGE(""1vUGwO1n0QQGx9kKbO0_M5gmuhXZ6-LaxQxgrmJnzgP0"",""'TP# look up'!A:C""),3,0),"""")"),"")</f>
        <v/>
      </c>
      <c r="AH1907" s="49" t="str">
        <f t="shared" si="29"/>
        <v/>
      </c>
    </row>
    <row r="1908" spans="8:34" ht="12.75">
      <c r="H1908" s="43"/>
      <c r="AG1908" s="49" t="str">
        <f ca="1">IFERROR(__xludf.DUMMYFUNCTION("IFNA(vlookup(H1908,IMPORTRANGE(""1vUGwO1n0QQGx9kKbO0_M5gmuhXZ6-LaxQxgrmJnzgP0"",""'TP# look up'!A:C""),3,0),"""")"),"")</f>
        <v/>
      </c>
      <c r="AH1908" s="49" t="str">
        <f t="shared" si="29"/>
        <v/>
      </c>
    </row>
    <row r="1909" spans="8:34" ht="12.75">
      <c r="H1909" s="43"/>
      <c r="AG1909" s="49" t="str">
        <f ca="1">IFERROR(__xludf.DUMMYFUNCTION("IFNA(vlookup(H1909,IMPORTRANGE(""1vUGwO1n0QQGx9kKbO0_M5gmuhXZ6-LaxQxgrmJnzgP0"",""'TP# look up'!A:C""),3,0),"""")"),"")</f>
        <v/>
      </c>
      <c r="AH1909" s="49" t="str">
        <f t="shared" si="29"/>
        <v/>
      </c>
    </row>
    <row r="1910" spans="8:34" ht="12.75">
      <c r="H1910" s="43"/>
      <c r="AG1910" s="49" t="str">
        <f ca="1">IFERROR(__xludf.DUMMYFUNCTION("IFNA(vlookup(H1910,IMPORTRANGE(""1vUGwO1n0QQGx9kKbO0_M5gmuhXZ6-LaxQxgrmJnzgP0"",""'TP# look up'!A:C""),3,0),"""")"),"")</f>
        <v/>
      </c>
      <c r="AH1910" s="49" t="str">
        <f t="shared" si="29"/>
        <v/>
      </c>
    </row>
    <row r="1911" spans="8:34" ht="12.75">
      <c r="H1911" s="43"/>
      <c r="AG1911" s="49" t="str">
        <f ca="1">IFERROR(__xludf.DUMMYFUNCTION("IFNA(vlookup(H1911,IMPORTRANGE(""1vUGwO1n0QQGx9kKbO0_M5gmuhXZ6-LaxQxgrmJnzgP0"",""'TP# look up'!A:C""),3,0),"""")"),"")</f>
        <v/>
      </c>
      <c r="AH1911" s="49" t="str">
        <f t="shared" si="29"/>
        <v/>
      </c>
    </row>
    <row r="1912" spans="8:34" ht="12.75">
      <c r="H1912" s="43"/>
      <c r="AG1912" s="49" t="str">
        <f ca="1">IFERROR(__xludf.DUMMYFUNCTION("IFNA(vlookup(H1912,IMPORTRANGE(""1vUGwO1n0QQGx9kKbO0_M5gmuhXZ6-LaxQxgrmJnzgP0"",""'TP# look up'!A:C""),3,0),"""")"),"")</f>
        <v/>
      </c>
      <c r="AH1912" s="49" t="str">
        <f t="shared" si="29"/>
        <v/>
      </c>
    </row>
    <row r="1913" spans="8:34" ht="12.75">
      <c r="H1913" s="43"/>
      <c r="AG1913" s="49" t="str">
        <f ca="1">IFERROR(__xludf.DUMMYFUNCTION("IFNA(vlookup(H1913,IMPORTRANGE(""1vUGwO1n0QQGx9kKbO0_M5gmuhXZ6-LaxQxgrmJnzgP0"",""'TP# look up'!A:C""),3,0),"""")"),"")</f>
        <v/>
      </c>
      <c r="AH1913" s="49" t="str">
        <f t="shared" si="29"/>
        <v/>
      </c>
    </row>
    <row r="1914" spans="8:34" ht="12.75">
      <c r="H1914" s="43"/>
      <c r="AG1914" s="49" t="str">
        <f ca="1">IFERROR(__xludf.DUMMYFUNCTION("IFNA(vlookup(H1914,IMPORTRANGE(""1vUGwO1n0QQGx9kKbO0_M5gmuhXZ6-LaxQxgrmJnzgP0"",""'TP# look up'!A:C""),3,0),"""")"),"")</f>
        <v/>
      </c>
      <c r="AH1914" s="49" t="str">
        <f t="shared" si="29"/>
        <v/>
      </c>
    </row>
    <row r="1915" spans="8:34" ht="12.75">
      <c r="H1915" s="43"/>
      <c r="AG1915" s="49" t="str">
        <f ca="1">IFERROR(__xludf.DUMMYFUNCTION("IFNA(vlookup(H1915,IMPORTRANGE(""1vUGwO1n0QQGx9kKbO0_M5gmuhXZ6-LaxQxgrmJnzgP0"",""'TP# look up'!A:C""),3,0),"""")"),"")</f>
        <v/>
      </c>
      <c r="AH1915" s="49" t="str">
        <f t="shared" si="29"/>
        <v/>
      </c>
    </row>
    <row r="1916" spans="8:34" ht="12.75">
      <c r="H1916" s="43"/>
      <c r="AG1916" s="49" t="str">
        <f ca="1">IFERROR(__xludf.DUMMYFUNCTION("IFNA(vlookup(H1916,IMPORTRANGE(""1vUGwO1n0QQGx9kKbO0_M5gmuhXZ6-LaxQxgrmJnzgP0"",""'TP# look up'!A:C""),3,0),"""")"),"")</f>
        <v/>
      </c>
      <c r="AH1916" s="49" t="str">
        <f t="shared" si="29"/>
        <v/>
      </c>
    </row>
    <row r="1917" spans="8:34" ht="12.75">
      <c r="H1917" s="43"/>
      <c r="AG1917" s="49" t="str">
        <f ca="1">IFERROR(__xludf.DUMMYFUNCTION("IFNA(vlookup(H1917,IMPORTRANGE(""1vUGwO1n0QQGx9kKbO0_M5gmuhXZ6-LaxQxgrmJnzgP0"",""'TP# look up'!A:C""),3,0),"""")"),"")</f>
        <v/>
      </c>
      <c r="AH1917" s="49" t="str">
        <f t="shared" si="29"/>
        <v/>
      </c>
    </row>
    <row r="1918" spans="8:34" ht="12.75">
      <c r="H1918" s="43"/>
      <c r="AG1918" s="49" t="str">
        <f ca="1">IFERROR(__xludf.DUMMYFUNCTION("IFNA(vlookup(H1918,IMPORTRANGE(""1vUGwO1n0QQGx9kKbO0_M5gmuhXZ6-LaxQxgrmJnzgP0"",""'TP# look up'!A:C""),3,0),"""")"),"")</f>
        <v/>
      </c>
      <c r="AH1918" s="49" t="str">
        <f t="shared" si="29"/>
        <v/>
      </c>
    </row>
    <row r="1919" spans="8:34" ht="12.75">
      <c r="H1919" s="43"/>
      <c r="AG1919" s="49" t="str">
        <f ca="1">IFERROR(__xludf.DUMMYFUNCTION("IFNA(vlookup(H1919,IMPORTRANGE(""1vUGwO1n0QQGx9kKbO0_M5gmuhXZ6-LaxQxgrmJnzgP0"",""'TP# look up'!A:C""),3,0),"""")"),"")</f>
        <v/>
      </c>
      <c r="AH1919" s="49" t="str">
        <f t="shared" si="29"/>
        <v/>
      </c>
    </row>
    <row r="1920" spans="8:34" ht="12.75">
      <c r="H1920" s="43"/>
      <c r="AG1920" s="49" t="str">
        <f ca="1">IFERROR(__xludf.DUMMYFUNCTION("IFNA(vlookup(H1920,IMPORTRANGE(""1vUGwO1n0QQGx9kKbO0_M5gmuhXZ6-LaxQxgrmJnzgP0"",""'TP# look up'!A:C""),3,0),"""")"),"")</f>
        <v/>
      </c>
      <c r="AH1920" s="49" t="str">
        <f t="shared" si="29"/>
        <v/>
      </c>
    </row>
    <row r="1921" spans="8:34" ht="12.75">
      <c r="H1921" s="43"/>
      <c r="AG1921" s="49" t="str">
        <f ca="1">IFERROR(__xludf.DUMMYFUNCTION("IFNA(vlookup(H1921,IMPORTRANGE(""1vUGwO1n0QQGx9kKbO0_M5gmuhXZ6-LaxQxgrmJnzgP0"",""'TP# look up'!A:C""),3,0),"""")"),"")</f>
        <v/>
      </c>
      <c r="AH1921" s="49" t="str">
        <f t="shared" si="29"/>
        <v/>
      </c>
    </row>
    <row r="1922" spans="8:34" ht="12.75">
      <c r="H1922" s="43"/>
      <c r="AG1922" s="49" t="str">
        <f ca="1">IFERROR(__xludf.DUMMYFUNCTION("IFNA(vlookup(H1922,IMPORTRANGE(""1vUGwO1n0QQGx9kKbO0_M5gmuhXZ6-LaxQxgrmJnzgP0"",""'TP# look up'!A:C""),3,0),"""")"),"")</f>
        <v/>
      </c>
      <c r="AH1922" s="49" t="str">
        <f t="shared" ref="AH1922:AH1985" si="30">LEFT(J1922,2)</f>
        <v/>
      </c>
    </row>
    <row r="1923" spans="8:34" ht="12.75">
      <c r="H1923" s="43"/>
      <c r="AG1923" s="49" t="str">
        <f ca="1">IFERROR(__xludf.DUMMYFUNCTION("IFNA(vlookup(H1923,IMPORTRANGE(""1vUGwO1n0QQGx9kKbO0_M5gmuhXZ6-LaxQxgrmJnzgP0"",""'TP# look up'!A:C""),3,0),"""")"),"")</f>
        <v/>
      </c>
      <c r="AH1923" s="49" t="str">
        <f t="shared" si="30"/>
        <v/>
      </c>
    </row>
    <row r="1924" spans="8:34" ht="12.75">
      <c r="H1924" s="43"/>
      <c r="AG1924" s="49" t="str">
        <f ca="1">IFERROR(__xludf.DUMMYFUNCTION("IFNA(vlookup(H1924,IMPORTRANGE(""1vUGwO1n0QQGx9kKbO0_M5gmuhXZ6-LaxQxgrmJnzgP0"",""'TP# look up'!A:C""),3,0),"""")"),"")</f>
        <v/>
      </c>
      <c r="AH1924" s="49" t="str">
        <f t="shared" si="30"/>
        <v/>
      </c>
    </row>
    <row r="1925" spans="8:34" ht="12.75">
      <c r="H1925" s="43"/>
      <c r="AG1925" s="49" t="str">
        <f ca="1">IFERROR(__xludf.DUMMYFUNCTION("IFNA(vlookup(H1925,IMPORTRANGE(""1vUGwO1n0QQGx9kKbO0_M5gmuhXZ6-LaxQxgrmJnzgP0"",""'TP# look up'!A:C""),3,0),"""")"),"")</f>
        <v/>
      </c>
      <c r="AH1925" s="49" t="str">
        <f t="shared" si="30"/>
        <v/>
      </c>
    </row>
    <row r="1926" spans="8:34" ht="12.75">
      <c r="H1926" s="43"/>
      <c r="AG1926" s="49" t="str">
        <f ca="1">IFERROR(__xludf.DUMMYFUNCTION("IFNA(vlookup(H1926,IMPORTRANGE(""1vUGwO1n0QQGx9kKbO0_M5gmuhXZ6-LaxQxgrmJnzgP0"",""'TP# look up'!A:C""),3,0),"""")"),"")</f>
        <v/>
      </c>
      <c r="AH1926" s="49" t="str">
        <f t="shared" si="30"/>
        <v/>
      </c>
    </row>
    <row r="1927" spans="8:34" ht="12.75">
      <c r="H1927" s="43"/>
      <c r="AG1927" s="49" t="str">
        <f ca="1">IFERROR(__xludf.DUMMYFUNCTION("IFNA(vlookup(H1927,IMPORTRANGE(""1vUGwO1n0QQGx9kKbO0_M5gmuhXZ6-LaxQxgrmJnzgP0"",""'TP# look up'!A:C""),3,0),"""")"),"")</f>
        <v/>
      </c>
      <c r="AH1927" s="49" t="str">
        <f t="shared" si="30"/>
        <v/>
      </c>
    </row>
    <row r="1928" spans="8:34" ht="12.75">
      <c r="H1928" s="43"/>
      <c r="AG1928" s="49" t="str">
        <f ca="1">IFERROR(__xludf.DUMMYFUNCTION("IFNA(vlookup(H1928,IMPORTRANGE(""1vUGwO1n0QQGx9kKbO0_M5gmuhXZ6-LaxQxgrmJnzgP0"",""'TP# look up'!A:C""),3,0),"""")"),"")</f>
        <v/>
      </c>
      <c r="AH1928" s="49" t="str">
        <f t="shared" si="30"/>
        <v/>
      </c>
    </row>
    <row r="1929" spans="8:34" ht="12.75">
      <c r="H1929" s="43"/>
      <c r="AG1929" s="49" t="str">
        <f ca="1">IFERROR(__xludf.DUMMYFUNCTION("IFNA(vlookup(H1929,IMPORTRANGE(""1vUGwO1n0QQGx9kKbO0_M5gmuhXZ6-LaxQxgrmJnzgP0"",""'TP# look up'!A:C""),3,0),"""")"),"")</f>
        <v/>
      </c>
      <c r="AH1929" s="49" t="str">
        <f t="shared" si="30"/>
        <v/>
      </c>
    </row>
    <row r="1930" spans="8:34" ht="12.75">
      <c r="H1930" s="43"/>
      <c r="AG1930" s="49" t="str">
        <f ca="1">IFERROR(__xludf.DUMMYFUNCTION("IFNA(vlookup(H1930,IMPORTRANGE(""1vUGwO1n0QQGx9kKbO0_M5gmuhXZ6-LaxQxgrmJnzgP0"",""'TP# look up'!A:C""),3,0),"""")"),"")</f>
        <v/>
      </c>
      <c r="AH1930" s="49" t="str">
        <f t="shared" si="30"/>
        <v/>
      </c>
    </row>
    <row r="1931" spans="8:34" ht="12.75">
      <c r="H1931" s="43"/>
      <c r="AG1931" s="49" t="str">
        <f ca="1">IFERROR(__xludf.DUMMYFUNCTION("IFNA(vlookup(H1931,IMPORTRANGE(""1vUGwO1n0QQGx9kKbO0_M5gmuhXZ6-LaxQxgrmJnzgP0"",""'TP# look up'!A:C""),3,0),"""")"),"")</f>
        <v/>
      </c>
      <c r="AH1931" s="49" t="str">
        <f t="shared" si="30"/>
        <v/>
      </c>
    </row>
    <row r="1932" spans="8:34" ht="12.75">
      <c r="H1932" s="43"/>
      <c r="AG1932" s="49" t="str">
        <f ca="1">IFERROR(__xludf.DUMMYFUNCTION("IFNA(vlookup(H1932,IMPORTRANGE(""1vUGwO1n0QQGx9kKbO0_M5gmuhXZ6-LaxQxgrmJnzgP0"",""'TP# look up'!A:C""),3,0),"""")"),"")</f>
        <v/>
      </c>
      <c r="AH1932" s="49" t="str">
        <f t="shared" si="30"/>
        <v/>
      </c>
    </row>
    <row r="1933" spans="8:34" ht="12.75">
      <c r="H1933" s="43"/>
      <c r="AG1933" s="49" t="str">
        <f ca="1">IFERROR(__xludf.DUMMYFUNCTION("IFNA(vlookup(H1933,IMPORTRANGE(""1vUGwO1n0QQGx9kKbO0_M5gmuhXZ6-LaxQxgrmJnzgP0"",""'TP# look up'!A:C""),3,0),"""")"),"")</f>
        <v/>
      </c>
      <c r="AH1933" s="49" t="str">
        <f t="shared" si="30"/>
        <v/>
      </c>
    </row>
    <row r="1934" spans="8:34" ht="12.75">
      <c r="H1934" s="43"/>
      <c r="AG1934" s="49" t="str">
        <f ca="1">IFERROR(__xludf.DUMMYFUNCTION("IFNA(vlookup(H1934,IMPORTRANGE(""1vUGwO1n0QQGx9kKbO0_M5gmuhXZ6-LaxQxgrmJnzgP0"",""'TP# look up'!A:C""),3,0),"""")"),"")</f>
        <v/>
      </c>
      <c r="AH1934" s="49" t="str">
        <f t="shared" si="30"/>
        <v/>
      </c>
    </row>
    <row r="1935" spans="8:34" ht="12.75">
      <c r="H1935" s="43"/>
      <c r="AG1935" s="49" t="str">
        <f ca="1">IFERROR(__xludf.DUMMYFUNCTION("IFNA(vlookup(H1935,IMPORTRANGE(""1vUGwO1n0QQGx9kKbO0_M5gmuhXZ6-LaxQxgrmJnzgP0"",""'TP# look up'!A:C""),3,0),"""")"),"")</f>
        <v/>
      </c>
      <c r="AH1935" s="49" t="str">
        <f t="shared" si="30"/>
        <v/>
      </c>
    </row>
    <row r="1936" spans="8:34" ht="12.75">
      <c r="H1936" s="43"/>
      <c r="AG1936" s="49" t="str">
        <f ca="1">IFERROR(__xludf.DUMMYFUNCTION("IFNA(vlookup(H1936,IMPORTRANGE(""1vUGwO1n0QQGx9kKbO0_M5gmuhXZ6-LaxQxgrmJnzgP0"",""'TP# look up'!A:C""),3,0),"""")"),"")</f>
        <v/>
      </c>
      <c r="AH1936" s="49" t="str">
        <f t="shared" si="30"/>
        <v/>
      </c>
    </row>
    <row r="1937" spans="8:34" ht="12.75">
      <c r="H1937" s="43"/>
      <c r="AG1937" s="49" t="str">
        <f ca="1">IFERROR(__xludf.DUMMYFUNCTION("IFNA(vlookup(H1937,IMPORTRANGE(""1vUGwO1n0QQGx9kKbO0_M5gmuhXZ6-LaxQxgrmJnzgP0"",""'TP# look up'!A:C""),3,0),"""")"),"")</f>
        <v/>
      </c>
      <c r="AH1937" s="49" t="str">
        <f t="shared" si="30"/>
        <v/>
      </c>
    </row>
    <row r="1938" spans="8:34" ht="12.75">
      <c r="H1938" s="43"/>
      <c r="AG1938" s="49" t="str">
        <f ca="1">IFERROR(__xludf.DUMMYFUNCTION("IFNA(vlookup(H1938,IMPORTRANGE(""1vUGwO1n0QQGx9kKbO0_M5gmuhXZ6-LaxQxgrmJnzgP0"",""'TP# look up'!A:C""),3,0),"""")"),"")</f>
        <v/>
      </c>
      <c r="AH1938" s="49" t="str">
        <f t="shared" si="30"/>
        <v/>
      </c>
    </row>
    <row r="1939" spans="8:34" ht="12.75">
      <c r="H1939" s="43"/>
      <c r="AG1939" s="49" t="str">
        <f ca="1">IFERROR(__xludf.DUMMYFUNCTION("IFNA(vlookup(H1939,IMPORTRANGE(""1vUGwO1n0QQGx9kKbO0_M5gmuhXZ6-LaxQxgrmJnzgP0"",""'TP# look up'!A:C""),3,0),"""")"),"")</f>
        <v/>
      </c>
      <c r="AH1939" s="49" t="str">
        <f t="shared" si="30"/>
        <v/>
      </c>
    </row>
    <row r="1940" spans="8:34" ht="12.75">
      <c r="H1940" s="43"/>
      <c r="AG1940" s="49" t="str">
        <f ca="1">IFERROR(__xludf.DUMMYFUNCTION("IFNA(vlookup(H1940,IMPORTRANGE(""1vUGwO1n0QQGx9kKbO0_M5gmuhXZ6-LaxQxgrmJnzgP0"",""'TP# look up'!A:C""),3,0),"""")"),"")</f>
        <v/>
      </c>
      <c r="AH1940" s="49" t="str">
        <f t="shared" si="30"/>
        <v/>
      </c>
    </row>
    <row r="1941" spans="8:34" ht="12.75">
      <c r="H1941" s="43"/>
      <c r="AG1941" s="49" t="str">
        <f ca="1">IFERROR(__xludf.DUMMYFUNCTION("IFNA(vlookup(H1941,IMPORTRANGE(""1vUGwO1n0QQGx9kKbO0_M5gmuhXZ6-LaxQxgrmJnzgP0"",""'TP# look up'!A:C""),3,0),"""")"),"")</f>
        <v/>
      </c>
      <c r="AH1941" s="49" t="str">
        <f t="shared" si="30"/>
        <v/>
      </c>
    </row>
    <row r="1942" spans="8:34" ht="12.75">
      <c r="H1942" s="43"/>
      <c r="AG1942" s="49" t="str">
        <f ca="1">IFERROR(__xludf.DUMMYFUNCTION("IFNA(vlookup(H1942,IMPORTRANGE(""1vUGwO1n0QQGx9kKbO0_M5gmuhXZ6-LaxQxgrmJnzgP0"",""'TP# look up'!A:C""),3,0),"""")"),"")</f>
        <v/>
      </c>
      <c r="AH1942" s="49" t="str">
        <f t="shared" si="30"/>
        <v/>
      </c>
    </row>
    <row r="1943" spans="8:34" ht="12.75">
      <c r="H1943" s="43"/>
      <c r="AG1943" s="49" t="str">
        <f ca="1">IFERROR(__xludf.DUMMYFUNCTION("IFNA(vlookup(H1943,IMPORTRANGE(""1vUGwO1n0QQGx9kKbO0_M5gmuhXZ6-LaxQxgrmJnzgP0"",""'TP# look up'!A:C""),3,0),"""")"),"")</f>
        <v/>
      </c>
      <c r="AH1943" s="49" t="str">
        <f t="shared" si="30"/>
        <v/>
      </c>
    </row>
    <row r="1944" spans="8:34" ht="12.75">
      <c r="H1944" s="43"/>
      <c r="AG1944" s="49" t="str">
        <f ca="1">IFERROR(__xludf.DUMMYFUNCTION("IFNA(vlookup(H1944,IMPORTRANGE(""1vUGwO1n0QQGx9kKbO0_M5gmuhXZ6-LaxQxgrmJnzgP0"",""'TP# look up'!A:C""),3,0),"""")"),"")</f>
        <v/>
      </c>
      <c r="AH1944" s="49" t="str">
        <f t="shared" si="30"/>
        <v/>
      </c>
    </row>
    <row r="1945" spans="8:34" ht="12.75">
      <c r="H1945" s="43"/>
      <c r="AG1945" s="49" t="str">
        <f ca="1">IFERROR(__xludf.DUMMYFUNCTION("IFNA(vlookup(H1945,IMPORTRANGE(""1vUGwO1n0QQGx9kKbO0_M5gmuhXZ6-LaxQxgrmJnzgP0"",""'TP# look up'!A:C""),3,0),"""")"),"")</f>
        <v/>
      </c>
      <c r="AH1945" s="49" t="str">
        <f t="shared" si="30"/>
        <v/>
      </c>
    </row>
    <row r="1946" spans="8:34" ht="12.75">
      <c r="H1946" s="43"/>
      <c r="AG1946" s="49" t="str">
        <f ca="1">IFERROR(__xludf.DUMMYFUNCTION("IFNA(vlookup(H1946,IMPORTRANGE(""1vUGwO1n0QQGx9kKbO0_M5gmuhXZ6-LaxQxgrmJnzgP0"",""'TP# look up'!A:C""),3,0),"""")"),"")</f>
        <v/>
      </c>
      <c r="AH1946" s="49" t="str">
        <f t="shared" si="30"/>
        <v/>
      </c>
    </row>
    <row r="1947" spans="8:34" ht="12.75">
      <c r="H1947" s="43"/>
      <c r="AG1947" s="49" t="str">
        <f ca="1">IFERROR(__xludf.DUMMYFUNCTION("IFNA(vlookup(H1947,IMPORTRANGE(""1vUGwO1n0QQGx9kKbO0_M5gmuhXZ6-LaxQxgrmJnzgP0"",""'TP# look up'!A:C""),3,0),"""")"),"")</f>
        <v/>
      </c>
      <c r="AH1947" s="49" t="str">
        <f t="shared" si="30"/>
        <v/>
      </c>
    </row>
    <row r="1948" spans="8:34" ht="12.75">
      <c r="H1948" s="43"/>
      <c r="AG1948" s="49" t="str">
        <f ca="1">IFERROR(__xludf.DUMMYFUNCTION("IFNA(vlookup(H1948,IMPORTRANGE(""1vUGwO1n0QQGx9kKbO0_M5gmuhXZ6-LaxQxgrmJnzgP0"",""'TP# look up'!A:C""),3,0),"""")"),"")</f>
        <v/>
      </c>
      <c r="AH1948" s="49" t="str">
        <f t="shared" si="30"/>
        <v/>
      </c>
    </row>
    <row r="1949" spans="8:34" ht="12.75">
      <c r="H1949" s="43"/>
      <c r="AG1949" s="49" t="str">
        <f ca="1">IFERROR(__xludf.DUMMYFUNCTION("IFNA(vlookup(H1949,IMPORTRANGE(""1vUGwO1n0QQGx9kKbO0_M5gmuhXZ6-LaxQxgrmJnzgP0"",""'TP# look up'!A:C""),3,0),"""")"),"")</f>
        <v/>
      </c>
      <c r="AH1949" s="49" t="str">
        <f t="shared" si="30"/>
        <v/>
      </c>
    </row>
    <row r="1950" spans="8:34" ht="12.75">
      <c r="H1950" s="43"/>
      <c r="AG1950" s="49" t="str">
        <f ca="1">IFERROR(__xludf.DUMMYFUNCTION("IFNA(vlookup(H1950,IMPORTRANGE(""1vUGwO1n0QQGx9kKbO0_M5gmuhXZ6-LaxQxgrmJnzgP0"",""'TP# look up'!A:C""),3,0),"""")"),"")</f>
        <v/>
      </c>
      <c r="AH1950" s="49" t="str">
        <f t="shared" si="30"/>
        <v/>
      </c>
    </row>
    <row r="1951" spans="8:34" ht="12.75">
      <c r="H1951" s="43"/>
      <c r="AG1951" s="49" t="str">
        <f ca="1">IFERROR(__xludf.DUMMYFUNCTION("IFNA(vlookup(H1951,IMPORTRANGE(""1vUGwO1n0QQGx9kKbO0_M5gmuhXZ6-LaxQxgrmJnzgP0"",""'TP# look up'!A:C""),3,0),"""")"),"")</f>
        <v/>
      </c>
      <c r="AH1951" s="49" t="str">
        <f t="shared" si="30"/>
        <v/>
      </c>
    </row>
    <row r="1952" spans="8:34" ht="12.75">
      <c r="H1952" s="43"/>
      <c r="AG1952" s="49" t="str">
        <f ca="1">IFERROR(__xludf.DUMMYFUNCTION("IFNA(vlookup(H1952,IMPORTRANGE(""1vUGwO1n0QQGx9kKbO0_M5gmuhXZ6-LaxQxgrmJnzgP0"",""'TP# look up'!A:C""),3,0),"""")"),"")</f>
        <v/>
      </c>
      <c r="AH1952" s="49" t="str">
        <f t="shared" si="30"/>
        <v/>
      </c>
    </row>
    <row r="1953" spans="8:34" ht="12.75">
      <c r="H1953" s="43"/>
      <c r="AG1953" s="49" t="str">
        <f ca="1">IFERROR(__xludf.DUMMYFUNCTION("IFNA(vlookup(H1953,IMPORTRANGE(""1vUGwO1n0QQGx9kKbO0_M5gmuhXZ6-LaxQxgrmJnzgP0"",""'TP# look up'!A:C""),3,0),"""")"),"")</f>
        <v/>
      </c>
      <c r="AH1953" s="49" t="str">
        <f t="shared" si="30"/>
        <v/>
      </c>
    </row>
    <row r="1954" spans="8:34" ht="12.75">
      <c r="H1954" s="43"/>
      <c r="AG1954" s="49" t="str">
        <f ca="1">IFERROR(__xludf.DUMMYFUNCTION("IFNA(vlookup(H1954,IMPORTRANGE(""1vUGwO1n0QQGx9kKbO0_M5gmuhXZ6-LaxQxgrmJnzgP0"",""'TP# look up'!A:C""),3,0),"""")"),"")</f>
        <v/>
      </c>
      <c r="AH1954" s="49" t="str">
        <f t="shared" si="30"/>
        <v/>
      </c>
    </row>
    <row r="1955" spans="8:34" ht="12.75">
      <c r="H1955" s="43"/>
      <c r="AG1955" s="49" t="str">
        <f ca="1">IFERROR(__xludf.DUMMYFUNCTION("IFNA(vlookup(H1955,IMPORTRANGE(""1vUGwO1n0QQGx9kKbO0_M5gmuhXZ6-LaxQxgrmJnzgP0"",""'TP# look up'!A:C""),3,0),"""")"),"")</f>
        <v/>
      </c>
      <c r="AH1955" s="49" t="str">
        <f t="shared" si="30"/>
        <v/>
      </c>
    </row>
    <row r="1956" spans="8:34" ht="12.75">
      <c r="H1956" s="43"/>
      <c r="AG1956" s="49" t="str">
        <f ca="1">IFERROR(__xludf.DUMMYFUNCTION("IFNA(vlookup(H1956,IMPORTRANGE(""1vUGwO1n0QQGx9kKbO0_M5gmuhXZ6-LaxQxgrmJnzgP0"",""'TP# look up'!A:C""),3,0),"""")"),"")</f>
        <v/>
      </c>
      <c r="AH1956" s="49" t="str">
        <f t="shared" si="30"/>
        <v/>
      </c>
    </row>
    <row r="1957" spans="8:34" ht="12.75">
      <c r="H1957" s="43"/>
      <c r="AG1957" s="49" t="str">
        <f ca="1">IFERROR(__xludf.DUMMYFUNCTION("IFNA(vlookup(H1957,IMPORTRANGE(""1vUGwO1n0QQGx9kKbO0_M5gmuhXZ6-LaxQxgrmJnzgP0"",""'TP# look up'!A:C""),3,0),"""")"),"")</f>
        <v/>
      </c>
      <c r="AH1957" s="49" t="str">
        <f t="shared" si="30"/>
        <v/>
      </c>
    </row>
    <row r="1958" spans="8:34" ht="12.75">
      <c r="H1958" s="43"/>
      <c r="AG1958" s="49" t="str">
        <f ca="1">IFERROR(__xludf.DUMMYFUNCTION("IFNA(vlookup(H1958,IMPORTRANGE(""1vUGwO1n0QQGx9kKbO0_M5gmuhXZ6-LaxQxgrmJnzgP0"",""'TP# look up'!A:C""),3,0),"""")"),"")</f>
        <v/>
      </c>
      <c r="AH1958" s="49" t="str">
        <f t="shared" si="30"/>
        <v/>
      </c>
    </row>
    <row r="1959" spans="8:34" ht="12.75">
      <c r="H1959" s="43"/>
      <c r="AG1959" s="49" t="str">
        <f ca="1">IFERROR(__xludf.DUMMYFUNCTION("IFNA(vlookup(H1959,IMPORTRANGE(""1vUGwO1n0QQGx9kKbO0_M5gmuhXZ6-LaxQxgrmJnzgP0"",""'TP# look up'!A:C""),3,0),"""")"),"")</f>
        <v/>
      </c>
      <c r="AH1959" s="49" t="str">
        <f t="shared" si="30"/>
        <v/>
      </c>
    </row>
    <row r="1960" spans="8:34" ht="12.75">
      <c r="H1960" s="43"/>
      <c r="AG1960" s="49" t="str">
        <f ca="1">IFERROR(__xludf.DUMMYFUNCTION("IFNA(vlookup(H1960,IMPORTRANGE(""1vUGwO1n0QQGx9kKbO0_M5gmuhXZ6-LaxQxgrmJnzgP0"",""'TP# look up'!A:C""),3,0),"""")"),"")</f>
        <v/>
      </c>
      <c r="AH1960" s="49" t="str">
        <f t="shared" si="30"/>
        <v/>
      </c>
    </row>
    <row r="1961" spans="8:34" ht="12.75">
      <c r="H1961" s="43"/>
      <c r="AG1961" s="49" t="str">
        <f ca="1">IFERROR(__xludf.DUMMYFUNCTION("IFNA(vlookup(H1961,IMPORTRANGE(""1vUGwO1n0QQGx9kKbO0_M5gmuhXZ6-LaxQxgrmJnzgP0"",""'TP# look up'!A:C""),3,0),"""")"),"")</f>
        <v/>
      </c>
      <c r="AH1961" s="49" t="str">
        <f t="shared" si="30"/>
        <v/>
      </c>
    </row>
    <row r="1962" spans="8:34" ht="12.75">
      <c r="H1962" s="43"/>
      <c r="AG1962" s="49" t="str">
        <f ca="1">IFERROR(__xludf.DUMMYFUNCTION("IFNA(vlookup(H1962,IMPORTRANGE(""1vUGwO1n0QQGx9kKbO0_M5gmuhXZ6-LaxQxgrmJnzgP0"",""'TP# look up'!A:C""),3,0),"""")"),"")</f>
        <v/>
      </c>
      <c r="AH1962" s="49" t="str">
        <f t="shared" si="30"/>
        <v/>
      </c>
    </row>
    <row r="1963" spans="8:34" ht="12.75">
      <c r="H1963" s="43"/>
      <c r="AG1963" s="49" t="str">
        <f ca="1">IFERROR(__xludf.DUMMYFUNCTION("IFNA(vlookup(H1963,IMPORTRANGE(""1vUGwO1n0QQGx9kKbO0_M5gmuhXZ6-LaxQxgrmJnzgP0"",""'TP# look up'!A:C""),3,0),"""")"),"")</f>
        <v/>
      </c>
      <c r="AH1963" s="49" t="str">
        <f t="shared" si="30"/>
        <v/>
      </c>
    </row>
    <row r="1964" spans="8:34" ht="12.75">
      <c r="H1964" s="43"/>
      <c r="AG1964" s="49" t="str">
        <f ca="1">IFERROR(__xludf.DUMMYFUNCTION("IFNA(vlookup(H1964,IMPORTRANGE(""1vUGwO1n0QQGx9kKbO0_M5gmuhXZ6-LaxQxgrmJnzgP0"",""'TP# look up'!A:C""),3,0),"""")"),"")</f>
        <v/>
      </c>
      <c r="AH1964" s="49" t="str">
        <f t="shared" si="30"/>
        <v/>
      </c>
    </row>
    <row r="1965" spans="8:34" ht="12.75">
      <c r="H1965" s="43"/>
      <c r="AG1965" s="49" t="str">
        <f ca="1">IFERROR(__xludf.DUMMYFUNCTION("IFNA(vlookup(H1965,IMPORTRANGE(""1vUGwO1n0QQGx9kKbO0_M5gmuhXZ6-LaxQxgrmJnzgP0"",""'TP# look up'!A:C""),3,0),"""")"),"")</f>
        <v/>
      </c>
      <c r="AH1965" s="49" t="str">
        <f t="shared" si="30"/>
        <v/>
      </c>
    </row>
    <row r="1966" spans="8:34" ht="12.75">
      <c r="H1966" s="43"/>
      <c r="AG1966" s="49" t="str">
        <f ca="1">IFERROR(__xludf.DUMMYFUNCTION("IFNA(vlookup(H1966,IMPORTRANGE(""1vUGwO1n0QQGx9kKbO0_M5gmuhXZ6-LaxQxgrmJnzgP0"",""'TP# look up'!A:C""),3,0),"""")"),"")</f>
        <v/>
      </c>
      <c r="AH1966" s="49" t="str">
        <f t="shared" si="30"/>
        <v/>
      </c>
    </row>
    <row r="1967" spans="8:34" ht="12.75">
      <c r="H1967" s="43"/>
      <c r="AG1967" s="49" t="str">
        <f ca="1">IFERROR(__xludf.DUMMYFUNCTION("IFNA(vlookup(H1967,IMPORTRANGE(""1vUGwO1n0QQGx9kKbO0_M5gmuhXZ6-LaxQxgrmJnzgP0"",""'TP# look up'!A:C""),3,0),"""")"),"")</f>
        <v/>
      </c>
      <c r="AH1967" s="49" t="str">
        <f t="shared" si="30"/>
        <v/>
      </c>
    </row>
    <row r="1968" spans="8:34" ht="12.75">
      <c r="H1968" s="43"/>
      <c r="AG1968" s="49" t="str">
        <f ca="1">IFERROR(__xludf.DUMMYFUNCTION("IFNA(vlookup(H1968,IMPORTRANGE(""1vUGwO1n0QQGx9kKbO0_M5gmuhXZ6-LaxQxgrmJnzgP0"",""'TP# look up'!A:C""),3,0),"""")"),"")</f>
        <v/>
      </c>
      <c r="AH1968" s="49" t="str">
        <f t="shared" si="30"/>
        <v/>
      </c>
    </row>
    <row r="1969" spans="8:34" ht="12.75">
      <c r="H1969" s="43"/>
      <c r="AG1969" s="49" t="str">
        <f ca="1">IFERROR(__xludf.DUMMYFUNCTION("IFNA(vlookup(H1969,IMPORTRANGE(""1vUGwO1n0QQGx9kKbO0_M5gmuhXZ6-LaxQxgrmJnzgP0"",""'TP# look up'!A:C""),3,0),"""")"),"")</f>
        <v/>
      </c>
      <c r="AH1969" s="49" t="str">
        <f t="shared" si="30"/>
        <v/>
      </c>
    </row>
    <row r="1970" spans="8:34" ht="12.75">
      <c r="H1970" s="43"/>
      <c r="AG1970" s="49" t="str">
        <f ca="1">IFERROR(__xludf.DUMMYFUNCTION("IFNA(vlookup(H1970,IMPORTRANGE(""1vUGwO1n0QQGx9kKbO0_M5gmuhXZ6-LaxQxgrmJnzgP0"",""'TP# look up'!A:C""),3,0),"""")"),"")</f>
        <v/>
      </c>
      <c r="AH1970" s="49" t="str">
        <f t="shared" si="30"/>
        <v/>
      </c>
    </row>
    <row r="1971" spans="8:34" ht="12.75">
      <c r="H1971" s="43"/>
      <c r="AG1971" s="49" t="str">
        <f ca="1">IFERROR(__xludf.DUMMYFUNCTION("IFNA(vlookup(H1971,IMPORTRANGE(""1vUGwO1n0QQGx9kKbO0_M5gmuhXZ6-LaxQxgrmJnzgP0"",""'TP# look up'!A:C""),3,0),"""")"),"")</f>
        <v/>
      </c>
      <c r="AH1971" s="49" t="str">
        <f t="shared" si="30"/>
        <v/>
      </c>
    </row>
    <row r="1972" spans="8:34" ht="12.75">
      <c r="H1972" s="43"/>
      <c r="AG1972" s="49" t="str">
        <f ca="1">IFERROR(__xludf.DUMMYFUNCTION("IFNA(vlookup(H1972,IMPORTRANGE(""1vUGwO1n0QQGx9kKbO0_M5gmuhXZ6-LaxQxgrmJnzgP0"",""'TP# look up'!A:C""),3,0),"""")"),"")</f>
        <v/>
      </c>
      <c r="AH1972" s="49" t="str">
        <f t="shared" si="30"/>
        <v/>
      </c>
    </row>
    <row r="1973" spans="8:34" ht="12.75">
      <c r="H1973" s="43"/>
      <c r="AG1973" s="49" t="str">
        <f ca="1">IFERROR(__xludf.DUMMYFUNCTION("IFNA(vlookup(H1973,IMPORTRANGE(""1vUGwO1n0QQGx9kKbO0_M5gmuhXZ6-LaxQxgrmJnzgP0"",""'TP# look up'!A:C""),3,0),"""")"),"")</f>
        <v/>
      </c>
      <c r="AH1973" s="49" t="str">
        <f t="shared" si="30"/>
        <v/>
      </c>
    </row>
    <row r="1974" spans="8:34" ht="12.75">
      <c r="H1974" s="43"/>
      <c r="AG1974" s="49" t="str">
        <f ca="1">IFERROR(__xludf.DUMMYFUNCTION("IFNA(vlookup(H1974,IMPORTRANGE(""1vUGwO1n0QQGx9kKbO0_M5gmuhXZ6-LaxQxgrmJnzgP0"",""'TP# look up'!A:C""),3,0),"""")"),"")</f>
        <v/>
      </c>
      <c r="AH1974" s="49" t="str">
        <f t="shared" si="30"/>
        <v/>
      </c>
    </row>
    <row r="1975" spans="8:34" ht="12.75">
      <c r="H1975" s="43"/>
      <c r="AG1975" s="49" t="str">
        <f ca="1">IFERROR(__xludf.DUMMYFUNCTION("IFNA(vlookup(H1975,IMPORTRANGE(""1vUGwO1n0QQGx9kKbO0_M5gmuhXZ6-LaxQxgrmJnzgP0"",""'TP# look up'!A:C""),3,0),"""")"),"")</f>
        <v/>
      </c>
      <c r="AH1975" s="49" t="str">
        <f t="shared" si="30"/>
        <v/>
      </c>
    </row>
    <row r="1976" spans="8:34" ht="12.75">
      <c r="H1976" s="43"/>
      <c r="AG1976" s="49" t="str">
        <f ca="1">IFERROR(__xludf.DUMMYFUNCTION("IFNA(vlookup(H1976,IMPORTRANGE(""1vUGwO1n0QQGx9kKbO0_M5gmuhXZ6-LaxQxgrmJnzgP0"",""'TP# look up'!A:C""),3,0),"""")"),"")</f>
        <v/>
      </c>
      <c r="AH1976" s="49" t="str">
        <f t="shared" si="30"/>
        <v/>
      </c>
    </row>
    <row r="1977" spans="8:34" ht="12.75">
      <c r="H1977" s="43"/>
      <c r="AG1977" s="49" t="str">
        <f ca="1">IFERROR(__xludf.DUMMYFUNCTION("IFNA(vlookup(H1977,IMPORTRANGE(""1vUGwO1n0QQGx9kKbO0_M5gmuhXZ6-LaxQxgrmJnzgP0"",""'TP# look up'!A:C""),3,0),"""")"),"")</f>
        <v/>
      </c>
      <c r="AH1977" s="49" t="str">
        <f t="shared" si="30"/>
        <v/>
      </c>
    </row>
    <row r="1978" spans="8:34" ht="12.75">
      <c r="H1978" s="43"/>
      <c r="AG1978" s="49" t="str">
        <f ca="1">IFERROR(__xludf.DUMMYFUNCTION("IFNA(vlookup(H1978,IMPORTRANGE(""1vUGwO1n0QQGx9kKbO0_M5gmuhXZ6-LaxQxgrmJnzgP0"",""'TP# look up'!A:C""),3,0),"""")"),"")</f>
        <v/>
      </c>
      <c r="AH1978" s="49" t="str">
        <f t="shared" si="30"/>
        <v/>
      </c>
    </row>
    <row r="1979" spans="8:34" ht="12.75">
      <c r="H1979" s="43"/>
      <c r="AG1979" s="49" t="str">
        <f ca="1">IFERROR(__xludf.DUMMYFUNCTION("IFNA(vlookup(H1979,IMPORTRANGE(""1vUGwO1n0QQGx9kKbO0_M5gmuhXZ6-LaxQxgrmJnzgP0"",""'TP# look up'!A:C""),3,0),"""")"),"")</f>
        <v/>
      </c>
      <c r="AH1979" s="49" t="str">
        <f t="shared" si="30"/>
        <v/>
      </c>
    </row>
    <row r="1980" spans="8:34" ht="12.75">
      <c r="H1980" s="43"/>
      <c r="AG1980" s="49" t="str">
        <f ca="1">IFERROR(__xludf.DUMMYFUNCTION("IFNA(vlookup(H1980,IMPORTRANGE(""1vUGwO1n0QQGx9kKbO0_M5gmuhXZ6-LaxQxgrmJnzgP0"",""'TP# look up'!A:C""),3,0),"""")"),"")</f>
        <v/>
      </c>
      <c r="AH1980" s="49" t="str">
        <f t="shared" si="30"/>
        <v/>
      </c>
    </row>
    <row r="1981" spans="8:34" ht="12.75">
      <c r="H1981" s="43"/>
      <c r="AG1981" s="49" t="str">
        <f ca="1">IFERROR(__xludf.DUMMYFUNCTION("IFNA(vlookup(H1981,IMPORTRANGE(""1vUGwO1n0QQGx9kKbO0_M5gmuhXZ6-LaxQxgrmJnzgP0"",""'TP# look up'!A:C""),3,0),"""")"),"")</f>
        <v/>
      </c>
      <c r="AH1981" s="49" t="str">
        <f t="shared" si="30"/>
        <v/>
      </c>
    </row>
    <row r="1982" spans="8:34" ht="12.75">
      <c r="H1982" s="43"/>
      <c r="AG1982" s="49" t="str">
        <f ca="1">IFERROR(__xludf.DUMMYFUNCTION("IFNA(vlookup(H1982,IMPORTRANGE(""1vUGwO1n0QQGx9kKbO0_M5gmuhXZ6-LaxQxgrmJnzgP0"",""'TP# look up'!A:C""),3,0),"""")"),"")</f>
        <v/>
      </c>
      <c r="AH1982" s="49" t="str">
        <f t="shared" si="30"/>
        <v/>
      </c>
    </row>
    <row r="1983" spans="8:34" ht="12.75">
      <c r="H1983" s="43"/>
      <c r="AG1983" s="49" t="str">
        <f ca="1">IFERROR(__xludf.DUMMYFUNCTION("IFNA(vlookup(H1983,IMPORTRANGE(""1vUGwO1n0QQGx9kKbO0_M5gmuhXZ6-LaxQxgrmJnzgP0"",""'TP# look up'!A:C""),3,0),"""")"),"")</f>
        <v/>
      </c>
      <c r="AH1983" s="49" t="str">
        <f t="shared" si="30"/>
        <v/>
      </c>
    </row>
    <row r="1984" spans="8:34" ht="12.75">
      <c r="H1984" s="43"/>
      <c r="AG1984" s="49" t="str">
        <f ca="1">IFERROR(__xludf.DUMMYFUNCTION("IFNA(vlookup(H1984,IMPORTRANGE(""1vUGwO1n0QQGx9kKbO0_M5gmuhXZ6-LaxQxgrmJnzgP0"",""'TP# look up'!A:C""),3,0),"""")"),"")</f>
        <v/>
      </c>
      <c r="AH1984" s="49" t="str">
        <f t="shared" si="30"/>
        <v/>
      </c>
    </row>
    <row r="1985" spans="8:34" ht="12.75">
      <c r="H1985" s="43"/>
      <c r="AG1985" s="49" t="str">
        <f ca="1">IFERROR(__xludf.DUMMYFUNCTION("IFNA(vlookup(H1985,IMPORTRANGE(""1vUGwO1n0QQGx9kKbO0_M5gmuhXZ6-LaxQxgrmJnzgP0"",""'TP# look up'!A:C""),3,0),"""")"),"")</f>
        <v/>
      </c>
      <c r="AH1985" s="49" t="str">
        <f t="shared" si="30"/>
        <v/>
      </c>
    </row>
    <row r="1986" spans="8:34" ht="12.75">
      <c r="H1986" s="43"/>
      <c r="AG1986" s="49" t="str">
        <f ca="1">IFERROR(__xludf.DUMMYFUNCTION("IFNA(vlookup(H1986,IMPORTRANGE(""1vUGwO1n0QQGx9kKbO0_M5gmuhXZ6-LaxQxgrmJnzgP0"",""'TP# look up'!A:C""),3,0),"""")"),"")</f>
        <v/>
      </c>
      <c r="AH1986" s="49" t="str">
        <f t="shared" ref="AH1986:AH2049" si="31">LEFT(J1986,2)</f>
        <v/>
      </c>
    </row>
    <row r="1987" spans="8:34" ht="12.75">
      <c r="H1987" s="43"/>
      <c r="AG1987" s="49" t="str">
        <f ca="1">IFERROR(__xludf.DUMMYFUNCTION("IFNA(vlookup(H1987,IMPORTRANGE(""1vUGwO1n0QQGx9kKbO0_M5gmuhXZ6-LaxQxgrmJnzgP0"",""'TP# look up'!A:C""),3,0),"""")"),"")</f>
        <v/>
      </c>
      <c r="AH1987" s="49" t="str">
        <f t="shared" si="31"/>
        <v/>
      </c>
    </row>
    <row r="1988" spans="8:34" ht="12.75">
      <c r="H1988" s="43"/>
      <c r="AG1988" s="49" t="str">
        <f ca="1">IFERROR(__xludf.DUMMYFUNCTION("IFNA(vlookup(H1988,IMPORTRANGE(""1vUGwO1n0QQGx9kKbO0_M5gmuhXZ6-LaxQxgrmJnzgP0"",""'TP# look up'!A:C""),3,0),"""")"),"")</f>
        <v/>
      </c>
      <c r="AH1988" s="49" t="str">
        <f t="shared" si="31"/>
        <v/>
      </c>
    </row>
    <row r="1989" spans="8:34" ht="12.75">
      <c r="H1989" s="43"/>
      <c r="AG1989" s="49" t="str">
        <f ca="1">IFERROR(__xludf.DUMMYFUNCTION("IFNA(vlookup(H1989,IMPORTRANGE(""1vUGwO1n0QQGx9kKbO0_M5gmuhXZ6-LaxQxgrmJnzgP0"",""'TP# look up'!A:C""),3,0),"""")"),"")</f>
        <v/>
      </c>
      <c r="AH1989" s="49" t="str">
        <f t="shared" si="31"/>
        <v/>
      </c>
    </row>
    <row r="1990" spans="8:34" ht="12.75">
      <c r="H1990" s="43"/>
      <c r="AG1990" s="49" t="str">
        <f ca="1">IFERROR(__xludf.DUMMYFUNCTION("IFNA(vlookup(H1990,IMPORTRANGE(""1vUGwO1n0QQGx9kKbO0_M5gmuhXZ6-LaxQxgrmJnzgP0"",""'TP# look up'!A:C""),3,0),"""")"),"")</f>
        <v/>
      </c>
      <c r="AH1990" s="49" t="str">
        <f t="shared" si="31"/>
        <v/>
      </c>
    </row>
    <row r="1991" spans="8:34" ht="12.75">
      <c r="H1991" s="43"/>
      <c r="AG1991" s="49" t="str">
        <f ca="1">IFERROR(__xludf.DUMMYFUNCTION("IFNA(vlookup(H1991,IMPORTRANGE(""1vUGwO1n0QQGx9kKbO0_M5gmuhXZ6-LaxQxgrmJnzgP0"",""'TP# look up'!A:C""),3,0),"""")"),"")</f>
        <v/>
      </c>
      <c r="AH1991" s="49" t="str">
        <f t="shared" si="31"/>
        <v/>
      </c>
    </row>
    <row r="1992" spans="8:34" ht="12.75">
      <c r="H1992" s="43"/>
      <c r="AG1992" s="49" t="str">
        <f ca="1">IFERROR(__xludf.DUMMYFUNCTION("IFNA(vlookup(H1992,IMPORTRANGE(""1vUGwO1n0QQGx9kKbO0_M5gmuhXZ6-LaxQxgrmJnzgP0"",""'TP# look up'!A:C""),3,0),"""")"),"")</f>
        <v/>
      </c>
      <c r="AH1992" s="49" t="str">
        <f t="shared" si="31"/>
        <v/>
      </c>
    </row>
    <row r="1993" spans="8:34" ht="12.75">
      <c r="H1993" s="43"/>
      <c r="AG1993" s="49" t="str">
        <f ca="1">IFERROR(__xludf.DUMMYFUNCTION("IFNA(vlookup(H1993,IMPORTRANGE(""1vUGwO1n0QQGx9kKbO0_M5gmuhXZ6-LaxQxgrmJnzgP0"",""'TP# look up'!A:C""),3,0),"""")"),"")</f>
        <v/>
      </c>
      <c r="AH1993" s="49" t="str">
        <f t="shared" si="31"/>
        <v/>
      </c>
    </row>
    <row r="1994" spans="8:34" ht="12.75">
      <c r="H1994" s="43"/>
      <c r="AG1994" s="49" t="str">
        <f ca="1">IFERROR(__xludf.DUMMYFUNCTION("IFNA(vlookup(H1994,IMPORTRANGE(""1vUGwO1n0QQGx9kKbO0_M5gmuhXZ6-LaxQxgrmJnzgP0"",""'TP# look up'!A:C""),3,0),"""")"),"")</f>
        <v/>
      </c>
      <c r="AH1994" s="49" t="str">
        <f t="shared" si="31"/>
        <v/>
      </c>
    </row>
    <row r="1995" spans="8:34" ht="12.75">
      <c r="H1995" s="43"/>
      <c r="AG1995" s="49" t="str">
        <f ca="1">IFERROR(__xludf.DUMMYFUNCTION("IFNA(vlookup(H1995,IMPORTRANGE(""1vUGwO1n0QQGx9kKbO0_M5gmuhXZ6-LaxQxgrmJnzgP0"",""'TP# look up'!A:C""),3,0),"""")"),"")</f>
        <v/>
      </c>
      <c r="AH1995" s="49" t="str">
        <f t="shared" si="31"/>
        <v/>
      </c>
    </row>
    <row r="1996" spans="8:34" ht="12.75">
      <c r="H1996" s="43"/>
      <c r="AG1996" s="49" t="str">
        <f ca="1">IFERROR(__xludf.DUMMYFUNCTION("IFNA(vlookup(H1996,IMPORTRANGE(""1vUGwO1n0QQGx9kKbO0_M5gmuhXZ6-LaxQxgrmJnzgP0"",""'TP# look up'!A:C""),3,0),"""")"),"")</f>
        <v/>
      </c>
      <c r="AH1996" s="49" t="str">
        <f t="shared" si="31"/>
        <v/>
      </c>
    </row>
    <row r="1997" spans="8:34" ht="12.75">
      <c r="H1997" s="43"/>
      <c r="AG1997" s="49" t="str">
        <f ca="1">IFERROR(__xludf.DUMMYFUNCTION("IFNA(vlookup(H1997,IMPORTRANGE(""1vUGwO1n0QQGx9kKbO0_M5gmuhXZ6-LaxQxgrmJnzgP0"",""'TP# look up'!A:C""),3,0),"""")"),"")</f>
        <v/>
      </c>
      <c r="AH1997" s="49" t="str">
        <f t="shared" si="31"/>
        <v/>
      </c>
    </row>
    <row r="1998" spans="8:34" ht="12.75">
      <c r="H1998" s="43"/>
      <c r="AG1998" s="49" t="str">
        <f ca="1">IFERROR(__xludf.DUMMYFUNCTION("IFNA(vlookup(H1998,IMPORTRANGE(""1vUGwO1n0QQGx9kKbO0_M5gmuhXZ6-LaxQxgrmJnzgP0"",""'TP# look up'!A:C""),3,0),"""")"),"")</f>
        <v/>
      </c>
      <c r="AH1998" s="49" t="str">
        <f t="shared" si="31"/>
        <v/>
      </c>
    </row>
    <row r="1999" spans="8:34" ht="12.75">
      <c r="H1999" s="43"/>
      <c r="AG1999" s="49" t="str">
        <f ca="1">IFERROR(__xludf.DUMMYFUNCTION("IFNA(vlookup(H1999,IMPORTRANGE(""1vUGwO1n0QQGx9kKbO0_M5gmuhXZ6-LaxQxgrmJnzgP0"",""'TP# look up'!A:C""),3,0),"""")"),"")</f>
        <v/>
      </c>
      <c r="AH1999" s="49" t="str">
        <f t="shared" si="31"/>
        <v/>
      </c>
    </row>
    <row r="2000" spans="8:34" ht="12.75">
      <c r="H2000" s="43"/>
      <c r="AG2000" s="49" t="str">
        <f ca="1">IFERROR(__xludf.DUMMYFUNCTION("IFNA(vlookup(H2000,IMPORTRANGE(""1vUGwO1n0QQGx9kKbO0_M5gmuhXZ6-LaxQxgrmJnzgP0"",""'TP# look up'!A:C""),3,0),"""")"),"")</f>
        <v/>
      </c>
      <c r="AH2000" s="49" t="str">
        <f t="shared" si="31"/>
        <v/>
      </c>
    </row>
    <row r="2001" spans="8:34" ht="12.75">
      <c r="H2001" s="43"/>
      <c r="AG2001" s="49" t="str">
        <f ca="1">IFERROR(__xludf.DUMMYFUNCTION("IFNA(vlookup(H2001,IMPORTRANGE(""1vUGwO1n0QQGx9kKbO0_M5gmuhXZ6-LaxQxgrmJnzgP0"",""'TP# look up'!A:C""),3,0),"""")"),"")</f>
        <v/>
      </c>
      <c r="AH2001" s="49" t="str">
        <f t="shared" si="31"/>
        <v/>
      </c>
    </row>
    <row r="2002" spans="8:34" ht="12.75">
      <c r="H2002" s="43"/>
      <c r="AG2002" s="49" t="str">
        <f ca="1">IFERROR(__xludf.DUMMYFUNCTION("IFNA(vlookup(H2002,IMPORTRANGE(""1vUGwO1n0QQGx9kKbO0_M5gmuhXZ6-LaxQxgrmJnzgP0"",""'TP# look up'!A:C""),3,0),"""")"),"")</f>
        <v/>
      </c>
      <c r="AH2002" s="49" t="str">
        <f t="shared" si="31"/>
        <v/>
      </c>
    </row>
    <row r="2003" spans="8:34" ht="12.75">
      <c r="H2003" s="43"/>
      <c r="AG2003" s="49" t="str">
        <f ca="1">IFERROR(__xludf.DUMMYFUNCTION("IFNA(vlookup(H2003,IMPORTRANGE(""1vUGwO1n0QQGx9kKbO0_M5gmuhXZ6-LaxQxgrmJnzgP0"",""'TP# look up'!A:C""),3,0),"""")"),"")</f>
        <v/>
      </c>
      <c r="AH2003" s="49" t="str">
        <f t="shared" si="31"/>
        <v/>
      </c>
    </row>
    <row r="2004" spans="8:34" ht="12.75">
      <c r="H2004" s="43"/>
      <c r="AG2004" s="49" t="str">
        <f ca="1">IFERROR(__xludf.DUMMYFUNCTION("IFNA(vlookup(H2004,IMPORTRANGE(""1vUGwO1n0QQGx9kKbO0_M5gmuhXZ6-LaxQxgrmJnzgP0"",""'TP# look up'!A:C""),3,0),"""")"),"")</f>
        <v/>
      </c>
      <c r="AH2004" s="49" t="str">
        <f t="shared" si="31"/>
        <v/>
      </c>
    </row>
    <row r="2005" spans="8:34" ht="12.75">
      <c r="H2005" s="43"/>
      <c r="AG2005" s="49" t="str">
        <f ca="1">IFERROR(__xludf.DUMMYFUNCTION("IFNA(vlookup(H2005,IMPORTRANGE(""1vUGwO1n0QQGx9kKbO0_M5gmuhXZ6-LaxQxgrmJnzgP0"",""'TP# look up'!A:C""),3,0),"""")"),"")</f>
        <v/>
      </c>
      <c r="AH2005" s="49" t="str">
        <f t="shared" si="31"/>
        <v/>
      </c>
    </row>
    <row r="2006" spans="8:34" ht="12.75">
      <c r="H2006" s="43"/>
      <c r="AG2006" s="49" t="str">
        <f ca="1">IFERROR(__xludf.DUMMYFUNCTION("IFNA(vlookup(H2006,IMPORTRANGE(""1vUGwO1n0QQGx9kKbO0_M5gmuhXZ6-LaxQxgrmJnzgP0"",""'TP# look up'!A:C""),3,0),"""")"),"")</f>
        <v/>
      </c>
      <c r="AH2006" s="49" t="str">
        <f t="shared" si="31"/>
        <v/>
      </c>
    </row>
    <row r="2007" spans="8:34" ht="12.75">
      <c r="H2007" s="43"/>
      <c r="AG2007" s="49" t="str">
        <f ca="1">IFERROR(__xludf.DUMMYFUNCTION("IFNA(vlookup(H2007,IMPORTRANGE(""1vUGwO1n0QQGx9kKbO0_M5gmuhXZ6-LaxQxgrmJnzgP0"",""'TP# look up'!A:C""),3,0),"""")"),"")</f>
        <v/>
      </c>
      <c r="AH2007" s="49" t="str">
        <f t="shared" si="31"/>
        <v/>
      </c>
    </row>
    <row r="2008" spans="8:34" ht="12.75">
      <c r="H2008" s="43"/>
      <c r="AG2008" s="49" t="str">
        <f ca="1">IFERROR(__xludf.DUMMYFUNCTION("IFNA(vlookup(H2008,IMPORTRANGE(""1vUGwO1n0QQGx9kKbO0_M5gmuhXZ6-LaxQxgrmJnzgP0"",""'TP# look up'!A:C""),3,0),"""")"),"")</f>
        <v/>
      </c>
      <c r="AH2008" s="49" t="str">
        <f t="shared" si="31"/>
        <v/>
      </c>
    </row>
    <row r="2009" spans="8:34" ht="12.75">
      <c r="H2009" s="43"/>
      <c r="AG2009" s="49" t="str">
        <f ca="1">IFERROR(__xludf.DUMMYFUNCTION("IFNA(vlookup(H2009,IMPORTRANGE(""1vUGwO1n0QQGx9kKbO0_M5gmuhXZ6-LaxQxgrmJnzgP0"",""'TP# look up'!A:C""),3,0),"""")"),"")</f>
        <v/>
      </c>
      <c r="AH2009" s="49" t="str">
        <f t="shared" si="31"/>
        <v/>
      </c>
    </row>
    <row r="2010" spans="8:34" ht="12.75">
      <c r="H2010" s="43"/>
      <c r="AG2010" s="49" t="str">
        <f ca="1">IFERROR(__xludf.DUMMYFUNCTION("IFNA(vlookup(H2010,IMPORTRANGE(""1vUGwO1n0QQGx9kKbO0_M5gmuhXZ6-LaxQxgrmJnzgP0"",""'TP# look up'!A:C""),3,0),"""")"),"")</f>
        <v/>
      </c>
      <c r="AH2010" s="49" t="str">
        <f t="shared" si="31"/>
        <v/>
      </c>
    </row>
    <row r="2011" spans="8:34" ht="12.75">
      <c r="H2011" s="43"/>
      <c r="AG2011" s="49" t="str">
        <f ca="1">IFERROR(__xludf.DUMMYFUNCTION("IFNA(vlookup(H2011,IMPORTRANGE(""1vUGwO1n0QQGx9kKbO0_M5gmuhXZ6-LaxQxgrmJnzgP0"",""'TP# look up'!A:C""),3,0),"""")"),"")</f>
        <v/>
      </c>
      <c r="AH2011" s="49" t="str">
        <f t="shared" si="31"/>
        <v/>
      </c>
    </row>
    <row r="2012" spans="8:34" ht="12.75">
      <c r="H2012" s="43"/>
      <c r="AG2012" s="49" t="str">
        <f ca="1">IFERROR(__xludf.DUMMYFUNCTION("IFNA(vlookup(H2012,IMPORTRANGE(""1vUGwO1n0QQGx9kKbO0_M5gmuhXZ6-LaxQxgrmJnzgP0"",""'TP# look up'!A:C""),3,0),"""")"),"")</f>
        <v/>
      </c>
      <c r="AH2012" s="49" t="str">
        <f t="shared" si="31"/>
        <v/>
      </c>
    </row>
    <row r="2013" spans="8:34" ht="12.75">
      <c r="H2013" s="43"/>
      <c r="AG2013" s="49" t="str">
        <f ca="1">IFERROR(__xludf.DUMMYFUNCTION("IFNA(vlookup(H2013,IMPORTRANGE(""1vUGwO1n0QQGx9kKbO0_M5gmuhXZ6-LaxQxgrmJnzgP0"",""'TP# look up'!A:C""),3,0),"""")"),"")</f>
        <v/>
      </c>
      <c r="AH2013" s="49" t="str">
        <f t="shared" si="31"/>
        <v/>
      </c>
    </row>
    <row r="2014" spans="8:34" ht="12.75">
      <c r="H2014" s="43"/>
      <c r="AG2014" s="49" t="str">
        <f ca="1">IFERROR(__xludf.DUMMYFUNCTION("IFNA(vlookup(H2014,IMPORTRANGE(""1vUGwO1n0QQGx9kKbO0_M5gmuhXZ6-LaxQxgrmJnzgP0"",""'TP# look up'!A:C""),3,0),"""")"),"")</f>
        <v/>
      </c>
      <c r="AH2014" s="49" t="str">
        <f t="shared" si="31"/>
        <v/>
      </c>
    </row>
    <row r="2015" spans="8:34" ht="12.75">
      <c r="H2015" s="43"/>
      <c r="AG2015" s="49" t="str">
        <f ca="1">IFERROR(__xludf.DUMMYFUNCTION("IFNA(vlookup(H2015,IMPORTRANGE(""1vUGwO1n0QQGx9kKbO0_M5gmuhXZ6-LaxQxgrmJnzgP0"",""'TP# look up'!A:C""),3,0),"""")"),"")</f>
        <v/>
      </c>
      <c r="AH2015" s="49" t="str">
        <f t="shared" si="31"/>
        <v/>
      </c>
    </row>
    <row r="2016" spans="8:34" ht="12.75">
      <c r="H2016" s="43"/>
      <c r="AG2016" s="49" t="str">
        <f ca="1">IFERROR(__xludf.DUMMYFUNCTION("IFNA(vlookup(H2016,IMPORTRANGE(""1vUGwO1n0QQGx9kKbO0_M5gmuhXZ6-LaxQxgrmJnzgP0"",""'TP# look up'!A:C""),3,0),"""")"),"")</f>
        <v/>
      </c>
      <c r="AH2016" s="49" t="str">
        <f t="shared" si="31"/>
        <v/>
      </c>
    </row>
    <row r="2017" spans="8:34" ht="12.75">
      <c r="H2017" s="43"/>
      <c r="AG2017" s="49" t="str">
        <f ca="1">IFERROR(__xludf.DUMMYFUNCTION("IFNA(vlookup(H2017,IMPORTRANGE(""1vUGwO1n0QQGx9kKbO0_M5gmuhXZ6-LaxQxgrmJnzgP0"",""'TP# look up'!A:C""),3,0),"""")"),"")</f>
        <v/>
      </c>
      <c r="AH2017" s="49" t="str">
        <f t="shared" si="31"/>
        <v/>
      </c>
    </row>
    <row r="2018" spans="8:34" ht="12.75">
      <c r="H2018" s="43"/>
      <c r="AG2018" s="49" t="str">
        <f ca="1">IFERROR(__xludf.DUMMYFUNCTION("IFNA(vlookup(H2018,IMPORTRANGE(""1vUGwO1n0QQGx9kKbO0_M5gmuhXZ6-LaxQxgrmJnzgP0"",""'TP# look up'!A:C""),3,0),"""")"),"")</f>
        <v/>
      </c>
      <c r="AH2018" s="49" t="str">
        <f t="shared" si="31"/>
        <v/>
      </c>
    </row>
    <row r="2019" spans="8:34" ht="12.75">
      <c r="H2019" s="43"/>
      <c r="AG2019" s="49" t="str">
        <f ca="1">IFERROR(__xludf.DUMMYFUNCTION("IFNA(vlookup(H2019,IMPORTRANGE(""1vUGwO1n0QQGx9kKbO0_M5gmuhXZ6-LaxQxgrmJnzgP0"",""'TP# look up'!A:C""),3,0),"""")"),"")</f>
        <v/>
      </c>
      <c r="AH2019" s="49" t="str">
        <f t="shared" si="31"/>
        <v/>
      </c>
    </row>
    <row r="2020" spans="8:34" ht="12.75">
      <c r="H2020" s="43"/>
      <c r="AG2020" s="49" t="str">
        <f ca="1">IFERROR(__xludf.DUMMYFUNCTION("IFNA(vlookup(H2020,IMPORTRANGE(""1vUGwO1n0QQGx9kKbO0_M5gmuhXZ6-LaxQxgrmJnzgP0"",""'TP# look up'!A:C""),3,0),"""")"),"")</f>
        <v/>
      </c>
      <c r="AH2020" s="49" t="str">
        <f t="shared" si="31"/>
        <v/>
      </c>
    </row>
    <row r="2021" spans="8:34" ht="12.75">
      <c r="H2021" s="43"/>
      <c r="AG2021" s="49" t="str">
        <f ca="1">IFERROR(__xludf.DUMMYFUNCTION("IFNA(vlookup(H2021,IMPORTRANGE(""1vUGwO1n0QQGx9kKbO0_M5gmuhXZ6-LaxQxgrmJnzgP0"",""'TP# look up'!A:C""),3,0),"""")"),"")</f>
        <v/>
      </c>
      <c r="AH2021" s="49" t="str">
        <f t="shared" si="31"/>
        <v/>
      </c>
    </row>
    <row r="2022" spans="8:34" ht="12.75">
      <c r="H2022" s="43"/>
      <c r="AG2022" s="49" t="str">
        <f ca="1">IFERROR(__xludf.DUMMYFUNCTION("IFNA(vlookup(H2022,IMPORTRANGE(""1vUGwO1n0QQGx9kKbO0_M5gmuhXZ6-LaxQxgrmJnzgP0"",""'TP# look up'!A:C""),3,0),"""")"),"")</f>
        <v/>
      </c>
      <c r="AH2022" s="49" t="str">
        <f t="shared" si="31"/>
        <v/>
      </c>
    </row>
    <row r="2023" spans="8:34" ht="12.75">
      <c r="H2023" s="43"/>
      <c r="AG2023" s="49" t="str">
        <f ca="1">IFERROR(__xludf.DUMMYFUNCTION("IFNA(vlookup(H2023,IMPORTRANGE(""1vUGwO1n0QQGx9kKbO0_M5gmuhXZ6-LaxQxgrmJnzgP0"",""'TP# look up'!A:C""),3,0),"""")"),"")</f>
        <v/>
      </c>
      <c r="AH2023" s="49" t="str">
        <f t="shared" si="31"/>
        <v/>
      </c>
    </row>
    <row r="2024" spans="8:34" ht="12.75">
      <c r="H2024" s="43"/>
      <c r="AG2024" s="49" t="str">
        <f ca="1">IFERROR(__xludf.DUMMYFUNCTION("IFNA(vlookup(H2024,IMPORTRANGE(""1vUGwO1n0QQGx9kKbO0_M5gmuhXZ6-LaxQxgrmJnzgP0"",""'TP# look up'!A:C""),3,0),"""")"),"")</f>
        <v/>
      </c>
      <c r="AH2024" s="49" t="str">
        <f t="shared" si="31"/>
        <v/>
      </c>
    </row>
    <row r="2025" spans="8:34" ht="12.75">
      <c r="H2025" s="43"/>
      <c r="AG2025" s="49" t="str">
        <f ca="1">IFERROR(__xludf.DUMMYFUNCTION("IFNA(vlookup(H2025,IMPORTRANGE(""1vUGwO1n0QQGx9kKbO0_M5gmuhXZ6-LaxQxgrmJnzgP0"",""'TP# look up'!A:C""),3,0),"""")"),"")</f>
        <v/>
      </c>
      <c r="AH2025" s="49" t="str">
        <f t="shared" si="31"/>
        <v/>
      </c>
    </row>
    <row r="2026" spans="8:34" ht="12.75">
      <c r="H2026" s="43"/>
      <c r="AG2026" s="49" t="str">
        <f ca="1">IFERROR(__xludf.DUMMYFUNCTION("IFNA(vlookup(H2026,IMPORTRANGE(""1vUGwO1n0QQGx9kKbO0_M5gmuhXZ6-LaxQxgrmJnzgP0"",""'TP# look up'!A:C""),3,0),"""")"),"")</f>
        <v/>
      </c>
      <c r="AH2026" s="49" t="str">
        <f t="shared" si="31"/>
        <v/>
      </c>
    </row>
    <row r="2027" spans="8:34" ht="12.75">
      <c r="H2027" s="43"/>
      <c r="AG2027" s="49" t="str">
        <f ca="1">IFERROR(__xludf.DUMMYFUNCTION("IFNA(vlookup(H2027,IMPORTRANGE(""1vUGwO1n0QQGx9kKbO0_M5gmuhXZ6-LaxQxgrmJnzgP0"",""'TP# look up'!A:C""),3,0),"""")"),"")</f>
        <v/>
      </c>
      <c r="AH2027" s="49" t="str">
        <f t="shared" si="31"/>
        <v/>
      </c>
    </row>
    <row r="2028" spans="8:34" ht="12.75">
      <c r="H2028" s="43"/>
      <c r="AG2028" s="49" t="str">
        <f ca="1">IFERROR(__xludf.DUMMYFUNCTION("IFNA(vlookup(H2028,IMPORTRANGE(""1vUGwO1n0QQGx9kKbO0_M5gmuhXZ6-LaxQxgrmJnzgP0"",""'TP# look up'!A:C""),3,0),"""")"),"")</f>
        <v/>
      </c>
      <c r="AH2028" s="49" t="str">
        <f t="shared" si="31"/>
        <v/>
      </c>
    </row>
    <row r="2029" spans="8:34" ht="12.75">
      <c r="H2029" s="43"/>
      <c r="AG2029" s="49" t="str">
        <f ca="1">IFERROR(__xludf.DUMMYFUNCTION("IFNA(vlookup(H2029,IMPORTRANGE(""1vUGwO1n0QQGx9kKbO0_M5gmuhXZ6-LaxQxgrmJnzgP0"",""'TP# look up'!A:C""),3,0),"""")"),"")</f>
        <v/>
      </c>
      <c r="AH2029" s="49" t="str">
        <f t="shared" si="31"/>
        <v/>
      </c>
    </row>
    <row r="2030" spans="8:34" ht="12.75">
      <c r="H2030" s="43"/>
      <c r="AG2030" s="49" t="str">
        <f ca="1">IFERROR(__xludf.DUMMYFUNCTION("IFNA(vlookup(H2030,IMPORTRANGE(""1vUGwO1n0QQGx9kKbO0_M5gmuhXZ6-LaxQxgrmJnzgP0"",""'TP# look up'!A:C""),3,0),"""")"),"")</f>
        <v/>
      </c>
      <c r="AH2030" s="49" t="str">
        <f t="shared" si="31"/>
        <v/>
      </c>
    </row>
    <row r="2031" spans="8:34" ht="12.75">
      <c r="H2031" s="43"/>
      <c r="AG2031" s="49" t="str">
        <f ca="1">IFERROR(__xludf.DUMMYFUNCTION("IFNA(vlookup(H2031,IMPORTRANGE(""1vUGwO1n0QQGx9kKbO0_M5gmuhXZ6-LaxQxgrmJnzgP0"",""'TP# look up'!A:C""),3,0),"""")"),"")</f>
        <v/>
      </c>
      <c r="AH2031" s="49" t="str">
        <f t="shared" si="31"/>
        <v/>
      </c>
    </row>
    <row r="2032" spans="8:34" ht="12.75">
      <c r="H2032" s="43"/>
      <c r="AG2032" s="49" t="str">
        <f ca="1">IFERROR(__xludf.DUMMYFUNCTION("IFNA(vlookup(H2032,IMPORTRANGE(""1vUGwO1n0QQGx9kKbO0_M5gmuhXZ6-LaxQxgrmJnzgP0"",""'TP# look up'!A:C""),3,0),"""")"),"")</f>
        <v/>
      </c>
      <c r="AH2032" s="49" t="str">
        <f t="shared" si="31"/>
        <v/>
      </c>
    </row>
    <row r="2033" spans="8:34" ht="12.75">
      <c r="H2033" s="43"/>
      <c r="AG2033" s="49" t="str">
        <f ca="1">IFERROR(__xludf.DUMMYFUNCTION("IFNA(vlookup(H2033,IMPORTRANGE(""1vUGwO1n0QQGx9kKbO0_M5gmuhXZ6-LaxQxgrmJnzgP0"",""'TP# look up'!A:C""),3,0),"""")"),"")</f>
        <v/>
      </c>
      <c r="AH2033" s="49" t="str">
        <f t="shared" si="31"/>
        <v/>
      </c>
    </row>
    <row r="2034" spans="8:34" ht="12.75">
      <c r="H2034" s="43"/>
      <c r="AG2034" s="49" t="str">
        <f ca="1">IFERROR(__xludf.DUMMYFUNCTION("IFNA(vlookup(H2034,IMPORTRANGE(""1vUGwO1n0QQGx9kKbO0_M5gmuhXZ6-LaxQxgrmJnzgP0"",""'TP# look up'!A:C""),3,0),"""")"),"")</f>
        <v/>
      </c>
      <c r="AH2034" s="49" t="str">
        <f t="shared" si="31"/>
        <v/>
      </c>
    </row>
    <row r="2035" spans="8:34" ht="12.75">
      <c r="H2035" s="43"/>
      <c r="AG2035" s="49" t="str">
        <f ca="1">IFERROR(__xludf.DUMMYFUNCTION("IFNA(vlookup(H2035,IMPORTRANGE(""1vUGwO1n0QQGx9kKbO0_M5gmuhXZ6-LaxQxgrmJnzgP0"",""'TP# look up'!A:C""),3,0),"""")"),"")</f>
        <v/>
      </c>
      <c r="AH2035" s="49" t="str">
        <f t="shared" si="31"/>
        <v/>
      </c>
    </row>
    <row r="2036" spans="8:34" ht="12.75">
      <c r="H2036" s="43"/>
      <c r="AG2036" s="49" t="str">
        <f ca="1">IFERROR(__xludf.DUMMYFUNCTION("IFNA(vlookup(H2036,IMPORTRANGE(""1vUGwO1n0QQGx9kKbO0_M5gmuhXZ6-LaxQxgrmJnzgP0"",""'TP# look up'!A:C""),3,0),"""")"),"")</f>
        <v/>
      </c>
      <c r="AH2036" s="49" t="str">
        <f t="shared" si="31"/>
        <v/>
      </c>
    </row>
    <row r="2037" spans="8:34" ht="12.75">
      <c r="H2037" s="43"/>
      <c r="AG2037" s="49" t="str">
        <f ca="1">IFERROR(__xludf.DUMMYFUNCTION("IFNA(vlookup(H2037,IMPORTRANGE(""1vUGwO1n0QQGx9kKbO0_M5gmuhXZ6-LaxQxgrmJnzgP0"",""'TP# look up'!A:C""),3,0),"""")"),"")</f>
        <v/>
      </c>
      <c r="AH2037" s="49" t="str">
        <f t="shared" si="31"/>
        <v/>
      </c>
    </row>
    <row r="2038" spans="8:34" ht="12.75">
      <c r="H2038" s="43"/>
      <c r="AG2038" s="49" t="str">
        <f ca="1">IFERROR(__xludf.DUMMYFUNCTION("IFNA(vlookup(H2038,IMPORTRANGE(""1vUGwO1n0QQGx9kKbO0_M5gmuhXZ6-LaxQxgrmJnzgP0"",""'TP# look up'!A:C""),3,0),"""")"),"")</f>
        <v/>
      </c>
      <c r="AH2038" s="49" t="str">
        <f t="shared" si="31"/>
        <v/>
      </c>
    </row>
    <row r="2039" spans="8:34" ht="12.75">
      <c r="H2039" s="43"/>
      <c r="AG2039" s="49" t="str">
        <f ca="1">IFERROR(__xludf.DUMMYFUNCTION("IFNA(vlookup(H2039,IMPORTRANGE(""1vUGwO1n0QQGx9kKbO0_M5gmuhXZ6-LaxQxgrmJnzgP0"",""'TP# look up'!A:C""),3,0),"""")"),"")</f>
        <v/>
      </c>
      <c r="AH2039" s="49" t="str">
        <f t="shared" si="31"/>
        <v/>
      </c>
    </row>
    <row r="2040" spans="8:34" ht="12.75">
      <c r="H2040" s="43"/>
      <c r="AG2040" s="49" t="str">
        <f ca="1">IFERROR(__xludf.DUMMYFUNCTION("IFNA(vlookup(H2040,IMPORTRANGE(""1vUGwO1n0QQGx9kKbO0_M5gmuhXZ6-LaxQxgrmJnzgP0"",""'TP# look up'!A:C""),3,0),"""")"),"")</f>
        <v/>
      </c>
      <c r="AH2040" s="49" t="str">
        <f t="shared" si="31"/>
        <v/>
      </c>
    </row>
    <row r="2041" spans="8:34" ht="12.75">
      <c r="H2041" s="43"/>
      <c r="AG2041" s="49" t="str">
        <f ca="1">IFERROR(__xludf.DUMMYFUNCTION("IFNA(vlookup(H2041,IMPORTRANGE(""1vUGwO1n0QQGx9kKbO0_M5gmuhXZ6-LaxQxgrmJnzgP0"",""'TP# look up'!A:C""),3,0),"""")"),"")</f>
        <v/>
      </c>
      <c r="AH2041" s="49" t="str">
        <f t="shared" si="31"/>
        <v/>
      </c>
    </row>
    <row r="2042" spans="8:34" ht="12.75">
      <c r="H2042" s="43"/>
      <c r="AG2042" s="49" t="str">
        <f ca="1">IFERROR(__xludf.DUMMYFUNCTION("IFNA(vlookup(H2042,IMPORTRANGE(""1vUGwO1n0QQGx9kKbO0_M5gmuhXZ6-LaxQxgrmJnzgP0"",""'TP# look up'!A:C""),3,0),"""")"),"")</f>
        <v/>
      </c>
      <c r="AH2042" s="49" t="str">
        <f t="shared" si="31"/>
        <v/>
      </c>
    </row>
    <row r="2043" spans="8:34" ht="12.75">
      <c r="H2043" s="43"/>
      <c r="AG2043" s="49" t="str">
        <f ca="1">IFERROR(__xludf.DUMMYFUNCTION("IFNA(vlookup(H2043,IMPORTRANGE(""1vUGwO1n0QQGx9kKbO0_M5gmuhXZ6-LaxQxgrmJnzgP0"",""'TP# look up'!A:C""),3,0),"""")"),"")</f>
        <v/>
      </c>
      <c r="AH2043" s="49" t="str">
        <f t="shared" si="31"/>
        <v/>
      </c>
    </row>
    <row r="2044" spans="8:34" ht="12.75">
      <c r="H2044" s="43"/>
      <c r="AG2044" s="49" t="str">
        <f ca="1">IFERROR(__xludf.DUMMYFUNCTION("IFNA(vlookup(H2044,IMPORTRANGE(""1vUGwO1n0QQGx9kKbO0_M5gmuhXZ6-LaxQxgrmJnzgP0"",""'TP# look up'!A:C""),3,0),"""")"),"")</f>
        <v/>
      </c>
      <c r="AH2044" s="49" t="str">
        <f t="shared" si="31"/>
        <v/>
      </c>
    </row>
    <row r="2045" spans="8:34" ht="12.75">
      <c r="H2045" s="43"/>
      <c r="AG2045" s="49" t="str">
        <f ca="1">IFERROR(__xludf.DUMMYFUNCTION("IFNA(vlookup(H2045,IMPORTRANGE(""1vUGwO1n0QQGx9kKbO0_M5gmuhXZ6-LaxQxgrmJnzgP0"",""'TP# look up'!A:C""),3,0),"""")"),"")</f>
        <v/>
      </c>
      <c r="AH2045" s="49" t="str">
        <f t="shared" si="31"/>
        <v/>
      </c>
    </row>
    <row r="2046" spans="8:34" ht="12.75">
      <c r="H2046" s="43"/>
      <c r="AG2046" s="49" t="str">
        <f ca="1">IFERROR(__xludf.DUMMYFUNCTION("IFNA(vlookup(H2046,IMPORTRANGE(""1vUGwO1n0QQGx9kKbO0_M5gmuhXZ6-LaxQxgrmJnzgP0"",""'TP# look up'!A:C""),3,0),"""")"),"")</f>
        <v/>
      </c>
      <c r="AH2046" s="49" t="str">
        <f t="shared" si="31"/>
        <v/>
      </c>
    </row>
    <row r="2047" spans="8:34" ht="12.75">
      <c r="H2047" s="43"/>
      <c r="AG2047" s="49" t="str">
        <f ca="1">IFERROR(__xludf.DUMMYFUNCTION("IFNA(vlookup(H2047,IMPORTRANGE(""1vUGwO1n0QQGx9kKbO0_M5gmuhXZ6-LaxQxgrmJnzgP0"",""'TP# look up'!A:C""),3,0),"""")"),"")</f>
        <v/>
      </c>
      <c r="AH2047" s="49" t="str">
        <f t="shared" si="31"/>
        <v/>
      </c>
    </row>
    <row r="2048" spans="8:34" ht="12.75">
      <c r="H2048" s="43"/>
      <c r="AG2048" s="49" t="str">
        <f ca="1">IFERROR(__xludf.DUMMYFUNCTION("IFNA(vlookup(H2048,IMPORTRANGE(""1vUGwO1n0QQGx9kKbO0_M5gmuhXZ6-LaxQxgrmJnzgP0"",""'TP# look up'!A:C""),3,0),"""")"),"")</f>
        <v/>
      </c>
      <c r="AH2048" s="49" t="str">
        <f t="shared" si="31"/>
        <v/>
      </c>
    </row>
    <row r="2049" spans="8:34" ht="12.75">
      <c r="H2049" s="43"/>
      <c r="AG2049" s="49" t="str">
        <f ca="1">IFERROR(__xludf.DUMMYFUNCTION("IFNA(vlookup(H2049,IMPORTRANGE(""1vUGwO1n0QQGx9kKbO0_M5gmuhXZ6-LaxQxgrmJnzgP0"",""'TP# look up'!A:C""),3,0),"""")"),"")</f>
        <v/>
      </c>
      <c r="AH2049" s="49" t="str">
        <f t="shared" si="31"/>
        <v/>
      </c>
    </row>
    <row r="2050" spans="8:34" ht="12.75">
      <c r="H2050" s="43"/>
      <c r="AG2050" s="49" t="str">
        <f ca="1">IFERROR(__xludf.DUMMYFUNCTION("IFNA(vlookup(H2050,IMPORTRANGE(""1vUGwO1n0QQGx9kKbO0_M5gmuhXZ6-LaxQxgrmJnzgP0"",""'TP# look up'!A:C""),3,0),"""")"),"")</f>
        <v/>
      </c>
      <c r="AH2050" s="49" t="str">
        <f t="shared" ref="AH2050:AH2113" si="32">LEFT(J2050,2)</f>
        <v/>
      </c>
    </row>
    <row r="2051" spans="8:34" ht="12.75">
      <c r="H2051" s="43"/>
      <c r="AG2051" s="49" t="str">
        <f ca="1">IFERROR(__xludf.DUMMYFUNCTION("IFNA(vlookup(H2051,IMPORTRANGE(""1vUGwO1n0QQGx9kKbO0_M5gmuhXZ6-LaxQxgrmJnzgP0"",""'TP# look up'!A:C""),3,0),"""")"),"")</f>
        <v/>
      </c>
      <c r="AH2051" s="49" t="str">
        <f t="shared" si="32"/>
        <v/>
      </c>
    </row>
    <row r="2052" spans="8:34" ht="12.75">
      <c r="H2052" s="43"/>
      <c r="AG2052" s="49" t="str">
        <f ca="1">IFERROR(__xludf.DUMMYFUNCTION("IFNA(vlookup(H2052,IMPORTRANGE(""1vUGwO1n0QQGx9kKbO0_M5gmuhXZ6-LaxQxgrmJnzgP0"",""'TP# look up'!A:C""),3,0),"""")"),"")</f>
        <v/>
      </c>
      <c r="AH2052" s="49" t="str">
        <f t="shared" si="32"/>
        <v/>
      </c>
    </row>
    <row r="2053" spans="8:34" ht="12.75">
      <c r="H2053" s="43"/>
      <c r="AG2053" s="49" t="str">
        <f ca="1">IFERROR(__xludf.DUMMYFUNCTION("IFNA(vlookup(H2053,IMPORTRANGE(""1vUGwO1n0QQGx9kKbO0_M5gmuhXZ6-LaxQxgrmJnzgP0"",""'TP# look up'!A:C""),3,0),"""")"),"")</f>
        <v/>
      </c>
      <c r="AH2053" s="49" t="str">
        <f t="shared" si="32"/>
        <v/>
      </c>
    </row>
    <row r="2054" spans="8:34" ht="12.75">
      <c r="H2054" s="43"/>
      <c r="AG2054" s="49" t="str">
        <f ca="1">IFERROR(__xludf.DUMMYFUNCTION("IFNA(vlookup(H2054,IMPORTRANGE(""1vUGwO1n0QQGx9kKbO0_M5gmuhXZ6-LaxQxgrmJnzgP0"",""'TP# look up'!A:C""),3,0),"""")"),"")</f>
        <v/>
      </c>
      <c r="AH2054" s="49" t="str">
        <f t="shared" si="32"/>
        <v/>
      </c>
    </row>
    <row r="2055" spans="8:34" ht="12.75">
      <c r="H2055" s="43"/>
      <c r="AG2055" s="49" t="str">
        <f ca="1">IFERROR(__xludf.DUMMYFUNCTION("IFNA(vlookup(H2055,IMPORTRANGE(""1vUGwO1n0QQGx9kKbO0_M5gmuhXZ6-LaxQxgrmJnzgP0"",""'TP# look up'!A:C""),3,0),"""")"),"")</f>
        <v/>
      </c>
      <c r="AH2055" s="49" t="str">
        <f t="shared" si="32"/>
        <v/>
      </c>
    </row>
    <row r="2056" spans="8:34" ht="12.75">
      <c r="H2056" s="43"/>
      <c r="AG2056" s="49" t="str">
        <f ca="1">IFERROR(__xludf.DUMMYFUNCTION("IFNA(vlookup(H2056,IMPORTRANGE(""1vUGwO1n0QQGx9kKbO0_M5gmuhXZ6-LaxQxgrmJnzgP0"",""'TP# look up'!A:C""),3,0),"""")"),"")</f>
        <v/>
      </c>
      <c r="AH2056" s="49" t="str">
        <f t="shared" si="32"/>
        <v/>
      </c>
    </row>
    <row r="2057" spans="8:34" ht="12.75">
      <c r="H2057" s="43"/>
      <c r="AG2057" s="49" t="str">
        <f ca="1">IFERROR(__xludf.DUMMYFUNCTION("IFNA(vlookup(H2057,IMPORTRANGE(""1vUGwO1n0QQGx9kKbO0_M5gmuhXZ6-LaxQxgrmJnzgP0"",""'TP# look up'!A:C""),3,0),"""")"),"")</f>
        <v/>
      </c>
      <c r="AH2057" s="49" t="str">
        <f t="shared" si="32"/>
        <v/>
      </c>
    </row>
    <row r="2058" spans="8:34" ht="12.75">
      <c r="H2058" s="43"/>
      <c r="AG2058" s="49" t="str">
        <f ca="1">IFERROR(__xludf.DUMMYFUNCTION("IFNA(vlookup(H2058,IMPORTRANGE(""1vUGwO1n0QQGx9kKbO0_M5gmuhXZ6-LaxQxgrmJnzgP0"",""'TP# look up'!A:C""),3,0),"""")"),"")</f>
        <v/>
      </c>
      <c r="AH2058" s="49" t="str">
        <f t="shared" si="32"/>
        <v/>
      </c>
    </row>
    <row r="2059" spans="8:34" ht="12.75">
      <c r="H2059" s="43"/>
      <c r="AG2059" s="49" t="str">
        <f ca="1">IFERROR(__xludf.DUMMYFUNCTION("IFNA(vlookup(H2059,IMPORTRANGE(""1vUGwO1n0QQGx9kKbO0_M5gmuhXZ6-LaxQxgrmJnzgP0"",""'TP# look up'!A:C""),3,0),"""")"),"")</f>
        <v/>
      </c>
      <c r="AH2059" s="49" t="str">
        <f t="shared" si="32"/>
        <v/>
      </c>
    </row>
    <row r="2060" spans="8:34" ht="12.75">
      <c r="H2060" s="43"/>
      <c r="AG2060" s="49" t="str">
        <f ca="1">IFERROR(__xludf.DUMMYFUNCTION("IFNA(vlookup(H2060,IMPORTRANGE(""1vUGwO1n0QQGx9kKbO0_M5gmuhXZ6-LaxQxgrmJnzgP0"",""'TP# look up'!A:C""),3,0),"""")"),"")</f>
        <v/>
      </c>
      <c r="AH2060" s="49" t="str">
        <f t="shared" si="32"/>
        <v/>
      </c>
    </row>
    <row r="2061" spans="8:34" ht="12.75">
      <c r="H2061" s="43"/>
      <c r="AG2061" s="49" t="str">
        <f ca="1">IFERROR(__xludf.DUMMYFUNCTION("IFNA(vlookup(H2061,IMPORTRANGE(""1vUGwO1n0QQGx9kKbO0_M5gmuhXZ6-LaxQxgrmJnzgP0"",""'TP# look up'!A:C""),3,0),"""")"),"")</f>
        <v/>
      </c>
      <c r="AH2061" s="49" t="str">
        <f t="shared" si="32"/>
        <v/>
      </c>
    </row>
    <row r="2062" spans="8:34" ht="12.75">
      <c r="H2062" s="43"/>
      <c r="AG2062" s="49" t="str">
        <f ca="1">IFERROR(__xludf.DUMMYFUNCTION("IFNA(vlookup(H2062,IMPORTRANGE(""1vUGwO1n0QQGx9kKbO0_M5gmuhXZ6-LaxQxgrmJnzgP0"",""'TP# look up'!A:C""),3,0),"""")"),"")</f>
        <v/>
      </c>
      <c r="AH2062" s="49" t="str">
        <f t="shared" si="32"/>
        <v/>
      </c>
    </row>
    <row r="2063" spans="8:34" ht="12.75">
      <c r="H2063" s="43"/>
      <c r="AG2063" s="49" t="str">
        <f ca="1">IFERROR(__xludf.DUMMYFUNCTION("IFNA(vlookup(H2063,IMPORTRANGE(""1vUGwO1n0QQGx9kKbO0_M5gmuhXZ6-LaxQxgrmJnzgP0"",""'TP# look up'!A:C""),3,0),"""")"),"")</f>
        <v/>
      </c>
      <c r="AH2063" s="49" t="str">
        <f t="shared" si="32"/>
        <v/>
      </c>
    </row>
    <row r="2064" spans="8:34" ht="12.75">
      <c r="H2064" s="43"/>
      <c r="AG2064" s="49" t="str">
        <f ca="1">IFERROR(__xludf.DUMMYFUNCTION("IFNA(vlookup(H2064,IMPORTRANGE(""1vUGwO1n0QQGx9kKbO0_M5gmuhXZ6-LaxQxgrmJnzgP0"",""'TP# look up'!A:C""),3,0),"""")"),"")</f>
        <v/>
      </c>
      <c r="AH2064" s="49" t="str">
        <f t="shared" si="32"/>
        <v/>
      </c>
    </row>
    <row r="2065" spans="8:34" ht="12.75">
      <c r="H2065" s="43"/>
      <c r="AG2065" s="49" t="str">
        <f ca="1">IFERROR(__xludf.DUMMYFUNCTION("IFNA(vlookup(H2065,IMPORTRANGE(""1vUGwO1n0QQGx9kKbO0_M5gmuhXZ6-LaxQxgrmJnzgP0"",""'TP# look up'!A:C""),3,0),"""")"),"")</f>
        <v/>
      </c>
      <c r="AH2065" s="49" t="str">
        <f t="shared" si="32"/>
        <v/>
      </c>
    </row>
    <row r="2066" spans="8:34" ht="12.75">
      <c r="H2066" s="43"/>
      <c r="AG2066" s="49" t="str">
        <f ca="1">IFERROR(__xludf.DUMMYFUNCTION("IFNA(vlookup(H2066,IMPORTRANGE(""1vUGwO1n0QQGx9kKbO0_M5gmuhXZ6-LaxQxgrmJnzgP0"",""'TP# look up'!A:C""),3,0),"""")"),"")</f>
        <v/>
      </c>
      <c r="AH2066" s="49" t="str">
        <f t="shared" si="32"/>
        <v/>
      </c>
    </row>
    <row r="2067" spans="8:34" ht="12.75">
      <c r="H2067" s="43"/>
      <c r="AG2067" s="49" t="str">
        <f ca="1">IFERROR(__xludf.DUMMYFUNCTION("IFNA(vlookup(H2067,IMPORTRANGE(""1vUGwO1n0QQGx9kKbO0_M5gmuhXZ6-LaxQxgrmJnzgP0"",""'TP# look up'!A:C""),3,0),"""")"),"")</f>
        <v/>
      </c>
      <c r="AH2067" s="49" t="str">
        <f t="shared" si="32"/>
        <v/>
      </c>
    </row>
    <row r="2068" spans="8:34" ht="12.75">
      <c r="H2068" s="43"/>
      <c r="AG2068" s="49" t="str">
        <f ca="1">IFERROR(__xludf.DUMMYFUNCTION("IFNA(vlookup(H2068,IMPORTRANGE(""1vUGwO1n0QQGx9kKbO0_M5gmuhXZ6-LaxQxgrmJnzgP0"",""'TP# look up'!A:C""),3,0),"""")"),"")</f>
        <v/>
      </c>
      <c r="AH2068" s="49" t="str">
        <f t="shared" si="32"/>
        <v/>
      </c>
    </row>
    <row r="2069" spans="8:34" ht="12.75">
      <c r="H2069" s="43"/>
      <c r="AG2069" s="49" t="str">
        <f ca="1">IFERROR(__xludf.DUMMYFUNCTION("IFNA(vlookup(H2069,IMPORTRANGE(""1vUGwO1n0QQGx9kKbO0_M5gmuhXZ6-LaxQxgrmJnzgP0"",""'TP# look up'!A:C""),3,0),"""")"),"")</f>
        <v/>
      </c>
      <c r="AH2069" s="49" t="str">
        <f t="shared" si="32"/>
        <v/>
      </c>
    </row>
    <row r="2070" spans="8:34" ht="12.75">
      <c r="H2070" s="43"/>
      <c r="AG2070" s="49" t="str">
        <f ca="1">IFERROR(__xludf.DUMMYFUNCTION("IFNA(vlookup(H2070,IMPORTRANGE(""1vUGwO1n0QQGx9kKbO0_M5gmuhXZ6-LaxQxgrmJnzgP0"",""'TP# look up'!A:C""),3,0),"""")"),"")</f>
        <v/>
      </c>
      <c r="AH2070" s="49" t="str">
        <f t="shared" si="32"/>
        <v/>
      </c>
    </row>
    <row r="2071" spans="8:34" ht="12.75">
      <c r="H2071" s="43"/>
      <c r="AG2071" s="49" t="str">
        <f ca="1">IFERROR(__xludf.DUMMYFUNCTION("IFNA(vlookup(H2071,IMPORTRANGE(""1vUGwO1n0QQGx9kKbO0_M5gmuhXZ6-LaxQxgrmJnzgP0"",""'TP# look up'!A:C""),3,0),"""")"),"")</f>
        <v/>
      </c>
      <c r="AH2071" s="49" t="str">
        <f t="shared" si="32"/>
        <v/>
      </c>
    </row>
    <row r="2072" spans="8:34" ht="12.75">
      <c r="H2072" s="43"/>
      <c r="AG2072" s="49" t="str">
        <f ca="1">IFERROR(__xludf.DUMMYFUNCTION("IFNA(vlookup(H2072,IMPORTRANGE(""1vUGwO1n0QQGx9kKbO0_M5gmuhXZ6-LaxQxgrmJnzgP0"",""'TP# look up'!A:C""),3,0),"""")"),"")</f>
        <v/>
      </c>
      <c r="AH2072" s="49" t="str">
        <f t="shared" si="32"/>
        <v/>
      </c>
    </row>
    <row r="2073" spans="8:34" ht="12.75">
      <c r="H2073" s="43"/>
      <c r="AG2073" s="49" t="str">
        <f ca="1">IFERROR(__xludf.DUMMYFUNCTION("IFNA(vlookup(H2073,IMPORTRANGE(""1vUGwO1n0QQGx9kKbO0_M5gmuhXZ6-LaxQxgrmJnzgP0"",""'TP# look up'!A:C""),3,0),"""")"),"")</f>
        <v/>
      </c>
      <c r="AH2073" s="49" t="str">
        <f t="shared" si="32"/>
        <v/>
      </c>
    </row>
    <row r="2074" spans="8:34" ht="12.75">
      <c r="H2074" s="43"/>
      <c r="AG2074" s="49" t="str">
        <f ca="1">IFERROR(__xludf.DUMMYFUNCTION("IFNA(vlookup(H2074,IMPORTRANGE(""1vUGwO1n0QQGx9kKbO0_M5gmuhXZ6-LaxQxgrmJnzgP0"",""'TP# look up'!A:C""),3,0),"""")"),"")</f>
        <v/>
      </c>
      <c r="AH2074" s="49" t="str">
        <f t="shared" si="32"/>
        <v/>
      </c>
    </row>
    <row r="2075" spans="8:34" ht="12.75">
      <c r="H2075" s="43"/>
      <c r="AG2075" s="49" t="str">
        <f ca="1">IFERROR(__xludf.DUMMYFUNCTION("IFNA(vlookup(H2075,IMPORTRANGE(""1vUGwO1n0QQGx9kKbO0_M5gmuhXZ6-LaxQxgrmJnzgP0"",""'TP# look up'!A:C""),3,0),"""")"),"")</f>
        <v/>
      </c>
      <c r="AH2075" s="49" t="str">
        <f t="shared" si="32"/>
        <v/>
      </c>
    </row>
    <row r="2076" spans="8:34" ht="12.75">
      <c r="H2076" s="43"/>
      <c r="AG2076" s="49" t="str">
        <f ca="1">IFERROR(__xludf.DUMMYFUNCTION("IFNA(vlookup(H2076,IMPORTRANGE(""1vUGwO1n0QQGx9kKbO0_M5gmuhXZ6-LaxQxgrmJnzgP0"",""'TP# look up'!A:C""),3,0),"""")"),"")</f>
        <v/>
      </c>
      <c r="AH2076" s="49" t="str">
        <f t="shared" si="32"/>
        <v/>
      </c>
    </row>
    <row r="2077" spans="8:34" ht="12.75">
      <c r="H2077" s="43"/>
      <c r="AG2077" s="49" t="str">
        <f ca="1">IFERROR(__xludf.DUMMYFUNCTION("IFNA(vlookup(H2077,IMPORTRANGE(""1vUGwO1n0QQGx9kKbO0_M5gmuhXZ6-LaxQxgrmJnzgP0"",""'TP# look up'!A:C""),3,0),"""")"),"")</f>
        <v/>
      </c>
      <c r="AH2077" s="49" t="str">
        <f t="shared" si="32"/>
        <v/>
      </c>
    </row>
    <row r="2078" spans="8:34" ht="12.75">
      <c r="H2078" s="43"/>
      <c r="AG2078" s="49" t="str">
        <f ca="1">IFERROR(__xludf.DUMMYFUNCTION("IFNA(vlookup(H2078,IMPORTRANGE(""1vUGwO1n0QQGx9kKbO0_M5gmuhXZ6-LaxQxgrmJnzgP0"",""'TP# look up'!A:C""),3,0),"""")"),"")</f>
        <v/>
      </c>
      <c r="AH2078" s="49" t="str">
        <f t="shared" si="32"/>
        <v/>
      </c>
    </row>
    <row r="2079" spans="8:34" ht="12.75">
      <c r="H2079" s="43"/>
      <c r="AG2079" s="49" t="str">
        <f ca="1">IFERROR(__xludf.DUMMYFUNCTION("IFNA(vlookup(H2079,IMPORTRANGE(""1vUGwO1n0QQGx9kKbO0_M5gmuhXZ6-LaxQxgrmJnzgP0"",""'TP# look up'!A:C""),3,0),"""")"),"")</f>
        <v/>
      </c>
      <c r="AH2079" s="49" t="str">
        <f t="shared" si="32"/>
        <v/>
      </c>
    </row>
    <row r="2080" spans="8:34" ht="12.75">
      <c r="H2080" s="43"/>
      <c r="AG2080" s="49" t="str">
        <f ca="1">IFERROR(__xludf.DUMMYFUNCTION("IFNA(vlookup(H2080,IMPORTRANGE(""1vUGwO1n0QQGx9kKbO0_M5gmuhXZ6-LaxQxgrmJnzgP0"",""'TP# look up'!A:C""),3,0),"""")"),"")</f>
        <v/>
      </c>
      <c r="AH2080" s="49" t="str">
        <f t="shared" si="32"/>
        <v/>
      </c>
    </row>
    <row r="2081" spans="8:34" ht="12.75">
      <c r="H2081" s="43"/>
      <c r="AG2081" s="49" t="str">
        <f ca="1">IFERROR(__xludf.DUMMYFUNCTION("IFNA(vlookup(H2081,IMPORTRANGE(""1vUGwO1n0QQGx9kKbO0_M5gmuhXZ6-LaxQxgrmJnzgP0"",""'TP# look up'!A:C""),3,0),"""")"),"")</f>
        <v/>
      </c>
      <c r="AH2081" s="49" t="str">
        <f t="shared" si="32"/>
        <v/>
      </c>
    </row>
    <row r="2082" spans="8:34" ht="12.75">
      <c r="H2082" s="43"/>
      <c r="AG2082" s="49" t="str">
        <f ca="1">IFERROR(__xludf.DUMMYFUNCTION("IFNA(vlookup(H2082,IMPORTRANGE(""1vUGwO1n0QQGx9kKbO0_M5gmuhXZ6-LaxQxgrmJnzgP0"",""'TP# look up'!A:C""),3,0),"""")"),"")</f>
        <v/>
      </c>
      <c r="AH2082" s="49" t="str">
        <f t="shared" si="32"/>
        <v/>
      </c>
    </row>
    <row r="2083" spans="8:34" ht="12.75">
      <c r="H2083" s="43"/>
      <c r="AG2083" s="49" t="str">
        <f ca="1">IFERROR(__xludf.DUMMYFUNCTION("IFNA(vlookup(H2083,IMPORTRANGE(""1vUGwO1n0QQGx9kKbO0_M5gmuhXZ6-LaxQxgrmJnzgP0"",""'TP# look up'!A:C""),3,0),"""")"),"")</f>
        <v/>
      </c>
      <c r="AH2083" s="49" t="str">
        <f t="shared" si="32"/>
        <v/>
      </c>
    </row>
    <row r="2084" spans="8:34" ht="12.75">
      <c r="H2084" s="43"/>
      <c r="AG2084" s="49" t="str">
        <f ca="1">IFERROR(__xludf.DUMMYFUNCTION("IFNA(vlookup(H2084,IMPORTRANGE(""1vUGwO1n0QQGx9kKbO0_M5gmuhXZ6-LaxQxgrmJnzgP0"",""'TP# look up'!A:C""),3,0),"""")"),"")</f>
        <v/>
      </c>
      <c r="AH2084" s="49" t="str">
        <f t="shared" si="32"/>
        <v/>
      </c>
    </row>
    <row r="2085" spans="8:34" ht="12.75">
      <c r="H2085" s="43"/>
      <c r="AG2085" s="49" t="str">
        <f ca="1">IFERROR(__xludf.DUMMYFUNCTION("IFNA(vlookup(H2085,IMPORTRANGE(""1vUGwO1n0QQGx9kKbO0_M5gmuhXZ6-LaxQxgrmJnzgP0"",""'TP# look up'!A:C""),3,0),"""")"),"")</f>
        <v/>
      </c>
      <c r="AH2085" s="49" t="str">
        <f t="shared" si="32"/>
        <v/>
      </c>
    </row>
    <row r="2086" spans="8:34" ht="12.75">
      <c r="H2086" s="43"/>
      <c r="AG2086" s="49" t="str">
        <f ca="1">IFERROR(__xludf.DUMMYFUNCTION("IFNA(vlookup(H2086,IMPORTRANGE(""1vUGwO1n0QQGx9kKbO0_M5gmuhXZ6-LaxQxgrmJnzgP0"",""'TP# look up'!A:C""),3,0),"""")"),"")</f>
        <v/>
      </c>
      <c r="AH2086" s="49" t="str">
        <f t="shared" si="32"/>
        <v/>
      </c>
    </row>
    <row r="2087" spans="8:34" ht="12.75">
      <c r="H2087" s="43"/>
      <c r="AG2087" s="49" t="str">
        <f ca="1">IFERROR(__xludf.DUMMYFUNCTION("IFNA(vlookup(H2087,IMPORTRANGE(""1vUGwO1n0QQGx9kKbO0_M5gmuhXZ6-LaxQxgrmJnzgP0"",""'TP# look up'!A:C""),3,0),"""")"),"")</f>
        <v/>
      </c>
      <c r="AH2087" s="49" t="str">
        <f t="shared" si="32"/>
        <v/>
      </c>
    </row>
    <row r="2088" spans="8:34" ht="12.75">
      <c r="H2088" s="43"/>
      <c r="AG2088" s="49" t="str">
        <f ca="1">IFERROR(__xludf.DUMMYFUNCTION("IFNA(vlookup(H2088,IMPORTRANGE(""1vUGwO1n0QQGx9kKbO0_M5gmuhXZ6-LaxQxgrmJnzgP0"",""'TP# look up'!A:C""),3,0),"""")"),"")</f>
        <v/>
      </c>
      <c r="AH2088" s="49" t="str">
        <f t="shared" si="32"/>
        <v/>
      </c>
    </row>
    <row r="2089" spans="8:34" ht="12.75">
      <c r="H2089" s="43"/>
      <c r="AG2089" s="49" t="str">
        <f ca="1">IFERROR(__xludf.DUMMYFUNCTION("IFNA(vlookup(H2089,IMPORTRANGE(""1vUGwO1n0QQGx9kKbO0_M5gmuhXZ6-LaxQxgrmJnzgP0"",""'TP# look up'!A:C""),3,0),"""")"),"")</f>
        <v/>
      </c>
      <c r="AH2089" s="49" t="str">
        <f t="shared" si="32"/>
        <v/>
      </c>
    </row>
    <row r="2090" spans="8:34" ht="12.75">
      <c r="H2090" s="43"/>
      <c r="AG2090" s="49" t="str">
        <f ca="1">IFERROR(__xludf.DUMMYFUNCTION("IFNA(vlookup(H2090,IMPORTRANGE(""1vUGwO1n0QQGx9kKbO0_M5gmuhXZ6-LaxQxgrmJnzgP0"",""'TP# look up'!A:C""),3,0),"""")"),"")</f>
        <v/>
      </c>
      <c r="AH2090" s="49" t="str">
        <f t="shared" si="32"/>
        <v/>
      </c>
    </row>
    <row r="2091" spans="8:34" ht="12.75">
      <c r="H2091" s="43"/>
      <c r="AG2091" s="49" t="str">
        <f ca="1">IFERROR(__xludf.DUMMYFUNCTION("IFNA(vlookup(H2091,IMPORTRANGE(""1vUGwO1n0QQGx9kKbO0_M5gmuhXZ6-LaxQxgrmJnzgP0"",""'TP# look up'!A:C""),3,0),"""")"),"")</f>
        <v/>
      </c>
      <c r="AH2091" s="49" t="str">
        <f t="shared" si="32"/>
        <v/>
      </c>
    </row>
    <row r="2092" spans="8:34" ht="12.75">
      <c r="H2092" s="43"/>
      <c r="AG2092" s="49" t="str">
        <f ca="1">IFERROR(__xludf.DUMMYFUNCTION("IFNA(vlookup(H2092,IMPORTRANGE(""1vUGwO1n0QQGx9kKbO0_M5gmuhXZ6-LaxQxgrmJnzgP0"",""'TP# look up'!A:C""),3,0),"""")"),"")</f>
        <v/>
      </c>
      <c r="AH2092" s="49" t="str">
        <f t="shared" si="32"/>
        <v/>
      </c>
    </row>
    <row r="2093" spans="8:34" ht="12.75">
      <c r="H2093" s="43"/>
      <c r="AG2093" s="49" t="str">
        <f ca="1">IFERROR(__xludf.DUMMYFUNCTION("IFNA(vlookup(H2093,IMPORTRANGE(""1vUGwO1n0QQGx9kKbO0_M5gmuhXZ6-LaxQxgrmJnzgP0"",""'TP# look up'!A:C""),3,0),"""")"),"")</f>
        <v/>
      </c>
      <c r="AH2093" s="49" t="str">
        <f t="shared" si="32"/>
        <v/>
      </c>
    </row>
    <row r="2094" spans="8:34" ht="12.75">
      <c r="H2094" s="43"/>
      <c r="AG2094" s="49" t="str">
        <f ca="1">IFERROR(__xludf.DUMMYFUNCTION("IFNA(vlookup(H2094,IMPORTRANGE(""1vUGwO1n0QQGx9kKbO0_M5gmuhXZ6-LaxQxgrmJnzgP0"",""'TP# look up'!A:C""),3,0),"""")"),"")</f>
        <v/>
      </c>
      <c r="AH2094" s="49" t="str">
        <f t="shared" si="32"/>
        <v/>
      </c>
    </row>
    <row r="2095" spans="8:34" ht="12.75">
      <c r="H2095" s="43"/>
      <c r="AG2095" s="49" t="str">
        <f ca="1">IFERROR(__xludf.DUMMYFUNCTION("IFNA(vlookup(H2095,IMPORTRANGE(""1vUGwO1n0QQGx9kKbO0_M5gmuhXZ6-LaxQxgrmJnzgP0"",""'TP# look up'!A:C""),3,0),"""")"),"")</f>
        <v/>
      </c>
      <c r="AH2095" s="49" t="str">
        <f t="shared" si="32"/>
        <v/>
      </c>
    </row>
    <row r="2096" spans="8:34" ht="12.75">
      <c r="H2096" s="43"/>
      <c r="AG2096" s="49" t="str">
        <f ca="1">IFERROR(__xludf.DUMMYFUNCTION("IFNA(vlookup(H2096,IMPORTRANGE(""1vUGwO1n0QQGx9kKbO0_M5gmuhXZ6-LaxQxgrmJnzgP0"",""'TP# look up'!A:C""),3,0),"""")"),"")</f>
        <v/>
      </c>
      <c r="AH2096" s="49" t="str">
        <f t="shared" si="32"/>
        <v/>
      </c>
    </row>
    <row r="2097" spans="8:34" ht="12.75">
      <c r="H2097" s="43"/>
      <c r="AG2097" s="49" t="str">
        <f ca="1">IFERROR(__xludf.DUMMYFUNCTION("IFNA(vlookup(H2097,IMPORTRANGE(""1vUGwO1n0QQGx9kKbO0_M5gmuhXZ6-LaxQxgrmJnzgP0"",""'TP# look up'!A:C""),3,0),"""")"),"")</f>
        <v/>
      </c>
      <c r="AH2097" s="49" t="str">
        <f t="shared" si="32"/>
        <v/>
      </c>
    </row>
    <row r="2098" spans="8:34" ht="12.75">
      <c r="H2098" s="43"/>
      <c r="AG2098" s="49" t="str">
        <f ca="1">IFERROR(__xludf.DUMMYFUNCTION("IFNA(vlookup(H2098,IMPORTRANGE(""1vUGwO1n0QQGx9kKbO0_M5gmuhXZ6-LaxQxgrmJnzgP0"",""'TP# look up'!A:C""),3,0),"""")"),"")</f>
        <v/>
      </c>
      <c r="AH2098" s="49" t="str">
        <f t="shared" si="32"/>
        <v/>
      </c>
    </row>
    <row r="2099" spans="8:34" ht="12.75">
      <c r="H2099" s="43"/>
      <c r="AG2099" s="49" t="str">
        <f ca="1">IFERROR(__xludf.DUMMYFUNCTION("IFNA(vlookup(H2099,IMPORTRANGE(""1vUGwO1n0QQGx9kKbO0_M5gmuhXZ6-LaxQxgrmJnzgP0"",""'TP# look up'!A:C""),3,0),"""")"),"")</f>
        <v/>
      </c>
      <c r="AH2099" s="49" t="str">
        <f t="shared" si="32"/>
        <v/>
      </c>
    </row>
    <row r="2100" spans="8:34" ht="12.75">
      <c r="H2100" s="43"/>
      <c r="AG2100" s="49" t="str">
        <f ca="1">IFERROR(__xludf.DUMMYFUNCTION("IFNA(vlookup(H2100,IMPORTRANGE(""1vUGwO1n0QQGx9kKbO0_M5gmuhXZ6-LaxQxgrmJnzgP0"",""'TP# look up'!A:C""),3,0),"""")"),"")</f>
        <v/>
      </c>
      <c r="AH2100" s="49" t="str">
        <f t="shared" si="32"/>
        <v/>
      </c>
    </row>
    <row r="2101" spans="8:34" ht="12.75">
      <c r="H2101" s="43"/>
      <c r="AG2101" s="49" t="str">
        <f ca="1">IFERROR(__xludf.DUMMYFUNCTION("IFNA(vlookup(H2101,IMPORTRANGE(""1vUGwO1n0QQGx9kKbO0_M5gmuhXZ6-LaxQxgrmJnzgP0"",""'TP# look up'!A:C""),3,0),"""")"),"")</f>
        <v/>
      </c>
      <c r="AH2101" s="49" t="str">
        <f t="shared" si="32"/>
        <v/>
      </c>
    </row>
    <row r="2102" spans="8:34" ht="12.75">
      <c r="H2102" s="43"/>
      <c r="AG2102" s="49" t="str">
        <f ca="1">IFERROR(__xludf.DUMMYFUNCTION("IFNA(vlookup(H2102,IMPORTRANGE(""1vUGwO1n0QQGx9kKbO0_M5gmuhXZ6-LaxQxgrmJnzgP0"",""'TP# look up'!A:C""),3,0),"""")"),"")</f>
        <v/>
      </c>
      <c r="AH2102" s="49" t="str">
        <f t="shared" si="32"/>
        <v/>
      </c>
    </row>
    <row r="2103" spans="8:34" ht="12.75">
      <c r="H2103" s="43"/>
      <c r="AG2103" s="49" t="str">
        <f ca="1">IFERROR(__xludf.DUMMYFUNCTION("IFNA(vlookup(H2103,IMPORTRANGE(""1vUGwO1n0QQGx9kKbO0_M5gmuhXZ6-LaxQxgrmJnzgP0"",""'TP# look up'!A:C""),3,0),"""")"),"")</f>
        <v/>
      </c>
      <c r="AH2103" s="49" t="str">
        <f t="shared" si="32"/>
        <v/>
      </c>
    </row>
    <row r="2104" spans="8:34" ht="12.75">
      <c r="H2104" s="43"/>
      <c r="AG2104" s="49" t="str">
        <f ca="1">IFERROR(__xludf.DUMMYFUNCTION("IFNA(vlookup(H2104,IMPORTRANGE(""1vUGwO1n0QQGx9kKbO0_M5gmuhXZ6-LaxQxgrmJnzgP0"",""'TP# look up'!A:C""),3,0),"""")"),"")</f>
        <v/>
      </c>
      <c r="AH2104" s="49" t="str">
        <f t="shared" si="32"/>
        <v/>
      </c>
    </row>
    <row r="2105" spans="8:34" ht="12.75">
      <c r="H2105" s="43"/>
      <c r="AG2105" s="49" t="str">
        <f ca="1">IFERROR(__xludf.DUMMYFUNCTION("IFNA(vlookup(H2105,IMPORTRANGE(""1vUGwO1n0QQGx9kKbO0_M5gmuhXZ6-LaxQxgrmJnzgP0"",""'TP# look up'!A:C""),3,0),"""")"),"")</f>
        <v/>
      </c>
      <c r="AH2105" s="49" t="str">
        <f t="shared" si="32"/>
        <v/>
      </c>
    </row>
    <row r="2106" spans="8:34" ht="12.75">
      <c r="H2106" s="43"/>
      <c r="AG2106" s="49" t="str">
        <f ca="1">IFERROR(__xludf.DUMMYFUNCTION("IFNA(vlookup(H2106,IMPORTRANGE(""1vUGwO1n0QQGx9kKbO0_M5gmuhXZ6-LaxQxgrmJnzgP0"",""'TP# look up'!A:C""),3,0),"""")"),"")</f>
        <v/>
      </c>
      <c r="AH2106" s="49" t="str">
        <f t="shared" si="32"/>
        <v/>
      </c>
    </row>
    <row r="2107" spans="8:34" ht="12.75">
      <c r="H2107" s="43"/>
      <c r="AG2107" s="49" t="str">
        <f ca="1">IFERROR(__xludf.DUMMYFUNCTION("IFNA(vlookup(H2107,IMPORTRANGE(""1vUGwO1n0QQGx9kKbO0_M5gmuhXZ6-LaxQxgrmJnzgP0"",""'TP# look up'!A:C""),3,0),"""")"),"")</f>
        <v/>
      </c>
      <c r="AH2107" s="49" t="str">
        <f t="shared" si="32"/>
        <v/>
      </c>
    </row>
    <row r="2108" spans="8:34" ht="12.75">
      <c r="H2108" s="43"/>
      <c r="AG2108" s="49" t="str">
        <f ca="1">IFERROR(__xludf.DUMMYFUNCTION("IFNA(vlookup(H2108,IMPORTRANGE(""1vUGwO1n0QQGx9kKbO0_M5gmuhXZ6-LaxQxgrmJnzgP0"",""'TP# look up'!A:C""),3,0),"""")"),"")</f>
        <v/>
      </c>
      <c r="AH2108" s="49" t="str">
        <f t="shared" si="32"/>
        <v/>
      </c>
    </row>
    <row r="2109" spans="8:34" ht="12.75">
      <c r="H2109" s="43"/>
      <c r="AG2109" s="49" t="str">
        <f ca="1">IFERROR(__xludf.DUMMYFUNCTION("IFNA(vlookup(H2109,IMPORTRANGE(""1vUGwO1n0QQGx9kKbO0_M5gmuhXZ6-LaxQxgrmJnzgP0"",""'TP# look up'!A:C""),3,0),"""")"),"")</f>
        <v/>
      </c>
      <c r="AH2109" s="49" t="str">
        <f t="shared" si="32"/>
        <v/>
      </c>
    </row>
    <row r="2110" spans="8:34" ht="12.75">
      <c r="H2110" s="43"/>
      <c r="AG2110" s="49" t="str">
        <f ca="1">IFERROR(__xludf.DUMMYFUNCTION("IFNA(vlookup(H2110,IMPORTRANGE(""1vUGwO1n0QQGx9kKbO0_M5gmuhXZ6-LaxQxgrmJnzgP0"",""'TP# look up'!A:C""),3,0),"""")"),"")</f>
        <v/>
      </c>
      <c r="AH2110" s="49" t="str">
        <f t="shared" si="32"/>
        <v/>
      </c>
    </row>
    <row r="2111" spans="8:34" ht="12.75">
      <c r="H2111" s="43"/>
      <c r="AG2111" s="49" t="str">
        <f ca="1">IFERROR(__xludf.DUMMYFUNCTION("IFNA(vlookup(H2111,IMPORTRANGE(""1vUGwO1n0QQGx9kKbO0_M5gmuhXZ6-LaxQxgrmJnzgP0"",""'TP# look up'!A:C""),3,0),"""")"),"")</f>
        <v/>
      </c>
      <c r="AH2111" s="49" t="str">
        <f t="shared" si="32"/>
        <v/>
      </c>
    </row>
    <row r="2112" spans="8:34" ht="12.75">
      <c r="H2112" s="43"/>
      <c r="AG2112" s="49" t="str">
        <f ca="1">IFERROR(__xludf.DUMMYFUNCTION("IFNA(vlookup(H2112,IMPORTRANGE(""1vUGwO1n0QQGx9kKbO0_M5gmuhXZ6-LaxQxgrmJnzgP0"",""'TP# look up'!A:C""),3,0),"""")"),"")</f>
        <v/>
      </c>
      <c r="AH2112" s="49" t="str">
        <f t="shared" si="32"/>
        <v/>
      </c>
    </row>
    <row r="2113" spans="8:34" ht="12.75">
      <c r="H2113" s="43"/>
      <c r="AG2113" s="49" t="str">
        <f ca="1">IFERROR(__xludf.DUMMYFUNCTION("IFNA(vlookup(H2113,IMPORTRANGE(""1vUGwO1n0QQGx9kKbO0_M5gmuhXZ6-LaxQxgrmJnzgP0"",""'TP# look up'!A:C""),3,0),"""")"),"")</f>
        <v/>
      </c>
      <c r="AH2113" s="49" t="str">
        <f t="shared" si="32"/>
        <v/>
      </c>
    </row>
    <row r="2114" spans="8:34" ht="12.75">
      <c r="H2114" s="43"/>
      <c r="AG2114" s="49" t="str">
        <f ca="1">IFERROR(__xludf.DUMMYFUNCTION("IFNA(vlookup(H2114,IMPORTRANGE(""1vUGwO1n0QQGx9kKbO0_M5gmuhXZ6-LaxQxgrmJnzgP0"",""'TP# look up'!A:C""),3,0),"""")"),"")</f>
        <v/>
      </c>
      <c r="AH2114" s="49" t="str">
        <f t="shared" ref="AH2114:AH2177" si="33">LEFT(J2114,2)</f>
        <v/>
      </c>
    </row>
    <row r="2115" spans="8:34" ht="12.75">
      <c r="H2115" s="43"/>
      <c r="AG2115" s="49" t="str">
        <f ca="1">IFERROR(__xludf.DUMMYFUNCTION("IFNA(vlookup(H2115,IMPORTRANGE(""1vUGwO1n0QQGx9kKbO0_M5gmuhXZ6-LaxQxgrmJnzgP0"",""'TP# look up'!A:C""),3,0),"""")"),"")</f>
        <v/>
      </c>
      <c r="AH2115" s="49" t="str">
        <f t="shared" si="33"/>
        <v/>
      </c>
    </row>
    <row r="2116" spans="8:34" ht="12.75">
      <c r="H2116" s="43"/>
      <c r="AG2116" s="49" t="str">
        <f ca="1">IFERROR(__xludf.DUMMYFUNCTION("IFNA(vlookup(H2116,IMPORTRANGE(""1vUGwO1n0QQGx9kKbO0_M5gmuhXZ6-LaxQxgrmJnzgP0"",""'TP# look up'!A:C""),3,0),"""")"),"")</f>
        <v/>
      </c>
      <c r="AH2116" s="49" t="str">
        <f t="shared" si="33"/>
        <v/>
      </c>
    </row>
    <row r="2117" spans="8:34" ht="12.75">
      <c r="H2117" s="43"/>
      <c r="AG2117" s="49" t="str">
        <f ca="1">IFERROR(__xludf.DUMMYFUNCTION("IFNA(vlookup(H2117,IMPORTRANGE(""1vUGwO1n0QQGx9kKbO0_M5gmuhXZ6-LaxQxgrmJnzgP0"",""'TP# look up'!A:C""),3,0),"""")"),"")</f>
        <v/>
      </c>
      <c r="AH2117" s="49" t="str">
        <f t="shared" si="33"/>
        <v/>
      </c>
    </row>
    <row r="2118" spans="8:34" ht="12.75">
      <c r="H2118" s="43"/>
      <c r="AG2118" s="49" t="str">
        <f ca="1">IFERROR(__xludf.DUMMYFUNCTION("IFNA(vlookup(H2118,IMPORTRANGE(""1vUGwO1n0QQGx9kKbO0_M5gmuhXZ6-LaxQxgrmJnzgP0"",""'TP# look up'!A:C""),3,0),"""")"),"")</f>
        <v/>
      </c>
      <c r="AH2118" s="49" t="str">
        <f t="shared" si="33"/>
        <v/>
      </c>
    </row>
    <row r="2119" spans="8:34" ht="12.75">
      <c r="H2119" s="43"/>
      <c r="AG2119" s="49" t="str">
        <f ca="1">IFERROR(__xludf.DUMMYFUNCTION("IFNA(vlookup(H2119,IMPORTRANGE(""1vUGwO1n0QQGx9kKbO0_M5gmuhXZ6-LaxQxgrmJnzgP0"",""'TP# look up'!A:C""),3,0),"""")"),"")</f>
        <v/>
      </c>
      <c r="AH2119" s="49" t="str">
        <f t="shared" si="33"/>
        <v/>
      </c>
    </row>
    <row r="2120" spans="8:34" ht="12.75">
      <c r="H2120" s="43"/>
      <c r="AG2120" s="49" t="str">
        <f ca="1">IFERROR(__xludf.DUMMYFUNCTION("IFNA(vlookup(H2120,IMPORTRANGE(""1vUGwO1n0QQGx9kKbO0_M5gmuhXZ6-LaxQxgrmJnzgP0"",""'TP# look up'!A:C""),3,0),"""")"),"")</f>
        <v/>
      </c>
      <c r="AH2120" s="49" t="str">
        <f t="shared" si="33"/>
        <v/>
      </c>
    </row>
    <row r="2121" spans="8:34" ht="12.75">
      <c r="H2121" s="43"/>
      <c r="AG2121" s="49" t="str">
        <f ca="1">IFERROR(__xludf.DUMMYFUNCTION("IFNA(vlookup(H2121,IMPORTRANGE(""1vUGwO1n0QQGx9kKbO0_M5gmuhXZ6-LaxQxgrmJnzgP0"",""'TP# look up'!A:C""),3,0),"""")"),"")</f>
        <v/>
      </c>
      <c r="AH2121" s="49" t="str">
        <f t="shared" si="33"/>
        <v/>
      </c>
    </row>
    <row r="2122" spans="8:34" ht="12.75">
      <c r="H2122" s="43"/>
      <c r="AG2122" s="49" t="str">
        <f ca="1">IFERROR(__xludf.DUMMYFUNCTION("IFNA(vlookup(H2122,IMPORTRANGE(""1vUGwO1n0QQGx9kKbO0_M5gmuhXZ6-LaxQxgrmJnzgP0"",""'TP# look up'!A:C""),3,0),"""")"),"")</f>
        <v/>
      </c>
      <c r="AH2122" s="49" t="str">
        <f t="shared" si="33"/>
        <v/>
      </c>
    </row>
    <row r="2123" spans="8:34" ht="12.75">
      <c r="H2123" s="43"/>
      <c r="AG2123" s="49" t="str">
        <f ca="1">IFERROR(__xludf.DUMMYFUNCTION("IFNA(vlookup(H2123,IMPORTRANGE(""1vUGwO1n0QQGx9kKbO0_M5gmuhXZ6-LaxQxgrmJnzgP0"",""'TP# look up'!A:C""),3,0),"""")"),"")</f>
        <v/>
      </c>
      <c r="AH2123" s="49" t="str">
        <f t="shared" si="33"/>
        <v/>
      </c>
    </row>
    <row r="2124" spans="8:34" ht="12.75">
      <c r="H2124" s="43"/>
      <c r="AG2124" s="49" t="str">
        <f ca="1">IFERROR(__xludf.DUMMYFUNCTION("IFNA(vlookup(H2124,IMPORTRANGE(""1vUGwO1n0QQGx9kKbO0_M5gmuhXZ6-LaxQxgrmJnzgP0"",""'TP# look up'!A:C""),3,0),"""")"),"")</f>
        <v/>
      </c>
      <c r="AH2124" s="49" t="str">
        <f t="shared" si="33"/>
        <v/>
      </c>
    </row>
    <row r="2125" spans="8:34" ht="12.75">
      <c r="H2125" s="43"/>
      <c r="AG2125" s="49" t="str">
        <f ca="1">IFERROR(__xludf.DUMMYFUNCTION("IFNA(vlookup(H2125,IMPORTRANGE(""1vUGwO1n0QQGx9kKbO0_M5gmuhXZ6-LaxQxgrmJnzgP0"",""'TP# look up'!A:C""),3,0),"""")"),"")</f>
        <v/>
      </c>
      <c r="AH2125" s="49" t="str">
        <f t="shared" si="33"/>
        <v/>
      </c>
    </row>
    <row r="2126" spans="8:34" ht="12.75">
      <c r="H2126" s="43"/>
      <c r="AG2126" s="49" t="str">
        <f ca="1">IFERROR(__xludf.DUMMYFUNCTION("IFNA(vlookup(H2126,IMPORTRANGE(""1vUGwO1n0QQGx9kKbO0_M5gmuhXZ6-LaxQxgrmJnzgP0"",""'TP# look up'!A:C""),3,0),"""")"),"")</f>
        <v/>
      </c>
      <c r="AH2126" s="49" t="str">
        <f t="shared" si="33"/>
        <v/>
      </c>
    </row>
    <row r="2127" spans="8:34" ht="12.75">
      <c r="H2127" s="43"/>
      <c r="AG2127" s="49" t="str">
        <f ca="1">IFERROR(__xludf.DUMMYFUNCTION("IFNA(vlookup(H2127,IMPORTRANGE(""1vUGwO1n0QQGx9kKbO0_M5gmuhXZ6-LaxQxgrmJnzgP0"",""'TP# look up'!A:C""),3,0),"""")"),"")</f>
        <v/>
      </c>
      <c r="AH2127" s="49" t="str">
        <f t="shared" si="33"/>
        <v/>
      </c>
    </row>
    <row r="2128" spans="8:34" ht="12.75">
      <c r="H2128" s="43"/>
      <c r="AG2128" s="49" t="str">
        <f ca="1">IFERROR(__xludf.DUMMYFUNCTION("IFNA(vlookup(H2128,IMPORTRANGE(""1vUGwO1n0QQGx9kKbO0_M5gmuhXZ6-LaxQxgrmJnzgP0"",""'TP# look up'!A:C""),3,0),"""")"),"")</f>
        <v/>
      </c>
      <c r="AH2128" s="49" t="str">
        <f t="shared" si="33"/>
        <v/>
      </c>
    </row>
    <row r="2129" spans="8:34" ht="12.75">
      <c r="H2129" s="43"/>
      <c r="AG2129" s="49" t="str">
        <f ca="1">IFERROR(__xludf.DUMMYFUNCTION("IFNA(vlookup(H2129,IMPORTRANGE(""1vUGwO1n0QQGx9kKbO0_M5gmuhXZ6-LaxQxgrmJnzgP0"",""'TP# look up'!A:C""),3,0),"""")"),"")</f>
        <v/>
      </c>
      <c r="AH2129" s="49" t="str">
        <f t="shared" si="33"/>
        <v/>
      </c>
    </row>
    <row r="2130" spans="8:34" ht="12.75">
      <c r="H2130" s="43"/>
      <c r="AG2130" s="49" t="str">
        <f ca="1">IFERROR(__xludf.DUMMYFUNCTION("IFNA(vlookup(H2130,IMPORTRANGE(""1vUGwO1n0QQGx9kKbO0_M5gmuhXZ6-LaxQxgrmJnzgP0"",""'TP# look up'!A:C""),3,0),"""")"),"")</f>
        <v/>
      </c>
      <c r="AH2130" s="49" t="str">
        <f t="shared" si="33"/>
        <v/>
      </c>
    </row>
    <row r="2131" spans="8:34" ht="12.75">
      <c r="H2131" s="43"/>
      <c r="AG2131" s="49" t="str">
        <f ca="1">IFERROR(__xludf.DUMMYFUNCTION("IFNA(vlookup(H2131,IMPORTRANGE(""1vUGwO1n0QQGx9kKbO0_M5gmuhXZ6-LaxQxgrmJnzgP0"",""'TP# look up'!A:C""),3,0),"""")"),"")</f>
        <v/>
      </c>
      <c r="AH2131" s="49" t="str">
        <f t="shared" si="33"/>
        <v/>
      </c>
    </row>
    <row r="2132" spans="8:34" ht="12.75">
      <c r="H2132" s="43"/>
      <c r="AG2132" s="49" t="str">
        <f ca="1">IFERROR(__xludf.DUMMYFUNCTION("IFNA(vlookup(H2132,IMPORTRANGE(""1vUGwO1n0QQGx9kKbO0_M5gmuhXZ6-LaxQxgrmJnzgP0"",""'TP# look up'!A:C""),3,0),"""")"),"")</f>
        <v/>
      </c>
      <c r="AH2132" s="49" t="str">
        <f t="shared" si="33"/>
        <v/>
      </c>
    </row>
    <row r="2133" spans="8:34" ht="12.75">
      <c r="H2133" s="43"/>
      <c r="AG2133" s="49" t="str">
        <f ca="1">IFERROR(__xludf.DUMMYFUNCTION("IFNA(vlookup(H2133,IMPORTRANGE(""1vUGwO1n0QQGx9kKbO0_M5gmuhXZ6-LaxQxgrmJnzgP0"",""'TP# look up'!A:C""),3,0),"""")"),"")</f>
        <v/>
      </c>
      <c r="AH2133" s="49" t="str">
        <f t="shared" si="33"/>
        <v/>
      </c>
    </row>
    <row r="2134" spans="8:34" ht="12.75">
      <c r="H2134" s="43"/>
      <c r="AG2134" s="49" t="str">
        <f ca="1">IFERROR(__xludf.DUMMYFUNCTION("IFNA(vlookup(H2134,IMPORTRANGE(""1vUGwO1n0QQGx9kKbO0_M5gmuhXZ6-LaxQxgrmJnzgP0"",""'TP# look up'!A:C""),3,0),"""")"),"")</f>
        <v/>
      </c>
      <c r="AH2134" s="49" t="str">
        <f t="shared" si="33"/>
        <v/>
      </c>
    </row>
    <row r="2135" spans="8:34" ht="12.75">
      <c r="H2135" s="43"/>
      <c r="AG2135" s="49" t="str">
        <f ca="1">IFERROR(__xludf.DUMMYFUNCTION("IFNA(vlookup(H2135,IMPORTRANGE(""1vUGwO1n0QQGx9kKbO0_M5gmuhXZ6-LaxQxgrmJnzgP0"",""'TP# look up'!A:C""),3,0),"""")"),"")</f>
        <v/>
      </c>
      <c r="AH2135" s="49" t="str">
        <f t="shared" si="33"/>
        <v/>
      </c>
    </row>
    <row r="2136" spans="8:34" ht="12.75">
      <c r="H2136" s="43"/>
      <c r="AG2136" s="49" t="str">
        <f ca="1">IFERROR(__xludf.DUMMYFUNCTION("IFNA(vlookup(H2136,IMPORTRANGE(""1vUGwO1n0QQGx9kKbO0_M5gmuhXZ6-LaxQxgrmJnzgP0"",""'TP# look up'!A:C""),3,0),"""")"),"")</f>
        <v/>
      </c>
      <c r="AH2136" s="49" t="str">
        <f t="shared" si="33"/>
        <v/>
      </c>
    </row>
    <row r="2137" spans="8:34" ht="12.75">
      <c r="H2137" s="43"/>
      <c r="AG2137" s="49" t="str">
        <f ca="1">IFERROR(__xludf.DUMMYFUNCTION("IFNA(vlookup(H2137,IMPORTRANGE(""1vUGwO1n0QQGx9kKbO0_M5gmuhXZ6-LaxQxgrmJnzgP0"",""'TP# look up'!A:C""),3,0),"""")"),"")</f>
        <v/>
      </c>
      <c r="AH2137" s="49" t="str">
        <f t="shared" si="33"/>
        <v/>
      </c>
    </row>
    <row r="2138" spans="8:34" ht="12.75">
      <c r="H2138" s="43"/>
      <c r="AG2138" s="49" t="str">
        <f ca="1">IFERROR(__xludf.DUMMYFUNCTION("IFNA(vlookup(H2138,IMPORTRANGE(""1vUGwO1n0QQGx9kKbO0_M5gmuhXZ6-LaxQxgrmJnzgP0"",""'TP# look up'!A:C""),3,0),"""")"),"")</f>
        <v/>
      </c>
      <c r="AH2138" s="49" t="str">
        <f t="shared" si="33"/>
        <v/>
      </c>
    </row>
    <row r="2139" spans="8:34" ht="12.75">
      <c r="H2139" s="43"/>
      <c r="AG2139" s="49" t="str">
        <f ca="1">IFERROR(__xludf.DUMMYFUNCTION("IFNA(vlookup(H2139,IMPORTRANGE(""1vUGwO1n0QQGx9kKbO0_M5gmuhXZ6-LaxQxgrmJnzgP0"",""'TP# look up'!A:C""),3,0),"""")"),"")</f>
        <v/>
      </c>
      <c r="AH2139" s="49" t="str">
        <f t="shared" si="33"/>
        <v/>
      </c>
    </row>
    <row r="2140" spans="8:34" ht="12.75">
      <c r="H2140" s="43"/>
      <c r="AG2140" s="49" t="str">
        <f ca="1">IFERROR(__xludf.DUMMYFUNCTION("IFNA(vlookup(H2140,IMPORTRANGE(""1vUGwO1n0QQGx9kKbO0_M5gmuhXZ6-LaxQxgrmJnzgP0"",""'TP# look up'!A:C""),3,0),"""")"),"")</f>
        <v/>
      </c>
      <c r="AH2140" s="49" t="str">
        <f t="shared" si="33"/>
        <v/>
      </c>
    </row>
    <row r="2141" spans="8:34" ht="12.75">
      <c r="H2141" s="43"/>
      <c r="AG2141" s="49" t="str">
        <f ca="1">IFERROR(__xludf.DUMMYFUNCTION("IFNA(vlookup(H2141,IMPORTRANGE(""1vUGwO1n0QQGx9kKbO0_M5gmuhXZ6-LaxQxgrmJnzgP0"",""'TP# look up'!A:C""),3,0),"""")"),"")</f>
        <v/>
      </c>
      <c r="AH2141" s="49" t="str">
        <f t="shared" si="33"/>
        <v/>
      </c>
    </row>
    <row r="2142" spans="8:34" ht="12.75">
      <c r="H2142" s="43"/>
      <c r="AG2142" s="49" t="str">
        <f ca="1">IFERROR(__xludf.DUMMYFUNCTION("IFNA(vlookup(H2142,IMPORTRANGE(""1vUGwO1n0QQGx9kKbO0_M5gmuhXZ6-LaxQxgrmJnzgP0"",""'TP# look up'!A:C""),3,0),"""")"),"")</f>
        <v/>
      </c>
      <c r="AH2142" s="49" t="str">
        <f t="shared" si="33"/>
        <v/>
      </c>
    </row>
    <row r="2143" spans="8:34" ht="12.75">
      <c r="H2143" s="43"/>
      <c r="AG2143" s="49" t="str">
        <f ca="1">IFERROR(__xludf.DUMMYFUNCTION("IFNA(vlookup(H2143,IMPORTRANGE(""1vUGwO1n0QQGx9kKbO0_M5gmuhXZ6-LaxQxgrmJnzgP0"",""'TP# look up'!A:C""),3,0),"""")"),"")</f>
        <v/>
      </c>
      <c r="AH2143" s="49" t="str">
        <f t="shared" si="33"/>
        <v/>
      </c>
    </row>
    <row r="2144" spans="8:34" ht="12.75">
      <c r="H2144" s="43"/>
      <c r="AG2144" s="49" t="str">
        <f ca="1">IFERROR(__xludf.DUMMYFUNCTION("IFNA(vlookup(H2144,IMPORTRANGE(""1vUGwO1n0QQGx9kKbO0_M5gmuhXZ6-LaxQxgrmJnzgP0"",""'TP# look up'!A:C""),3,0),"""")"),"")</f>
        <v/>
      </c>
      <c r="AH2144" s="49" t="str">
        <f t="shared" si="33"/>
        <v/>
      </c>
    </row>
    <row r="2145" spans="8:34" ht="12.75">
      <c r="H2145" s="43"/>
      <c r="AG2145" s="49" t="str">
        <f ca="1">IFERROR(__xludf.DUMMYFUNCTION("IFNA(vlookup(H2145,IMPORTRANGE(""1vUGwO1n0QQGx9kKbO0_M5gmuhXZ6-LaxQxgrmJnzgP0"",""'TP# look up'!A:C""),3,0),"""")"),"")</f>
        <v/>
      </c>
      <c r="AH2145" s="49" t="str">
        <f t="shared" si="33"/>
        <v/>
      </c>
    </row>
    <row r="2146" spans="8:34" ht="12.75">
      <c r="H2146" s="43"/>
      <c r="AG2146" s="49" t="str">
        <f ca="1">IFERROR(__xludf.DUMMYFUNCTION("IFNA(vlookup(H2146,IMPORTRANGE(""1vUGwO1n0QQGx9kKbO0_M5gmuhXZ6-LaxQxgrmJnzgP0"",""'TP# look up'!A:C""),3,0),"""")"),"")</f>
        <v/>
      </c>
      <c r="AH2146" s="49" t="str">
        <f t="shared" si="33"/>
        <v/>
      </c>
    </row>
    <row r="2147" spans="8:34" ht="12.75">
      <c r="H2147" s="43"/>
      <c r="AG2147" s="49" t="str">
        <f ca="1">IFERROR(__xludf.DUMMYFUNCTION("IFNA(vlookup(H2147,IMPORTRANGE(""1vUGwO1n0QQGx9kKbO0_M5gmuhXZ6-LaxQxgrmJnzgP0"",""'TP# look up'!A:C""),3,0),"""")"),"")</f>
        <v/>
      </c>
      <c r="AH2147" s="49" t="str">
        <f t="shared" si="33"/>
        <v/>
      </c>
    </row>
    <row r="2148" spans="8:34" ht="12.75">
      <c r="H2148" s="43"/>
      <c r="AG2148" s="49" t="str">
        <f ca="1">IFERROR(__xludf.DUMMYFUNCTION("IFNA(vlookup(H2148,IMPORTRANGE(""1vUGwO1n0QQGx9kKbO0_M5gmuhXZ6-LaxQxgrmJnzgP0"",""'TP# look up'!A:C""),3,0),"""")"),"")</f>
        <v/>
      </c>
      <c r="AH2148" s="49" t="str">
        <f t="shared" si="33"/>
        <v/>
      </c>
    </row>
    <row r="2149" spans="8:34" ht="12.75">
      <c r="H2149" s="43"/>
      <c r="AG2149" s="49" t="str">
        <f ca="1">IFERROR(__xludf.DUMMYFUNCTION("IFNA(vlookup(H2149,IMPORTRANGE(""1vUGwO1n0QQGx9kKbO0_M5gmuhXZ6-LaxQxgrmJnzgP0"",""'TP# look up'!A:C""),3,0),"""")"),"")</f>
        <v/>
      </c>
      <c r="AH2149" s="49" t="str">
        <f t="shared" si="33"/>
        <v/>
      </c>
    </row>
    <row r="2150" spans="8:34" ht="12.75">
      <c r="H2150" s="43"/>
      <c r="AG2150" s="49" t="str">
        <f ca="1">IFERROR(__xludf.DUMMYFUNCTION("IFNA(vlookup(H2150,IMPORTRANGE(""1vUGwO1n0QQGx9kKbO0_M5gmuhXZ6-LaxQxgrmJnzgP0"",""'TP# look up'!A:C""),3,0),"""")"),"")</f>
        <v/>
      </c>
      <c r="AH2150" s="49" t="str">
        <f t="shared" si="33"/>
        <v/>
      </c>
    </row>
    <row r="2151" spans="8:34" ht="12.75">
      <c r="H2151" s="43"/>
      <c r="AG2151" s="49" t="str">
        <f ca="1">IFERROR(__xludf.DUMMYFUNCTION("IFNA(vlookup(H2151,IMPORTRANGE(""1vUGwO1n0QQGx9kKbO0_M5gmuhXZ6-LaxQxgrmJnzgP0"",""'TP# look up'!A:C""),3,0),"""")"),"")</f>
        <v/>
      </c>
      <c r="AH2151" s="49" t="str">
        <f t="shared" si="33"/>
        <v/>
      </c>
    </row>
    <row r="2152" spans="8:34" ht="12.75">
      <c r="H2152" s="43"/>
      <c r="AG2152" s="49" t="str">
        <f ca="1">IFERROR(__xludf.DUMMYFUNCTION("IFNA(vlookup(H2152,IMPORTRANGE(""1vUGwO1n0QQGx9kKbO0_M5gmuhXZ6-LaxQxgrmJnzgP0"",""'TP# look up'!A:C""),3,0),"""")"),"")</f>
        <v/>
      </c>
      <c r="AH2152" s="49" t="str">
        <f t="shared" si="33"/>
        <v/>
      </c>
    </row>
    <row r="2153" spans="8:34" ht="12.75">
      <c r="H2153" s="43"/>
      <c r="AG2153" s="49" t="str">
        <f ca="1">IFERROR(__xludf.DUMMYFUNCTION("IFNA(vlookup(H2153,IMPORTRANGE(""1vUGwO1n0QQGx9kKbO0_M5gmuhXZ6-LaxQxgrmJnzgP0"",""'TP# look up'!A:C""),3,0),"""")"),"")</f>
        <v/>
      </c>
      <c r="AH2153" s="49" t="str">
        <f t="shared" si="33"/>
        <v/>
      </c>
    </row>
    <row r="2154" spans="8:34" ht="12.75">
      <c r="H2154" s="43"/>
      <c r="AG2154" s="49" t="str">
        <f ca="1">IFERROR(__xludf.DUMMYFUNCTION("IFNA(vlookup(H2154,IMPORTRANGE(""1vUGwO1n0QQGx9kKbO0_M5gmuhXZ6-LaxQxgrmJnzgP0"",""'TP# look up'!A:C""),3,0),"""")"),"")</f>
        <v/>
      </c>
      <c r="AH2154" s="49" t="str">
        <f t="shared" si="33"/>
        <v/>
      </c>
    </row>
    <row r="2155" spans="8:34" ht="12.75">
      <c r="H2155" s="43"/>
      <c r="AG2155" s="49" t="str">
        <f ca="1">IFERROR(__xludf.DUMMYFUNCTION("IFNA(vlookup(H2155,IMPORTRANGE(""1vUGwO1n0QQGx9kKbO0_M5gmuhXZ6-LaxQxgrmJnzgP0"",""'TP# look up'!A:C""),3,0),"""")"),"")</f>
        <v/>
      </c>
      <c r="AH2155" s="49" t="str">
        <f t="shared" si="33"/>
        <v/>
      </c>
    </row>
    <row r="2156" spans="8:34" ht="12.75">
      <c r="H2156" s="43"/>
      <c r="AG2156" s="49" t="str">
        <f ca="1">IFERROR(__xludf.DUMMYFUNCTION("IFNA(vlookup(H2156,IMPORTRANGE(""1vUGwO1n0QQGx9kKbO0_M5gmuhXZ6-LaxQxgrmJnzgP0"",""'TP# look up'!A:C""),3,0),"""")"),"")</f>
        <v/>
      </c>
      <c r="AH2156" s="49" t="str">
        <f t="shared" si="33"/>
        <v/>
      </c>
    </row>
    <row r="2157" spans="8:34" ht="12.75">
      <c r="H2157" s="43"/>
      <c r="AG2157" s="49" t="str">
        <f ca="1">IFERROR(__xludf.DUMMYFUNCTION("IFNA(vlookup(H2157,IMPORTRANGE(""1vUGwO1n0QQGx9kKbO0_M5gmuhXZ6-LaxQxgrmJnzgP0"",""'TP# look up'!A:C""),3,0),"""")"),"")</f>
        <v/>
      </c>
      <c r="AH2157" s="49" t="str">
        <f t="shared" si="33"/>
        <v/>
      </c>
    </row>
    <row r="2158" spans="8:34" ht="12.75">
      <c r="H2158" s="43"/>
      <c r="AG2158" s="49" t="str">
        <f ca="1">IFERROR(__xludf.DUMMYFUNCTION("IFNA(vlookup(H2158,IMPORTRANGE(""1vUGwO1n0QQGx9kKbO0_M5gmuhXZ6-LaxQxgrmJnzgP0"",""'TP# look up'!A:C""),3,0),"""")"),"")</f>
        <v/>
      </c>
      <c r="AH2158" s="49" t="str">
        <f t="shared" si="33"/>
        <v/>
      </c>
    </row>
    <row r="2159" spans="8:34" ht="12.75">
      <c r="H2159" s="43"/>
      <c r="AG2159" s="49" t="str">
        <f ca="1">IFERROR(__xludf.DUMMYFUNCTION("IFNA(vlookup(H2159,IMPORTRANGE(""1vUGwO1n0QQGx9kKbO0_M5gmuhXZ6-LaxQxgrmJnzgP0"",""'TP# look up'!A:C""),3,0),"""")"),"")</f>
        <v/>
      </c>
      <c r="AH2159" s="49" t="str">
        <f t="shared" si="33"/>
        <v/>
      </c>
    </row>
    <row r="2160" spans="8:34" ht="12.75">
      <c r="H2160" s="43"/>
      <c r="AG2160" s="49" t="str">
        <f ca="1">IFERROR(__xludf.DUMMYFUNCTION("IFNA(vlookup(H2160,IMPORTRANGE(""1vUGwO1n0QQGx9kKbO0_M5gmuhXZ6-LaxQxgrmJnzgP0"",""'TP# look up'!A:C""),3,0),"""")"),"")</f>
        <v/>
      </c>
      <c r="AH2160" s="49" t="str">
        <f t="shared" si="33"/>
        <v/>
      </c>
    </row>
    <row r="2161" spans="8:34" ht="12.75">
      <c r="H2161" s="43"/>
      <c r="AG2161" s="49" t="str">
        <f ca="1">IFERROR(__xludf.DUMMYFUNCTION("IFNA(vlookup(H2161,IMPORTRANGE(""1vUGwO1n0QQGx9kKbO0_M5gmuhXZ6-LaxQxgrmJnzgP0"",""'TP# look up'!A:C""),3,0),"""")"),"")</f>
        <v/>
      </c>
      <c r="AH2161" s="49" t="str">
        <f t="shared" si="33"/>
        <v/>
      </c>
    </row>
    <row r="2162" spans="8:34" ht="12.75">
      <c r="H2162" s="43"/>
      <c r="AG2162" s="49" t="str">
        <f ca="1">IFERROR(__xludf.DUMMYFUNCTION("IFNA(vlookup(H2162,IMPORTRANGE(""1vUGwO1n0QQGx9kKbO0_M5gmuhXZ6-LaxQxgrmJnzgP0"",""'TP# look up'!A:C""),3,0),"""")"),"")</f>
        <v/>
      </c>
      <c r="AH2162" s="49" t="str">
        <f t="shared" si="33"/>
        <v/>
      </c>
    </row>
    <row r="2163" spans="8:34" ht="12.75">
      <c r="H2163" s="43"/>
      <c r="AG2163" s="49" t="str">
        <f ca="1">IFERROR(__xludf.DUMMYFUNCTION("IFNA(vlookup(H2163,IMPORTRANGE(""1vUGwO1n0QQGx9kKbO0_M5gmuhXZ6-LaxQxgrmJnzgP0"",""'TP# look up'!A:C""),3,0),"""")"),"")</f>
        <v/>
      </c>
      <c r="AH2163" s="49" t="str">
        <f t="shared" si="33"/>
        <v/>
      </c>
    </row>
    <row r="2164" spans="8:34" ht="12.75">
      <c r="H2164" s="43"/>
      <c r="AG2164" s="49" t="str">
        <f ca="1">IFERROR(__xludf.DUMMYFUNCTION("IFNA(vlookup(H2164,IMPORTRANGE(""1vUGwO1n0QQGx9kKbO0_M5gmuhXZ6-LaxQxgrmJnzgP0"",""'TP# look up'!A:C""),3,0),"""")"),"")</f>
        <v/>
      </c>
      <c r="AH2164" s="49" t="str">
        <f t="shared" si="33"/>
        <v/>
      </c>
    </row>
    <row r="2165" spans="8:34" ht="12.75">
      <c r="H2165" s="43"/>
      <c r="AG2165" s="49" t="str">
        <f ca="1">IFERROR(__xludf.DUMMYFUNCTION("IFNA(vlookup(H2165,IMPORTRANGE(""1vUGwO1n0QQGx9kKbO0_M5gmuhXZ6-LaxQxgrmJnzgP0"",""'TP# look up'!A:C""),3,0),"""")"),"")</f>
        <v/>
      </c>
      <c r="AH2165" s="49" t="str">
        <f t="shared" si="33"/>
        <v/>
      </c>
    </row>
    <row r="2166" spans="8:34" ht="12.75">
      <c r="H2166" s="43"/>
      <c r="AG2166" s="49" t="str">
        <f ca="1">IFERROR(__xludf.DUMMYFUNCTION("IFNA(vlookup(H2166,IMPORTRANGE(""1vUGwO1n0QQGx9kKbO0_M5gmuhXZ6-LaxQxgrmJnzgP0"",""'TP# look up'!A:C""),3,0),"""")"),"")</f>
        <v/>
      </c>
      <c r="AH2166" s="49" t="str">
        <f t="shared" si="33"/>
        <v/>
      </c>
    </row>
    <row r="2167" spans="8:34" ht="12.75">
      <c r="H2167" s="43"/>
      <c r="AG2167" s="49" t="str">
        <f ca="1">IFERROR(__xludf.DUMMYFUNCTION("IFNA(vlookup(H2167,IMPORTRANGE(""1vUGwO1n0QQGx9kKbO0_M5gmuhXZ6-LaxQxgrmJnzgP0"",""'TP# look up'!A:C""),3,0),"""")"),"")</f>
        <v/>
      </c>
      <c r="AH2167" s="49" t="str">
        <f t="shared" si="33"/>
        <v/>
      </c>
    </row>
    <row r="2168" spans="8:34" ht="12.75">
      <c r="H2168" s="43"/>
      <c r="AG2168" s="49" t="str">
        <f ca="1">IFERROR(__xludf.DUMMYFUNCTION("IFNA(vlookup(H2168,IMPORTRANGE(""1vUGwO1n0QQGx9kKbO0_M5gmuhXZ6-LaxQxgrmJnzgP0"",""'TP# look up'!A:C""),3,0),"""")"),"")</f>
        <v/>
      </c>
      <c r="AH2168" s="49" t="str">
        <f t="shared" si="33"/>
        <v/>
      </c>
    </row>
    <row r="2169" spans="8:34" ht="12.75">
      <c r="H2169" s="43"/>
      <c r="AG2169" s="49" t="str">
        <f ca="1">IFERROR(__xludf.DUMMYFUNCTION("IFNA(vlookup(H2169,IMPORTRANGE(""1vUGwO1n0QQGx9kKbO0_M5gmuhXZ6-LaxQxgrmJnzgP0"",""'TP# look up'!A:C""),3,0),"""")"),"")</f>
        <v/>
      </c>
      <c r="AH2169" s="49" t="str">
        <f t="shared" si="33"/>
        <v/>
      </c>
    </row>
    <row r="2170" spans="8:34" ht="12.75">
      <c r="H2170" s="43"/>
      <c r="AG2170" s="49" t="str">
        <f ca="1">IFERROR(__xludf.DUMMYFUNCTION("IFNA(vlookup(H2170,IMPORTRANGE(""1vUGwO1n0QQGx9kKbO0_M5gmuhXZ6-LaxQxgrmJnzgP0"",""'TP# look up'!A:C""),3,0),"""")"),"")</f>
        <v/>
      </c>
      <c r="AH2170" s="49" t="str">
        <f t="shared" si="33"/>
        <v/>
      </c>
    </row>
    <row r="2171" spans="8:34" ht="12.75">
      <c r="H2171" s="43"/>
      <c r="AG2171" s="49" t="str">
        <f ca="1">IFERROR(__xludf.DUMMYFUNCTION("IFNA(vlookup(H2171,IMPORTRANGE(""1vUGwO1n0QQGx9kKbO0_M5gmuhXZ6-LaxQxgrmJnzgP0"",""'TP# look up'!A:C""),3,0),"""")"),"")</f>
        <v/>
      </c>
      <c r="AH2171" s="49" t="str">
        <f t="shared" si="33"/>
        <v/>
      </c>
    </row>
    <row r="2172" spans="8:34" ht="12.75">
      <c r="H2172" s="43"/>
      <c r="AG2172" s="49" t="str">
        <f ca="1">IFERROR(__xludf.DUMMYFUNCTION("IFNA(vlookup(H2172,IMPORTRANGE(""1vUGwO1n0QQGx9kKbO0_M5gmuhXZ6-LaxQxgrmJnzgP0"",""'TP# look up'!A:C""),3,0),"""")"),"")</f>
        <v/>
      </c>
      <c r="AH2172" s="49" t="str">
        <f t="shared" si="33"/>
        <v/>
      </c>
    </row>
    <row r="2173" spans="8:34" ht="12.75">
      <c r="H2173" s="43"/>
      <c r="AG2173" s="49" t="str">
        <f ca="1">IFERROR(__xludf.DUMMYFUNCTION("IFNA(vlookup(H2173,IMPORTRANGE(""1vUGwO1n0QQGx9kKbO0_M5gmuhXZ6-LaxQxgrmJnzgP0"",""'TP# look up'!A:C""),3,0),"""")"),"")</f>
        <v/>
      </c>
      <c r="AH2173" s="49" t="str">
        <f t="shared" si="33"/>
        <v/>
      </c>
    </row>
    <row r="2174" spans="8:34" ht="12.75">
      <c r="H2174" s="43"/>
      <c r="AG2174" s="49" t="str">
        <f ca="1">IFERROR(__xludf.DUMMYFUNCTION("IFNA(vlookup(H2174,IMPORTRANGE(""1vUGwO1n0QQGx9kKbO0_M5gmuhXZ6-LaxQxgrmJnzgP0"",""'TP# look up'!A:C""),3,0),"""")"),"")</f>
        <v/>
      </c>
      <c r="AH2174" s="49" t="str">
        <f t="shared" si="33"/>
        <v/>
      </c>
    </row>
    <row r="2175" spans="8:34" ht="12.75">
      <c r="H2175" s="43"/>
      <c r="AG2175" s="49" t="str">
        <f ca="1">IFERROR(__xludf.DUMMYFUNCTION("IFNA(vlookup(H2175,IMPORTRANGE(""1vUGwO1n0QQGx9kKbO0_M5gmuhXZ6-LaxQxgrmJnzgP0"",""'TP# look up'!A:C""),3,0),"""")"),"")</f>
        <v/>
      </c>
      <c r="AH2175" s="49" t="str">
        <f t="shared" si="33"/>
        <v/>
      </c>
    </row>
    <row r="2176" spans="8:34" ht="12.75">
      <c r="H2176" s="43"/>
      <c r="AG2176" s="49" t="str">
        <f ca="1">IFERROR(__xludf.DUMMYFUNCTION("IFNA(vlookup(H2176,IMPORTRANGE(""1vUGwO1n0QQGx9kKbO0_M5gmuhXZ6-LaxQxgrmJnzgP0"",""'TP# look up'!A:C""),3,0),"""")"),"")</f>
        <v/>
      </c>
      <c r="AH2176" s="49" t="str">
        <f t="shared" si="33"/>
        <v/>
      </c>
    </row>
    <row r="2177" spans="8:34" ht="12.75">
      <c r="H2177" s="43"/>
      <c r="AG2177" s="49" t="str">
        <f ca="1">IFERROR(__xludf.DUMMYFUNCTION("IFNA(vlookup(H2177,IMPORTRANGE(""1vUGwO1n0QQGx9kKbO0_M5gmuhXZ6-LaxQxgrmJnzgP0"",""'TP# look up'!A:C""),3,0),"""")"),"")</f>
        <v/>
      </c>
      <c r="AH2177" s="49" t="str">
        <f t="shared" si="33"/>
        <v/>
      </c>
    </row>
    <row r="2178" spans="8:34" ht="12.75">
      <c r="H2178" s="43"/>
      <c r="AG2178" s="49" t="str">
        <f ca="1">IFERROR(__xludf.DUMMYFUNCTION("IFNA(vlookup(H2178,IMPORTRANGE(""1vUGwO1n0QQGx9kKbO0_M5gmuhXZ6-LaxQxgrmJnzgP0"",""'TP# look up'!A:C""),3,0),"""")"),"")</f>
        <v/>
      </c>
      <c r="AH2178" s="49" t="str">
        <f t="shared" ref="AH2178:AH2241" si="34">LEFT(J2178,2)</f>
        <v/>
      </c>
    </row>
    <row r="2179" spans="8:34" ht="12.75">
      <c r="H2179" s="43"/>
      <c r="AG2179" s="49" t="str">
        <f ca="1">IFERROR(__xludf.DUMMYFUNCTION("IFNA(vlookup(H2179,IMPORTRANGE(""1vUGwO1n0QQGx9kKbO0_M5gmuhXZ6-LaxQxgrmJnzgP0"",""'TP# look up'!A:C""),3,0),"""")"),"")</f>
        <v/>
      </c>
      <c r="AH2179" s="49" t="str">
        <f t="shared" si="34"/>
        <v/>
      </c>
    </row>
    <row r="2180" spans="8:34" ht="12.75">
      <c r="H2180" s="43"/>
      <c r="AG2180" s="49" t="str">
        <f ca="1">IFERROR(__xludf.DUMMYFUNCTION("IFNA(vlookup(H2180,IMPORTRANGE(""1vUGwO1n0QQGx9kKbO0_M5gmuhXZ6-LaxQxgrmJnzgP0"",""'TP# look up'!A:C""),3,0),"""")"),"")</f>
        <v/>
      </c>
      <c r="AH2180" s="49" t="str">
        <f t="shared" si="34"/>
        <v/>
      </c>
    </row>
    <row r="2181" spans="8:34" ht="12.75">
      <c r="H2181" s="43"/>
      <c r="AG2181" s="49" t="str">
        <f ca="1">IFERROR(__xludf.DUMMYFUNCTION("IFNA(vlookup(H2181,IMPORTRANGE(""1vUGwO1n0QQGx9kKbO0_M5gmuhXZ6-LaxQxgrmJnzgP0"",""'TP# look up'!A:C""),3,0),"""")"),"")</f>
        <v/>
      </c>
      <c r="AH2181" s="49" t="str">
        <f t="shared" si="34"/>
        <v/>
      </c>
    </row>
    <row r="2182" spans="8:34" ht="12.75">
      <c r="H2182" s="43"/>
      <c r="AG2182" s="49" t="str">
        <f ca="1">IFERROR(__xludf.DUMMYFUNCTION("IFNA(vlookup(H2182,IMPORTRANGE(""1vUGwO1n0QQGx9kKbO0_M5gmuhXZ6-LaxQxgrmJnzgP0"",""'TP# look up'!A:C""),3,0),"""")"),"")</f>
        <v/>
      </c>
      <c r="AH2182" s="49" t="str">
        <f t="shared" si="34"/>
        <v/>
      </c>
    </row>
    <row r="2183" spans="8:34" ht="12.75">
      <c r="H2183" s="43"/>
      <c r="AG2183" s="49" t="str">
        <f ca="1">IFERROR(__xludf.DUMMYFUNCTION("IFNA(vlookup(H2183,IMPORTRANGE(""1vUGwO1n0QQGx9kKbO0_M5gmuhXZ6-LaxQxgrmJnzgP0"",""'TP# look up'!A:C""),3,0),"""")"),"")</f>
        <v/>
      </c>
      <c r="AH2183" s="49" t="str">
        <f t="shared" si="34"/>
        <v/>
      </c>
    </row>
    <row r="2184" spans="8:34" ht="12.75">
      <c r="H2184" s="43"/>
      <c r="AG2184" s="49" t="str">
        <f ca="1">IFERROR(__xludf.DUMMYFUNCTION("IFNA(vlookup(H2184,IMPORTRANGE(""1vUGwO1n0QQGx9kKbO0_M5gmuhXZ6-LaxQxgrmJnzgP0"",""'TP# look up'!A:C""),3,0),"""")"),"")</f>
        <v/>
      </c>
      <c r="AH2184" s="49" t="str">
        <f t="shared" si="34"/>
        <v/>
      </c>
    </row>
    <row r="2185" spans="8:34" ht="12.75">
      <c r="H2185" s="43"/>
      <c r="AG2185" s="49" t="str">
        <f ca="1">IFERROR(__xludf.DUMMYFUNCTION("IFNA(vlookup(H2185,IMPORTRANGE(""1vUGwO1n0QQGx9kKbO0_M5gmuhXZ6-LaxQxgrmJnzgP0"",""'TP# look up'!A:C""),3,0),"""")"),"")</f>
        <v/>
      </c>
      <c r="AH2185" s="49" t="str">
        <f t="shared" si="34"/>
        <v/>
      </c>
    </row>
    <row r="2186" spans="8:34" ht="12.75">
      <c r="H2186" s="43"/>
      <c r="AG2186" s="49" t="str">
        <f ca="1">IFERROR(__xludf.DUMMYFUNCTION("IFNA(vlookup(H2186,IMPORTRANGE(""1vUGwO1n0QQGx9kKbO0_M5gmuhXZ6-LaxQxgrmJnzgP0"",""'TP# look up'!A:C""),3,0),"""")"),"")</f>
        <v/>
      </c>
      <c r="AH2186" s="49" t="str">
        <f t="shared" si="34"/>
        <v/>
      </c>
    </row>
    <row r="2187" spans="8:34" ht="12.75">
      <c r="H2187" s="43"/>
      <c r="AG2187" s="49" t="str">
        <f ca="1">IFERROR(__xludf.DUMMYFUNCTION("IFNA(vlookup(H2187,IMPORTRANGE(""1vUGwO1n0QQGx9kKbO0_M5gmuhXZ6-LaxQxgrmJnzgP0"",""'TP# look up'!A:C""),3,0),"""")"),"")</f>
        <v/>
      </c>
      <c r="AH2187" s="49" t="str">
        <f t="shared" si="34"/>
        <v/>
      </c>
    </row>
    <row r="2188" spans="8:34" ht="12.75">
      <c r="H2188" s="43"/>
      <c r="AG2188" s="49" t="str">
        <f ca="1">IFERROR(__xludf.DUMMYFUNCTION("IFNA(vlookup(H2188,IMPORTRANGE(""1vUGwO1n0QQGx9kKbO0_M5gmuhXZ6-LaxQxgrmJnzgP0"",""'TP# look up'!A:C""),3,0),"""")"),"")</f>
        <v/>
      </c>
      <c r="AH2188" s="49" t="str">
        <f t="shared" si="34"/>
        <v/>
      </c>
    </row>
    <row r="2189" spans="8:34" ht="12.75">
      <c r="H2189" s="43"/>
      <c r="AG2189" s="49" t="str">
        <f ca="1">IFERROR(__xludf.DUMMYFUNCTION("IFNA(vlookup(H2189,IMPORTRANGE(""1vUGwO1n0QQGx9kKbO0_M5gmuhXZ6-LaxQxgrmJnzgP0"",""'TP# look up'!A:C""),3,0),"""")"),"")</f>
        <v/>
      </c>
      <c r="AH2189" s="49" t="str">
        <f t="shared" si="34"/>
        <v/>
      </c>
    </row>
    <row r="2190" spans="8:34" ht="12.75">
      <c r="H2190" s="43"/>
      <c r="AG2190" s="49" t="str">
        <f ca="1">IFERROR(__xludf.DUMMYFUNCTION("IFNA(vlookup(H2190,IMPORTRANGE(""1vUGwO1n0QQGx9kKbO0_M5gmuhXZ6-LaxQxgrmJnzgP0"",""'TP# look up'!A:C""),3,0),"""")"),"")</f>
        <v/>
      </c>
      <c r="AH2190" s="49" t="str">
        <f t="shared" si="34"/>
        <v/>
      </c>
    </row>
    <row r="2191" spans="8:34" ht="12.75">
      <c r="H2191" s="43"/>
      <c r="AG2191" s="49" t="str">
        <f ca="1">IFERROR(__xludf.DUMMYFUNCTION("IFNA(vlookup(H2191,IMPORTRANGE(""1vUGwO1n0QQGx9kKbO0_M5gmuhXZ6-LaxQxgrmJnzgP0"",""'TP# look up'!A:C""),3,0),"""")"),"")</f>
        <v/>
      </c>
      <c r="AH2191" s="49" t="str">
        <f t="shared" si="34"/>
        <v/>
      </c>
    </row>
    <row r="2192" spans="8:34" ht="12.75">
      <c r="H2192" s="43"/>
      <c r="AG2192" s="49" t="str">
        <f ca="1">IFERROR(__xludf.DUMMYFUNCTION("IFNA(vlookup(H2192,IMPORTRANGE(""1vUGwO1n0QQGx9kKbO0_M5gmuhXZ6-LaxQxgrmJnzgP0"",""'TP# look up'!A:C""),3,0),"""")"),"")</f>
        <v/>
      </c>
      <c r="AH2192" s="49" t="str">
        <f t="shared" si="34"/>
        <v/>
      </c>
    </row>
    <row r="2193" spans="8:34" ht="12.75">
      <c r="H2193" s="43"/>
      <c r="AG2193" s="49" t="str">
        <f ca="1">IFERROR(__xludf.DUMMYFUNCTION("IFNA(vlookup(H2193,IMPORTRANGE(""1vUGwO1n0QQGx9kKbO0_M5gmuhXZ6-LaxQxgrmJnzgP0"",""'TP# look up'!A:C""),3,0),"""")"),"")</f>
        <v/>
      </c>
      <c r="AH2193" s="49" t="str">
        <f t="shared" si="34"/>
        <v/>
      </c>
    </row>
    <row r="2194" spans="8:34" ht="12.75">
      <c r="H2194" s="43"/>
      <c r="AG2194" s="49" t="str">
        <f ca="1">IFERROR(__xludf.DUMMYFUNCTION("IFNA(vlookup(H2194,IMPORTRANGE(""1vUGwO1n0QQGx9kKbO0_M5gmuhXZ6-LaxQxgrmJnzgP0"",""'TP# look up'!A:C""),3,0),"""")"),"")</f>
        <v/>
      </c>
      <c r="AH2194" s="49" t="str">
        <f t="shared" si="34"/>
        <v/>
      </c>
    </row>
    <row r="2195" spans="8:34" ht="12.75">
      <c r="H2195" s="43"/>
      <c r="AG2195" s="49" t="str">
        <f ca="1">IFERROR(__xludf.DUMMYFUNCTION("IFNA(vlookup(H2195,IMPORTRANGE(""1vUGwO1n0QQGx9kKbO0_M5gmuhXZ6-LaxQxgrmJnzgP0"",""'TP# look up'!A:C""),3,0),"""")"),"")</f>
        <v/>
      </c>
      <c r="AH2195" s="49" t="str">
        <f t="shared" si="34"/>
        <v/>
      </c>
    </row>
    <row r="2196" spans="8:34" ht="12.75">
      <c r="H2196" s="43"/>
      <c r="AG2196" s="49" t="str">
        <f ca="1">IFERROR(__xludf.DUMMYFUNCTION("IFNA(vlookup(H2196,IMPORTRANGE(""1vUGwO1n0QQGx9kKbO0_M5gmuhXZ6-LaxQxgrmJnzgP0"",""'TP# look up'!A:C""),3,0),"""")"),"")</f>
        <v/>
      </c>
      <c r="AH2196" s="49" t="str">
        <f t="shared" si="34"/>
        <v/>
      </c>
    </row>
    <row r="2197" spans="8:34" ht="12.75">
      <c r="H2197" s="43"/>
      <c r="AG2197" s="49" t="str">
        <f ca="1">IFERROR(__xludf.DUMMYFUNCTION("IFNA(vlookup(H2197,IMPORTRANGE(""1vUGwO1n0QQGx9kKbO0_M5gmuhXZ6-LaxQxgrmJnzgP0"",""'TP# look up'!A:C""),3,0),"""")"),"")</f>
        <v/>
      </c>
      <c r="AH2197" s="49" t="str">
        <f t="shared" si="34"/>
        <v/>
      </c>
    </row>
    <row r="2198" spans="8:34" ht="12.75">
      <c r="H2198" s="43"/>
      <c r="AG2198" s="49" t="str">
        <f ca="1">IFERROR(__xludf.DUMMYFUNCTION("IFNA(vlookup(H2198,IMPORTRANGE(""1vUGwO1n0QQGx9kKbO0_M5gmuhXZ6-LaxQxgrmJnzgP0"",""'TP# look up'!A:C""),3,0),"""")"),"")</f>
        <v/>
      </c>
      <c r="AH2198" s="49" t="str">
        <f t="shared" si="34"/>
        <v/>
      </c>
    </row>
    <row r="2199" spans="8:34" ht="12.75">
      <c r="H2199" s="43"/>
      <c r="AG2199" s="49" t="str">
        <f ca="1">IFERROR(__xludf.DUMMYFUNCTION("IFNA(vlookup(H2199,IMPORTRANGE(""1vUGwO1n0QQGx9kKbO0_M5gmuhXZ6-LaxQxgrmJnzgP0"",""'TP# look up'!A:C""),3,0),"""")"),"")</f>
        <v/>
      </c>
      <c r="AH2199" s="49" t="str">
        <f t="shared" si="34"/>
        <v/>
      </c>
    </row>
    <row r="2200" spans="8:34" ht="12.75">
      <c r="H2200" s="43"/>
      <c r="AG2200" s="49" t="str">
        <f ca="1">IFERROR(__xludf.DUMMYFUNCTION("IFNA(vlookup(H2200,IMPORTRANGE(""1vUGwO1n0QQGx9kKbO0_M5gmuhXZ6-LaxQxgrmJnzgP0"",""'TP# look up'!A:C""),3,0),"""")"),"")</f>
        <v/>
      </c>
      <c r="AH2200" s="49" t="str">
        <f t="shared" si="34"/>
        <v/>
      </c>
    </row>
    <row r="2201" spans="8:34" ht="12.75">
      <c r="H2201" s="43"/>
      <c r="AG2201" s="49" t="str">
        <f ca="1">IFERROR(__xludf.DUMMYFUNCTION("IFNA(vlookup(H2201,IMPORTRANGE(""1vUGwO1n0QQGx9kKbO0_M5gmuhXZ6-LaxQxgrmJnzgP0"",""'TP# look up'!A:C""),3,0),"""")"),"")</f>
        <v/>
      </c>
      <c r="AH2201" s="49" t="str">
        <f t="shared" si="34"/>
        <v/>
      </c>
    </row>
    <row r="2202" spans="8:34" ht="12.75">
      <c r="H2202" s="43"/>
      <c r="AG2202" s="49" t="str">
        <f ca="1">IFERROR(__xludf.DUMMYFUNCTION("IFNA(vlookup(H2202,IMPORTRANGE(""1vUGwO1n0QQGx9kKbO0_M5gmuhXZ6-LaxQxgrmJnzgP0"",""'TP# look up'!A:C""),3,0),"""")"),"")</f>
        <v/>
      </c>
      <c r="AH2202" s="49" t="str">
        <f t="shared" si="34"/>
        <v/>
      </c>
    </row>
    <row r="2203" spans="8:34" ht="12.75">
      <c r="H2203" s="43"/>
      <c r="AG2203" s="49" t="str">
        <f ca="1">IFERROR(__xludf.DUMMYFUNCTION("IFNA(vlookup(H2203,IMPORTRANGE(""1vUGwO1n0QQGx9kKbO0_M5gmuhXZ6-LaxQxgrmJnzgP0"",""'TP# look up'!A:C""),3,0),"""")"),"")</f>
        <v/>
      </c>
      <c r="AH2203" s="49" t="str">
        <f t="shared" si="34"/>
        <v/>
      </c>
    </row>
    <row r="2204" spans="8:34" ht="12.75">
      <c r="H2204" s="43"/>
      <c r="AG2204" s="49" t="str">
        <f ca="1">IFERROR(__xludf.DUMMYFUNCTION("IFNA(vlookup(H2204,IMPORTRANGE(""1vUGwO1n0QQGx9kKbO0_M5gmuhXZ6-LaxQxgrmJnzgP0"",""'TP# look up'!A:C""),3,0),"""")"),"")</f>
        <v/>
      </c>
      <c r="AH2204" s="49" t="str">
        <f t="shared" si="34"/>
        <v/>
      </c>
    </row>
    <row r="2205" spans="8:34" ht="12.75">
      <c r="H2205" s="43"/>
      <c r="AG2205" s="49" t="str">
        <f ca="1">IFERROR(__xludf.DUMMYFUNCTION("IFNA(vlookup(H2205,IMPORTRANGE(""1vUGwO1n0QQGx9kKbO0_M5gmuhXZ6-LaxQxgrmJnzgP0"",""'TP# look up'!A:C""),3,0),"""")"),"")</f>
        <v/>
      </c>
      <c r="AH2205" s="49" t="str">
        <f t="shared" si="34"/>
        <v/>
      </c>
    </row>
    <row r="2206" spans="8:34" ht="12.75">
      <c r="H2206" s="43"/>
      <c r="AG2206" s="49" t="str">
        <f ca="1">IFERROR(__xludf.DUMMYFUNCTION("IFNA(vlookup(H2206,IMPORTRANGE(""1vUGwO1n0QQGx9kKbO0_M5gmuhXZ6-LaxQxgrmJnzgP0"",""'TP# look up'!A:C""),3,0),"""")"),"")</f>
        <v/>
      </c>
      <c r="AH2206" s="49" t="str">
        <f t="shared" si="34"/>
        <v/>
      </c>
    </row>
    <row r="2207" spans="8:34" ht="12.75">
      <c r="H2207" s="43"/>
      <c r="AG2207" s="49" t="str">
        <f ca="1">IFERROR(__xludf.DUMMYFUNCTION("IFNA(vlookup(H2207,IMPORTRANGE(""1vUGwO1n0QQGx9kKbO0_M5gmuhXZ6-LaxQxgrmJnzgP0"",""'TP# look up'!A:C""),3,0),"""")"),"")</f>
        <v/>
      </c>
      <c r="AH2207" s="49" t="str">
        <f t="shared" si="34"/>
        <v/>
      </c>
    </row>
    <row r="2208" spans="8:34" ht="12.75">
      <c r="H2208" s="43"/>
      <c r="AG2208" s="49" t="str">
        <f ca="1">IFERROR(__xludf.DUMMYFUNCTION("IFNA(vlookup(H2208,IMPORTRANGE(""1vUGwO1n0QQGx9kKbO0_M5gmuhXZ6-LaxQxgrmJnzgP0"",""'TP# look up'!A:C""),3,0),"""")"),"")</f>
        <v/>
      </c>
      <c r="AH2208" s="49" t="str">
        <f t="shared" si="34"/>
        <v/>
      </c>
    </row>
    <row r="2209" spans="8:34" ht="12.75">
      <c r="H2209" s="43"/>
      <c r="AG2209" s="49" t="str">
        <f ca="1">IFERROR(__xludf.DUMMYFUNCTION("IFNA(vlookup(H2209,IMPORTRANGE(""1vUGwO1n0QQGx9kKbO0_M5gmuhXZ6-LaxQxgrmJnzgP0"",""'TP# look up'!A:C""),3,0),"""")"),"")</f>
        <v/>
      </c>
      <c r="AH2209" s="49" t="str">
        <f t="shared" si="34"/>
        <v/>
      </c>
    </row>
    <row r="2210" spans="8:34" ht="12.75">
      <c r="H2210" s="43"/>
      <c r="AG2210" s="49" t="str">
        <f ca="1">IFERROR(__xludf.DUMMYFUNCTION("IFNA(vlookup(H2210,IMPORTRANGE(""1vUGwO1n0QQGx9kKbO0_M5gmuhXZ6-LaxQxgrmJnzgP0"",""'TP# look up'!A:C""),3,0),"""")"),"")</f>
        <v/>
      </c>
      <c r="AH2210" s="49" t="str">
        <f t="shared" si="34"/>
        <v/>
      </c>
    </row>
    <row r="2211" spans="8:34" ht="12.75">
      <c r="H2211" s="43"/>
      <c r="AG2211" s="49" t="str">
        <f ca="1">IFERROR(__xludf.DUMMYFUNCTION("IFNA(vlookup(H2211,IMPORTRANGE(""1vUGwO1n0QQGx9kKbO0_M5gmuhXZ6-LaxQxgrmJnzgP0"",""'TP# look up'!A:C""),3,0),"""")"),"")</f>
        <v/>
      </c>
      <c r="AH2211" s="49" t="str">
        <f t="shared" si="34"/>
        <v/>
      </c>
    </row>
    <row r="2212" spans="8:34" ht="12.75">
      <c r="H2212" s="43"/>
      <c r="AG2212" s="49" t="str">
        <f ca="1">IFERROR(__xludf.DUMMYFUNCTION("IFNA(vlookup(H2212,IMPORTRANGE(""1vUGwO1n0QQGx9kKbO0_M5gmuhXZ6-LaxQxgrmJnzgP0"",""'TP# look up'!A:C""),3,0),"""")"),"")</f>
        <v/>
      </c>
      <c r="AH2212" s="49" t="str">
        <f t="shared" si="34"/>
        <v/>
      </c>
    </row>
    <row r="2213" spans="8:34" ht="12.75">
      <c r="H2213" s="43"/>
      <c r="AG2213" s="49" t="str">
        <f ca="1">IFERROR(__xludf.DUMMYFUNCTION("IFNA(vlookup(H2213,IMPORTRANGE(""1vUGwO1n0QQGx9kKbO0_M5gmuhXZ6-LaxQxgrmJnzgP0"",""'TP# look up'!A:C""),3,0),"""")"),"")</f>
        <v/>
      </c>
      <c r="AH2213" s="49" t="str">
        <f t="shared" si="34"/>
        <v/>
      </c>
    </row>
    <row r="2214" spans="8:34" ht="12.75">
      <c r="H2214" s="43"/>
      <c r="AG2214" s="49" t="str">
        <f ca="1">IFERROR(__xludf.DUMMYFUNCTION("IFNA(vlookup(H2214,IMPORTRANGE(""1vUGwO1n0QQGx9kKbO0_M5gmuhXZ6-LaxQxgrmJnzgP0"",""'TP# look up'!A:C""),3,0),"""")"),"")</f>
        <v/>
      </c>
      <c r="AH2214" s="49" t="str">
        <f t="shared" si="34"/>
        <v/>
      </c>
    </row>
    <row r="2215" spans="8:34" ht="12.75">
      <c r="H2215" s="43"/>
      <c r="AG2215" s="49" t="str">
        <f ca="1">IFERROR(__xludf.DUMMYFUNCTION("IFNA(vlookup(H2215,IMPORTRANGE(""1vUGwO1n0QQGx9kKbO0_M5gmuhXZ6-LaxQxgrmJnzgP0"",""'TP# look up'!A:C""),3,0),"""")"),"")</f>
        <v/>
      </c>
      <c r="AH2215" s="49" t="str">
        <f t="shared" si="34"/>
        <v/>
      </c>
    </row>
    <row r="2216" spans="8:34" ht="12.75">
      <c r="H2216" s="43"/>
      <c r="AG2216" s="49" t="str">
        <f ca="1">IFERROR(__xludf.DUMMYFUNCTION("IFNA(vlookup(H2216,IMPORTRANGE(""1vUGwO1n0QQGx9kKbO0_M5gmuhXZ6-LaxQxgrmJnzgP0"",""'TP# look up'!A:C""),3,0),"""")"),"")</f>
        <v/>
      </c>
      <c r="AH2216" s="49" t="str">
        <f t="shared" si="34"/>
        <v/>
      </c>
    </row>
    <row r="2217" spans="8:34" ht="12.75">
      <c r="H2217" s="43"/>
      <c r="AG2217" s="49" t="str">
        <f ca="1">IFERROR(__xludf.DUMMYFUNCTION("IFNA(vlookup(H2217,IMPORTRANGE(""1vUGwO1n0QQGx9kKbO0_M5gmuhXZ6-LaxQxgrmJnzgP0"",""'TP# look up'!A:C""),3,0),"""")"),"")</f>
        <v/>
      </c>
      <c r="AH2217" s="49" t="str">
        <f t="shared" si="34"/>
        <v/>
      </c>
    </row>
    <row r="2218" spans="8:34" ht="12.75">
      <c r="H2218" s="43"/>
      <c r="AG2218" s="49" t="str">
        <f ca="1">IFERROR(__xludf.DUMMYFUNCTION("IFNA(vlookup(H2218,IMPORTRANGE(""1vUGwO1n0QQGx9kKbO0_M5gmuhXZ6-LaxQxgrmJnzgP0"",""'TP# look up'!A:C""),3,0),"""")"),"")</f>
        <v/>
      </c>
      <c r="AH2218" s="49" t="str">
        <f t="shared" si="34"/>
        <v/>
      </c>
    </row>
    <row r="2219" spans="8:34" ht="12.75">
      <c r="H2219" s="43"/>
      <c r="AG2219" s="49" t="str">
        <f ca="1">IFERROR(__xludf.DUMMYFUNCTION("IFNA(vlookup(H2219,IMPORTRANGE(""1vUGwO1n0QQGx9kKbO0_M5gmuhXZ6-LaxQxgrmJnzgP0"",""'TP# look up'!A:C""),3,0),"""")"),"")</f>
        <v/>
      </c>
      <c r="AH2219" s="49" t="str">
        <f t="shared" si="34"/>
        <v/>
      </c>
    </row>
    <row r="2220" spans="8:34" ht="12.75">
      <c r="H2220" s="43"/>
      <c r="AG2220" s="49" t="str">
        <f ca="1">IFERROR(__xludf.DUMMYFUNCTION("IFNA(vlookup(H2220,IMPORTRANGE(""1vUGwO1n0QQGx9kKbO0_M5gmuhXZ6-LaxQxgrmJnzgP0"",""'TP# look up'!A:C""),3,0),"""")"),"")</f>
        <v/>
      </c>
      <c r="AH2220" s="49" t="str">
        <f t="shared" si="34"/>
        <v/>
      </c>
    </row>
    <row r="2221" spans="8:34" ht="12.75">
      <c r="H2221" s="43"/>
      <c r="AG2221" s="49" t="str">
        <f ca="1">IFERROR(__xludf.DUMMYFUNCTION("IFNA(vlookup(H2221,IMPORTRANGE(""1vUGwO1n0QQGx9kKbO0_M5gmuhXZ6-LaxQxgrmJnzgP0"",""'TP# look up'!A:C""),3,0),"""")"),"")</f>
        <v/>
      </c>
      <c r="AH2221" s="49" t="str">
        <f t="shared" si="34"/>
        <v/>
      </c>
    </row>
    <row r="2222" spans="8:34" ht="12.75">
      <c r="H2222" s="43"/>
      <c r="AG2222" s="49" t="str">
        <f ca="1">IFERROR(__xludf.DUMMYFUNCTION("IFNA(vlookup(H2222,IMPORTRANGE(""1vUGwO1n0QQGx9kKbO0_M5gmuhXZ6-LaxQxgrmJnzgP0"",""'TP# look up'!A:C""),3,0),"""")"),"")</f>
        <v/>
      </c>
      <c r="AH2222" s="49" t="str">
        <f t="shared" si="34"/>
        <v/>
      </c>
    </row>
    <row r="2223" spans="8:34" ht="12.75">
      <c r="H2223" s="43"/>
      <c r="AG2223" s="49" t="str">
        <f ca="1">IFERROR(__xludf.DUMMYFUNCTION("IFNA(vlookup(H2223,IMPORTRANGE(""1vUGwO1n0QQGx9kKbO0_M5gmuhXZ6-LaxQxgrmJnzgP0"",""'TP# look up'!A:C""),3,0),"""")"),"")</f>
        <v/>
      </c>
      <c r="AH2223" s="49" t="str">
        <f t="shared" si="34"/>
        <v/>
      </c>
    </row>
    <row r="2224" spans="8:34" ht="12.75">
      <c r="H2224" s="43"/>
      <c r="AG2224" s="49" t="str">
        <f ca="1">IFERROR(__xludf.DUMMYFUNCTION("IFNA(vlookup(H2224,IMPORTRANGE(""1vUGwO1n0QQGx9kKbO0_M5gmuhXZ6-LaxQxgrmJnzgP0"",""'TP# look up'!A:C""),3,0),"""")"),"")</f>
        <v/>
      </c>
      <c r="AH2224" s="49" t="str">
        <f t="shared" si="34"/>
        <v/>
      </c>
    </row>
    <row r="2225" spans="8:34" ht="12.75">
      <c r="H2225" s="43"/>
      <c r="AG2225" s="49" t="str">
        <f ca="1">IFERROR(__xludf.DUMMYFUNCTION("IFNA(vlookup(H2225,IMPORTRANGE(""1vUGwO1n0QQGx9kKbO0_M5gmuhXZ6-LaxQxgrmJnzgP0"",""'TP# look up'!A:C""),3,0),"""")"),"")</f>
        <v/>
      </c>
      <c r="AH2225" s="49" t="str">
        <f t="shared" si="34"/>
        <v/>
      </c>
    </row>
    <row r="2226" spans="8:34" ht="12.75">
      <c r="H2226" s="43"/>
      <c r="AG2226" s="49" t="str">
        <f ca="1">IFERROR(__xludf.DUMMYFUNCTION("IFNA(vlookup(H2226,IMPORTRANGE(""1vUGwO1n0QQGx9kKbO0_M5gmuhXZ6-LaxQxgrmJnzgP0"",""'TP# look up'!A:C""),3,0),"""")"),"")</f>
        <v/>
      </c>
      <c r="AH2226" s="49" t="str">
        <f t="shared" si="34"/>
        <v/>
      </c>
    </row>
    <row r="2227" spans="8:34" ht="12.75">
      <c r="H2227" s="43"/>
      <c r="AG2227" s="49" t="str">
        <f ca="1">IFERROR(__xludf.DUMMYFUNCTION("IFNA(vlookup(H2227,IMPORTRANGE(""1vUGwO1n0QQGx9kKbO0_M5gmuhXZ6-LaxQxgrmJnzgP0"",""'TP# look up'!A:C""),3,0),"""")"),"")</f>
        <v/>
      </c>
      <c r="AH2227" s="49" t="str">
        <f t="shared" si="34"/>
        <v/>
      </c>
    </row>
    <row r="2228" spans="8:34" ht="12.75">
      <c r="H2228" s="43"/>
      <c r="AG2228" s="49" t="str">
        <f ca="1">IFERROR(__xludf.DUMMYFUNCTION("IFNA(vlookup(H2228,IMPORTRANGE(""1vUGwO1n0QQGx9kKbO0_M5gmuhXZ6-LaxQxgrmJnzgP0"",""'TP# look up'!A:C""),3,0),"""")"),"")</f>
        <v/>
      </c>
      <c r="AH2228" s="49" t="str">
        <f t="shared" si="34"/>
        <v/>
      </c>
    </row>
    <row r="2229" spans="8:34" ht="12.75">
      <c r="H2229" s="43"/>
      <c r="AG2229" s="49" t="str">
        <f ca="1">IFERROR(__xludf.DUMMYFUNCTION("IFNA(vlookup(H2229,IMPORTRANGE(""1vUGwO1n0QQGx9kKbO0_M5gmuhXZ6-LaxQxgrmJnzgP0"",""'TP# look up'!A:C""),3,0),"""")"),"")</f>
        <v/>
      </c>
      <c r="AH2229" s="49" t="str">
        <f t="shared" si="34"/>
        <v/>
      </c>
    </row>
    <row r="2230" spans="8:34" ht="12.75">
      <c r="H2230" s="43"/>
      <c r="AG2230" s="49" t="str">
        <f ca="1">IFERROR(__xludf.DUMMYFUNCTION("IFNA(vlookup(H2230,IMPORTRANGE(""1vUGwO1n0QQGx9kKbO0_M5gmuhXZ6-LaxQxgrmJnzgP0"",""'TP# look up'!A:C""),3,0),"""")"),"")</f>
        <v/>
      </c>
      <c r="AH2230" s="49" t="str">
        <f t="shared" si="34"/>
        <v/>
      </c>
    </row>
    <row r="2231" spans="8:34" ht="12.75">
      <c r="H2231" s="43"/>
      <c r="AG2231" s="49" t="str">
        <f ca="1">IFERROR(__xludf.DUMMYFUNCTION("IFNA(vlookup(H2231,IMPORTRANGE(""1vUGwO1n0QQGx9kKbO0_M5gmuhXZ6-LaxQxgrmJnzgP0"",""'TP# look up'!A:C""),3,0),"""")"),"")</f>
        <v/>
      </c>
      <c r="AH2231" s="49" t="str">
        <f t="shared" si="34"/>
        <v/>
      </c>
    </row>
    <row r="2232" spans="8:34" ht="12.75">
      <c r="H2232" s="43"/>
      <c r="AG2232" s="49" t="str">
        <f ca="1">IFERROR(__xludf.DUMMYFUNCTION("IFNA(vlookup(H2232,IMPORTRANGE(""1vUGwO1n0QQGx9kKbO0_M5gmuhXZ6-LaxQxgrmJnzgP0"",""'TP# look up'!A:C""),3,0),"""")"),"")</f>
        <v/>
      </c>
      <c r="AH2232" s="49" t="str">
        <f t="shared" si="34"/>
        <v/>
      </c>
    </row>
    <row r="2233" spans="8:34" ht="12.75">
      <c r="H2233" s="43"/>
      <c r="AG2233" s="49" t="str">
        <f ca="1">IFERROR(__xludf.DUMMYFUNCTION("IFNA(vlookup(H2233,IMPORTRANGE(""1vUGwO1n0QQGx9kKbO0_M5gmuhXZ6-LaxQxgrmJnzgP0"",""'TP# look up'!A:C""),3,0),"""")"),"")</f>
        <v/>
      </c>
      <c r="AH2233" s="49" t="str">
        <f t="shared" si="34"/>
        <v/>
      </c>
    </row>
    <row r="2234" spans="8:34" ht="12.75">
      <c r="H2234" s="43"/>
      <c r="AG2234" s="49" t="str">
        <f ca="1">IFERROR(__xludf.DUMMYFUNCTION("IFNA(vlookup(H2234,IMPORTRANGE(""1vUGwO1n0QQGx9kKbO0_M5gmuhXZ6-LaxQxgrmJnzgP0"",""'TP# look up'!A:C""),3,0),"""")"),"")</f>
        <v/>
      </c>
      <c r="AH2234" s="49" t="str">
        <f t="shared" si="34"/>
        <v/>
      </c>
    </row>
    <row r="2235" spans="8:34" ht="12.75">
      <c r="H2235" s="43"/>
      <c r="AG2235" s="49" t="str">
        <f ca="1">IFERROR(__xludf.DUMMYFUNCTION("IFNA(vlookup(H2235,IMPORTRANGE(""1vUGwO1n0QQGx9kKbO0_M5gmuhXZ6-LaxQxgrmJnzgP0"",""'TP# look up'!A:C""),3,0),"""")"),"")</f>
        <v/>
      </c>
      <c r="AH2235" s="49" t="str">
        <f t="shared" si="34"/>
        <v/>
      </c>
    </row>
    <row r="2236" spans="8:34" ht="12.75">
      <c r="H2236" s="43"/>
      <c r="AG2236" s="49" t="str">
        <f ca="1">IFERROR(__xludf.DUMMYFUNCTION("IFNA(vlookup(H2236,IMPORTRANGE(""1vUGwO1n0QQGx9kKbO0_M5gmuhXZ6-LaxQxgrmJnzgP0"",""'TP# look up'!A:C""),3,0),"""")"),"")</f>
        <v/>
      </c>
      <c r="AH2236" s="49" t="str">
        <f t="shared" si="34"/>
        <v/>
      </c>
    </row>
    <row r="2237" spans="8:34" ht="12.75">
      <c r="H2237" s="43"/>
      <c r="AG2237" s="49" t="str">
        <f ca="1">IFERROR(__xludf.DUMMYFUNCTION("IFNA(vlookup(H2237,IMPORTRANGE(""1vUGwO1n0QQGx9kKbO0_M5gmuhXZ6-LaxQxgrmJnzgP0"",""'TP# look up'!A:C""),3,0),"""")"),"")</f>
        <v/>
      </c>
      <c r="AH2237" s="49" t="str">
        <f t="shared" si="34"/>
        <v/>
      </c>
    </row>
    <row r="2238" spans="8:34" ht="12.75">
      <c r="H2238" s="43"/>
      <c r="AG2238" s="49" t="str">
        <f ca="1">IFERROR(__xludf.DUMMYFUNCTION("IFNA(vlookup(H2238,IMPORTRANGE(""1vUGwO1n0QQGx9kKbO0_M5gmuhXZ6-LaxQxgrmJnzgP0"",""'TP# look up'!A:C""),3,0),"""")"),"")</f>
        <v/>
      </c>
      <c r="AH2238" s="49" t="str">
        <f t="shared" si="34"/>
        <v/>
      </c>
    </row>
    <row r="2239" spans="8:34" ht="12.75">
      <c r="H2239" s="43"/>
      <c r="AG2239" s="49" t="str">
        <f ca="1">IFERROR(__xludf.DUMMYFUNCTION("IFNA(vlookup(H2239,IMPORTRANGE(""1vUGwO1n0QQGx9kKbO0_M5gmuhXZ6-LaxQxgrmJnzgP0"",""'TP# look up'!A:C""),3,0),"""")"),"")</f>
        <v/>
      </c>
      <c r="AH2239" s="49" t="str">
        <f t="shared" si="34"/>
        <v/>
      </c>
    </row>
    <row r="2240" spans="8:34" ht="12.75">
      <c r="H2240" s="43"/>
      <c r="AG2240" s="49" t="str">
        <f ca="1">IFERROR(__xludf.DUMMYFUNCTION("IFNA(vlookup(H2240,IMPORTRANGE(""1vUGwO1n0QQGx9kKbO0_M5gmuhXZ6-LaxQxgrmJnzgP0"",""'TP# look up'!A:C""),3,0),"""")"),"")</f>
        <v/>
      </c>
      <c r="AH2240" s="49" t="str">
        <f t="shared" si="34"/>
        <v/>
      </c>
    </row>
    <row r="2241" spans="8:34" ht="12.75">
      <c r="H2241" s="43"/>
      <c r="AG2241" s="49" t="str">
        <f ca="1">IFERROR(__xludf.DUMMYFUNCTION("IFNA(vlookup(H2241,IMPORTRANGE(""1vUGwO1n0QQGx9kKbO0_M5gmuhXZ6-LaxQxgrmJnzgP0"",""'TP# look up'!A:C""),3,0),"""")"),"")</f>
        <v/>
      </c>
      <c r="AH2241" s="49" t="str">
        <f t="shared" si="34"/>
        <v/>
      </c>
    </row>
    <row r="2242" spans="8:34" ht="12.75">
      <c r="H2242" s="43"/>
      <c r="AG2242" s="49" t="str">
        <f ca="1">IFERROR(__xludf.DUMMYFUNCTION("IFNA(vlookup(H2242,IMPORTRANGE(""1vUGwO1n0QQGx9kKbO0_M5gmuhXZ6-LaxQxgrmJnzgP0"",""'TP# look up'!A:C""),3,0),"""")"),"")</f>
        <v/>
      </c>
      <c r="AH2242" s="49" t="str">
        <f t="shared" ref="AH2242:AH2305" si="35">LEFT(J2242,2)</f>
        <v/>
      </c>
    </row>
    <row r="2243" spans="8:34" ht="12.75">
      <c r="H2243" s="43"/>
      <c r="AG2243" s="49" t="str">
        <f ca="1">IFERROR(__xludf.DUMMYFUNCTION("IFNA(vlookup(H2243,IMPORTRANGE(""1vUGwO1n0QQGx9kKbO0_M5gmuhXZ6-LaxQxgrmJnzgP0"",""'TP# look up'!A:C""),3,0),"""")"),"")</f>
        <v/>
      </c>
      <c r="AH2243" s="49" t="str">
        <f t="shared" si="35"/>
        <v/>
      </c>
    </row>
    <row r="2244" spans="8:34" ht="12.75">
      <c r="H2244" s="43"/>
      <c r="AG2244" s="49" t="str">
        <f ca="1">IFERROR(__xludf.DUMMYFUNCTION("IFNA(vlookup(H2244,IMPORTRANGE(""1vUGwO1n0QQGx9kKbO0_M5gmuhXZ6-LaxQxgrmJnzgP0"",""'TP# look up'!A:C""),3,0),"""")"),"")</f>
        <v/>
      </c>
      <c r="AH2244" s="49" t="str">
        <f t="shared" si="35"/>
        <v/>
      </c>
    </row>
    <row r="2245" spans="8:34" ht="12.75">
      <c r="H2245" s="43"/>
      <c r="AG2245" s="49" t="str">
        <f ca="1">IFERROR(__xludf.DUMMYFUNCTION("IFNA(vlookup(H2245,IMPORTRANGE(""1vUGwO1n0QQGx9kKbO0_M5gmuhXZ6-LaxQxgrmJnzgP0"",""'TP# look up'!A:C""),3,0),"""")"),"")</f>
        <v/>
      </c>
      <c r="AH2245" s="49" t="str">
        <f t="shared" si="35"/>
        <v/>
      </c>
    </row>
    <row r="2246" spans="8:34" ht="12.75">
      <c r="H2246" s="43"/>
      <c r="AG2246" s="49" t="str">
        <f ca="1">IFERROR(__xludf.DUMMYFUNCTION("IFNA(vlookup(H2246,IMPORTRANGE(""1vUGwO1n0QQGx9kKbO0_M5gmuhXZ6-LaxQxgrmJnzgP0"",""'TP# look up'!A:C""),3,0),"""")"),"")</f>
        <v/>
      </c>
      <c r="AH2246" s="49" t="str">
        <f t="shared" si="35"/>
        <v/>
      </c>
    </row>
    <row r="2247" spans="8:34" ht="12.75">
      <c r="H2247" s="43"/>
      <c r="AG2247" s="49" t="str">
        <f ca="1">IFERROR(__xludf.DUMMYFUNCTION("IFNA(vlookup(H2247,IMPORTRANGE(""1vUGwO1n0QQGx9kKbO0_M5gmuhXZ6-LaxQxgrmJnzgP0"",""'TP# look up'!A:C""),3,0),"""")"),"")</f>
        <v/>
      </c>
      <c r="AH2247" s="49" t="str">
        <f t="shared" si="35"/>
        <v/>
      </c>
    </row>
    <row r="2248" spans="8:34" ht="12.75">
      <c r="H2248" s="43"/>
      <c r="AG2248" s="49" t="str">
        <f ca="1">IFERROR(__xludf.DUMMYFUNCTION("IFNA(vlookup(H2248,IMPORTRANGE(""1vUGwO1n0QQGx9kKbO0_M5gmuhXZ6-LaxQxgrmJnzgP0"",""'TP# look up'!A:C""),3,0),"""")"),"")</f>
        <v/>
      </c>
      <c r="AH2248" s="49" t="str">
        <f t="shared" si="35"/>
        <v/>
      </c>
    </row>
    <row r="2249" spans="8:34" ht="12.75">
      <c r="H2249" s="43"/>
      <c r="AG2249" s="49" t="str">
        <f ca="1">IFERROR(__xludf.DUMMYFUNCTION("IFNA(vlookup(H2249,IMPORTRANGE(""1vUGwO1n0QQGx9kKbO0_M5gmuhXZ6-LaxQxgrmJnzgP0"",""'TP# look up'!A:C""),3,0),"""")"),"")</f>
        <v/>
      </c>
      <c r="AH2249" s="49" t="str">
        <f t="shared" si="35"/>
        <v/>
      </c>
    </row>
    <row r="2250" spans="8:34" ht="12.75">
      <c r="H2250" s="43"/>
      <c r="AG2250" s="49" t="str">
        <f ca="1">IFERROR(__xludf.DUMMYFUNCTION("IFNA(vlookup(H2250,IMPORTRANGE(""1vUGwO1n0QQGx9kKbO0_M5gmuhXZ6-LaxQxgrmJnzgP0"",""'TP# look up'!A:C""),3,0),"""")"),"")</f>
        <v/>
      </c>
      <c r="AH2250" s="49" t="str">
        <f t="shared" si="35"/>
        <v/>
      </c>
    </row>
    <row r="2251" spans="8:34" ht="12.75">
      <c r="H2251" s="43"/>
      <c r="AG2251" s="49" t="str">
        <f ca="1">IFERROR(__xludf.DUMMYFUNCTION("IFNA(vlookup(H2251,IMPORTRANGE(""1vUGwO1n0QQGx9kKbO0_M5gmuhXZ6-LaxQxgrmJnzgP0"",""'TP# look up'!A:C""),3,0),"""")"),"")</f>
        <v/>
      </c>
      <c r="AH2251" s="49" t="str">
        <f t="shared" si="35"/>
        <v/>
      </c>
    </row>
    <row r="2252" spans="8:34" ht="12.75">
      <c r="H2252" s="43"/>
      <c r="AG2252" s="49" t="str">
        <f ca="1">IFERROR(__xludf.DUMMYFUNCTION("IFNA(vlookup(H2252,IMPORTRANGE(""1vUGwO1n0QQGx9kKbO0_M5gmuhXZ6-LaxQxgrmJnzgP0"",""'TP# look up'!A:C""),3,0),"""")"),"")</f>
        <v/>
      </c>
      <c r="AH2252" s="49" t="str">
        <f t="shared" si="35"/>
        <v/>
      </c>
    </row>
    <row r="2253" spans="8:34" ht="12.75">
      <c r="H2253" s="43"/>
      <c r="AG2253" s="49" t="str">
        <f ca="1">IFERROR(__xludf.DUMMYFUNCTION("IFNA(vlookup(H2253,IMPORTRANGE(""1vUGwO1n0QQGx9kKbO0_M5gmuhXZ6-LaxQxgrmJnzgP0"",""'TP# look up'!A:C""),3,0),"""")"),"")</f>
        <v/>
      </c>
      <c r="AH2253" s="49" t="str">
        <f t="shared" si="35"/>
        <v/>
      </c>
    </row>
    <row r="2254" spans="8:34" ht="12.75">
      <c r="H2254" s="43"/>
      <c r="AG2254" s="49" t="str">
        <f ca="1">IFERROR(__xludf.DUMMYFUNCTION("IFNA(vlookup(H2254,IMPORTRANGE(""1vUGwO1n0QQGx9kKbO0_M5gmuhXZ6-LaxQxgrmJnzgP0"",""'TP# look up'!A:C""),3,0),"""")"),"")</f>
        <v/>
      </c>
      <c r="AH2254" s="49" t="str">
        <f t="shared" si="35"/>
        <v/>
      </c>
    </row>
    <row r="2255" spans="8:34" ht="12.75">
      <c r="H2255" s="43"/>
      <c r="AG2255" s="49" t="str">
        <f ca="1">IFERROR(__xludf.DUMMYFUNCTION("IFNA(vlookup(H2255,IMPORTRANGE(""1vUGwO1n0QQGx9kKbO0_M5gmuhXZ6-LaxQxgrmJnzgP0"",""'TP# look up'!A:C""),3,0),"""")"),"")</f>
        <v/>
      </c>
      <c r="AH2255" s="49" t="str">
        <f t="shared" si="35"/>
        <v/>
      </c>
    </row>
    <row r="2256" spans="8:34" ht="12.75">
      <c r="H2256" s="43"/>
      <c r="AG2256" s="49" t="str">
        <f ca="1">IFERROR(__xludf.DUMMYFUNCTION("IFNA(vlookup(H2256,IMPORTRANGE(""1vUGwO1n0QQGx9kKbO0_M5gmuhXZ6-LaxQxgrmJnzgP0"",""'TP# look up'!A:C""),3,0),"""")"),"")</f>
        <v/>
      </c>
      <c r="AH2256" s="49" t="str">
        <f t="shared" si="35"/>
        <v/>
      </c>
    </row>
    <row r="2257" spans="8:34" ht="12.75">
      <c r="H2257" s="43"/>
      <c r="AG2257" s="49" t="str">
        <f ca="1">IFERROR(__xludf.DUMMYFUNCTION("IFNA(vlookup(H2257,IMPORTRANGE(""1vUGwO1n0QQGx9kKbO0_M5gmuhXZ6-LaxQxgrmJnzgP0"",""'TP# look up'!A:C""),3,0),"""")"),"")</f>
        <v/>
      </c>
      <c r="AH2257" s="49" t="str">
        <f t="shared" si="35"/>
        <v/>
      </c>
    </row>
    <row r="2258" spans="8:34" ht="12.75">
      <c r="H2258" s="43"/>
      <c r="AG2258" s="49" t="str">
        <f ca="1">IFERROR(__xludf.DUMMYFUNCTION("IFNA(vlookup(H2258,IMPORTRANGE(""1vUGwO1n0QQGx9kKbO0_M5gmuhXZ6-LaxQxgrmJnzgP0"",""'TP# look up'!A:C""),3,0),"""")"),"")</f>
        <v/>
      </c>
      <c r="AH2258" s="49" t="str">
        <f t="shared" si="35"/>
        <v/>
      </c>
    </row>
    <row r="2259" spans="8:34" ht="12.75">
      <c r="H2259" s="43"/>
      <c r="AG2259" s="49" t="str">
        <f ca="1">IFERROR(__xludf.DUMMYFUNCTION("IFNA(vlookup(H2259,IMPORTRANGE(""1vUGwO1n0QQGx9kKbO0_M5gmuhXZ6-LaxQxgrmJnzgP0"",""'TP# look up'!A:C""),3,0),"""")"),"")</f>
        <v/>
      </c>
      <c r="AH2259" s="49" t="str">
        <f t="shared" si="35"/>
        <v/>
      </c>
    </row>
    <row r="2260" spans="8:34" ht="12.75">
      <c r="H2260" s="43"/>
      <c r="AG2260" s="49" t="str">
        <f ca="1">IFERROR(__xludf.DUMMYFUNCTION("IFNA(vlookup(H2260,IMPORTRANGE(""1vUGwO1n0QQGx9kKbO0_M5gmuhXZ6-LaxQxgrmJnzgP0"",""'TP# look up'!A:C""),3,0),"""")"),"")</f>
        <v/>
      </c>
      <c r="AH2260" s="49" t="str">
        <f t="shared" si="35"/>
        <v/>
      </c>
    </row>
    <row r="2261" spans="8:34" ht="12.75">
      <c r="H2261" s="43"/>
      <c r="AG2261" s="49" t="str">
        <f ca="1">IFERROR(__xludf.DUMMYFUNCTION("IFNA(vlookup(H2261,IMPORTRANGE(""1vUGwO1n0QQGx9kKbO0_M5gmuhXZ6-LaxQxgrmJnzgP0"",""'TP# look up'!A:C""),3,0),"""")"),"")</f>
        <v/>
      </c>
      <c r="AH2261" s="49" t="str">
        <f t="shared" si="35"/>
        <v/>
      </c>
    </row>
    <row r="2262" spans="8:34" ht="12.75">
      <c r="H2262" s="43"/>
      <c r="AG2262" s="49" t="str">
        <f ca="1">IFERROR(__xludf.DUMMYFUNCTION("IFNA(vlookup(H2262,IMPORTRANGE(""1vUGwO1n0QQGx9kKbO0_M5gmuhXZ6-LaxQxgrmJnzgP0"",""'TP# look up'!A:C""),3,0),"""")"),"")</f>
        <v/>
      </c>
      <c r="AH2262" s="49" t="str">
        <f t="shared" si="35"/>
        <v/>
      </c>
    </row>
    <row r="2263" spans="8:34" ht="12.75">
      <c r="H2263" s="43"/>
      <c r="AG2263" s="49" t="str">
        <f ca="1">IFERROR(__xludf.DUMMYFUNCTION("IFNA(vlookup(H2263,IMPORTRANGE(""1vUGwO1n0QQGx9kKbO0_M5gmuhXZ6-LaxQxgrmJnzgP0"",""'TP# look up'!A:C""),3,0),"""")"),"")</f>
        <v/>
      </c>
      <c r="AH2263" s="49" t="str">
        <f t="shared" si="35"/>
        <v/>
      </c>
    </row>
    <row r="2264" spans="8:34" ht="12.75">
      <c r="H2264" s="43"/>
      <c r="AG2264" s="49" t="str">
        <f ca="1">IFERROR(__xludf.DUMMYFUNCTION("IFNA(vlookup(H2264,IMPORTRANGE(""1vUGwO1n0QQGx9kKbO0_M5gmuhXZ6-LaxQxgrmJnzgP0"",""'TP# look up'!A:C""),3,0),"""")"),"")</f>
        <v/>
      </c>
      <c r="AH2264" s="49" t="str">
        <f t="shared" si="35"/>
        <v/>
      </c>
    </row>
    <row r="2265" spans="8:34" ht="12.75">
      <c r="H2265" s="43"/>
      <c r="AG2265" s="49" t="str">
        <f ca="1">IFERROR(__xludf.DUMMYFUNCTION("IFNA(vlookup(H2265,IMPORTRANGE(""1vUGwO1n0QQGx9kKbO0_M5gmuhXZ6-LaxQxgrmJnzgP0"",""'TP# look up'!A:C""),3,0),"""")"),"")</f>
        <v/>
      </c>
      <c r="AH2265" s="49" t="str">
        <f t="shared" si="35"/>
        <v/>
      </c>
    </row>
    <row r="2266" spans="8:34" ht="12.75">
      <c r="H2266" s="43"/>
      <c r="AG2266" s="49" t="str">
        <f ca="1">IFERROR(__xludf.DUMMYFUNCTION("IFNA(vlookup(H2266,IMPORTRANGE(""1vUGwO1n0QQGx9kKbO0_M5gmuhXZ6-LaxQxgrmJnzgP0"",""'TP# look up'!A:C""),3,0),"""")"),"")</f>
        <v/>
      </c>
      <c r="AH2266" s="49" t="str">
        <f t="shared" si="35"/>
        <v/>
      </c>
    </row>
    <row r="2267" spans="8:34" ht="12.75">
      <c r="H2267" s="43"/>
      <c r="AG2267" s="49" t="str">
        <f ca="1">IFERROR(__xludf.DUMMYFUNCTION("IFNA(vlookup(H2267,IMPORTRANGE(""1vUGwO1n0QQGx9kKbO0_M5gmuhXZ6-LaxQxgrmJnzgP0"",""'TP# look up'!A:C""),3,0),"""")"),"")</f>
        <v/>
      </c>
      <c r="AH2267" s="49" t="str">
        <f t="shared" si="35"/>
        <v/>
      </c>
    </row>
    <row r="2268" spans="8:34" ht="12.75">
      <c r="H2268" s="43"/>
      <c r="AG2268" s="49" t="str">
        <f ca="1">IFERROR(__xludf.DUMMYFUNCTION("IFNA(vlookup(H2268,IMPORTRANGE(""1vUGwO1n0QQGx9kKbO0_M5gmuhXZ6-LaxQxgrmJnzgP0"",""'TP# look up'!A:C""),3,0),"""")"),"")</f>
        <v/>
      </c>
      <c r="AH2268" s="49" t="str">
        <f t="shared" si="35"/>
        <v/>
      </c>
    </row>
    <row r="2269" spans="8:34" ht="12.75">
      <c r="H2269" s="43"/>
      <c r="AG2269" s="49" t="str">
        <f ca="1">IFERROR(__xludf.DUMMYFUNCTION("IFNA(vlookup(H2269,IMPORTRANGE(""1vUGwO1n0QQGx9kKbO0_M5gmuhXZ6-LaxQxgrmJnzgP0"",""'TP# look up'!A:C""),3,0),"""")"),"")</f>
        <v/>
      </c>
      <c r="AH2269" s="49" t="str">
        <f t="shared" si="35"/>
        <v/>
      </c>
    </row>
    <row r="2270" spans="8:34" ht="12.75">
      <c r="H2270" s="43"/>
      <c r="AG2270" s="49" t="str">
        <f ca="1">IFERROR(__xludf.DUMMYFUNCTION("IFNA(vlookup(H2270,IMPORTRANGE(""1vUGwO1n0QQGx9kKbO0_M5gmuhXZ6-LaxQxgrmJnzgP0"",""'TP# look up'!A:C""),3,0),"""")"),"")</f>
        <v/>
      </c>
      <c r="AH2270" s="49" t="str">
        <f t="shared" si="35"/>
        <v/>
      </c>
    </row>
    <row r="2271" spans="8:34" ht="12.75">
      <c r="H2271" s="43"/>
      <c r="AG2271" s="49" t="str">
        <f ca="1">IFERROR(__xludf.DUMMYFUNCTION("IFNA(vlookup(H2271,IMPORTRANGE(""1vUGwO1n0QQGx9kKbO0_M5gmuhXZ6-LaxQxgrmJnzgP0"",""'TP# look up'!A:C""),3,0),"""")"),"")</f>
        <v/>
      </c>
      <c r="AH2271" s="49" t="str">
        <f t="shared" si="35"/>
        <v/>
      </c>
    </row>
    <row r="2272" spans="8:34" ht="12.75">
      <c r="H2272" s="43"/>
      <c r="AG2272" s="49" t="str">
        <f ca="1">IFERROR(__xludf.DUMMYFUNCTION("IFNA(vlookup(H2272,IMPORTRANGE(""1vUGwO1n0QQGx9kKbO0_M5gmuhXZ6-LaxQxgrmJnzgP0"",""'TP# look up'!A:C""),3,0),"""")"),"")</f>
        <v/>
      </c>
      <c r="AH2272" s="49" t="str">
        <f t="shared" si="35"/>
        <v/>
      </c>
    </row>
    <row r="2273" spans="8:34" ht="12.75">
      <c r="H2273" s="43"/>
      <c r="AG2273" s="49" t="str">
        <f ca="1">IFERROR(__xludf.DUMMYFUNCTION("IFNA(vlookup(H2273,IMPORTRANGE(""1vUGwO1n0QQGx9kKbO0_M5gmuhXZ6-LaxQxgrmJnzgP0"",""'TP# look up'!A:C""),3,0),"""")"),"")</f>
        <v/>
      </c>
      <c r="AH2273" s="49" t="str">
        <f t="shared" si="35"/>
        <v/>
      </c>
    </row>
    <row r="2274" spans="8:34" ht="12.75">
      <c r="H2274" s="43"/>
      <c r="AG2274" s="49" t="str">
        <f ca="1">IFERROR(__xludf.DUMMYFUNCTION("IFNA(vlookup(H2274,IMPORTRANGE(""1vUGwO1n0QQGx9kKbO0_M5gmuhXZ6-LaxQxgrmJnzgP0"",""'TP# look up'!A:C""),3,0),"""")"),"")</f>
        <v/>
      </c>
      <c r="AH2274" s="49" t="str">
        <f t="shared" si="35"/>
        <v/>
      </c>
    </row>
    <row r="2275" spans="8:34" ht="12.75">
      <c r="H2275" s="43"/>
      <c r="AG2275" s="49" t="str">
        <f ca="1">IFERROR(__xludf.DUMMYFUNCTION("IFNA(vlookup(H2275,IMPORTRANGE(""1vUGwO1n0QQGx9kKbO0_M5gmuhXZ6-LaxQxgrmJnzgP0"",""'TP# look up'!A:C""),3,0),"""")"),"")</f>
        <v/>
      </c>
      <c r="AH2275" s="49" t="str">
        <f t="shared" si="35"/>
        <v/>
      </c>
    </row>
    <row r="2276" spans="8:34" ht="12.75">
      <c r="H2276" s="43"/>
      <c r="AG2276" s="49" t="str">
        <f ca="1">IFERROR(__xludf.DUMMYFUNCTION("IFNA(vlookup(H2276,IMPORTRANGE(""1vUGwO1n0QQGx9kKbO0_M5gmuhXZ6-LaxQxgrmJnzgP0"",""'TP# look up'!A:C""),3,0),"""")"),"")</f>
        <v/>
      </c>
      <c r="AH2276" s="49" t="str">
        <f t="shared" si="35"/>
        <v/>
      </c>
    </row>
    <row r="2277" spans="8:34" ht="12.75">
      <c r="H2277" s="43"/>
      <c r="AG2277" s="49" t="str">
        <f ca="1">IFERROR(__xludf.DUMMYFUNCTION("IFNA(vlookup(H2277,IMPORTRANGE(""1vUGwO1n0QQGx9kKbO0_M5gmuhXZ6-LaxQxgrmJnzgP0"",""'TP# look up'!A:C""),3,0),"""")"),"")</f>
        <v/>
      </c>
      <c r="AH2277" s="49" t="str">
        <f t="shared" si="35"/>
        <v/>
      </c>
    </row>
    <row r="2278" spans="8:34" ht="12.75">
      <c r="H2278" s="43"/>
      <c r="AG2278" s="49" t="str">
        <f ca="1">IFERROR(__xludf.DUMMYFUNCTION("IFNA(vlookup(H2278,IMPORTRANGE(""1vUGwO1n0QQGx9kKbO0_M5gmuhXZ6-LaxQxgrmJnzgP0"",""'TP# look up'!A:C""),3,0),"""")"),"")</f>
        <v/>
      </c>
      <c r="AH2278" s="49" t="str">
        <f t="shared" si="35"/>
        <v/>
      </c>
    </row>
    <row r="2279" spans="8:34" ht="12.75">
      <c r="H2279" s="43"/>
      <c r="AG2279" s="49" t="str">
        <f ca="1">IFERROR(__xludf.DUMMYFUNCTION("IFNA(vlookup(H2279,IMPORTRANGE(""1vUGwO1n0QQGx9kKbO0_M5gmuhXZ6-LaxQxgrmJnzgP0"",""'TP# look up'!A:C""),3,0),"""")"),"")</f>
        <v/>
      </c>
      <c r="AH2279" s="49" t="str">
        <f t="shared" si="35"/>
        <v/>
      </c>
    </row>
    <row r="2280" spans="8:34" ht="12.75">
      <c r="H2280" s="43"/>
      <c r="AG2280" s="49" t="str">
        <f ca="1">IFERROR(__xludf.DUMMYFUNCTION("IFNA(vlookup(H2280,IMPORTRANGE(""1vUGwO1n0QQGx9kKbO0_M5gmuhXZ6-LaxQxgrmJnzgP0"",""'TP# look up'!A:C""),3,0),"""")"),"")</f>
        <v/>
      </c>
      <c r="AH2280" s="49" t="str">
        <f t="shared" si="35"/>
        <v/>
      </c>
    </row>
    <row r="2281" spans="8:34" ht="12.75">
      <c r="H2281" s="43"/>
      <c r="AG2281" s="49" t="str">
        <f ca="1">IFERROR(__xludf.DUMMYFUNCTION("IFNA(vlookup(H2281,IMPORTRANGE(""1vUGwO1n0QQGx9kKbO0_M5gmuhXZ6-LaxQxgrmJnzgP0"",""'TP# look up'!A:C""),3,0),"""")"),"")</f>
        <v/>
      </c>
      <c r="AH2281" s="49" t="str">
        <f t="shared" si="35"/>
        <v/>
      </c>
    </row>
    <row r="2282" spans="8:34" ht="12.75">
      <c r="H2282" s="43"/>
      <c r="AG2282" s="49" t="str">
        <f ca="1">IFERROR(__xludf.DUMMYFUNCTION("IFNA(vlookup(H2282,IMPORTRANGE(""1vUGwO1n0QQGx9kKbO0_M5gmuhXZ6-LaxQxgrmJnzgP0"",""'TP# look up'!A:C""),3,0),"""")"),"")</f>
        <v/>
      </c>
      <c r="AH2282" s="49" t="str">
        <f t="shared" si="35"/>
        <v/>
      </c>
    </row>
    <row r="2283" spans="8:34" ht="12.75">
      <c r="H2283" s="43"/>
      <c r="AG2283" s="49" t="str">
        <f ca="1">IFERROR(__xludf.DUMMYFUNCTION("IFNA(vlookup(H2283,IMPORTRANGE(""1vUGwO1n0QQGx9kKbO0_M5gmuhXZ6-LaxQxgrmJnzgP0"",""'TP# look up'!A:C""),3,0),"""")"),"")</f>
        <v/>
      </c>
      <c r="AH2283" s="49" t="str">
        <f t="shared" si="35"/>
        <v/>
      </c>
    </row>
    <row r="2284" spans="8:34" ht="12.75">
      <c r="H2284" s="43"/>
      <c r="AG2284" s="49" t="str">
        <f ca="1">IFERROR(__xludf.DUMMYFUNCTION("IFNA(vlookup(H2284,IMPORTRANGE(""1vUGwO1n0QQGx9kKbO0_M5gmuhXZ6-LaxQxgrmJnzgP0"",""'TP# look up'!A:C""),3,0),"""")"),"")</f>
        <v/>
      </c>
      <c r="AH2284" s="49" t="str">
        <f t="shared" si="35"/>
        <v/>
      </c>
    </row>
    <row r="2285" spans="8:34" ht="12.75">
      <c r="H2285" s="43"/>
      <c r="AG2285" s="49" t="str">
        <f ca="1">IFERROR(__xludf.DUMMYFUNCTION("IFNA(vlookup(H2285,IMPORTRANGE(""1vUGwO1n0QQGx9kKbO0_M5gmuhXZ6-LaxQxgrmJnzgP0"",""'TP# look up'!A:C""),3,0),"""")"),"")</f>
        <v/>
      </c>
      <c r="AH2285" s="49" t="str">
        <f t="shared" si="35"/>
        <v/>
      </c>
    </row>
    <row r="2286" spans="8:34" ht="12.75">
      <c r="H2286" s="43"/>
      <c r="AG2286" s="49" t="str">
        <f ca="1">IFERROR(__xludf.DUMMYFUNCTION("IFNA(vlookup(H2286,IMPORTRANGE(""1vUGwO1n0QQGx9kKbO0_M5gmuhXZ6-LaxQxgrmJnzgP0"",""'TP# look up'!A:C""),3,0),"""")"),"")</f>
        <v/>
      </c>
      <c r="AH2286" s="49" t="str">
        <f t="shared" si="35"/>
        <v/>
      </c>
    </row>
    <row r="2287" spans="8:34" ht="12.75">
      <c r="H2287" s="43"/>
      <c r="AG2287" s="49" t="str">
        <f ca="1">IFERROR(__xludf.DUMMYFUNCTION("IFNA(vlookup(H2287,IMPORTRANGE(""1vUGwO1n0QQGx9kKbO0_M5gmuhXZ6-LaxQxgrmJnzgP0"",""'TP# look up'!A:C""),3,0),"""")"),"")</f>
        <v/>
      </c>
      <c r="AH2287" s="49" t="str">
        <f t="shared" si="35"/>
        <v/>
      </c>
    </row>
    <row r="2288" spans="8:34" ht="12.75">
      <c r="H2288" s="43"/>
      <c r="AG2288" s="49" t="str">
        <f ca="1">IFERROR(__xludf.DUMMYFUNCTION("IFNA(vlookup(H2288,IMPORTRANGE(""1vUGwO1n0QQGx9kKbO0_M5gmuhXZ6-LaxQxgrmJnzgP0"",""'TP# look up'!A:C""),3,0),"""")"),"")</f>
        <v/>
      </c>
      <c r="AH2288" s="49" t="str">
        <f t="shared" si="35"/>
        <v/>
      </c>
    </row>
    <row r="2289" spans="8:34" ht="12.75">
      <c r="H2289" s="43"/>
      <c r="AG2289" s="49" t="str">
        <f ca="1">IFERROR(__xludf.DUMMYFUNCTION("IFNA(vlookup(H2289,IMPORTRANGE(""1vUGwO1n0QQGx9kKbO0_M5gmuhXZ6-LaxQxgrmJnzgP0"",""'TP# look up'!A:C""),3,0),"""")"),"")</f>
        <v/>
      </c>
      <c r="AH2289" s="49" t="str">
        <f t="shared" si="35"/>
        <v/>
      </c>
    </row>
    <row r="2290" spans="8:34" ht="12.75">
      <c r="H2290" s="43"/>
      <c r="AG2290" s="49" t="str">
        <f ca="1">IFERROR(__xludf.DUMMYFUNCTION("IFNA(vlookup(H2290,IMPORTRANGE(""1vUGwO1n0QQGx9kKbO0_M5gmuhXZ6-LaxQxgrmJnzgP0"",""'TP# look up'!A:C""),3,0),"""")"),"")</f>
        <v/>
      </c>
      <c r="AH2290" s="49" t="str">
        <f t="shared" si="35"/>
        <v/>
      </c>
    </row>
    <row r="2291" spans="8:34" ht="12.75">
      <c r="H2291" s="43"/>
      <c r="AG2291" s="49" t="str">
        <f ca="1">IFERROR(__xludf.DUMMYFUNCTION("IFNA(vlookup(H2291,IMPORTRANGE(""1vUGwO1n0QQGx9kKbO0_M5gmuhXZ6-LaxQxgrmJnzgP0"",""'TP# look up'!A:C""),3,0),"""")"),"")</f>
        <v/>
      </c>
      <c r="AH2291" s="49" t="str">
        <f t="shared" si="35"/>
        <v/>
      </c>
    </row>
    <row r="2292" spans="8:34" ht="12.75">
      <c r="H2292" s="43"/>
      <c r="AG2292" s="49" t="str">
        <f ca="1">IFERROR(__xludf.DUMMYFUNCTION("IFNA(vlookup(H2292,IMPORTRANGE(""1vUGwO1n0QQGx9kKbO0_M5gmuhXZ6-LaxQxgrmJnzgP0"",""'TP# look up'!A:C""),3,0),"""")"),"")</f>
        <v/>
      </c>
      <c r="AH2292" s="49" t="str">
        <f t="shared" si="35"/>
        <v/>
      </c>
    </row>
    <row r="2293" spans="8:34" ht="12.75">
      <c r="H2293" s="43"/>
      <c r="AG2293" s="49" t="str">
        <f ca="1">IFERROR(__xludf.DUMMYFUNCTION("IFNA(vlookup(H2293,IMPORTRANGE(""1vUGwO1n0QQGx9kKbO0_M5gmuhXZ6-LaxQxgrmJnzgP0"",""'TP# look up'!A:C""),3,0),"""")"),"")</f>
        <v/>
      </c>
      <c r="AH2293" s="49" t="str">
        <f t="shared" si="35"/>
        <v/>
      </c>
    </row>
    <row r="2294" spans="8:34" ht="12.75">
      <c r="H2294" s="43"/>
      <c r="AG2294" s="49" t="str">
        <f ca="1">IFERROR(__xludf.DUMMYFUNCTION("IFNA(vlookup(H2294,IMPORTRANGE(""1vUGwO1n0QQGx9kKbO0_M5gmuhXZ6-LaxQxgrmJnzgP0"",""'TP# look up'!A:C""),3,0),"""")"),"")</f>
        <v/>
      </c>
      <c r="AH2294" s="49" t="str">
        <f t="shared" si="35"/>
        <v/>
      </c>
    </row>
    <row r="2295" spans="8:34" ht="12.75">
      <c r="H2295" s="43"/>
      <c r="AG2295" s="49" t="str">
        <f ca="1">IFERROR(__xludf.DUMMYFUNCTION("IFNA(vlookup(H2295,IMPORTRANGE(""1vUGwO1n0QQGx9kKbO0_M5gmuhXZ6-LaxQxgrmJnzgP0"",""'TP# look up'!A:C""),3,0),"""")"),"")</f>
        <v/>
      </c>
      <c r="AH2295" s="49" t="str">
        <f t="shared" si="35"/>
        <v/>
      </c>
    </row>
    <row r="2296" spans="8:34" ht="12.75">
      <c r="H2296" s="43"/>
      <c r="AG2296" s="49" t="str">
        <f ca="1">IFERROR(__xludf.DUMMYFUNCTION("IFNA(vlookup(H2296,IMPORTRANGE(""1vUGwO1n0QQGx9kKbO0_M5gmuhXZ6-LaxQxgrmJnzgP0"",""'TP# look up'!A:C""),3,0),"""")"),"")</f>
        <v/>
      </c>
      <c r="AH2296" s="49" t="str">
        <f t="shared" si="35"/>
        <v/>
      </c>
    </row>
    <row r="2297" spans="8:34" ht="12.75">
      <c r="H2297" s="43"/>
      <c r="AG2297" s="49" t="str">
        <f ca="1">IFERROR(__xludf.DUMMYFUNCTION("IFNA(vlookup(H2297,IMPORTRANGE(""1vUGwO1n0QQGx9kKbO0_M5gmuhXZ6-LaxQxgrmJnzgP0"",""'TP# look up'!A:C""),3,0),"""")"),"")</f>
        <v/>
      </c>
      <c r="AH2297" s="49" t="str">
        <f t="shared" si="35"/>
        <v/>
      </c>
    </row>
    <row r="2298" spans="8:34" ht="12.75">
      <c r="H2298" s="43"/>
      <c r="AG2298" s="49" t="str">
        <f ca="1">IFERROR(__xludf.DUMMYFUNCTION("IFNA(vlookup(H2298,IMPORTRANGE(""1vUGwO1n0QQGx9kKbO0_M5gmuhXZ6-LaxQxgrmJnzgP0"",""'TP# look up'!A:C""),3,0),"""")"),"")</f>
        <v/>
      </c>
      <c r="AH2298" s="49" t="str">
        <f t="shared" si="35"/>
        <v/>
      </c>
    </row>
    <row r="2299" spans="8:34" ht="12.75">
      <c r="H2299" s="43"/>
      <c r="AG2299" s="49" t="str">
        <f ca="1">IFERROR(__xludf.DUMMYFUNCTION("IFNA(vlookup(H2299,IMPORTRANGE(""1vUGwO1n0QQGx9kKbO0_M5gmuhXZ6-LaxQxgrmJnzgP0"",""'TP# look up'!A:C""),3,0),"""")"),"")</f>
        <v/>
      </c>
      <c r="AH2299" s="49" t="str">
        <f t="shared" si="35"/>
        <v/>
      </c>
    </row>
    <row r="2300" spans="8:34" ht="12.75">
      <c r="H2300" s="43"/>
      <c r="AG2300" s="49" t="str">
        <f ca="1">IFERROR(__xludf.DUMMYFUNCTION("IFNA(vlookup(H2300,IMPORTRANGE(""1vUGwO1n0QQGx9kKbO0_M5gmuhXZ6-LaxQxgrmJnzgP0"",""'TP# look up'!A:C""),3,0),"""")"),"")</f>
        <v/>
      </c>
      <c r="AH2300" s="49" t="str">
        <f t="shared" si="35"/>
        <v/>
      </c>
    </row>
    <row r="2301" spans="8:34" ht="12.75">
      <c r="H2301" s="43"/>
      <c r="AG2301" s="49" t="str">
        <f ca="1">IFERROR(__xludf.DUMMYFUNCTION("IFNA(vlookup(H2301,IMPORTRANGE(""1vUGwO1n0QQGx9kKbO0_M5gmuhXZ6-LaxQxgrmJnzgP0"",""'TP# look up'!A:C""),3,0),"""")"),"")</f>
        <v/>
      </c>
      <c r="AH2301" s="49" t="str">
        <f t="shared" si="35"/>
        <v/>
      </c>
    </row>
    <row r="2302" spans="8:34" ht="12.75">
      <c r="H2302" s="43"/>
      <c r="AG2302" s="49" t="str">
        <f ca="1">IFERROR(__xludf.DUMMYFUNCTION("IFNA(vlookup(H2302,IMPORTRANGE(""1vUGwO1n0QQGx9kKbO0_M5gmuhXZ6-LaxQxgrmJnzgP0"",""'TP# look up'!A:C""),3,0),"""")"),"")</f>
        <v/>
      </c>
      <c r="AH2302" s="49" t="str">
        <f t="shared" si="35"/>
        <v/>
      </c>
    </row>
    <row r="2303" spans="8:34" ht="12.75">
      <c r="H2303" s="43"/>
      <c r="AG2303" s="49" t="str">
        <f ca="1">IFERROR(__xludf.DUMMYFUNCTION("IFNA(vlookup(H2303,IMPORTRANGE(""1vUGwO1n0QQGx9kKbO0_M5gmuhXZ6-LaxQxgrmJnzgP0"",""'TP# look up'!A:C""),3,0),"""")"),"")</f>
        <v/>
      </c>
      <c r="AH2303" s="49" t="str">
        <f t="shared" si="35"/>
        <v/>
      </c>
    </row>
    <row r="2304" spans="8:34" ht="12.75">
      <c r="H2304" s="43"/>
      <c r="AG2304" s="49" t="str">
        <f ca="1">IFERROR(__xludf.DUMMYFUNCTION("IFNA(vlookup(H2304,IMPORTRANGE(""1vUGwO1n0QQGx9kKbO0_M5gmuhXZ6-LaxQxgrmJnzgP0"",""'TP# look up'!A:C""),3,0),"""")"),"")</f>
        <v/>
      </c>
      <c r="AH2304" s="49" t="str">
        <f t="shared" si="35"/>
        <v/>
      </c>
    </row>
    <row r="2305" spans="8:34" ht="12.75">
      <c r="H2305" s="43"/>
      <c r="AG2305" s="49" t="str">
        <f ca="1">IFERROR(__xludf.DUMMYFUNCTION("IFNA(vlookup(H2305,IMPORTRANGE(""1vUGwO1n0QQGx9kKbO0_M5gmuhXZ6-LaxQxgrmJnzgP0"",""'TP# look up'!A:C""),3,0),"""")"),"")</f>
        <v/>
      </c>
      <c r="AH2305" s="49" t="str">
        <f t="shared" si="35"/>
        <v/>
      </c>
    </row>
    <row r="2306" spans="8:34" ht="12.75">
      <c r="H2306" s="43"/>
      <c r="AG2306" s="49" t="str">
        <f ca="1">IFERROR(__xludf.DUMMYFUNCTION("IFNA(vlookup(H2306,IMPORTRANGE(""1vUGwO1n0QQGx9kKbO0_M5gmuhXZ6-LaxQxgrmJnzgP0"",""'TP# look up'!A:C""),3,0),"""")"),"")</f>
        <v/>
      </c>
      <c r="AH2306" s="49" t="str">
        <f t="shared" ref="AH2306:AH2369" si="36">LEFT(J2306,2)</f>
        <v/>
      </c>
    </row>
    <row r="2307" spans="8:34" ht="12.75">
      <c r="H2307" s="43"/>
      <c r="AG2307" s="49" t="str">
        <f ca="1">IFERROR(__xludf.DUMMYFUNCTION("IFNA(vlookup(H2307,IMPORTRANGE(""1vUGwO1n0QQGx9kKbO0_M5gmuhXZ6-LaxQxgrmJnzgP0"",""'TP# look up'!A:C""),3,0),"""")"),"")</f>
        <v/>
      </c>
      <c r="AH2307" s="49" t="str">
        <f t="shared" si="36"/>
        <v/>
      </c>
    </row>
    <row r="2308" spans="8:34" ht="12.75">
      <c r="H2308" s="43"/>
      <c r="AG2308" s="49" t="str">
        <f ca="1">IFERROR(__xludf.DUMMYFUNCTION("IFNA(vlookup(H2308,IMPORTRANGE(""1vUGwO1n0QQGx9kKbO0_M5gmuhXZ6-LaxQxgrmJnzgP0"",""'TP# look up'!A:C""),3,0),"""")"),"")</f>
        <v/>
      </c>
      <c r="AH2308" s="49" t="str">
        <f t="shared" si="36"/>
        <v/>
      </c>
    </row>
    <row r="2309" spans="8:34" ht="12.75">
      <c r="H2309" s="43"/>
      <c r="AG2309" s="49" t="str">
        <f ca="1">IFERROR(__xludf.DUMMYFUNCTION("IFNA(vlookup(H2309,IMPORTRANGE(""1vUGwO1n0QQGx9kKbO0_M5gmuhXZ6-LaxQxgrmJnzgP0"",""'TP# look up'!A:C""),3,0),"""")"),"")</f>
        <v/>
      </c>
      <c r="AH2309" s="49" t="str">
        <f t="shared" si="36"/>
        <v/>
      </c>
    </row>
    <row r="2310" spans="8:34" ht="12.75">
      <c r="H2310" s="43"/>
      <c r="AG2310" s="49" t="str">
        <f ca="1">IFERROR(__xludf.DUMMYFUNCTION("IFNA(vlookup(H2310,IMPORTRANGE(""1vUGwO1n0QQGx9kKbO0_M5gmuhXZ6-LaxQxgrmJnzgP0"",""'TP# look up'!A:C""),3,0),"""")"),"")</f>
        <v/>
      </c>
      <c r="AH2310" s="49" t="str">
        <f t="shared" si="36"/>
        <v/>
      </c>
    </row>
    <row r="2311" spans="8:34" ht="12.75">
      <c r="H2311" s="43"/>
      <c r="AG2311" s="49" t="str">
        <f ca="1">IFERROR(__xludf.DUMMYFUNCTION("IFNA(vlookup(H2311,IMPORTRANGE(""1vUGwO1n0QQGx9kKbO0_M5gmuhXZ6-LaxQxgrmJnzgP0"",""'TP# look up'!A:C""),3,0),"""")"),"")</f>
        <v/>
      </c>
      <c r="AH2311" s="49" t="str">
        <f t="shared" si="36"/>
        <v/>
      </c>
    </row>
    <row r="2312" spans="8:34" ht="12.75">
      <c r="H2312" s="43"/>
      <c r="AG2312" s="49" t="str">
        <f ca="1">IFERROR(__xludf.DUMMYFUNCTION("IFNA(vlookup(H2312,IMPORTRANGE(""1vUGwO1n0QQGx9kKbO0_M5gmuhXZ6-LaxQxgrmJnzgP0"",""'TP# look up'!A:C""),3,0),"""")"),"")</f>
        <v/>
      </c>
      <c r="AH2312" s="49" t="str">
        <f t="shared" si="36"/>
        <v/>
      </c>
    </row>
    <row r="2313" spans="8:34" ht="12.75">
      <c r="H2313" s="43"/>
      <c r="AG2313" s="49" t="str">
        <f ca="1">IFERROR(__xludf.DUMMYFUNCTION("IFNA(vlookup(H2313,IMPORTRANGE(""1vUGwO1n0QQGx9kKbO0_M5gmuhXZ6-LaxQxgrmJnzgP0"",""'TP# look up'!A:C""),3,0),"""")"),"")</f>
        <v/>
      </c>
      <c r="AH2313" s="49" t="str">
        <f t="shared" si="36"/>
        <v/>
      </c>
    </row>
    <row r="2314" spans="8:34" ht="12.75">
      <c r="H2314" s="43"/>
      <c r="AG2314" s="49" t="str">
        <f ca="1">IFERROR(__xludf.DUMMYFUNCTION("IFNA(vlookup(H2314,IMPORTRANGE(""1vUGwO1n0QQGx9kKbO0_M5gmuhXZ6-LaxQxgrmJnzgP0"",""'TP# look up'!A:C""),3,0),"""")"),"")</f>
        <v/>
      </c>
      <c r="AH2314" s="49" t="str">
        <f t="shared" si="36"/>
        <v/>
      </c>
    </row>
    <row r="2315" spans="8:34" ht="12.75">
      <c r="H2315" s="43"/>
      <c r="AG2315" s="49" t="str">
        <f ca="1">IFERROR(__xludf.DUMMYFUNCTION("IFNA(vlookup(H2315,IMPORTRANGE(""1vUGwO1n0QQGx9kKbO0_M5gmuhXZ6-LaxQxgrmJnzgP0"",""'TP# look up'!A:C""),3,0),"""")"),"")</f>
        <v/>
      </c>
      <c r="AH2315" s="49" t="str">
        <f t="shared" si="36"/>
        <v/>
      </c>
    </row>
    <row r="2316" spans="8:34" ht="12.75">
      <c r="H2316" s="43"/>
      <c r="AG2316" s="49" t="str">
        <f ca="1">IFERROR(__xludf.DUMMYFUNCTION("IFNA(vlookup(H2316,IMPORTRANGE(""1vUGwO1n0QQGx9kKbO0_M5gmuhXZ6-LaxQxgrmJnzgP0"",""'TP# look up'!A:C""),3,0),"""")"),"")</f>
        <v/>
      </c>
      <c r="AH2316" s="49" t="str">
        <f t="shared" si="36"/>
        <v/>
      </c>
    </row>
    <row r="2317" spans="8:34" ht="12.75">
      <c r="H2317" s="43"/>
      <c r="AG2317" s="49" t="str">
        <f ca="1">IFERROR(__xludf.DUMMYFUNCTION("IFNA(vlookup(H2317,IMPORTRANGE(""1vUGwO1n0QQGx9kKbO0_M5gmuhXZ6-LaxQxgrmJnzgP0"",""'TP# look up'!A:C""),3,0),"""")"),"")</f>
        <v/>
      </c>
      <c r="AH2317" s="49" t="str">
        <f t="shared" si="36"/>
        <v/>
      </c>
    </row>
    <row r="2318" spans="8:34" ht="12.75">
      <c r="H2318" s="43"/>
      <c r="AG2318" s="49" t="str">
        <f ca="1">IFERROR(__xludf.DUMMYFUNCTION("IFNA(vlookup(H2318,IMPORTRANGE(""1vUGwO1n0QQGx9kKbO0_M5gmuhXZ6-LaxQxgrmJnzgP0"",""'TP# look up'!A:C""),3,0),"""")"),"")</f>
        <v/>
      </c>
      <c r="AH2318" s="49" t="str">
        <f t="shared" si="36"/>
        <v/>
      </c>
    </row>
    <row r="2319" spans="8:34" ht="12.75">
      <c r="H2319" s="43"/>
      <c r="AG2319" s="49" t="str">
        <f ca="1">IFERROR(__xludf.DUMMYFUNCTION("IFNA(vlookup(H2319,IMPORTRANGE(""1vUGwO1n0QQGx9kKbO0_M5gmuhXZ6-LaxQxgrmJnzgP0"",""'TP# look up'!A:C""),3,0),"""")"),"")</f>
        <v/>
      </c>
      <c r="AH2319" s="49" t="str">
        <f t="shared" si="36"/>
        <v/>
      </c>
    </row>
    <row r="2320" spans="8:34" ht="12.75">
      <c r="H2320" s="43"/>
      <c r="AG2320" s="49" t="str">
        <f ca="1">IFERROR(__xludf.DUMMYFUNCTION("IFNA(vlookup(H2320,IMPORTRANGE(""1vUGwO1n0QQGx9kKbO0_M5gmuhXZ6-LaxQxgrmJnzgP0"",""'TP# look up'!A:C""),3,0),"""")"),"")</f>
        <v/>
      </c>
      <c r="AH2320" s="49" t="str">
        <f t="shared" si="36"/>
        <v/>
      </c>
    </row>
    <row r="2321" spans="8:34" ht="12.75">
      <c r="H2321" s="43"/>
      <c r="AG2321" s="49" t="str">
        <f ca="1">IFERROR(__xludf.DUMMYFUNCTION("IFNA(vlookup(H2321,IMPORTRANGE(""1vUGwO1n0QQGx9kKbO0_M5gmuhXZ6-LaxQxgrmJnzgP0"",""'TP# look up'!A:C""),3,0),"""")"),"")</f>
        <v/>
      </c>
      <c r="AH2321" s="49" t="str">
        <f t="shared" si="36"/>
        <v/>
      </c>
    </row>
    <row r="2322" spans="8:34" ht="12.75">
      <c r="H2322" s="43"/>
      <c r="AG2322" s="49" t="str">
        <f ca="1">IFERROR(__xludf.DUMMYFUNCTION("IFNA(vlookup(H2322,IMPORTRANGE(""1vUGwO1n0QQGx9kKbO0_M5gmuhXZ6-LaxQxgrmJnzgP0"",""'TP# look up'!A:C""),3,0),"""")"),"")</f>
        <v/>
      </c>
      <c r="AH2322" s="49" t="str">
        <f t="shared" si="36"/>
        <v/>
      </c>
    </row>
    <row r="2323" spans="8:34" ht="12.75">
      <c r="H2323" s="43"/>
      <c r="AG2323" s="49" t="str">
        <f ca="1">IFERROR(__xludf.DUMMYFUNCTION("IFNA(vlookup(H2323,IMPORTRANGE(""1vUGwO1n0QQGx9kKbO0_M5gmuhXZ6-LaxQxgrmJnzgP0"",""'TP# look up'!A:C""),3,0),"""")"),"")</f>
        <v/>
      </c>
      <c r="AH2323" s="49" t="str">
        <f t="shared" si="36"/>
        <v/>
      </c>
    </row>
    <row r="2324" spans="8:34" ht="12.75">
      <c r="H2324" s="43"/>
      <c r="AG2324" s="49" t="str">
        <f ca="1">IFERROR(__xludf.DUMMYFUNCTION("IFNA(vlookup(H2324,IMPORTRANGE(""1vUGwO1n0QQGx9kKbO0_M5gmuhXZ6-LaxQxgrmJnzgP0"",""'TP# look up'!A:C""),3,0),"""")"),"")</f>
        <v/>
      </c>
      <c r="AH2324" s="49" t="str">
        <f t="shared" si="36"/>
        <v/>
      </c>
    </row>
    <row r="2325" spans="8:34" ht="12.75">
      <c r="H2325" s="43"/>
      <c r="AG2325" s="49" t="str">
        <f ca="1">IFERROR(__xludf.DUMMYFUNCTION("IFNA(vlookup(H2325,IMPORTRANGE(""1vUGwO1n0QQGx9kKbO0_M5gmuhXZ6-LaxQxgrmJnzgP0"",""'TP# look up'!A:C""),3,0),"""")"),"")</f>
        <v/>
      </c>
      <c r="AH2325" s="49" t="str">
        <f t="shared" si="36"/>
        <v/>
      </c>
    </row>
    <row r="2326" spans="8:34" ht="12.75">
      <c r="H2326" s="43"/>
      <c r="AG2326" s="49" t="str">
        <f ca="1">IFERROR(__xludf.DUMMYFUNCTION("IFNA(vlookup(H2326,IMPORTRANGE(""1vUGwO1n0QQGx9kKbO0_M5gmuhXZ6-LaxQxgrmJnzgP0"",""'TP# look up'!A:C""),3,0),"""")"),"")</f>
        <v/>
      </c>
      <c r="AH2326" s="49" t="str">
        <f t="shared" si="36"/>
        <v/>
      </c>
    </row>
    <row r="2327" spans="8:34" ht="12.75">
      <c r="H2327" s="43"/>
      <c r="AG2327" s="49" t="str">
        <f ca="1">IFERROR(__xludf.DUMMYFUNCTION("IFNA(vlookup(H2327,IMPORTRANGE(""1vUGwO1n0QQGx9kKbO0_M5gmuhXZ6-LaxQxgrmJnzgP0"",""'TP# look up'!A:C""),3,0),"""")"),"")</f>
        <v/>
      </c>
      <c r="AH2327" s="49" t="str">
        <f t="shared" si="36"/>
        <v/>
      </c>
    </row>
    <row r="2328" spans="8:34" ht="12.75">
      <c r="H2328" s="43"/>
      <c r="AG2328" s="49" t="str">
        <f ca="1">IFERROR(__xludf.DUMMYFUNCTION("IFNA(vlookup(H2328,IMPORTRANGE(""1vUGwO1n0QQGx9kKbO0_M5gmuhXZ6-LaxQxgrmJnzgP0"",""'TP# look up'!A:C""),3,0),"""")"),"")</f>
        <v/>
      </c>
      <c r="AH2328" s="49" t="str">
        <f t="shared" si="36"/>
        <v/>
      </c>
    </row>
    <row r="2329" spans="8:34" ht="12.75">
      <c r="H2329" s="43"/>
      <c r="AG2329" s="49" t="str">
        <f ca="1">IFERROR(__xludf.DUMMYFUNCTION("IFNA(vlookup(H2329,IMPORTRANGE(""1vUGwO1n0QQGx9kKbO0_M5gmuhXZ6-LaxQxgrmJnzgP0"",""'TP# look up'!A:C""),3,0),"""")"),"")</f>
        <v/>
      </c>
      <c r="AH2329" s="49" t="str">
        <f t="shared" si="36"/>
        <v/>
      </c>
    </row>
    <row r="2330" spans="8:34" ht="12.75">
      <c r="H2330" s="43"/>
      <c r="AG2330" s="49" t="str">
        <f ca="1">IFERROR(__xludf.DUMMYFUNCTION("IFNA(vlookup(H2330,IMPORTRANGE(""1vUGwO1n0QQGx9kKbO0_M5gmuhXZ6-LaxQxgrmJnzgP0"",""'TP# look up'!A:C""),3,0),"""")"),"")</f>
        <v/>
      </c>
      <c r="AH2330" s="49" t="str">
        <f t="shared" si="36"/>
        <v/>
      </c>
    </row>
    <row r="2331" spans="8:34" ht="12.75">
      <c r="H2331" s="43"/>
      <c r="AG2331" s="49" t="str">
        <f ca="1">IFERROR(__xludf.DUMMYFUNCTION("IFNA(vlookup(H2331,IMPORTRANGE(""1vUGwO1n0QQGx9kKbO0_M5gmuhXZ6-LaxQxgrmJnzgP0"",""'TP# look up'!A:C""),3,0),"""")"),"")</f>
        <v/>
      </c>
      <c r="AH2331" s="49" t="str">
        <f t="shared" si="36"/>
        <v/>
      </c>
    </row>
    <row r="2332" spans="8:34" ht="12.75">
      <c r="H2332" s="43"/>
      <c r="AG2332" s="49" t="str">
        <f ca="1">IFERROR(__xludf.DUMMYFUNCTION("IFNA(vlookup(H2332,IMPORTRANGE(""1vUGwO1n0QQGx9kKbO0_M5gmuhXZ6-LaxQxgrmJnzgP0"",""'TP# look up'!A:C""),3,0),"""")"),"")</f>
        <v/>
      </c>
      <c r="AH2332" s="49" t="str">
        <f t="shared" si="36"/>
        <v/>
      </c>
    </row>
    <row r="2333" spans="8:34" ht="12.75">
      <c r="H2333" s="43"/>
      <c r="AG2333" s="49" t="str">
        <f ca="1">IFERROR(__xludf.DUMMYFUNCTION("IFNA(vlookup(H2333,IMPORTRANGE(""1vUGwO1n0QQGx9kKbO0_M5gmuhXZ6-LaxQxgrmJnzgP0"",""'TP# look up'!A:C""),3,0),"""")"),"")</f>
        <v/>
      </c>
      <c r="AH2333" s="49" t="str">
        <f t="shared" si="36"/>
        <v/>
      </c>
    </row>
    <row r="2334" spans="8:34" ht="12.75">
      <c r="H2334" s="43"/>
      <c r="AG2334" s="49" t="str">
        <f ca="1">IFERROR(__xludf.DUMMYFUNCTION("IFNA(vlookup(H2334,IMPORTRANGE(""1vUGwO1n0QQGx9kKbO0_M5gmuhXZ6-LaxQxgrmJnzgP0"",""'TP# look up'!A:C""),3,0),"""")"),"")</f>
        <v/>
      </c>
      <c r="AH2334" s="49" t="str">
        <f t="shared" si="36"/>
        <v/>
      </c>
    </row>
    <row r="2335" spans="8:34" ht="12.75">
      <c r="H2335" s="43"/>
      <c r="AG2335" s="49" t="str">
        <f ca="1">IFERROR(__xludf.DUMMYFUNCTION("IFNA(vlookup(H2335,IMPORTRANGE(""1vUGwO1n0QQGx9kKbO0_M5gmuhXZ6-LaxQxgrmJnzgP0"",""'TP# look up'!A:C""),3,0),"""")"),"")</f>
        <v/>
      </c>
      <c r="AH2335" s="49" t="str">
        <f t="shared" si="36"/>
        <v/>
      </c>
    </row>
    <row r="2336" spans="8:34" ht="12.75">
      <c r="H2336" s="43"/>
      <c r="AG2336" s="49" t="str">
        <f ca="1">IFERROR(__xludf.DUMMYFUNCTION("IFNA(vlookup(H2336,IMPORTRANGE(""1vUGwO1n0QQGx9kKbO0_M5gmuhXZ6-LaxQxgrmJnzgP0"",""'TP# look up'!A:C""),3,0),"""")"),"")</f>
        <v/>
      </c>
      <c r="AH2336" s="49" t="str">
        <f t="shared" si="36"/>
        <v/>
      </c>
    </row>
    <row r="2337" spans="8:34" ht="12.75">
      <c r="H2337" s="43"/>
      <c r="AG2337" s="49" t="str">
        <f ca="1">IFERROR(__xludf.DUMMYFUNCTION("IFNA(vlookup(H2337,IMPORTRANGE(""1vUGwO1n0QQGx9kKbO0_M5gmuhXZ6-LaxQxgrmJnzgP0"",""'TP# look up'!A:C""),3,0),"""")"),"")</f>
        <v/>
      </c>
      <c r="AH2337" s="49" t="str">
        <f t="shared" si="36"/>
        <v/>
      </c>
    </row>
    <row r="2338" spans="8:34" ht="12.75">
      <c r="H2338" s="43"/>
      <c r="AG2338" s="49" t="str">
        <f ca="1">IFERROR(__xludf.DUMMYFUNCTION("IFNA(vlookup(H2338,IMPORTRANGE(""1vUGwO1n0QQGx9kKbO0_M5gmuhXZ6-LaxQxgrmJnzgP0"",""'TP# look up'!A:C""),3,0),"""")"),"")</f>
        <v/>
      </c>
      <c r="AH2338" s="49" t="str">
        <f t="shared" si="36"/>
        <v/>
      </c>
    </row>
    <row r="2339" spans="8:34" ht="12.75">
      <c r="H2339" s="43"/>
      <c r="AG2339" s="49" t="str">
        <f ca="1">IFERROR(__xludf.DUMMYFUNCTION("IFNA(vlookup(H2339,IMPORTRANGE(""1vUGwO1n0QQGx9kKbO0_M5gmuhXZ6-LaxQxgrmJnzgP0"",""'TP# look up'!A:C""),3,0),"""")"),"")</f>
        <v/>
      </c>
      <c r="AH2339" s="49" t="str">
        <f t="shared" si="36"/>
        <v/>
      </c>
    </row>
    <row r="2340" spans="8:34" ht="12.75">
      <c r="H2340" s="43"/>
      <c r="AG2340" s="49" t="str">
        <f ca="1">IFERROR(__xludf.DUMMYFUNCTION("IFNA(vlookup(H2340,IMPORTRANGE(""1vUGwO1n0QQGx9kKbO0_M5gmuhXZ6-LaxQxgrmJnzgP0"",""'TP# look up'!A:C""),3,0),"""")"),"")</f>
        <v/>
      </c>
      <c r="AH2340" s="49" t="str">
        <f t="shared" si="36"/>
        <v/>
      </c>
    </row>
    <row r="2341" spans="8:34" ht="12.75">
      <c r="H2341" s="43"/>
      <c r="AG2341" s="49" t="str">
        <f ca="1">IFERROR(__xludf.DUMMYFUNCTION("IFNA(vlookup(H2341,IMPORTRANGE(""1vUGwO1n0QQGx9kKbO0_M5gmuhXZ6-LaxQxgrmJnzgP0"",""'TP# look up'!A:C""),3,0),"""")"),"")</f>
        <v/>
      </c>
      <c r="AH2341" s="49" t="str">
        <f t="shared" si="36"/>
        <v/>
      </c>
    </row>
    <row r="2342" spans="8:34" ht="12.75">
      <c r="H2342" s="43"/>
      <c r="AG2342" s="49" t="str">
        <f ca="1">IFERROR(__xludf.DUMMYFUNCTION("IFNA(vlookup(H2342,IMPORTRANGE(""1vUGwO1n0QQGx9kKbO0_M5gmuhXZ6-LaxQxgrmJnzgP0"",""'TP# look up'!A:C""),3,0),"""")"),"")</f>
        <v/>
      </c>
      <c r="AH2342" s="49" t="str">
        <f t="shared" si="36"/>
        <v/>
      </c>
    </row>
    <row r="2343" spans="8:34" ht="12.75">
      <c r="H2343" s="43"/>
      <c r="AG2343" s="49" t="str">
        <f ca="1">IFERROR(__xludf.DUMMYFUNCTION("IFNA(vlookup(H2343,IMPORTRANGE(""1vUGwO1n0QQGx9kKbO0_M5gmuhXZ6-LaxQxgrmJnzgP0"",""'TP# look up'!A:C""),3,0),"""")"),"")</f>
        <v/>
      </c>
      <c r="AH2343" s="49" t="str">
        <f t="shared" si="36"/>
        <v/>
      </c>
    </row>
    <row r="2344" spans="8:34" ht="12.75">
      <c r="H2344" s="43"/>
      <c r="AG2344" s="49" t="str">
        <f ca="1">IFERROR(__xludf.DUMMYFUNCTION("IFNA(vlookup(H2344,IMPORTRANGE(""1vUGwO1n0QQGx9kKbO0_M5gmuhXZ6-LaxQxgrmJnzgP0"",""'TP# look up'!A:C""),3,0),"""")"),"")</f>
        <v/>
      </c>
      <c r="AH2344" s="49" t="str">
        <f t="shared" si="36"/>
        <v/>
      </c>
    </row>
    <row r="2345" spans="8:34" ht="12.75">
      <c r="H2345" s="43"/>
      <c r="AG2345" s="49" t="str">
        <f ca="1">IFERROR(__xludf.DUMMYFUNCTION("IFNA(vlookup(H2345,IMPORTRANGE(""1vUGwO1n0QQGx9kKbO0_M5gmuhXZ6-LaxQxgrmJnzgP0"",""'TP# look up'!A:C""),3,0),"""")"),"")</f>
        <v/>
      </c>
      <c r="AH2345" s="49" t="str">
        <f t="shared" si="36"/>
        <v/>
      </c>
    </row>
    <row r="2346" spans="8:34" ht="12.75">
      <c r="H2346" s="43"/>
      <c r="AG2346" s="49" t="str">
        <f ca="1">IFERROR(__xludf.DUMMYFUNCTION("IFNA(vlookup(H2346,IMPORTRANGE(""1vUGwO1n0QQGx9kKbO0_M5gmuhXZ6-LaxQxgrmJnzgP0"",""'TP# look up'!A:C""),3,0),"""")"),"")</f>
        <v/>
      </c>
      <c r="AH2346" s="49" t="str">
        <f t="shared" si="36"/>
        <v/>
      </c>
    </row>
    <row r="2347" spans="8:34" ht="12.75">
      <c r="H2347" s="43"/>
      <c r="AG2347" s="49" t="str">
        <f ca="1">IFERROR(__xludf.DUMMYFUNCTION("IFNA(vlookup(H2347,IMPORTRANGE(""1vUGwO1n0QQGx9kKbO0_M5gmuhXZ6-LaxQxgrmJnzgP0"",""'TP# look up'!A:C""),3,0),"""")"),"")</f>
        <v/>
      </c>
      <c r="AH2347" s="49" t="str">
        <f t="shared" si="36"/>
        <v/>
      </c>
    </row>
    <row r="2348" spans="8:34" ht="12.75">
      <c r="H2348" s="43"/>
      <c r="AG2348" s="49" t="str">
        <f ca="1">IFERROR(__xludf.DUMMYFUNCTION("IFNA(vlookup(H2348,IMPORTRANGE(""1vUGwO1n0QQGx9kKbO0_M5gmuhXZ6-LaxQxgrmJnzgP0"",""'TP# look up'!A:C""),3,0),"""")"),"")</f>
        <v/>
      </c>
      <c r="AH2348" s="49" t="str">
        <f t="shared" si="36"/>
        <v/>
      </c>
    </row>
    <row r="2349" spans="8:34" ht="12.75">
      <c r="H2349" s="43"/>
      <c r="AG2349" s="49" t="str">
        <f ca="1">IFERROR(__xludf.DUMMYFUNCTION("IFNA(vlookup(H2349,IMPORTRANGE(""1vUGwO1n0QQGx9kKbO0_M5gmuhXZ6-LaxQxgrmJnzgP0"",""'TP# look up'!A:C""),3,0),"""")"),"")</f>
        <v/>
      </c>
      <c r="AH2349" s="49" t="str">
        <f t="shared" si="36"/>
        <v/>
      </c>
    </row>
    <row r="2350" spans="8:34" ht="12.75">
      <c r="H2350" s="43"/>
      <c r="AG2350" s="49" t="str">
        <f ca="1">IFERROR(__xludf.DUMMYFUNCTION("IFNA(vlookup(H2350,IMPORTRANGE(""1vUGwO1n0QQGx9kKbO0_M5gmuhXZ6-LaxQxgrmJnzgP0"",""'TP# look up'!A:C""),3,0),"""")"),"")</f>
        <v/>
      </c>
      <c r="AH2350" s="49" t="str">
        <f t="shared" si="36"/>
        <v/>
      </c>
    </row>
    <row r="2351" spans="8:34" ht="12.75">
      <c r="H2351" s="43"/>
      <c r="AG2351" s="49" t="str">
        <f ca="1">IFERROR(__xludf.DUMMYFUNCTION("IFNA(vlookup(H2351,IMPORTRANGE(""1vUGwO1n0QQGx9kKbO0_M5gmuhXZ6-LaxQxgrmJnzgP0"",""'TP# look up'!A:C""),3,0),"""")"),"")</f>
        <v/>
      </c>
      <c r="AH2351" s="49" t="str">
        <f t="shared" si="36"/>
        <v/>
      </c>
    </row>
    <row r="2352" spans="8:34" ht="12.75">
      <c r="H2352" s="43"/>
      <c r="AG2352" s="49" t="str">
        <f ca="1">IFERROR(__xludf.DUMMYFUNCTION("IFNA(vlookup(H2352,IMPORTRANGE(""1vUGwO1n0QQGx9kKbO0_M5gmuhXZ6-LaxQxgrmJnzgP0"",""'TP# look up'!A:C""),3,0),"""")"),"")</f>
        <v/>
      </c>
      <c r="AH2352" s="49" t="str">
        <f t="shared" si="36"/>
        <v/>
      </c>
    </row>
    <row r="2353" spans="8:34" ht="12.75">
      <c r="H2353" s="43"/>
      <c r="AG2353" s="49" t="str">
        <f ca="1">IFERROR(__xludf.DUMMYFUNCTION("IFNA(vlookup(H2353,IMPORTRANGE(""1vUGwO1n0QQGx9kKbO0_M5gmuhXZ6-LaxQxgrmJnzgP0"",""'TP# look up'!A:C""),3,0),"""")"),"")</f>
        <v/>
      </c>
      <c r="AH2353" s="49" t="str">
        <f t="shared" si="36"/>
        <v/>
      </c>
    </row>
    <row r="2354" spans="8:34" ht="12.75">
      <c r="H2354" s="43"/>
      <c r="AG2354" s="49" t="str">
        <f ca="1">IFERROR(__xludf.DUMMYFUNCTION("IFNA(vlookup(H2354,IMPORTRANGE(""1vUGwO1n0QQGx9kKbO0_M5gmuhXZ6-LaxQxgrmJnzgP0"",""'TP# look up'!A:C""),3,0),"""")"),"")</f>
        <v/>
      </c>
      <c r="AH2354" s="49" t="str">
        <f t="shared" si="36"/>
        <v/>
      </c>
    </row>
    <row r="2355" spans="8:34" ht="12.75">
      <c r="H2355" s="43"/>
      <c r="AG2355" s="49" t="str">
        <f ca="1">IFERROR(__xludf.DUMMYFUNCTION("IFNA(vlookup(H2355,IMPORTRANGE(""1vUGwO1n0QQGx9kKbO0_M5gmuhXZ6-LaxQxgrmJnzgP0"",""'TP# look up'!A:C""),3,0),"""")"),"")</f>
        <v/>
      </c>
      <c r="AH2355" s="49" t="str">
        <f t="shared" si="36"/>
        <v/>
      </c>
    </row>
    <row r="2356" spans="8:34" ht="12.75">
      <c r="H2356" s="43"/>
      <c r="AG2356" s="49" t="str">
        <f ca="1">IFERROR(__xludf.DUMMYFUNCTION("IFNA(vlookup(H2356,IMPORTRANGE(""1vUGwO1n0QQGx9kKbO0_M5gmuhXZ6-LaxQxgrmJnzgP0"",""'TP# look up'!A:C""),3,0),"""")"),"")</f>
        <v/>
      </c>
      <c r="AH2356" s="49" t="str">
        <f t="shared" si="36"/>
        <v/>
      </c>
    </row>
    <row r="2357" spans="8:34" ht="12.75">
      <c r="H2357" s="43"/>
      <c r="AG2357" s="49" t="str">
        <f ca="1">IFERROR(__xludf.DUMMYFUNCTION("IFNA(vlookup(H2357,IMPORTRANGE(""1vUGwO1n0QQGx9kKbO0_M5gmuhXZ6-LaxQxgrmJnzgP0"",""'TP# look up'!A:C""),3,0),"""")"),"")</f>
        <v/>
      </c>
      <c r="AH2357" s="49" t="str">
        <f t="shared" si="36"/>
        <v/>
      </c>
    </row>
    <row r="2358" spans="8:34" ht="12.75">
      <c r="H2358" s="43"/>
      <c r="AG2358" s="49" t="str">
        <f ca="1">IFERROR(__xludf.DUMMYFUNCTION("IFNA(vlookup(H2358,IMPORTRANGE(""1vUGwO1n0QQGx9kKbO0_M5gmuhXZ6-LaxQxgrmJnzgP0"",""'TP# look up'!A:C""),3,0),"""")"),"")</f>
        <v/>
      </c>
      <c r="AH2358" s="49" t="str">
        <f t="shared" si="36"/>
        <v/>
      </c>
    </row>
    <row r="2359" spans="8:34" ht="12.75">
      <c r="H2359" s="43"/>
      <c r="AG2359" s="49" t="str">
        <f ca="1">IFERROR(__xludf.DUMMYFUNCTION("IFNA(vlookup(H2359,IMPORTRANGE(""1vUGwO1n0QQGx9kKbO0_M5gmuhXZ6-LaxQxgrmJnzgP0"",""'TP# look up'!A:C""),3,0),"""")"),"")</f>
        <v/>
      </c>
      <c r="AH2359" s="49" t="str">
        <f t="shared" si="36"/>
        <v/>
      </c>
    </row>
    <row r="2360" spans="8:34" ht="12.75">
      <c r="H2360" s="43"/>
      <c r="AG2360" s="49" t="str">
        <f ca="1">IFERROR(__xludf.DUMMYFUNCTION("IFNA(vlookup(H2360,IMPORTRANGE(""1vUGwO1n0QQGx9kKbO0_M5gmuhXZ6-LaxQxgrmJnzgP0"",""'TP# look up'!A:C""),3,0),"""")"),"")</f>
        <v/>
      </c>
      <c r="AH2360" s="49" t="str">
        <f t="shared" si="36"/>
        <v/>
      </c>
    </row>
    <row r="2361" spans="8:34" ht="12.75">
      <c r="H2361" s="43"/>
      <c r="AG2361" s="49" t="str">
        <f ca="1">IFERROR(__xludf.DUMMYFUNCTION("IFNA(vlookup(H2361,IMPORTRANGE(""1vUGwO1n0QQGx9kKbO0_M5gmuhXZ6-LaxQxgrmJnzgP0"",""'TP# look up'!A:C""),3,0),"""")"),"")</f>
        <v/>
      </c>
      <c r="AH2361" s="49" t="str">
        <f t="shared" si="36"/>
        <v/>
      </c>
    </row>
    <row r="2362" spans="8:34" ht="12.75">
      <c r="H2362" s="43"/>
      <c r="AG2362" s="49" t="str">
        <f ca="1">IFERROR(__xludf.DUMMYFUNCTION("IFNA(vlookup(H2362,IMPORTRANGE(""1vUGwO1n0QQGx9kKbO0_M5gmuhXZ6-LaxQxgrmJnzgP0"",""'TP# look up'!A:C""),3,0),"""")"),"")</f>
        <v/>
      </c>
      <c r="AH2362" s="49" t="str">
        <f t="shared" si="36"/>
        <v/>
      </c>
    </row>
    <row r="2363" spans="8:34" ht="12.75">
      <c r="H2363" s="43"/>
      <c r="AG2363" s="49" t="str">
        <f ca="1">IFERROR(__xludf.DUMMYFUNCTION("IFNA(vlookup(H2363,IMPORTRANGE(""1vUGwO1n0QQGx9kKbO0_M5gmuhXZ6-LaxQxgrmJnzgP0"",""'TP# look up'!A:C""),3,0),"""")"),"")</f>
        <v/>
      </c>
      <c r="AH2363" s="49" t="str">
        <f t="shared" si="36"/>
        <v/>
      </c>
    </row>
    <row r="2364" spans="8:34" ht="12.75">
      <c r="H2364" s="43"/>
      <c r="AG2364" s="49" t="str">
        <f ca="1">IFERROR(__xludf.DUMMYFUNCTION("IFNA(vlookup(H2364,IMPORTRANGE(""1vUGwO1n0QQGx9kKbO0_M5gmuhXZ6-LaxQxgrmJnzgP0"",""'TP# look up'!A:C""),3,0),"""")"),"")</f>
        <v/>
      </c>
      <c r="AH2364" s="49" t="str">
        <f t="shared" si="36"/>
        <v/>
      </c>
    </row>
    <row r="2365" spans="8:34" ht="12.75">
      <c r="H2365" s="43"/>
      <c r="AG2365" s="49" t="str">
        <f ca="1">IFERROR(__xludf.DUMMYFUNCTION("IFNA(vlookup(H2365,IMPORTRANGE(""1vUGwO1n0QQGx9kKbO0_M5gmuhXZ6-LaxQxgrmJnzgP0"",""'TP# look up'!A:C""),3,0),"""")"),"")</f>
        <v/>
      </c>
      <c r="AH2365" s="49" t="str">
        <f t="shared" si="36"/>
        <v/>
      </c>
    </row>
    <row r="2366" spans="8:34" ht="12.75">
      <c r="H2366" s="43"/>
      <c r="AG2366" s="49" t="str">
        <f ca="1">IFERROR(__xludf.DUMMYFUNCTION("IFNA(vlookup(H2366,IMPORTRANGE(""1vUGwO1n0QQGx9kKbO0_M5gmuhXZ6-LaxQxgrmJnzgP0"",""'TP# look up'!A:C""),3,0),"""")"),"")</f>
        <v/>
      </c>
      <c r="AH2366" s="49" t="str">
        <f t="shared" si="36"/>
        <v/>
      </c>
    </row>
    <row r="2367" spans="8:34" ht="12.75">
      <c r="H2367" s="43"/>
      <c r="AG2367" s="49" t="str">
        <f ca="1">IFERROR(__xludf.DUMMYFUNCTION("IFNA(vlookup(H2367,IMPORTRANGE(""1vUGwO1n0QQGx9kKbO0_M5gmuhXZ6-LaxQxgrmJnzgP0"",""'TP# look up'!A:C""),3,0),"""")"),"")</f>
        <v/>
      </c>
      <c r="AH2367" s="49" t="str">
        <f t="shared" si="36"/>
        <v/>
      </c>
    </row>
    <row r="2368" spans="8:34" ht="12.75">
      <c r="H2368" s="43"/>
      <c r="AG2368" s="49" t="str">
        <f ca="1">IFERROR(__xludf.DUMMYFUNCTION("IFNA(vlookup(H2368,IMPORTRANGE(""1vUGwO1n0QQGx9kKbO0_M5gmuhXZ6-LaxQxgrmJnzgP0"",""'TP# look up'!A:C""),3,0),"""")"),"")</f>
        <v/>
      </c>
      <c r="AH2368" s="49" t="str">
        <f t="shared" si="36"/>
        <v/>
      </c>
    </row>
    <row r="2369" spans="8:34" ht="12.75">
      <c r="H2369" s="43"/>
      <c r="AG2369" s="49" t="str">
        <f ca="1">IFERROR(__xludf.DUMMYFUNCTION("IFNA(vlookup(H2369,IMPORTRANGE(""1vUGwO1n0QQGx9kKbO0_M5gmuhXZ6-LaxQxgrmJnzgP0"",""'TP# look up'!A:C""),3,0),"""")"),"")</f>
        <v/>
      </c>
      <c r="AH2369" s="49" t="str">
        <f t="shared" si="36"/>
        <v/>
      </c>
    </row>
    <row r="2370" spans="8:34" ht="12.75">
      <c r="H2370" s="43"/>
      <c r="AG2370" s="49" t="str">
        <f ca="1">IFERROR(__xludf.DUMMYFUNCTION("IFNA(vlookup(H2370,IMPORTRANGE(""1vUGwO1n0QQGx9kKbO0_M5gmuhXZ6-LaxQxgrmJnzgP0"",""'TP# look up'!A:C""),3,0),"""")"),"")</f>
        <v/>
      </c>
      <c r="AH2370" s="49" t="str">
        <f t="shared" ref="AH2370:AH2433" si="37">LEFT(J2370,2)</f>
        <v/>
      </c>
    </row>
    <row r="2371" spans="8:34" ht="12.75">
      <c r="H2371" s="43"/>
      <c r="AG2371" s="49" t="str">
        <f ca="1">IFERROR(__xludf.DUMMYFUNCTION("IFNA(vlookup(H2371,IMPORTRANGE(""1vUGwO1n0QQGx9kKbO0_M5gmuhXZ6-LaxQxgrmJnzgP0"",""'TP# look up'!A:C""),3,0),"""")"),"")</f>
        <v/>
      </c>
      <c r="AH2371" s="49" t="str">
        <f t="shared" si="37"/>
        <v/>
      </c>
    </row>
    <row r="2372" spans="8:34" ht="12.75">
      <c r="H2372" s="43"/>
      <c r="AG2372" s="49" t="str">
        <f ca="1">IFERROR(__xludf.DUMMYFUNCTION("IFNA(vlookup(H2372,IMPORTRANGE(""1vUGwO1n0QQGx9kKbO0_M5gmuhXZ6-LaxQxgrmJnzgP0"",""'TP# look up'!A:C""),3,0),"""")"),"")</f>
        <v/>
      </c>
      <c r="AH2372" s="49" t="str">
        <f t="shared" si="37"/>
        <v/>
      </c>
    </row>
    <row r="2373" spans="8:34" ht="12.75">
      <c r="H2373" s="43"/>
      <c r="AG2373" s="49" t="str">
        <f ca="1">IFERROR(__xludf.DUMMYFUNCTION("IFNA(vlookup(H2373,IMPORTRANGE(""1vUGwO1n0QQGx9kKbO0_M5gmuhXZ6-LaxQxgrmJnzgP0"",""'TP# look up'!A:C""),3,0),"""")"),"")</f>
        <v/>
      </c>
      <c r="AH2373" s="49" t="str">
        <f t="shared" si="37"/>
        <v/>
      </c>
    </row>
    <row r="2374" spans="8:34" ht="12.75">
      <c r="H2374" s="43"/>
      <c r="AG2374" s="49" t="str">
        <f ca="1">IFERROR(__xludf.DUMMYFUNCTION("IFNA(vlookup(H2374,IMPORTRANGE(""1vUGwO1n0QQGx9kKbO0_M5gmuhXZ6-LaxQxgrmJnzgP0"",""'TP# look up'!A:C""),3,0),"""")"),"")</f>
        <v/>
      </c>
      <c r="AH2374" s="49" t="str">
        <f t="shared" si="37"/>
        <v/>
      </c>
    </row>
    <row r="2375" spans="8:34" ht="12.75">
      <c r="H2375" s="43"/>
      <c r="AG2375" s="49" t="str">
        <f ca="1">IFERROR(__xludf.DUMMYFUNCTION("IFNA(vlookup(H2375,IMPORTRANGE(""1vUGwO1n0QQGx9kKbO0_M5gmuhXZ6-LaxQxgrmJnzgP0"",""'TP# look up'!A:C""),3,0),"""")"),"")</f>
        <v/>
      </c>
      <c r="AH2375" s="49" t="str">
        <f t="shared" si="37"/>
        <v/>
      </c>
    </row>
    <row r="2376" spans="8:34" ht="12.75">
      <c r="H2376" s="43"/>
      <c r="AG2376" s="49" t="str">
        <f ca="1">IFERROR(__xludf.DUMMYFUNCTION("IFNA(vlookup(H2376,IMPORTRANGE(""1vUGwO1n0QQGx9kKbO0_M5gmuhXZ6-LaxQxgrmJnzgP0"",""'TP# look up'!A:C""),3,0),"""")"),"")</f>
        <v/>
      </c>
      <c r="AH2376" s="49" t="str">
        <f t="shared" si="37"/>
        <v/>
      </c>
    </row>
    <row r="2377" spans="8:34" ht="12.75">
      <c r="H2377" s="43"/>
      <c r="AG2377" s="49" t="str">
        <f ca="1">IFERROR(__xludf.DUMMYFUNCTION("IFNA(vlookup(H2377,IMPORTRANGE(""1vUGwO1n0QQGx9kKbO0_M5gmuhXZ6-LaxQxgrmJnzgP0"",""'TP# look up'!A:C""),3,0),"""")"),"")</f>
        <v/>
      </c>
      <c r="AH2377" s="49" t="str">
        <f t="shared" si="37"/>
        <v/>
      </c>
    </row>
    <row r="2378" spans="8:34" ht="12.75">
      <c r="H2378" s="43"/>
      <c r="AG2378" s="49" t="str">
        <f ca="1">IFERROR(__xludf.DUMMYFUNCTION("IFNA(vlookup(H2378,IMPORTRANGE(""1vUGwO1n0QQGx9kKbO0_M5gmuhXZ6-LaxQxgrmJnzgP0"",""'TP# look up'!A:C""),3,0),"""")"),"")</f>
        <v/>
      </c>
      <c r="AH2378" s="49" t="str">
        <f t="shared" si="37"/>
        <v/>
      </c>
    </row>
    <row r="2379" spans="8:34" ht="12.75">
      <c r="H2379" s="43"/>
      <c r="AG2379" s="49" t="str">
        <f ca="1">IFERROR(__xludf.DUMMYFUNCTION("IFNA(vlookup(H2379,IMPORTRANGE(""1vUGwO1n0QQGx9kKbO0_M5gmuhXZ6-LaxQxgrmJnzgP0"",""'TP# look up'!A:C""),3,0),"""")"),"")</f>
        <v/>
      </c>
      <c r="AH2379" s="49" t="str">
        <f t="shared" si="37"/>
        <v/>
      </c>
    </row>
    <row r="2380" spans="8:34" ht="12.75">
      <c r="H2380" s="43"/>
      <c r="AG2380" s="49" t="str">
        <f ca="1">IFERROR(__xludf.DUMMYFUNCTION("IFNA(vlookup(H2380,IMPORTRANGE(""1vUGwO1n0QQGx9kKbO0_M5gmuhXZ6-LaxQxgrmJnzgP0"",""'TP# look up'!A:C""),3,0),"""")"),"")</f>
        <v/>
      </c>
      <c r="AH2380" s="49" t="str">
        <f t="shared" si="37"/>
        <v/>
      </c>
    </row>
    <row r="2381" spans="8:34" ht="12.75">
      <c r="H2381" s="43"/>
      <c r="AG2381" s="49" t="str">
        <f ca="1">IFERROR(__xludf.DUMMYFUNCTION("IFNA(vlookup(H2381,IMPORTRANGE(""1vUGwO1n0QQGx9kKbO0_M5gmuhXZ6-LaxQxgrmJnzgP0"",""'TP# look up'!A:C""),3,0),"""")"),"")</f>
        <v/>
      </c>
      <c r="AH2381" s="49" t="str">
        <f t="shared" si="37"/>
        <v/>
      </c>
    </row>
    <row r="2382" spans="8:34" ht="12.75">
      <c r="H2382" s="43"/>
      <c r="AG2382" s="49" t="str">
        <f ca="1">IFERROR(__xludf.DUMMYFUNCTION("IFNA(vlookup(H2382,IMPORTRANGE(""1vUGwO1n0QQGx9kKbO0_M5gmuhXZ6-LaxQxgrmJnzgP0"",""'TP# look up'!A:C""),3,0),"""")"),"")</f>
        <v/>
      </c>
      <c r="AH2382" s="49" t="str">
        <f t="shared" si="37"/>
        <v/>
      </c>
    </row>
    <row r="2383" spans="8:34" ht="12.75">
      <c r="H2383" s="43"/>
      <c r="AG2383" s="49" t="str">
        <f ca="1">IFERROR(__xludf.DUMMYFUNCTION("IFNA(vlookup(H2383,IMPORTRANGE(""1vUGwO1n0QQGx9kKbO0_M5gmuhXZ6-LaxQxgrmJnzgP0"",""'TP# look up'!A:C""),3,0),"""")"),"")</f>
        <v/>
      </c>
      <c r="AH2383" s="49" t="str">
        <f t="shared" si="37"/>
        <v/>
      </c>
    </row>
    <row r="2384" spans="8:34" ht="12.75">
      <c r="H2384" s="43"/>
      <c r="AG2384" s="49" t="str">
        <f ca="1">IFERROR(__xludf.DUMMYFUNCTION("IFNA(vlookup(H2384,IMPORTRANGE(""1vUGwO1n0QQGx9kKbO0_M5gmuhXZ6-LaxQxgrmJnzgP0"",""'TP# look up'!A:C""),3,0),"""")"),"")</f>
        <v/>
      </c>
      <c r="AH2384" s="49" t="str">
        <f t="shared" si="37"/>
        <v/>
      </c>
    </row>
    <row r="2385" spans="8:34" ht="12.75">
      <c r="H2385" s="43"/>
      <c r="AG2385" s="49" t="str">
        <f ca="1">IFERROR(__xludf.DUMMYFUNCTION("IFNA(vlookup(H2385,IMPORTRANGE(""1vUGwO1n0QQGx9kKbO0_M5gmuhXZ6-LaxQxgrmJnzgP0"",""'TP# look up'!A:C""),3,0),"""")"),"")</f>
        <v/>
      </c>
      <c r="AH2385" s="49" t="str">
        <f t="shared" si="37"/>
        <v/>
      </c>
    </row>
    <row r="2386" spans="8:34" ht="12.75">
      <c r="H2386" s="43"/>
      <c r="AG2386" s="49" t="str">
        <f ca="1">IFERROR(__xludf.DUMMYFUNCTION("IFNA(vlookup(H2386,IMPORTRANGE(""1vUGwO1n0QQGx9kKbO0_M5gmuhXZ6-LaxQxgrmJnzgP0"",""'TP# look up'!A:C""),3,0),"""")"),"")</f>
        <v/>
      </c>
      <c r="AH2386" s="49" t="str">
        <f t="shared" si="37"/>
        <v/>
      </c>
    </row>
    <row r="2387" spans="8:34" ht="12.75">
      <c r="H2387" s="43"/>
      <c r="AG2387" s="49" t="str">
        <f ca="1">IFERROR(__xludf.DUMMYFUNCTION("IFNA(vlookup(H2387,IMPORTRANGE(""1vUGwO1n0QQGx9kKbO0_M5gmuhXZ6-LaxQxgrmJnzgP0"",""'TP# look up'!A:C""),3,0),"""")"),"")</f>
        <v/>
      </c>
      <c r="AH2387" s="49" t="str">
        <f t="shared" si="37"/>
        <v/>
      </c>
    </row>
    <row r="2388" spans="8:34" ht="12.75">
      <c r="H2388" s="43"/>
      <c r="AG2388" s="49" t="str">
        <f ca="1">IFERROR(__xludf.DUMMYFUNCTION("IFNA(vlookup(H2388,IMPORTRANGE(""1vUGwO1n0QQGx9kKbO0_M5gmuhXZ6-LaxQxgrmJnzgP0"",""'TP# look up'!A:C""),3,0),"""")"),"")</f>
        <v/>
      </c>
      <c r="AH2388" s="49" t="str">
        <f t="shared" si="37"/>
        <v/>
      </c>
    </row>
    <row r="2389" spans="8:34" ht="12.75">
      <c r="H2389" s="43"/>
      <c r="AG2389" s="49" t="str">
        <f ca="1">IFERROR(__xludf.DUMMYFUNCTION("IFNA(vlookup(H2389,IMPORTRANGE(""1vUGwO1n0QQGx9kKbO0_M5gmuhXZ6-LaxQxgrmJnzgP0"",""'TP# look up'!A:C""),3,0),"""")"),"")</f>
        <v/>
      </c>
      <c r="AH2389" s="49" t="str">
        <f t="shared" si="37"/>
        <v/>
      </c>
    </row>
    <row r="2390" spans="8:34" ht="12.75">
      <c r="H2390" s="43"/>
      <c r="AG2390" s="49" t="str">
        <f ca="1">IFERROR(__xludf.DUMMYFUNCTION("IFNA(vlookup(H2390,IMPORTRANGE(""1vUGwO1n0QQGx9kKbO0_M5gmuhXZ6-LaxQxgrmJnzgP0"",""'TP# look up'!A:C""),3,0),"""")"),"")</f>
        <v/>
      </c>
      <c r="AH2390" s="49" t="str">
        <f t="shared" si="37"/>
        <v/>
      </c>
    </row>
    <row r="2391" spans="8:34" ht="12.75">
      <c r="H2391" s="43"/>
      <c r="AG2391" s="49" t="str">
        <f ca="1">IFERROR(__xludf.DUMMYFUNCTION("IFNA(vlookup(H2391,IMPORTRANGE(""1vUGwO1n0QQGx9kKbO0_M5gmuhXZ6-LaxQxgrmJnzgP0"",""'TP# look up'!A:C""),3,0),"""")"),"")</f>
        <v/>
      </c>
      <c r="AH2391" s="49" t="str">
        <f t="shared" si="37"/>
        <v/>
      </c>
    </row>
    <row r="2392" spans="8:34" ht="12.75">
      <c r="H2392" s="43"/>
      <c r="AG2392" s="49" t="str">
        <f ca="1">IFERROR(__xludf.DUMMYFUNCTION("IFNA(vlookup(H2392,IMPORTRANGE(""1vUGwO1n0QQGx9kKbO0_M5gmuhXZ6-LaxQxgrmJnzgP0"",""'TP# look up'!A:C""),3,0),"""")"),"")</f>
        <v/>
      </c>
      <c r="AH2392" s="49" t="str">
        <f t="shared" si="37"/>
        <v/>
      </c>
    </row>
    <row r="2393" spans="8:34" ht="12.75">
      <c r="H2393" s="43"/>
      <c r="AG2393" s="49" t="str">
        <f ca="1">IFERROR(__xludf.DUMMYFUNCTION("IFNA(vlookup(H2393,IMPORTRANGE(""1vUGwO1n0QQGx9kKbO0_M5gmuhXZ6-LaxQxgrmJnzgP0"",""'TP# look up'!A:C""),3,0),"""")"),"")</f>
        <v/>
      </c>
      <c r="AH2393" s="49" t="str">
        <f t="shared" si="37"/>
        <v/>
      </c>
    </row>
    <row r="2394" spans="8:34" ht="12.75">
      <c r="H2394" s="43"/>
      <c r="AG2394" s="49" t="str">
        <f ca="1">IFERROR(__xludf.DUMMYFUNCTION("IFNA(vlookup(H2394,IMPORTRANGE(""1vUGwO1n0QQGx9kKbO0_M5gmuhXZ6-LaxQxgrmJnzgP0"",""'TP# look up'!A:C""),3,0),"""")"),"")</f>
        <v/>
      </c>
      <c r="AH2394" s="49" t="str">
        <f t="shared" si="37"/>
        <v/>
      </c>
    </row>
    <row r="2395" spans="8:34" ht="12.75">
      <c r="H2395" s="43"/>
      <c r="AG2395" s="49" t="str">
        <f ca="1">IFERROR(__xludf.DUMMYFUNCTION("IFNA(vlookup(H2395,IMPORTRANGE(""1vUGwO1n0QQGx9kKbO0_M5gmuhXZ6-LaxQxgrmJnzgP0"",""'TP# look up'!A:C""),3,0),"""")"),"")</f>
        <v/>
      </c>
      <c r="AH2395" s="49" t="str">
        <f t="shared" si="37"/>
        <v/>
      </c>
    </row>
    <row r="2396" spans="8:34" ht="12.75">
      <c r="H2396" s="43"/>
      <c r="AG2396" s="49" t="str">
        <f ca="1">IFERROR(__xludf.DUMMYFUNCTION("IFNA(vlookup(H2396,IMPORTRANGE(""1vUGwO1n0QQGx9kKbO0_M5gmuhXZ6-LaxQxgrmJnzgP0"",""'TP# look up'!A:C""),3,0),"""")"),"")</f>
        <v/>
      </c>
      <c r="AH2396" s="49" t="str">
        <f t="shared" si="37"/>
        <v/>
      </c>
    </row>
    <row r="2397" spans="8:34" ht="12.75">
      <c r="H2397" s="43"/>
      <c r="AG2397" s="49" t="str">
        <f ca="1">IFERROR(__xludf.DUMMYFUNCTION("IFNA(vlookup(H2397,IMPORTRANGE(""1vUGwO1n0QQGx9kKbO0_M5gmuhXZ6-LaxQxgrmJnzgP0"",""'TP# look up'!A:C""),3,0),"""")"),"")</f>
        <v/>
      </c>
      <c r="AH2397" s="49" t="str">
        <f t="shared" si="37"/>
        <v/>
      </c>
    </row>
    <row r="2398" spans="8:34" ht="12.75">
      <c r="H2398" s="43"/>
      <c r="AG2398" s="49" t="str">
        <f ca="1">IFERROR(__xludf.DUMMYFUNCTION("IFNA(vlookup(H2398,IMPORTRANGE(""1vUGwO1n0QQGx9kKbO0_M5gmuhXZ6-LaxQxgrmJnzgP0"",""'TP# look up'!A:C""),3,0),"""")"),"")</f>
        <v/>
      </c>
      <c r="AH2398" s="49" t="str">
        <f t="shared" si="37"/>
        <v/>
      </c>
    </row>
    <row r="2399" spans="8:34" ht="12.75">
      <c r="H2399" s="43"/>
      <c r="AG2399" s="49" t="str">
        <f ca="1">IFERROR(__xludf.DUMMYFUNCTION("IFNA(vlookup(H2399,IMPORTRANGE(""1vUGwO1n0QQGx9kKbO0_M5gmuhXZ6-LaxQxgrmJnzgP0"",""'TP# look up'!A:C""),3,0),"""")"),"")</f>
        <v/>
      </c>
      <c r="AH2399" s="49" t="str">
        <f t="shared" si="37"/>
        <v/>
      </c>
    </row>
    <row r="2400" spans="8:34" ht="12.75">
      <c r="H2400" s="43"/>
      <c r="AG2400" s="49" t="str">
        <f ca="1">IFERROR(__xludf.DUMMYFUNCTION("IFNA(vlookup(H2400,IMPORTRANGE(""1vUGwO1n0QQGx9kKbO0_M5gmuhXZ6-LaxQxgrmJnzgP0"",""'TP# look up'!A:C""),3,0),"""")"),"")</f>
        <v/>
      </c>
      <c r="AH2400" s="49" t="str">
        <f t="shared" si="37"/>
        <v/>
      </c>
    </row>
    <row r="2401" spans="8:34" ht="12.75">
      <c r="H2401" s="43"/>
      <c r="AG2401" s="49" t="str">
        <f ca="1">IFERROR(__xludf.DUMMYFUNCTION("IFNA(vlookup(H2401,IMPORTRANGE(""1vUGwO1n0QQGx9kKbO0_M5gmuhXZ6-LaxQxgrmJnzgP0"",""'TP# look up'!A:C""),3,0),"""")"),"")</f>
        <v/>
      </c>
      <c r="AH2401" s="49" t="str">
        <f t="shared" si="37"/>
        <v/>
      </c>
    </row>
    <row r="2402" spans="8:34" ht="12.75">
      <c r="H2402" s="43"/>
      <c r="AG2402" s="49" t="str">
        <f ca="1">IFERROR(__xludf.DUMMYFUNCTION("IFNA(vlookup(H2402,IMPORTRANGE(""1vUGwO1n0QQGx9kKbO0_M5gmuhXZ6-LaxQxgrmJnzgP0"",""'TP# look up'!A:C""),3,0),"""")"),"")</f>
        <v/>
      </c>
      <c r="AH2402" s="49" t="str">
        <f t="shared" si="37"/>
        <v/>
      </c>
    </row>
    <row r="2403" spans="8:34" ht="12.75">
      <c r="H2403" s="43"/>
      <c r="AG2403" s="49" t="str">
        <f ca="1">IFERROR(__xludf.DUMMYFUNCTION("IFNA(vlookup(H2403,IMPORTRANGE(""1vUGwO1n0QQGx9kKbO0_M5gmuhXZ6-LaxQxgrmJnzgP0"",""'TP# look up'!A:C""),3,0),"""")"),"")</f>
        <v/>
      </c>
      <c r="AH2403" s="49" t="str">
        <f t="shared" si="37"/>
        <v/>
      </c>
    </row>
    <row r="2404" spans="8:34" ht="12.75">
      <c r="H2404" s="43"/>
      <c r="AG2404" s="49" t="str">
        <f ca="1">IFERROR(__xludf.DUMMYFUNCTION("IFNA(vlookup(H2404,IMPORTRANGE(""1vUGwO1n0QQGx9kKbO0_M5gmuhXZ6-LaxQxgrmJnzgP0"",""'TP# look up'!A:C""),3,0),"""")"),"")</f>
        <v/>
      </c>
      <c r="AH2404" s="49" t="str">
        <f t="shared" si="37"/>
        <v/>
      </c>
    </row>
    <row r="2405" spans="8:34" ht="12.75">
      <c r="H2405" s="43"/>
      <c r="AG2405" s="49" t="str">
        <f ca="1">IFERROR(__xludf.DUMMYFUNCTION("IFNA(vlookup(H2405,IMPORTRANGE(""1vUGwO1n0QQGx9kKbO0_M5gmuhXZ6-LaxQxgrmJnzgP0"",""'TP# look up'!A:C""),3,0),"""")"),"")</f>
        <v/>
      </c>
      <c r="AH2405" s="49" t="str">
        <f t="shared" si="37"/>
        <v/>
      </c>
    </row>
    <row r="2406" spans="8:34" ht="12.75">
      <c r="H2406" s="43"/>
      <c r="AG2406" s="49" t="str">
        <f ca="1">IFERROR(__xludf.DUMMYFUNCTION("IFNA(vlookup(H2406,IMPORTRANGE(""1vUGwO1n0QQGx9kKbO0_M5gmuhXZ6-LaxQxgrmJnzgP0"",""'TP# look up'!A:C""),3,0),"""")"),"")</f>
        <v/>
      </c>
      <c r="AH2406" s="49" t="str">
        <f t="shared" si="37"/>
        <v/>
      </c>
    </row>
    <row r="2407" spans="8:34" ht="12.75">
      <c r="H2407" s="43"/>
      <c r="AG2407" s="49" t="str">
        <f ca="1">IFERROR(__xludf.DUMMYFUNCTION("IFNA(vlookup(H2407,IMPORTRANGE(""1vUGwO1n0QQGx9kKbO0_M5gmuhXZ6-LaxQxgrmJnzgP0"",""'TP# look up'!A:C""),3,0),"""")"),"")</f>
        <v/>
      </c>
      <c r="AH2407" s="49" t="str">
        <f t="shared" si="37"/>
        <v/>
      </c>
    </row>
    <row r="2408" spans="8:34" ht="12.75">
      <c r="H2408" s="43"/>
      <c r="AG2408" s="49" t="str">
        <f ca="1">IFERROR(__xludf.DUMMYFUNCTION("IFNA(vlookup(H2408,IMPORTRANGE(""1vUGwO1n0QQGx9kKbO0_M5gmuhXZ6-LaxQxgrmJnzgP0"",""'TP# look up'!A:C""),3,0),"""")"),"")</f>
        <v/>
      </c>
      <c r="AH2408" s="49" t="str">
        <f t="shared" si="37"/>
        <v/>
      </c>
    </row>
    <row r="2409" spans="8:34" ht="12.75">
      <c r="H2409" s="43"/>
      <c r="AG2409" s="49" t="str">
        <f ca="1">IFERROR(__xludf.DUMMYFUNCTION("IFNA(vlookup(H2409,IMPORTRANGE(""1vUGwO1n0QQGx9kKbO0_M5gmuhXZ6-LaxQxgrmJnzgP0"",""'TP# look up'!A:C""),3,0),"""")"),"")</f>
        <v/>
      </c>
      <c r="AH2409" s="49" t="str">
        <f t="shared" si="37"/>
        <v/>
      </c>
    </row>
    <row r="2410" spans="8:34" ht="12.75">
      <c r="H2410" s="43"/>
      <c r="AG2410" s="49" t="str">
        <f ca="1">IFERROR(__xludf.DUMMYFUNCTION("IFNA(vlookup(H2410,IMPORTRANGE(""1vUGwO1n0QQGx9kKbO0_M5gmuhXZ6-LaxQxgrmJnzgP0"",""'TP# look up'!A:C""),3,0),"""")"),"")</f>
        <v/>
      </c>
      <c r="AH2410" s="49" t="str">
        <f t="shared" si="37"/>
        <v/>
      </c>
    </row>
    <row r="2411" spans="8:34" ht="12.75">
      <c r="H2411" s="43"/>
      <c r="AG2411" s="49" t="str">
        <f ca="1">IFERROR(__xludf.DUMMYFUNCTION("IFNA(vlookup(H2411,IMPORTRANGE(""1vUGwO1n0QQGx9kKbO0_M5gmuhXZ6-LaxQxgrmJnzgP0"",""'TP# look up'!A:C""),3,0),"""")"),"")</f>
        <v/>
      </c>
      <c r="AH2411" s="49" t="str">
        <f t="shared" si="37"/>
        <v/>
      </c>
    </row>
    <row r="2412" spans="8:34" ht="12.75">
      <c r="H2412" s="43"/>
      <c r="AG2412" s="49" t="str">
        <f ca="1">IFERROR(__xludf.DUMMYFUNCTION("IFNA(vlookup(H2412,IMPORTRANGE(""1vUGwO1n0QQGx9kKbO0_M5gmuhXZ6-LaxQxgrmJnzgP0"",""'TP# look up'!A:C""),3,0),"""")"),"")</f>
        <v/>
      </c>
      <c r="AH2412" s="49" t="str">
        <f t="shared" si="37"/>
        <v/>
      </c>
    </row>
    <row r="2413" spans="8:34" ht="12.75">
      <c r="H2413" s="43"/>
      <c r="AG2413" s="49" t="str">
        <f ca="1">IFERROR(__xludf.DUMMYFUNCTION("IFNA(vlookup(H2413,IMPORTRANGE(""1vUGwO1n0QQGx9kKbO0_M5gmuhXZ6-LaxQxgrmJnzgP0"",""'TP# look up'!A:C""),3,0),"""")"),"")</f>
        <v/>
      </c>
      <c r="AH2413" s="49" t="str">
        <f t="shared" si="37"/>
        <v/>
      </c>
    </row>
    <row r="2414" spans="8:34" ht="12.75">
      <c r="H2414" s="43"/>
      <c r="AG2414" s="49" t="str">
        <f ca="1">IFERROR(__xludf.DUMMYFUNCTION("IFNA(vlookup(H2414,IMPORTRANGE(""1vUGwO1n0QQGx9kKbO0_M5gmuhXZ6-LaxQxgrmJnzgP0"",""'TP# look up'!A:C""),3,0),"""")"),"")</f>
        <v/>
      </c>
      <c r="AH2414" s="49" t="str">
        <f t="shared" si="37"/>
        <v/>
      </c>
    </row>
    <row r="2415" spans="8:34" ht="12.75">
      <c r="H2415" s="43"/>
      <c r="AG2415" s="49" t="str">
        <f ca="1">IFERROR(__xludf.DUMMYFUNCTION("IFNA(vlookup(H2415,IMPORTRANGE(""1vUGwO1n0QQGx9kKbO0_M5gmuhXZ6-LaxQxgrmJnzgP0"",""'TP# look up'!A:C""),3,0),"""")"),"")</f>
        <v/>
      </c>
      <c r="AH2415" s="49" t="str">
        <f t="shared" si="37"/>
        <v/>
      </c>
    </row>
    <row r="2416" spans="8:34" ht="12.75">
      <c r="H2416" s="43"/>
      <c r="AG2416" s="49" t="str">
        <f ca="1">IFERROR(__xludf.DUMMYFUNCTION("IFNA(vlookup(H2416,IMPORTRANGE(""1vUGwO1n0QQGx9kKbO0_M5gmuhXZ6-LaxQxgrmJnzgP0"",""'TP# look up'!A:C""),3,0),"""")"),"")</f>
        <v/>
      </c>
      <c r="AH2416" s="49" t="str">
        <f t="shared" si="37"/>
        <v/>
      </c>
    </row>
    <row r="2417" spans="8:34" ht="12.75">
      <c r="H2417" s="43"/>
      <c r="AG2417" s="49" t="str">
        <f ca="1">IFERROR(__xludf.DUMMYFUNCTION("IFNA(vlookup(H2417,IMPORTRANGE(""1vUGwO1n0QQGx9kKbO0_M5gmuhXZ6-LaxQxgrmJnzgP0"",""'TP# look up'!A:C""),3,0),"""")"),"")</f>
        <v/>
      </c>
      <c r="AH2417" s="49" t="str">
        <f t="shared" si="37"/>
        <v/>
      </c>
    </row>
    <row r="2418" spans="8:34" ht="12.75">
      <c r="H2418" s="43"/>
      <c r="AG2418" s="49" t="str">
        <f ca="1">IFERROR(__xludf.DUMMYFUNCTION("IFNA(vlookup(H2418,IMPORTRANGE(""1vUGwO1n0QQGx9kKbO0_M5gmuhXZ6-LaxQxgrmJnzgP0"",""'TP# look up'!A:C""),3,0),"""")"),"")</f>
        <v/>
      </c>
      <c r="AH2418" s="49" t="str">
        <f t="shared" si="37"/>
        <v/>
      </c>
    </row>
    <row r="2419" spans="8:34" ht="12.75">
      <c r="H2419" s="43"/>
      <c r="AG2419" s="49" t="str">
        <f ca="1">IFERROR(__xludf.DUMMYFUNCTION("IFNA(vlookup(H2419,IMPORTRANGE(""1vUGwO1n0QQGx9kKbO0_M5gmuhXZ6-LaxQxgrmJnzgP0"",""'TP# look up'!A:C""),3,0),"""")"),"")</f>
        <v/>
      </c>
      <c r="AH2419" s="49" t="str">
        <f t="shared" si="37"/>
        <v/>
      </c>
    </row>
    <row r="2420" spans="8:34" ht="12.75">
      <c r="H2420" s="43"/>
      <c r="AG2420" s="49" t="str">
        <f ca="1">IFERROR(__xludf.DUMMYFUNCTION("IFNA(vlookup(H2420,IMPORTRANGE(""1vUGwO1n0QQGx9kKbO0_M5gmuhXZ6-LaxQxgrmJnzgP0"",""'TP# look up'!A:C""),3,0),"""")"),"")</f>
        <v/>
      </c>
      <c r="AH2420" s="49" t="str">
        <f t="shared" si="37"/>
        <v/>
      </c>
    </row>
    <row r="2421" spans="8:34" ht="12.75">
      <c r="H2421" s="43"/>
      <c r="AG2421" s="49" t="str">
        <f ca="1">IFERROR(__xludf.DUMMYFUNCTION("IFNA(vlookup(H2421,IMPORTRANGE(""1vUGwO1n0QQGx9kKbO0_M5gmuhXZ6-LaxQxgrmJnzgP0"",""'TP# look up'!A:C""),3,0),"""")"),"")</f>
        <v/>
      </c>
      <c r="AH2421" s="49" t="str">
        <f t="shared" si="37"/>
        <v/>
      </c>
    </row>
    <row r="2422" spans="8:34" ht="12.75">
      <c r="H2422" s="43"/>
      <c r="AG2422" s="49" t="str">
        <f ca="1">IFERROR(__xludf.DUMMYFUNCTION("IFNA(vlookup(H2422,IMPORTRANGE(""1vUGwO1n0QQGx9kKbO0_M5gmuhXZ6-LaxQxgrmJnzgP0"",""'TP# look up'!A:C""),3,0),"""")"),"")</f>
        <v/>
      </c>
      <c r="AH2422" s="49" t="str">
        <f t="shared" si="37"/>
        <v/>
      </c>
    </row>
    <row r="2423" spans="8:34" ht="12.75">
      <c r="H2423" s="43"/>
      <c r="AG2423" s="49" t="str">
        <f ca="1">IFERROR(__xludf.DUMMYFUNCTION("IFNA(vlookup(H2423,IMPORTRANGE(""1vUGwO1n0QQGx9kKbO0_M5gmuhXZ6-LaxQxgrmJnzgP0"",""'TP# look up'!A:C""),3,0),"""")"),"")</f>
        <v/>
      </c>
      <c r="AH2423" s="49" t="str">
        <f t="shared" si="37"/>
        <v/>
      </c>
    </row>
    <row r="2424" spans="8:34" ht="12.75">
      <c r="H2424" s="43"/>
      <c r="AG2424" s="49" t="str">
        <f ca="1">IFERROR(__xludf.DUMMYFUNCTION("IFNA(vlookup(H2424,IMPORTRANGE(""1vUGwO1n0QQGx9kKbO0_M5gmuhXZ6-LaxQxgrmJnzgP0"",""'TP# look up'!A:C""),3,0),"""")"),"")</f>
        <v/>
      </c>
      <c r="AH2424" s="49" t="str">
        <f t="shared" si="37"/>
        <v/>
      </c>
    </row>
    <row r="2425" spans="8:34" ht="12.75">
      <c r="H2425" s="43"/>
      <c r="AG2425" s="49" t="str">
        <f ca="1">IFERROR(__xludf.DUMMYFUNCTION("IFNA(vlookup(H2425,IMPORTRANGE(""1vUGwO1n0QQGx9kKbO0_M5gmuhXZ6-LaxQxgrmJnzgP0"",""'TP# look up'!A:C""),3,0),"""")"),"")</f>
        <v/>
      </c>
      <c r="AH2425" s="49" t="str">
        <f t="shared" si="37"/>
        <v/>
      </c>
    </row>
    <row r="2426" spans="8:34" ht="12.75">
      <c r="H2426" s="43"/>
      <c r="AG2426" s="49" t="str">
        <f ca="1">IFERROR(__xludf.DUMMYFUNCTION("IFNA(vlookup(H2426,IMPORTRANGE(""1vUGwO1n0QQGx9kKbO0_M5gmuhXZ6-LaxQxgrmJnzgP0"",""'TP# look up'!A:C""),3,0),"""")"),"")</f>
        <v/>
      </c>
      <c r="AH2426" s="49" t="str">
        <f t="shared" si="37"/>
        <v/>
      </c>
    </row>
    <row r="2427" spans="8:34" ht="12.75">
      <c r="H2427" s="43"/>
      <c r="AG2427" s="49" t="str">
        <f ca="1">IFERROR(__xludf.DUMMYFUNCTION("IFNA(vlookup(H2427,IMPORTRANGE(""1vUGwO1n0QQGx9kKbO0_M5gmuhXZ6-LaxQxgrmJnzgP0"",""'TP# look up'!A:C""),3,0),"""")"),"")</f>
        <v/>
      </c>
      <c r="AH2427" s="49" t="str">
        <f t="shared" si="37"/>
        <v/>
      </c>
    </row>
    <row r="2428" spans="8:34" ht="12.75">
      <c r="H2428" s="43"/>
      <c r="AG2428" s="49" t="str">
        <f ca="1">IFERROR(__xludf.DUMMYFUNCTION("IFNA(vlookup(H2428,IMPORTRANGE(""1vUGwO1n0QQGx9kKbO0_M5gmuhXZ6-LaxQxgrmJnzgP0"",""'TP# look up'!A:C""),3,0),"""")"),"")</f>
        <v/>
      </c>
      <c r="AH2428" s="49" t="str">
        <f t="shared" si="37"/>
        <v/>
      </c>
    </row>
    <row r="2429" spans="8:34" ht="12.75">
      <c r="H2429" s="43"/>
      <c r="AG2429" s="49" t="str">
        <f ca="1">IFERROR(__xludf.DUMMYFUNCTION("IFNA(vlookup(H2429,IMPORTRANGE(""1vUGwO1n0QQGx9kKbO0_M5gmuhXZ6-LaxQxgrmJnzgP0"",""'TP# look up'!A:C""),3,0),"""")"),"")</f>
        <v/>
      </c>
      <c r="AH2429" s="49" t="str">
        <f t="shared" si="37"/>
        <v/>
      </c>
    </row>
    <row r="2430" spans="8:34" ht="12.75">
      <c r="H2430" s="43"/>
      <c r="AG2430" s="49" t="str">
        <f ca="1">IFERROR(__xludf.DUMMYFUNCTION("IFNA(vlookup(H2430,IMPORTRANGE(""1vUGwO1n0QQGx9kKbO0_M5gmuhXZ6-LaxQxgrmJnzgP0"",""'TP# look up'!A:C""),3,0),"""")"),"")</f>
        <v/>
      </c>
      <c r="AH2430" s="49" t="str">
        <f t="shared" si="37"/>
        <v/>
      </c>
    </row>
    <row r="2431" spans="8:34" ht="12.75">
      <c r="H2431" s="43"/>
      <c r="AG2431" s="49" t="str">
        <f ca="1">IFERROR(__xludf.DUMMYFUNCTION("IFNA(vlookup(H2431,IMPORTRANGE(""1vUGwO1n0QQGx9kKbO0_M5gmuhXZ6-LaxQxgrmJnzgP0"",""'TP# look up'!A:C""),3,0),"""")"),"")</f>
        <v/>
      </c>
      <c r="AH2431" s="49" t="str">
        <f t="shared" si="37"/>
        <v/>
      </c>
    </row>
    <row r="2432" spans="8:34" ht="12.75">
      <c r="H2432" s="43"/>
      <c r="AG2432" s="49" t="str">
        <f ca="1">IFERROR(__xludf.DUMMYFUNCTION("IFNA(vlookup(H2432,IMPORTRANGE(""1vUGwO1n0QQGx9kKbO0_M5gmuhXZ6-LaxQxgrmJnzgP0"",""'TP# look up'!A:C""),3,0),"""")"),"")</f>
        <v/>
      </c>
      <c r="AH2432" s="49" t="str">
        <f t="shared" si="37"/>
        <v/>
      </c>
    </row>
    <row r="2433" spans="8:34" ht="12.75">
      <c r="H2433" s="43"/>
      <c r="AG2433" s="49" t="str">
        <f ca="1">IFERROR(__xludf.DUMMYFUNCTION("IFNA(vlookup(H2433,IMPORTRANGE(""1vUGwO1n0QQGx9kKbO0_M5gmuhXZ6-LaxQxgrmJnzgP0"",""'TP# look up'!A:C""),3,0),"""")"),"")</f>
        <v/>
      </c>
      <c r="AH2433" s="49" t="str">
        <f t="shared" si="37"/>
        <v/>
      </c>
    </row>
    <row r="2434" spans="8:34" ht="12.75">
      <c r="H2434" s="43"/>
      <c r="AG2434" s="49" t="str">
        <f ca="1">IFERROR(__xludf.DUMMYFUNCTION("IFNA(vlookup(H2434,IMPORTRANGE(""1vUGwO1n0QQGx9kKbO0_M5gmuhXZ6-LaxQxgrmJnzgP0"",""'TP# look up'!A:C""),3,0),"""")"),"")</f>
        <v/>
      </c>
      <c r="AH2434" s="49" t="str">
        <f t="shared" ref="AH2434:AH2497" si="38">LEFT(J2434,2)</f>
        <v/>
      </c>
    </row>
    <row r="2435" spans="8:34" ht="12.75">
      <c r="H2435" s="43"/>
      <c r="AG2435" s="49" t="str">
        <f ca="1">IFERROR(__xludf.DUMMYFUNCTION("IFNA(vlookup(H2435,IMPORTRANGE(""1vUGwO1n0QQGx9kKbO0_M5gmuhXZ6-LaxQxgrmJnzgP0"",""'TP# look up'!A:C""),3,0),"""")"),"")</f>
        <v/>
      </c>
      <c r="AH2435" s="49" t="str">
        <f t="shared" si="38"/>
        <v/>
      </c>
    </row>
    <row r="2436" spans="8:34" ht="12.75">
      <c r="H2436" s="43"/>
      <c r="AG2436" s="49" t="str">
        <f ca="1">IFERROR(__xludf.DUMMYFUNCTION("IFNA(vlookup(H2436,IMPORTRANGE(""1vUGwO1n0QQGx9kKbO0_M5gmuhXZ6-LaxQxgrmJnzgP0"",""'TP# look up'!A:C""),3,0),"""")"),"")</f>
        <v/>
      </c>
      <c r="AH2436" s="49" t="str">
        <f t="shared" si="38"/>
        <v/>
      </c>
    </row>
    <row r="2437" spans="8:34" ht="12.75">
      <c r="H2437" s="43"/>
      <c r="AG2437" s="49" t="str">
        <f ca="1">IFERROR(__xludf.DUMMYFUNCTION("IFNA(vlookup(H2437,IMPORTRANGE(""1vUGwO1n0QQGx9kKbO0_M5gmuhXZ6-LaxQxgrmJnzgP0"",""'TP# look up'!A:C""),3,0),"""")"),"")</f>
        <v/>
      </c>
      <c r="AH2437" s="49" t="str">
        <f t="shared" si="38"/>
        <v/>
      </c>
    </row>
    <row r="2438" spans="8:34" ht="12.75">
      <c r="H2438" s="43"/>
      <c r="AG2438" s="49" t="str">
        <f ca="1">IFERROR(__xludf.DUMMYFUNCTION("IFNA(vlookup(H2438,IMPORTRANGE(""1vUGwO1n0QQGx9kKbO0_M5gmuhXZ6-LaxQxgrmJnzgP0"",""'TP# look up'!A:C""),3,0),"""")"),"")</f>
        <v/>
      </c>
      <c r="AH2438" s="49" t="str">
        <f t="shared" si="38"/>
        <v/>
      </c>
    </row>
    <row r="2439" spans="8:34" ht="12.75">
      <c r="H2439" s="43"/>
      <c r="AG2439" s="49" t="str">
        <f ca="1">IFERROR(__xludf.DUMMYFUNCTION("IFNA(vlookup(H2439,IMPORTRANGE(""1vUGwO1n0QQGx9kKbO0_M5gmuhXZ6-LaxQxgrmJnzgP0"",""'TP# look up'!A:C""),3,0),"""")"),"")</f>
        <v/>
      </c>
      <c r="AH2439" s="49" t="str">
        <f t="shared" si="38"/>
        <v/>
      </c>
    </row>
    <row r="2440" spans="8:34" ht="12.75">
      <c r="H2440" s="43"/>
      <c r="AG2440" s="49" t="str">
        <f ca="1">IFERROR(__xludf.DUMMYFUNCTION("IFNA(vlookup(H2440,IMPORTRANGE(""1vUGwO1n0QQGx9kKbO0_M5gmuhXZ6-LaxQxgrmJnzgP0"",""'TP# look up'!A:C""),3,0),"""")"),"")</f>
        <v/>
      </c>
      <c r="AH2440" s="49" t="str">
        <f t="shared" si="38"/>
        <v/>
      </c>
    </row>
    <row r="2441" spans="8:34" ht="12.75">
      <c r="H2441" s="43"/>
      <c r="AG2441" s="49" t="str">
        <f ca="1">IFERROR(__xludf.DUMMYFUNCTION("IFNA(vlookup(H2441,IMPORTRANGE(""1vUGwO1n0QQGx9kKbO0_M5gmuhXZ6-LaxQxgrmJnzgP0"",""'TP# look up'!A:C""),3,0),"""")"),"")</f>
        <v/>
      </c>
      <c r="AH2441" s="49" t="str">
        <f t="shared" si="38"/>
        <v/>
      </c>
    </row>
    <row r="2442" spans="8:34" ht="12.75">
      <c r="H2442" s="43"/>
      <c r="AG2442" s="49" t="str">
        <f ca="1">IFERROR(__xludf.DUMMYFUNCTION("IFNA(vlookup(H2442,IMPORTRANGE(""1vUGwO1n0QQGx9kKbO0_M5gmuhXZ6-LaxQxgrmJnzgP0"",""'TP# look up'!A:C""),3,0),"""")"),"")</f>
        <v/>
      </c>
      <c r="AH2442" s="49" t="str">
        <f t="shared" si="38"/>
        <v/>
      </c>
    </row>
    <row r="2443" spans="8:34" ht="12.75">
      <c r="H2443" s="43"/>
      <c r="AG2443" s="49" t="str">
        <f ca="1">IFERROR(__xludf.DUMMYFUNCTION("IFNA(vlookup(H2443,IMPORTRANGE(""1vUGwO1n0QQGx9kKbO0_M5gmuhXZ6-LaxQxgrmJnzgP0"",""'TP# look up'!A:C""),3,0),"""")"),"")</f>
        <v/>
      </c>
      <c r="AH2443" s="49" t="str">
        <f t="shared" si="38"/>
        <v/>
      </c>
    </row>
    <row r="2444" spans="8:34" ht="12.75">
      <c r="H2444" s="43"/>
      <c r="AG2444" s="49" t="str">
        <f ca="1">IFERROR(__xludf.DUMMYFUNCTION("IFNA(vlookup(H2444,IMPORTRANGE(""1vUGwO1n0QQGx9kKbO0_M5gmuhXZ6-LaxQxgrmJnzgP0"",""'TP# look up'!A:C""),3,0),"""")"),"")</f>
        <v/>
      </c>
      <c r="AH2444" s="49" t="str">
        <f t="shared" si="38"/>
        <v/>
      </c>
    </row>
    <row r="2445" spans="8:34" ht="12.75">
      <c r="H2445" s="43"/>
      <c r="AG2445" s="49" t="str">
        <f ca="1">IFERROR(__xludf.DUMMYFUNCTION("IFNA(vlookup(H2445,IMPORTRANGE(""1vUGwO1n0QQGx9kKbO0_M5gmuhXZ6-LaxQxgrmJnzgP0"",""'TP# look up'!A:C""),3,0),"""")"),"")</f>
        <v/>
      </c>
      <c r="AH2445" s="49" t="str">
        <f t="shared" si="38"/>
        <v/>
      </c>
    </row>
    <row r="2446" spans="8:34" ht="12.75">
      <c r="H2446" s="43"/>
      <c r="AG2446" s="49" t="str">
        <f ca="1">IFERROR(__xludf.DUMMYFUNCTION("IFNA(vlookup(H2446,IMPORTRANGE(""1vUGwO1n0QQGx9kKbO0_M5gmuhXZ6-LaxQxgrmJnzgP0"",""'TP# look up'!A:C""),3,0),"""")"),"")</f>
        <v/>
      </c>
      <c r="AH2446" s="49" t="str">
        <f t="shared" si="38"/>
        <v/>
      </c>
    </row>
    <row r="2447" spans="8:34" ht="12.75">
      <c r="H2447" s="43"/>
      <c r="AG2447" s="49" t="str">
        <f ca="1">IFERROR(__xludf.DUMMYFUNCTION("IFNA(vlookup(H2447,IMPORTRANGE(""1vUGwO1n0QQGx9kKbO0_M5gmuhXZ6-LaxQxgrmJnzgP0"",""'TP# look up'!A:C""),3,0),"""")"),"")</f>
        <v/>
      </c>
      <c r="AH2447" s="49" t="str">
        <f t="shared" si="38"/>
        <v/>
      </c>
    </row>
    <row r="2448" spans="8:34" ht="12.75">
      <c r="H2448" s="43"/>
      <c r="AG2448" s="49" t="str">
        <f ca="1">IFERROR(__xludf.DUMMYFUNCTION("IFNA(vlookup(H2448,IMPORTRANGE(""1vUGwO1n0QQGx9kKbO0_M5gmuhXZ6-LaxQxgrmJnzgP0"",""'TP# look up'!A:C""),3,0),"""")"),"")</f>
        <v/>
      </c>
      <c r="AH2448" s="49" t="str">
        <f t="shared" si="38"/>
        <v/>
      </c>
    </row>
    <row r="2449" spans="8:34" ht="12.75">
      <c r="H2449" s="43"/>
      <c r="AG2449" s="49" t="str">
        <f ca="1">IFERROR(__xludf.DUMMYFUNCTION("IFNA(vlookup(H2449,IMPORTRANGE(""1vUGwO1n0QQGx9kKbO0_M5gmuhXZ6-LaxQxgrmJnzgP0"",""'TP# look up'!A:C""),3,0),"""")"),"")</f>
        <v/>
      </c>
      <c r="AH2449" s="49" t="str">
        <f t="shared" si="38"/>
        <v/>
      </c>
    </row>
    <row r="2450" spans="8:34" ht="12.75">
      <c r="H2450" s="43"/>
      <c r="AG2450" s="49" t="str">
        <f ca="1">IFERROR(__xludf.DUMMYFUNCTION("IFNA(vlookup(H2450,IMPORTRANGE(""1vUGwO1n0QQGx9kKbO0_M5gmuhXZ6-LaxQxgrmJnzgP0"",""'TP# look up'!A:C""),3,0),"""")"),"")</f>
        <v/>
      </c>
      <c r="AH2450" s="49" t="str">
        <f t="shared" si="38"/>
        <v/>
      </c>
    </row>
    <row r="2451" spans="8:34" ht="12.75">
      <c r="H2451" s="43"/>
      <c r="AG2451" s="49" t="str">
        <f ca="1">IFERROR(__xludf.DUMMYFUNCTION("IFNA(vlookup(H2451,IMPORTRANGE(""1vUGwO1n0QQGx9kKbO0_M5gmuhXZ6-LaxQxgrmJnzgP0"",""'TP# look up'!A:C""),3,0),"""")"),"")</f>
        <v/>
      </c>
      <c r="AH2451" s="49" t="str">
        <f t="shared" si="38"/>
        <v/>
      </c>
    </row>
    <row r="2452" spans="8:34" ht="12.75">
      <c r="H2452" s="43"/>
      <c r="AG2452" s="49" t="str">
        <f ca="1">IFERROR(__xludf.DUMMYFUNCTION("IFNA(vlookup(H2452,IMPORTRANGE(""1vUGwO1n0QQGx9kKbO0_M5gmuhXZ6-LaxQxgrmJnzgP0"",""'TP# look up'!A:C""),3,0),"""")"),"")</f>
        <v/>
      </c>
      <c r="AH2452" s="49" t="str">
        <f t="shared" si="38"/>
        <v/>
      </c>
    </row>
    <row r="2453" spans="8:34" ht="12.75">
      <c r="H2453" s="43"/>
      <c r="AG2453" s="49" t="str">
        <f ca="1">IFERROR(__xludf.DUMMYFUNCTION("IFNA(vlookup(H2453,IMPORTRANGE(""1vUGwO1n0QQGx9kKbO0_M5gmuhXZ6-LaxQxgrmJnzgP0"",""'TP# look up'!A:C""),3,0),"""")"),"")</f>
        <v/>
      </c>
      <c r="AH2453" s="49" t="str">
        <f t="shared" si="38"/>
        <v/>
      </c>
    </row>
    <row r="2454" spans="8:34" ht="12.75">
      <c r="H2454" s="43"/>
      <c r="AG2454" s="49" t="str">
        <f ca="1">IFERROR(__xludf.DUMMYFUNCTION("IFNA(vlookup(H2454,IMPORTRANGE(""1vUGwO1n0QQGx9kKbO0_M5gmuhXZ6-LaxQxgrmJnzgP0"",""'TP# look up'!A:C""),3,0),"""")"),"")</f>
        <v/>
      </c>
      <c r="AH2454" s="49" t="str">
        <f t="shared" si="38"/>
        <v/>
      </c>
    </row>
    <row r="2455" spans="8:34" ht="12.75">
      <c r="H2455" s="43"/>
      <c r="AG2455" s="49" t="str">
        <f ca="1">IFERROR(__xludf.DUMMYFUNCTION("IFNA(vlookup(H2455,IMPORTRANGE(""1vUGwO1n0QQGx9kKbO0_M5gmuhXZ6-LaxQxgrmJnzgP0"",""'TP# look up'!A:C""),3,0),"""")"),"")</f>
        <v/>
      </c>
      <c r="AH2455" s="49" t="str">
        <f t="shared" si="38"/>
        <v/>
      </c>
    </row>
    <row r="2456" spans="8:34" ht="12.75">
      <c r="H2456" s="43"/>
      <c r="AG2456" s="49" t="str">
        <f ca="1">IFERROR(__xludf.DUMMYFUNCTION("IFNA(vlookup(H2456,IMPORTRANGE(""1vUGwO1n0QQGx9kKbO0_M5gmuhXZ6-LaxQxgrmJnzgP0"",""'TP# look up'!A:C""),3,0),"""")"),"")</f>
        <v/>
      </c>
      <c r="AH2456" s="49" t="str">
        <f t="shared" si="38"/>
        <v/>
      </c>
    </row>
    <row r="2457" spans="8:34" ht="12.75">
      <c r="H2457" s="43"/>
      <c r="AG2457" s="49" t="str">
        <f ca="1">IFERROR(__xludf.DUMMYFUNCTION("IFNA(vlookup(H2457,IMPORTRANGE(""1vUGwO1n0QQGx9kKbO0_M5gmuhXZ6-LaxQxgrmJnzgP0"",""'TP# look up'!A:C""),3,0),"""")"),"")</f>
        <v/>
      </c>
      <c r="AH2457" s="49" t="str">
        <f t="shared" si="38"/>
        <v/>
      </c>
    </row>
    <row r="2458" spans="8:34" ht="12.75">
      <c r="H2458" s="43"/>
      <c r="AG2458" s="49" t="str">
        <f ca="1">IFERROR(__xludf.DUMMYFUNCTION("IFNA(vlookup(H2458,IMPORTRANGE(""1vUGwO1n0QQGx9kKbO0_M5gmuhXZ6-LaxQxgrmJnzgP0"",""'TP# look up'!A:C""),3,0),"""")"),"")</f>
        <v/>
      </c>
      <c r="AH2458" s="49" t="str">
        <f t="shared" si="38"/>
        <v/>
      </c>
    </row>
    <row r="2459" spans="8:34" ht="12.75">
      <c r="H2459" s="43"/>
      <c r="AG2459" s="49" t="str">
        <f ca="1">IFERROR(__xludf.DUMMYFUNCTION("IFNA(vlookup(H2459,IMPORTRANGE(""1vUGwO1n0QQGx9kKbO0_M5gmuhXZ6-LaxQxgrmJnzgP0"",""'TP# look up'!A:C""),3,0),"""")"),"")</f>
        <v/>
      </c>
      <c r="AH2459" s="49" t="str">
        <f t="shared" si="38"/>
        <v/>
      </c>
    </row>
    <row r="2460" spans="8:34" ht="12.75">
      <c r="H2460" s="43"/>
      <c r="AG2460" s="49" t="str">
        <f ca="1">IFERROR(__xludf.DUMMYFUNCTION("IFNA(vlookup(H2460,IMPORTRANGE(""1vUGwO1n0QQGx9kKbO0_M5gmuhXZ6-LaxQxgrmJnzgP0"",""'TP# look up'!A:C""),3,0),"""")"),"")</f>
        <v/>
      </c>
      <c r="AH2460" s="49" t="str">
        <f t="shared" si="38"/>
        <v/>
      </c>
    </row>
    <row r="2461" spans="8:34" ht="12.75">
      <c r="H2461" s="43"/>
      <c r="AG2461" s="49" t="str">
        <f ca="1">IFERROR(__xludf.DUMMYFUNCTION("IFNA(vlookup(H2461,IMPORTRANGE(""1vUGwO1n0QQGx9kKbO0_M5gmuhXZ6-LaxQxgrmJnzgP0"",""'TP# look up'!A:C""),3,0),"""")"),"")</f>
        <v/>
      </c>
      <c r="AH2461" s="49" t="str">
        <f t="shared" si="38"/>
        <v/>
      </c>
    </row>
    <row r="2462" spans="8:34" ht="12.75">
      <c r="H2462" s="43"/>
      <c r="AG2462" s="49" t="str">
        <f ca="1">IFERROR(__xludf.DUMMYFUNCTION("IFNA(vlookup(H2462,IMPORTRANGE(""1vUGwO1n0QQGx9kKbO0_M5gmuhXZ6-LaxQxgrmJnzgP0"",""'TP# look up'!A:C""),3,0),"""")"),"")</f>
        <v/>
      </c>
      <c r="AH2462" s="49" t="str">
        <f t="shared" si="38"/>
        <v/>
      </c>
    </row>
    <row r="2463" spans="8:34" ht="12.75">
      <c r="H2463" s="43"/>
      <c r="AG2463" s="49" t="str">
        <f ca="1">IFERROR(__xludf.DUMMYFUNCTION("IFNA(vlookup(H2463,IMPORTRANGE(""1vUGwO1n0QQGx9kKbO0_M5gmuhXZ6-LaxQxgrmJnzgP0"",""'TP# look up'!A:C""),3,0),"""")"),"")</f>
        <v/>
      </c>
      <c r="AH2463" s="49" t="str">
        <f t="shared" si="38"/>
        <v/>
      </c>
    </row>
    <row r="2464" spans="8:34" ht="12.75">
      <c r="H2464" s="43"/>
      <c r="AG2464" s="49" t="str">
        <f ca="1">IFERROR(__xludf.DUMMYFUNCTION("IFNA(vlookup(H2464,IMPORTRANGE(""1vUGwO1n0QQGx9kKbO0_M5gmuhXZ6-LaxQxgrmJnzgP0"",""'TP# look up'!A:C""),3,0),"""")"),"")</f>
        <v/>
      </c>
      <c r="AH2464" s="49" t="str">
        <f t="shared" si="38"/>
        <v/>
      </c>
    </row>
    <row r="2465" spans="8:34" ht="12.75">
      <c r="H2465" s="43"/>
      <c r="AG2465" s="49" t="str">
        <f ca="1">IFERROR(__xludf.DUMMYFUNCTION("IFNA(vlookup(H2465,IMPORTRANGE(""1vUGwO1n0QQGx9kKbO0_M5gmuhXZ6-LaxQxgrmJnzgP0"",""'TP# look up'!A:C""),3,0),"""")"),"")</f>
        <v/>
      </c>
      <c r="AH2465" s="49" t="str">
        <f t="shared" si="38"/>
        <v/>
      </c>
    </row>
    <row r="2466" spans="8:34" ht="12.75">
      <c r="H2466" s="43"/>
      <c r="AG2466" s="49" t="str">
        <f ca="1">IFERROR(__xludf.DUMMYFUNCTION("IFNA(vlookup(H2466,IMPORTRANGE(""1vUGwO1n0QQGx9kKbO0_M5gmuhXZ6-LaxQxgrmJnzgP0"",""'TP# look up'!A:C""),3,0),"""")"),"")</f>
        <v/>
      </c>
      <c r="AH2466" s="49" t="str">
        <f t="shared" si="38"/>
        <v/>
      </c>
    </row>
    <row r="2467" spans="8:34" ht="12.75">
      <c r="H2467" s="43"/>
      <c r="AG2467" s="49" t="str">
        <f ca="1">IFERROR(__xludf.DUMMYFUNCTION("IFNA(vlookup(H2467,IMPORTRANGE(""1vUGwO1n0QQGx9kKbO0_M5gmuhXZ6-LaxQxgrmJnzgP0"",""'TP# look up'!A:C""),3,0),"""")"),"")</f>
        <v/>
      </c>
      <c r="AH2467" s="49" t="str">
        <f t="shared" si="38"/>
        <v/>
      </c>
    </row>
    <row r="2468" spans="8:34" ht="12.75">
      <c r="H2468" s="43"/>
      <c r="AG2468" s="49" t="str">
        <f ca="1">IFERROR(__xludf.DUMMYFUNCTION("IFNA(vlookup(H2468,IMPORTRANGE(""1vUGwO1n0QQGx9kKbO0_M5gmuhXZ6-LaxQxgrmJnzgP0"",""'TP# look up'!A:C""),3,0),"""")"),"")</f>
        <v/>
      </c>
      <c r="AH2468" s="49" t="str">
        <f t="shared" si="38"/>
        <v/>
      </c>
    </row>
    <row r="2469" spans="8:34" ht="12.75">
      <c r="H2469" s="43"/>
      <c r="AG2469" s="49" t="str">
        <f ca="1">IFERROR(__xludf.DUMMYFUNCTION("IFNA(vlookup(H2469,IMPORTRANGE(""1vUGwO1n0QQGx9kKbO0_M5gmuhXZ6-LaxQxgrmJnzgP0"",""'TP# look up'!A:C""),3,0),"""")"),"")</f>
        <v/>
      </c>
      <c r="AH2469" s="49" t="str">
        <f t="shared" si="38"/>
        <v/>
      </c>
    </row>
    <row r="2470" spans="8:34" ht="12.75">
      <c r="H2470" s="43"/>
      <c r="AG2470" s="49" t="str">
        <f ca="1">IFERROR(__xludf.DUMMYFUNCTION("IFNA(vlookup(H2470,IMPORTRANGE(""1vUGwO1n0QQGx9kKbO0_M5gmuhXZ6-LaxQxgrmJnzgP0"",""'TP# look up'!A:C""),3,0),"""")"),"")</f>
        <v/>
      </c>
      <c r="AH2470" s="49" t="str">
        <f t="shared" si="38"/>
        <v/>
      </c>
    </row>
    <row r="2471" spans="8:34" ht="12.75">
      <c r="H2471" s="43"/>
      <c r="AG2471" s="49" t="str">
        <f ca="1">IFERROR(__xludf.DUMMYFUNCTION("IFNA(vlookup(H2471,IMPORTRANGE(""1vUGwO1n0QQGx9kKbO0_M5gmuhXZ6-LaxQxgrmJnzgP0"",""'TP# look up'!A:C""),3,0),"""")"),"")</f>
        <v/>
      </c>
      <c r="AH2471" s="49" t="str">
        <f t="shared" si="38"/>
        <v/>
      </c>
    </row>
    <row r="2472" spans="8:34" ht="12.75">
      <c r="H2472" s="43"/>
      <c r="AG2472" s="49" t="str">
        <f ca="1">IFERROR(__xludf.DUMMYFUNCTION("IFNA(vlookup(H2472,IMPORTRANGE(""1vUGwO1n0QQGx9kKbO0_M5gmuhXZ6-LaxQxgrmJnzgP0"",""'TP# look up'!A:C""),3,0),"""")"),"")</f>
        <v/>
      </c>
      <c r="AH2472" s="49" t="str">
        <f t="shared" si="38"/>
        <v/>
      </c>
    </row>
    <row r="2473" spans="8:34" ht="12.75">
      <c r="H2473" s="43"/>
      <c r="AG2473" s="49" t="str">
        <f ca="1">IFERROR(__xludf.DUMMYFUNCTION("IFNA(vlookup(H2473,IMPORTRANGE(""1vUGwO1n0QQGx9kKbO0_M5gmuhXZ6-LaxQxgrmJnzgP0"",""'TP# look up'!A:C""),3,0),"""")"),"")</f>
        <v/>
      </c>
      <c r="AH2473" s="49" t="str">
        <f t="shared" si="38"/>
        <v/>
      </c>
    </row>
    <row r="2474" spans="8:34" ht="12.75">
      <c r="H2474" s="43"/>
      <c r="AG2474" s="49" t="str">
        <f ca="1">IFERROR(__xludf.DUMMYFUNCTION("IFNA(vlookup(H2474,IMPORTRANGE(""1vUGwO1n0QQGx9kKbO0_M5gmuhXZ6-LaxQxgrmJnzgP0"",""'TP# look up'!A:C""),3,0),"""")"),"")</f>
        <v/>
      </c>
      <c r="AH2474" s="49" t="str">
        <f t="shared" si="38"/>
        <v/>
      </c>
    </row>
    <row r="2475" spans="8:34" ht="12.75">
      <c r="H2475" s="43"/>
      <c r="AG2475" s="49" t="str">
        <f ca="1">IFERROR(__xludf.DUMMYFUNCTION("IFNA(vlookup(H2475,IMPORTRANGE(""1vUGwO1n0QQGx9kKbO0_M5gmuhXZ6-LaxQxgrmJnzgP0"",""'TP# look up'!A:C""),3,0),"""")"),"")</f>
        <v/>
      </c>
      <c r="AH2475" s="49" t="str">
        <f t="shared" si="38"/>
        <v/>
      </c>
    </row>
    <row r="2476" spans="8:34" ht="12.75">
      <c r="H2476" s="43"/>
      <c r="AG2476" s="49" t="str">
        <f ca="1">IFERROR(__xludf.DUMMYFUNCTION("IFNA(vlookup(H2476,IMPORTRANGE(""1vUGwO1n0QQGx9kKbO0_M5gmuhXZ6-LaxQxgrmJnzgP0"",""'TP# look up'!A:C""),3,0),"""")"),"")</f>
        <v/>
      </c>
      <c r="AH2476" s="49" t="str">
        <f t="shared" si="38"/>
        <v/>
      </c>
    </row>
    <row r="2477" spans="8:34" ht="12.75">
      <c r="H2477" s="43"/>
      <c r="AG2477" s="49" t="str">
        <f ca="1">IFERROR(__xludf.DUMMYFUNCTION("IFNA(vlookup(H2477,IMPORTRANGE(""1vUGwO1n0QQGx9kKbO0_M5gmuhXZ6-LaxQxgrmJnzgP0"",""'TP# look up'!A:C""),3,0),"""")"),"")</f>
        <v/>
      </c>
      <c r="AH2477" s="49" t="str">
        <f t="shared" si="38"/>
        <v/>
      </c>
    </row>
    <row r="2478" spans="8:34" ht="12.75">
      <c r="H2478" s="43"/>
      <c r="AG2478" s="49" t="str">
        <f ca="1">IFERROR(__xludf.DUMMYFUNCTION("IFNA(vlookup(H2478,IMPORTRANGE(""1vUGwO1n0QQGx9kKbO0_M5gmuhXZ6-LaxQxgrmJnzgP0"",""'TP# look up'!A:C""),3,0),"""")"),"")</f>
        <v/>
      </c>
      <c r="AH2478" s="49" t="str">
        <f t="shared" si="38"/>
        <v/>
      </c>
    </row>
    <row r="2479" spans="8:34" ht="12.75">
      <c r="H2479" s="43"/>
      <c r="AG2479" s="49" t="str">
        <f ca="1">IFERROR(__xludf.DUMMYFUNCTION("IFNA(vlookup(H2479,IMPORTRANGE(""1vUGwO1n0QQGx9kKbO0_M5gmuhXZ6-LaxQxgrmJnzgP0"",""'TP# look up'!A:C""),3,0),"""")"),"")</f>
        <v/>
      </c>
      <c r="AH2479" s="49" t="str">
        <f t="shared" si="38"/>
        <v/>
      </c>
    </row>
    <row r="2480" spans="8:34" ht="12.75">
      <c r="H2480" s="43"/>
      <c r="AG2480" s="49" t="str">
        <f ca="1">IFERROR(__xludf.DUMMYFUNCTION("IFNA(vlookup(H2480,IMPORTRANGE(""1vUGwO1n0QQGx9kKbO0_M5gmuhXZ6-LaxQxgrmJnzgP0"",""'TP# look up'!A:C""),3,0),"""")"),"")</f>
        <v/>
      </c>
      <c r="AH2480" s="49" t="str">
        <f t="shared" si="38"/>
        <v/>
      </c>
    </row>
    <row r="2481" spans="8:34" ht="12.75">
      <c r="H2481" s="43"/>
      <c r="AG2481" s="49" t="str">
        <f ca="1">IFERROR(__xludf.DUMMYFUNCTION("IFNA(vlookup(H2481,IMPORTRANGE(""1vUGwO1n0QQGx9kKbO0_M5gmuhXZ6-LaxQxgrmJnzgP0"",""'TP# look up'!A:C""),3,0),"""")"),"")</f>
        <v/>
      </c>
      <c r="AH2481" s="49" t="str">
        <f t="shared" si="38"/>
        <v/>
      </c>
    </row>
    <row r="2482" spans="8:34" ht="12.75">
      <c r="H2482" s="43"/>
      <c r="AG2482" s="49" t="str">
        <f ca="1">IFERROR(__xludf.DUMMYFUNCTION("IFNA(vlookup(H2482,IMPORTRANGE(""1vUGwO1n0QQGx9kKbO0_M5gmuhXZ6-LaxQxgrmJnzgP0"",""'TP# look up'!A:C""),3,0),"""")"),"")</f>
        <v/>
      </c>
      <c r="AH2482" s="49" t="str">
        <f t="shared" si="38"/>
        <v/>
      </c>
    </row>
    <row r="2483" spans="8:34" ht="12.75">
      <c r="H2483" s="43"/>
      <c r="AG2483" s="49" t="str">
        <f ca="1">IFERROR(__xludf.DUMMYFUNCTION("IFNA(vlookup(H2483,IMPORTRANGE(""1vUGwO1n0QQGx9kKbO0_M5gmuhXZ6-LaxQxgrmJnzgP0"",""'TP# look up'!A:C""),3,0),"""")"),"")</f>
        <v/>
      </c>
      <c r="AH2483" s="49" t="str">
        <f t="shared" si="38"/>
        <v/>
      </c>
    </row>
    <row r="2484" spans="8:34" ht="12.75">
      <c r="H2484" s="43"/>
      <c r="AG2484" s="49" t="str">
        <f ca="1">IFERROR(__xludf.DUMMYFUNCTION("IFNA(vlookup(H2484,IMPORTRANGE(""1vUGwO1n0QQGx9kKbO0_M5gmuhXZ6-LaxQxgrmJnzgP0"",""'TP# look up'!A:C""),3,0),"""")"),"")</f>
        <v/>
      </c>
      <c r="AH2484" s="49" t="str">
        <f t="shared" si="38"/>
        <v/>
      </c>
    </row>
    <row r="2485" spans="8:34" ht="12.75">
      <c r="H2485" s="43"/>
      <c r="AG2485" s="49" t="str">
        <f ca="1">IFERROR(__xludf.DUMMYFUNCTION("IFNA(vlookup(H2485,IMPORTRANGE(""1vUGwO1n0QQGx9kKbO0_M5gmuhXZ6-LaxQxgrmJnzgP0"",""'TP# look up'!A:C""),3,0),"""")"),"")</f>
        <v/>
      </c>
      <c r="AH2485" s="49" t="str">
        <f t="shared" si="38"/>
        <v/>
      </c>
    </row>
    <row r="2486" spans="8:34" ht="12.75">
      <c r="H2486" s="43"/>
      <c r="AG2486" s="49" t="str">
        <f ca="1">IFERROR(__xludf.DUMMYFUNCTION("IFNA(vlookup(H2486,IMPORTRANGE(""1vUGwO1n0QQGx9kKbO0_M5gmuhXZ6-LaxQxgrmJnzgP0"",""'TP# look up'!A:C""),3,0),"""")"),"")</f>
        <v/>
      </c>
      <c r="AH2486" s="49" t="str">
        <f t="shared" si="38"/>
        <v/>
      </c>
    </row>
    <row r="2487" spans="8:34" ht="12.75">
      <c r="H2487" s="43"/>
      <c r="AG2487" s="49" t="str">
        <f ca="1">IFERROR(__xludf.DUMMYFUNCTION("IFNA(vlookup(H2487,IMPORTRANGE(""1vUGwO1n0QQGx9kKbO0_M5gmuhXZ6-LaxQxgrmJnzgP0"",""'TP# look up'!A:C""),3,0),"""")"),"")</f>
        <v/>
      </c>
      <c r="AH2487" s="49" t="str">
        <f t="shared" si="38"/>
        <v/>
      </c>
    </row>
    <row r="2488" spans="8:34" ht="12.75">
      <c r="H2488" s="43"/>
      <c r="AG2488" s="49" t="str">
        <f ca="1">IFERROR(__xludf.DUMMYFUNCTION("IFNA(vlookup(H2488,IMPORTRANGE(""1vUGwO1n0QQGx9kKbO0_M5gmuhXZ6-LaxQxgrmJnzgP0"",""'TP# look up'!A:C""),3,0),"""")"),"")</f>
        <v/>
      </c>
      <c r="AH2488" s="49" t="str">
        <f t="shared" si="38"/>
        <v/>
      </c>
    </row>
    <row r="2489" spans="8:34" ht="12.75">
      <c r="H2489" s="43"/>
      <c r="AG2489" s="49" t="str">
        <f ca="1">IFERROR(__xludf.DUMMYFUNCTION("IFNA(vlookup(H2489,IMPORTRANGE(""1vUGwO1n0QQGx9kKbO0_M5gmuhXZ6-LaxQxgrmJnzgP0"",""'TP# look up'!A:C""),3,0),"""")"),"")</f>
        <v/>
      </c>
      <c r="AH2489" s="49" t="str">
        <f t="shared" si="38"/>
        <v/>
      </c>
    </row>
    <row r="2490" spans="8:34" ht="12.75">
      <c r="H2490" s="43"/>
      <c r="AG2490" s="49" t="str">
        <f ca="1">IFERROR(__xludf.DUMMYFUNCTION("IFNA(vlookup(H2490,IMPORTRANGE(""1vUGwO1n0QQGx9kKbO0_M5gmuhXZ6-LaxQxgrmJnzgP0"",""'TP# look up'!A:C""),3,0),"""")"),"")</f>
        <v/>
      </c>
      <c r="AH2490" s="49" t="str">
        <f t="shared" si="38"/>
        <v/>
      </c>
    </row>
    <row r="2491" spans="8:34" ht="12.75">
      <c r="H2491" s="43"/>
      <c r="AG2491" s="49" t="str">
        <f ca="1">IFERROR(__xludf.DUMMYFUNCTION("IFNA(vlookup(H2491,IMPORTRANGE(""1vUGwO1n0QQGx9kKbO0_M5gmuhXZ6-LaxQxgrmJnzgP0"",""'TP# look up'!A:C""),3,0),"""")"),"")</f>
        <v/>
      </c>
      <c r="AH2491" s="49" t="str">
        <f t="shared" si="38"/>
        <v/>
      </c>
    </row>
    <row r="2492" spans="8:34" ht="12.75">
      <c r="H2492" s="43"/>
      <c r="AG2492" s="49" t="str">
        <f ca="1">IFERROR(__xludf.DUMMYFUNCTION("IFNA(vlookup(H2492,IMPORTRANGE(""1vUGwO1n0QQGx9kKbO0_M5gmuhXZ6-LaxQxgrmJnzgP0"",""'TP# look up'!A:C""),3,0),"""")"),"")</f>
        <v/>
      </c>
      <c r="AH2492" s="49" t="str">
        <f t="shared" si="38"/>
        <v/>
      </c>
    </row>
    <row r="2493" spans="8:34" ht="12.75">
      <c r="H2493" s="43"/>
      <c r="AG2493" s="49" t="str">
        <f ca="1">IFERROR(__xludf.DUMMYFUNCTION("IFNA(vlookup(H2493,IMPORTRANGE(""1vUGwO1n0QQGx9kKbO0_M5gmuhXZ6-LaxQxgrmJnzgP0"",""'TP# look up'!A:C""),3,0),"""")"),"")</f>
        <v/>
      </c>
      <c r="AH2493" s="49" t="str">
        <f t="shared" si="38"/>
        <v/>
      </c>
    </row>
    <row r="2494" spans="8:34" ht="12.75">
      <c r="H2494" s="43"/>
      <c r="AG2494" s="49" t="str">
        <f ca="1">IFERROR(__xludf.DUMMYFUNCTION("IFNA(vlookup(H2494,IMPORTRANGE(""1vUGwO1n0QQGx9kKbO0_M5gmuhXZ6-LaxQxgrmJnzgP0"",""'TP# look up'!A:C""),3,0),"""")"),"")</f>
        <v/>
      </c>
      <c r="AH2494" s="49" t="str">
        <f t="shared" si="38"/>
        <v/>
      </c>
    </row>
    <row r="2495" spans="8:34" ht="12.75">
      <c r="H2495" s="43"/>
      <c r="AG2495" s="49" t="str">
        <f ca="1">IFERROR(__xludf.DUMMYFUNCTION("IFNA(vlookup(H2495,IMPORTRANGE(""1vUGwO1n0QQGx9kKbO0_M5gmuhXZ6-LaxQxgrmJnzgP0"",""'TP# look up'!A:C""),3,0),"""")"),"")</f>
        <v/>
      </c>
      <c r="AH2495" s="49" t="str">
        <f t="shared" si="38"/>
        <v/>
      </c>
    </row>
    <row r="2496" spans="8:34" ht="12.75">
      <c r="H2496" s="43"/>
      <c r="AG2496" s="49" t="str">
        <f ca="1">IFERROR(__xludf.DUMMYFUNCTION("IFNA(vlookup(H2496,IMPORTRANGE(""1vUGwO1n0QQGx9kKbO0_M5gmuhXZ6-LaxQxgrmJnzgP0"",""'TP# look up'!A:C""),3,0),"""")"),"")</f>
        <v/>
      </c>
      <c r="AH2496" s="49" t="str">
        <f t="shared" si="38"/>
        <v/>
      </c>
    </row>
    <row r="2497" spans="8:34" ht="12.75">
      <c r="H2497" s="43"/>
      <c r="AG2497" s="49" t="str">
        <f ca="1">IFERROR(__xludf.DUMMYFUNCTION("IFNA(vlookup(H2497,IMPORTRANGE(""1vUGwO1n0QQGx9kKbO0_M5gmuhXZ6-LaxQxgrmJnzgP0"",""'TP# look up'!A:C""),3,0),"""")"),"")</f>
        <v/>
      </c>
      <c r="AH2497" s="49" t="str">
        <f t="shared" si="38"/>
        <v/>
      </c>
    </row>
    <row r="2498" spans="8:34" ht="12.75">
      <c r="H2498" s="43"/>
      <c r="AG2498" s="49" t="str">
        <f ca="1">IFERROR(__xludf.DUMMYFUNCTION("IFNA(vlookup(H2498,IMPORTRANGE(""1vUGwO1n0QQGx9kKbO0_M5gmuhXZ6-LaxQxgrmJnzgP0"",""'TP# look up'!A:C""),3,0),"""")"),"")</f>
        <v/>
      </c>
      <c r="AH2498" s="49" t="str">
        <f t="shared" ref="AH2498:AH2561" si="39">LEFT(J2498,2)</f>
        <v/>
      </c>
    </row>
    <row r="2499" spans="8:34" ht="12.75">
      <c r="H2499" s="43"/>
      <c r="AG2499" s="49" t="str">
        <f ca="1">IFERROR(__xludf.DUMMYFUNCTION("IFNA(vlookup(H2499,IMPORTRANGE(""1vUGwO1n0QQGx9kKbO0_M5gmuhXZ6-LaxQxgrmJnzgP0"",""'TP# look up'!A:C""),3,0),"""")"),"")</f>
        <v/>
      </c>
      <c r="AH2499" s="49" t="str">
        <f t="shared" si="39"/>
        <v/>
      </c>
    </row>
    <row r="2500" spans="8:34" ht="12.75">
      <c r="H2500" s="43"/>
      <c r="AG2500" s="49" t="str">
        <f ca="1">IFERROR(__xludf.DUMMYFUNCTION("IFNA(vlookup(H2500,IMPORTRANGE(""1vUGwO1n0QQGx9kKbO0_M5gmuhXZ6-LaxQxgrmJnzgP0"",""'TP# look up'!A:C""),3,0),"""")"),"")</f>
        <v/>
      </c>
      <c r="AH2500" s="49" t="str">
        <f t="shared" si="39"/>
        <v/>
      </c>
    </row>
    <row r="2501" spans="8:34" ht="12.75">
      <c r="H2501" s="43"/>
      <c r="AG2501" s="49" t="str">
        <f ca="1">IFERROR(__xludf.DUMMYFUNCTION("IFNA(vlookup(H2501,IMPORTRANGE(""1vUGwO1n0QQGx9kKbO0_M5gmuhXZ6-LaxQxgrmJnzgP0"",""'TP# look up'!A:C""),3,0),"""")"),"")</f>
        <v/>
      </c>
      <c r="AH2501" s="49" t="str">
        <f t="shared" si="39"/>
        <v/>
      </c>
    </row>
    <row r="2502" spans="8:34" ht="12.75">
      <c r="H2502" s="43"/>
      <c r="AG2502" s="49" t="str">
        <f ca="1">IFERROR(__xludf.DUMMYFUNCTION("IFNA(vlookup(H2502,IMPORTRANGE(""1vUGwO1n0QQGx9kKbO0_M5gmuhXZ6-LaxQxgrmJnzgP0"",""'TP# look up'!A:C""),3,0),"""")"),"")</f>
        <v/>
      </c>
      <c r="AH2502" s="49" t="str">
        <f t="shared" si="39"/>
        <v/>
      </c>
    </row>
    <row r="2503" spans="8:34" ht="12.75">
      <c r="H2503" s="43"/>
      <c r="AG2503" s="49" t="str">
        <f ca="1">IFERROR(__xludf.DUMMYFUNCTION("IFNA(vlookup(H2503,IMPORTRANGE(""1vUGwO1n0QQGx9kKbO0_M5gmuhXZ6-LaxQxgrmJnzgP0"",""'TP# look up'!A:C""),3,0),"""")"),"")</f>
        <v/>
      </c>
      <c r="AH2503" s="49" t="str">
        <f t="shared" si="39"/>
        <v/>
      </c>
    </row>
    <row r="2504" spans="8:34" ht="12.75">
      <c r="H2504" s="43"/>
      <c r="AG2504" s="49" t="str">
        <f ca="1">IFERROR(__xludf.DUMMYFUNCTION("IFNA(vlookup(H2504,IMPORTRANGE(""1vUGwO1n0QQGx9kKbO0_M5gmuhXZ6-LaxQxgrmJnzgP0"",""'TP# look up'!A:C""),3,0),"""")"),"")</f>
        <v/>
      </c>
      <c r="AH2504" s="49" t="str">
        <f t="shared" si="39"/>
        <v/>
      </c>
    </row>
    <row r="2505" spans="8:34" ht="12.75">
      <c r="H2505" s="43"/>
      <c r="AG2505" s="49" t="str">
        <f ca="1">IFERROR(__xludf.DUMMYFUNCTION("IFNA(vlookup(H2505,IMPORTRANGE(""1vUGwO1n0QQGx9kKbO0_M5gmuhXZ6-LaxQxgrmJnzgP0"",""'TP# look up'!A:C""),3,0),"""")"),"")</f>
        <v/>
      </c>
      <c r="AH2505" s="49" t="str">
        <f t="shared" si="39"/>
        <v/>
      </c>
    </row>
    <row r="2506" spans="8:34" ht="12.75">
      <c r="H2506" s="43"/>
      <c r="AG2506" s="49" t="str">
        <f ca="1">IFERROR(__xludf.DUMMYFUNCTION("IFNA(vlookup(H2506,IMPORTRANGE(""1vUGwO1n0QQGx9kKbO0_M5gmuhXZ6-LaxQxgrmJnzgP0"",""'TP# look up'!A:C""),3,0),"""")"),"")</f>
        <v/>
      </c>
      <c r="AH2506" s="49" t="str">
        <f t="shared" si="39"/>
        <v/>
      </c>
    </row>
    <row r="2507" spans="8:34" ht="12.75">
      <c r="H2507" s="43"/>
      <c r="AG2507" s="49" t="str">
        <f ca="1">IFERROR(__xludf.DUMMYFUNCTION("IFNA(vlookup(H2507,IMPORTRANGE(""1vUGwO1n0QQGx9kKbO0_M5gmuhXZ6-LaxQxgrmJnzgP0"",""'TP# look up'!A:C""),3,0),"""")"),"")</f>
        <v/>
      </c>
      <c r="AH2507" s="49" t="str">
        <f t="shared" si="39"/>
        <v/>
      </c>
    </row>
    <row r="2508" spans="8:34" ht="12.75">
      <c r="H2508" s="43"/>
      <c r="AG2508" s="49" t="str">
        <f ca="1">IFERROR(__xludf.DUMMYFUNCTION("IFNA(vlookup(H2508,IMPORTRANGE(""1vUGwO1n0QQGx9kKbO0_M5gmuhXZ6-LaxQxgrmJnzgP0"",""'TP# look up'!A:C""),3,0),"""")"),"")</f>
        <v/>
      </c>
      <c r="AH2508" s="49" t="str">
        <f t="shared" si="39"/>
        <v/>
      </c>
    </row>
    <row r="2509" spans="8:34" ht="12.75">
      <c r="H2509" s="43"/>
      <c r="AG2509" s="49" t="str">
        <f ca="1">IFERROR(__xludf.DUMMYFUNCTION("IFNA(vlookup(H2509,IMPORTRANGE(""1vUGwO1n0QQGx9kKbO0_M5gmuhXZ6-LaxQxgrmJnzgP0"",""'TP# look up'!A:C""),3,0),"""")"),"")</f>
        <v/>
      </c>
      <c r="AH2509" s="49" t="str">
        <f t="shared" si="39"/>
        <v/>
      </c>
    </row>
    <row r="2510" spans="8:34" ht="12.75">
      <c r="H2510" s="43"/>
      <c r="AG2510" s="49" t="str">
        <f ca="1">IFERROR(__xludf.DUMMYFUNCTION("IFNA(vlookup(H2510,IMPORTRANGE(""1vUGwO1n0QQGx9kKbO0_M5gmuhXZ6-LaxQxgrmJnzgP0"",""'TP# look up'!A:C""),3,0),"""")"),"")</f>
        <v/>
      </c>
      <c r="AH2510" s="49" t="str">
        <f t="shared" si="39"/>
        <v/>
      </c>
    </row>
    <row r="2511" spans="8:34" ht="12.75">
      <c r="H2511" s="43"/>
      <c r="AG2511" s="49" t="str">
        <f ca="1">IFERROR(__xludf.DUMMYFUNCTION("IFNA(vlookup(H2511,IMPORTRANGE(""1vUGwO1n0QQGx9kKbO0_M5gmuhXZ6-LaxQxgrmJnzgP0"",""'TP# look up'!A:C""),3,0),"""")"),"")</f>
        <v/>
      </c>
      <c r="AH2511" s="49" t="str">
        <f t="shared" si="39"/>
        <v/>
      </c>
    </row>
    <row r="2512" spans="8:34" ht="12.75">
      <c r="H2512" s="43"/>
      <c r="AG2512" s="49" t="str">
        <f ca="1">IFERROR(__xludf.DUMMYFUNCTION("IFNA(vlookup(H2512,IMPORTRANGE(""1vUGwO1n0QQGx9kKbO0_M5gmuhXZ6-LaxQxgrmJnzgP0"",""'TP# look up'!A:C""),3,0),"""")"),"")</f>
        <v/>
      </c>
      <c r="AH2512" s="49" t="str">
        <f t="shared" si="39"/>
        <v/>
      </c>
    </row>
    <row r="2513" spans="8:34" ht="12.75">
      <c r="H2513" s="43"/>
      <c r="AG2513" s="49" t="str">
        <f ca="1">IFERROR(__xludf.DUMMYFUNCTION("IFNA(vlookup(H2513,IMPORTRANGE(""1vUGwO1n0QQGx9kKbO0_M5gmuhXZ6-LaxQxgrmJnzgP0"",""'TP# look up'!A:C""),3,0),"""")"),"")</f>
        <v/>
      </c>
      <c r="AH2513" s="49" t="str">
        <f t="shared" si="39"/>
        <v/>
      </c>
    </row>
    <row r="2514" spans="8:34" ht="12.75">
      <c r="H2514" s="43"/>
      <c r="AG2514" s="49" t="str">
        <f ca="1">IFERROR(__xludf.DUMMYFUNCTION("IFNA(vlookup(H2514,IMPORTRANGE(""1vUGwO1n0QQGx9kKbO0_M5gmuhXZ6-LaxQxgrmJnzgP0"",""'TP# look up'!A:C""),3,0),"""")"),"")</f>
        <v/>
      </c>
      <c r="AH2514" s="49" t="str">
        <f t="shared" si="39"/>
        <v/>
      </c>
    </row>
    <row r="2515" spans="8:34" ht="12.75">
      <c r="H2515" s="43"/>
      <c r="AG2515" s="49" t="str">
        <f ca="1">IFERROR(__xludf.DUMMYFUNCTION("IFNA(vlookup(H2515,IMPORTRANGE(""1vUGwO1n0QQGx9kKbO0_M5gmuhXZ6-LaxQxgrmJnzgP0"",""'TP# look up'!A:C""),3,0),"""")"),"")</f>
        <v/>
      </c>
      <c r="AH2515" s="49" t="str">
        <f t="shared" si="39"/>
        <v/>
      </c>
    </row>
    <row r="2516" spans="8:34" ht="12.75">
      <c r="H2516" s="43"/>
      <c r="AG2516" s="49" t="str">
        <f ca="1">IFERROR(__xludf.DUMMYFUNCTION("IFNA(vlookup(H2516,IMPORTRANGE(""1vUGwO1n0QQGx9kKbO0_M5gmuhXZ6-LaxQxgrmJnzgP0"",""'TP# look up'!A:C""),3,0),"""")"),"")</f>
        <v/>
      </c>
      <c r="AH2516" s="49" t="str">
        <f t="shared" si="39"/>
        <v/>
      </c>
    </row>
    <row r="2517" spans="8:34" ht="12.75">
      <c r="H2517" s="43"/>
      <c r="AG2517" s="49" t="str">
        <f ca="1">IFERROR(__xludf.DUMMYFUNCTION("IFNA(vlookup(H2517,IMPORTRANGE(""1vUGwO1n0QQGx9kKbO0_M5gmuhXZ6-LaxQxgrmJnzgP0"",""'TP# look up'!A:C""),3,0),"""")"),"")</f>
        <v/>
      </c>
      <c r="AH2517" s="49" t="str">
        <f t="shared" si="39"/>
        <v/>
      </c>
    </row>
    <row r="2518" spans="8:34" ht="12.75">
      <c r="H2518" s="43"/>
      <c r="AG2518" s="49" t="str">
        <f ca="1">IFERROR(__xludf.DUMMYFUNCTION("IFNA(vlookup(H2518,IMPORTRANGE(""1vUGwO1n0QQGx9kKbO0_M5gmuhXZ6-LaxQxgrmJnzgP0"",""'TP# look up'!A:C""),3,0),"""")"),"")</f>
        <v/>
      </c>
      <c r="AH2518" s="49" t="str">
        <f t="shared" si="39"/>
        <v/>
      </c>
    </row>
    <row r="2519" spans="8:34" ht="12.75">
      <c r="H2519" s="43"/>
      <c r="AG2519" s="49" t="str">
        <f ca="1">IFERROR(__xludf.DUMMYFUNCTION("IFNA(vlookup(H2519,IMPORTRANGE(""1vUGwO1n0QQGx9kKbO0_M5gmuhXZ6-LaxQxgrmJnzgP0"",""'TP# look up'!A:C""),3,0),"""")"),"")</f>
        <v/>
      </c>
      <c r="AH2519" s="49" t="str">
        <f t="shared" si="39"/>
        <v/>
      </c>
    </row>
    <row r="2520" spans="8:34" ht="12.75">
      <c r="H2520" s="43"/>
      <c r="AG2520" s="49" t="str">
        <f ca="1">IFERROR(__xludf.DUMMYFUNCTION("IFNA(vlookup(H2520,IMPORTRANGE(""1vUGwO1n0QQGx9kKbO0_M5gmuhXZ6-LaxQxgrmJnzgP0"",""'TP# look up'!A:C""),3,0),"""")"),"")</f>
        <v/>
      </c>
      <c r="AH2520" s="49" t="str">
        <f t="shared" si="39"/>
        <v/>
      </c>
    </row>
    <row r="2521" spans="8:34" ht="12.75">
      <c r="H2521" s="43"/>
      <c r="AG2521" s="49" t="str">
        <f ca="1">IFERROR(__xludf.DUMMYFUNCTION("IFNA(vlookup(H2521,IMPORTRANGE(""1vUGwO1n0QQGx9kKbO0_M5gmuhXZ6-LaxQxgrmJnzgP0"",""'TP# look up'!A:C""),3,0),"""")"),"")</f>
        <v/>
      </c>
      <c r="AH2521" s="49" t="str">
        <f t="shared" si="39"/>
        <v/>
      </c>
    </row>
    <row r="2522" spans="8:34" ht="12.75">
      <c r="H2522" s="43"/>
      <c r="AG2522" s="49" t="str">
        <f ca="1">IFERROR(__xludf.DUMMYFUNCTION("IFNA(vlookup(H2522,IMPORTRANGE(""1vUGwO1n0QQGx9kKbO0_M5gmuhXZ6-LaxQxgrmJnzgP0"",""'TP# look up'!A:C""),3,0),"""")"),"")</f>
        <v/>
      </c>
      <c r="AH2522" s="49" t="str">
        <f t="shared" si="39"/>
        <v/>
      </c>
    </row>
    <row r="2523" spans="8:34" ht="12.75">
      <c r="H2523" s="43"/>
      <c r="AG2523" s="49" t="str">
        <f ca="1">IFERROR(__xludf.DUMMYFUNCTION("IFNA(vlookup(H2523,IMPORTRANGE(""1vUGwO1n0QQGx9kKbO0_M5gmuhXZ6-LaxQxgrmJnzgP0"",""'TP# look up'!A:C""),3,0),"""")"),"")</f>
        <v/>
      </c>
      <c r="AH2523" s="49" t="str">
        <f t="shared" si="39"/>
        <v/>
      </c>
    </row>
    <row r="2524" spans="8:34" ht="12.75">
      <c r="H2524" s="43"/>
      <c r="AG2524" s="49" t="str">
        <f ca="1">IFERROR(__xludf.DUMMYFUNCTION("IFNA(vlookup(H2524,IMPORTRANGE(""1vUGwO1n0QQGx9kKbO0_M5gmuhXZ6-LaxQxgrmJnzgP0"",""'TP# look up'!A:C""),3,0),"""")"),"")</f>
        <v/>
      </c>
      <c r="AH2524" s="49" t="str">
        <f t="shared" si="39"/>
        <v/>
      </c>
    </row>
    <row r="2525" spans="8:34" ht="12.75">
      <c r="H2525" s="43"/>
      <c r="AG2525" s="49" t="str">
        <f ca="1">IFERROR(__xludf.DUMMYFUNCTION("IFNA(vlookup(H2525,IMPORTRANGE(""1vUGwO1n0QQGx9kKbO0_M5gmuhXZ6-LaxQxgrmJnzgP0"",""'TP# look up'!A:C""),3,0),"""")"),"")</f>
        <v/>
      </c>
      <c r="AH2525" s="49" t="str">
        <f t="shared" si="39"/>
        <v/>
      </c>
    </row>
    <row r="2526" spans="8:34" ht="12.75">
      <c r="H2526" s="43"/>
      <c r="AG2526" s="49" t="str">
        <f ca="1">IFERROR(__xludf.DUMMYFUNCTION("IFNA(vlookup(H2526,IMPORTRANGE(""1vUGwO1n0QQGx9kKbO0_M5gmuhXZ6-LaxQxgrmJnzgP0"",""'TP# look up'!A:C""),3,0),"""")"),"")</f>
        <v/>
      </c>
      <c r="AH2526" s="49" t="str">
        <f t="shared" si="39"/>
        <v/>
      </c>
    </row>
    <row r="2527" spans="8:34" ht="12.75">
      <c r="H2527" s="43"/>
      <c r="AG2527" s="49" t="str">
        <f ca="1">IFERROR(__xludf.DUMMYFUNCTION("IFNA(vlookup(H2527,IMPORTRANGE(""1vUGwO1n0QQGx9kKbO0_M5gmuhXZ6-LaxQxgrmJnzgP0"",""'TP# look up'!A:C""),3,0),"""")"),"")</f>
        <v/>
      </c>
      <c r="AH2527" s="49" t="str">
        <f t="shared" si="39"/>
        <v/>
      </c>
    </row>
    <row r="2528" spans="8:34" ht="12.75">
      <c r="H2528" s="43"/>
      <c r="AG2528" s="49" t="str">
        <f ca="1">IFERROR(__xludf.DUMMYFUNCTION("IFNA(vlookup(H2528,IMPORTRANGE(""1vUGwO1n0QQGx9kKbO0_M5gmuhXZ6-LaxQxgrmJnzgP0"",""'TP# look up'!A:C""),3,0),"""")"),"")</f>
        <v/>
      </c>
      <c r="AH2528" s="49" t="str">
        <f t="shared" si="39"/>
        <v/>
      </c>
    </row>
    <row r="2529" spans="8:34" ht="12.75">
      <c r="H2529" s="43"/>
      <c r="AG2529" s="49" t="str">
        <f ca="1">IFERROR(__xludf.DUMMYFUNCTION("IFNA(vlookup(H2529,IMPORTRANGE(""1vUGwO1n0QQGx9kKbO0_M5gmuhXZ6-LaxQxgrmJnzgP0"",""'TP# look up'!A:C""),3,0),"""")"),"")</f>
        <v/>
      </c>
      <c r="AH2529" s="49" t="str">
        <f t="shared" si="39"/>
        <v/>
      </c>
    </row>
    <row r="2530" spans="8:34" ht="12.75">
      <c r="H2530" s="43"/>
      <c r="AG2530" s="49" t="str">
        <f ca="1">IFERROR(__xludf.DUMMYFUNCTION("IFNA(vlookup(H2530,IMPORTRANGE(""1vUGwO1n0QQGx9kKbO0_M5gmuhXZ6-LaxQxgrmJnzgP0"",""'TP# look up'!A:C""),3,0),"""")"),"")</f>
        <v/>
      </c>
      <c r="AH2530" s="49" t="str">
        <f t="shared" si="39"/>
        <v/>
      </c>
    </row>
    <row r="2531" spans="8:34" ht="12.75">
      <c r="H2531" s="43"/>
      <c r="AG2531" s="49" t="str">
        <f ca="1">IFERROR(__xludf.DUMMYFUNCTION("IFNA(vlookup(H2531,IMPORTRANGE(""1vUGwO1n0QQGx9kKbO0_M5gmuhXZ6-LaxQxgrmJnzgP0"",""'TP# look up'!A:C""),3,0),"""")"),"")</f>
        <v/>
      </c>
      <c r="AH2531" s="49" t="str">
        <f t="shared" si="39"/>
        <v/>
      </c>
    </row>
    <row r="2532" spans="8:34" ht="12.75">
      <c r="H2532" s="43"/>
      <c r="AG2532" s="49" t="str">
        <f ca="1">IFERROR(__xludf.DUMMYFUNCTION("IFNA(vlookup(H2532,IMPORTRANGE(""1vUGwO1n0QQGx9kKbO0_M5gmuhXZ6-LaxQxgrmJnzgP0"",""'TP# look up'!A:C""),3,0),"""")"),"")</f>
        <v/>
      </c>
      <c r="AH2532" s="49" t="str">
        <f t="shared" si="39"/>
        <v/>
      </c>
    </row>
    <row r="2533" spans="8:34" ht="12.75">
      <c r="H2533" s="43"/>
      <c r="AG2533" s="49" t="str">
        <f ca="1">IFERROR(__xludf.DUMMYFUNCTION("IFNA(vlookup(H2533,IMPORTRANGE(""1vUGwO1n0QQGx9kKbO0_M5gmuhXZ6-LaxQxgrmJnzgP0"",""'TP# look up'!A:C""),3,0),"""")"),"")</f>
        <v/>
      </c>
      <c r="AH2533" s="49" t="str">
        <f t="shared" si="39"/>
        <v/>
      </c>
    </row>
    <row r="2534" spans="8:34" ht="12.75">
      <c r="H2534" s="43"/>
      <c r="AG2534" s="49" t="str">
        <f ca="1">IFERROR(__xludf.DUMMYFUNCTION("IFNA(vlookup(H2534,IMPORTRANGE(""1vUGwO1n0QQGx9kKbO0_M5gmuhXZ6-LaxQxgrmJnzgP0"",""'TP# look up'!A:C""),3,0),"""")"),"")</f>
        <v/>
      </c>
      <c r="AH2534" s="49" t="str">
        <f t="shared" si="39"/>
        <v/>
      </c>
    </row>
    <row r="2535" spans="8:34" ht="12.75">
      <c r="H2535" s="43"/>
      <c r="AG2535" s="49" t="str">
        <f ca="1">IFERROR(__xludf.DUMMYFUNCTION("IFNA(vlookup(H2535,IMPORTRANGE(""1vUGwO1n0QQGx9kKbO0_M5gmuhXZ6-LaxQxgrmJnzgP0"",""'TP# look up'!A:C""),3,0),"""")"),"")</f>
        <v/>
      </c>
      <c r="AH2535" s="49" t="str">
        <f t="shared" si="39"/>
        <v/>
      </c>
    </row>
    <row r="2536" spans="8:34" ht="12.75">
      <c r="H2536" s="43"/>
      <c r="AG2536" s="49" t="str">
        <f ca="1">IFERROR(__xludf.DUMMYFUNCTION("IFNA(vlookup(H2536,IMPORTRANGE(""1vUGwO1n0QQGx9kKbO0_M5gmuhXZ6-LaxQxgrmJnzgP0"",""'TP# look up'!A:C""),3,0),"""")"),"")</f>
        <v/>
      </c>
      <c r="AH2536" s="49" t="str">
        <f t="shared" si="39"/>
        <v/>
      </c>
    </row>
    <row r="2537" spans="8:34" ht="12.75">
      <c r="H2537" s="43"/>
      <c r="AG2537" s="49" t="str">
        <f ca="1">IFERROR(__xludf.DUMMYFUNCTION("IFNA(vlookup(H2537,IMPORTRANGE(""1vUGwO1n0QQGx9kKbO0_M5gmuhXZ6-LaxQxgrmJnzgP0"",""'TP# look up'!A:C""),3,0),"""")"),"")</f>
        <v/>
      </c>
      <c r="AH2537" s="49" t="str">
        <f t="shared" si="39"/>
        <v/>
      </c>
    </row>
    <row r="2538" spans="8:34" ht="12.75">
      <c r="H2538" s="43"/>
      <c r="AG2538" s="49" t="str">
        <f ca="1">IFERROR(__xludf.DUMMYFUNCTION("IFNA(vlookup(H2538,IMPORTRANGE(""1vUGwO1n0QQGx9kKbO0_M5gmuhXZ6-LaxQxgrmJnzgP0"",""'TP# look up'!A:C""),3,0),"""")"),"")</f>
        <v/>
      </c>
      <c r="AH2538" s="49" t="str">
        <f t="shared" si="39"/>
        <v/>
      </c>
    </row>
    <row r="2539" spans="8:34" ht="12.75">
      <c r="H2539" s="43"/>
      <c r="AG2539" s="49" t="str">
        <f ca="1">IFERROR(__xludf.DUMMYFUNCTION("IFNA(vlookup(H2539,IMPORTRANGE(""1vUGwO1n0QQGx9kKbO0_M5gmuhXZ6-LaxQxgrmJnzgP0"",""'TP# look up'!A:C""),3,0),"""")"),"")</f>
        <v/>
      </c>
      <c r="AH2539" s="49" t="str">
        <f t="shared" si="39"/>
        <v/>
      </c>
    </row>
    <row r="2540" spans="8:34" ht="12.75">
      <c r="H2540" s="43"/>
      <c r="AG2540" s="49" t="str">
        <f ca="1">IFERROR(__xludf.DUMMYFUNCTION("IFNA(vlookup(H2540,IMPORTRANGE(""1vUGwO1n0QQGx9kKbO0_M5gmuhXZ6-LaxQxgrmJnzgP0"",""'TP# look up'!A:C""),3,0),"""")"),"")</f>
        <v/>
      </c>
      <c r="AH2540" s="49" t="str">
        <f t="shared" si="39"/>
        <v/>
      </c>
    </row>
    <row r="2541" spans="8:34" ht="12.75">
      <c r="H2541" s="43"/>
      <c r="AG2541" s="49" t="str">
        <f ca="1">IFERROR(__xludf.DUMMYFUNCTION("IFNA(vlookup(H2541,IMPORTRANGE(""1vUGwO1n0QQGx9kKbO0_M5gmuhXZ6-LaxQxgrmJnzgP0"",""'TP# look up'!A:C""),3,0),"""")"),"")</f>
        <v/>
      </c>
      <c r="AH2541" s="49" t="str">
        <f t="shared" si="39"/>
        <v/>
      </c>
    </row>
    <row r="2542" spans="8:34" ht="12.75">
      <c r="H2542" s="43"/>
      <c r="AG2542" s="49" t="str">
        <f ca="1">IFERROR(__xludf.DUMMYFUNCTION("IFNA(vlookup(H2542,IMPORTRANGE(""1vUGwO1n0QQGx9kKbO0_M5gmuhXZ6-LaxQxgrmJnzgP0"",""'TP# look up'!A:C""),3,0),"""")"),"")</f>
        <v/>
      </c>
      <c r="AH2542" s="49" t="str">
        <f t="shared" si="39"/>
        <v/>
      </c>
    </row>
    <row r="2543" spans="8:34" ht="12.75">
      <c r="H2543" s="43"/>
      <c r="AG2543" s="49" t="str">
        <f ca="1">IFERROR(__xludf.DUMMYFUNCTION("IFNA(vlookup(H2543,IMPORTRANGE(""1vUGwO1n0QQGx9kKbO0_M5gmuhXZ6-LaxQxgrmJnzgP0"",""'TP# look up'!A:C""),3,0),"""")"),"")</f>
        <v/>
      </c>
      <c r="AH2543" s="49" t="str">
        <f t="shared" si="39"/>
        <v/>
      </c>
    </row>
    <row r="2544" spans="8:34" ht="12.75">
      <c r="H2544" s="43"/>
      <c r="AG2544" s="49" t="str">
        <f ca="1">IFERROR(__xludf.DUMMYFUNCTION("IFNA(vlookup(H2544,IMPORTRANGE(""1vUGwO1n0QQGx9kKbO0_M5gmuhXZ6-LaxQxgrmJnzgP0"",""'TP# look up'!A:C""),3,0),"""")"),"")</f>
        <v/>
      </c>
      <c r="AH2544" s="49" t="str">
        <f t="shared" si="39"/>
        <v/>
      </c>
    </row>
    <row r="2545" spans="8:34" ht="12.75">
      <c r="H2545" s="43"/>
      <c r="AG2545" s="49" t="str">
        <f ca="1">IFERROR(__xludf.DUMMYFUNCTION("IFNA(vlookup(H2545,IMPORTRANGE(""1vUGwO1n0QQGx9kKbO0_M5gmuhXZ6-LaxQxgrmJnzgP0"",""'TP# look up'!A:C""),3,0),"""")"),"")</f>
        <v/>
      </c>
      <c r="AH2545" s="49" t="str">
        <f t="shared" si="39"/>
        <v/>
      </c>
    </row>
    <row r="2546" spans="8:34" ht="12.75">
      <c r="H2546" s="43"/>
      <c r="AG2546" s="49" t="str">
        <f ca="1">IFERROR(__xludf.DUMMYFUNCTION("IFNA(vlookup(H2546,IMPORTRANGE(""1vUGwO1n0QQGx9kKbO0_M5gmuhXZ6-LaxQxgrmJnzgP0"",""'TP# look up'!A:C""),3,0),"""")"),"")</f>
        <v/>
      </c>
      <c r="AH2546" s="49" t="str">
        <f t="shared" si="39"/>
        <v/>
      </c>
    </row>
    <row r="2547" spans="8:34" ht="12.75">
      <c r="H2547" s="43"/>
      <c r="AG2547" s="49" t="str">
        <f ca="1">IFERROR(__xludf.DUMMYFUNCTION("IFNA(vlookup(H2547,IMPORTRANGE(""1vUGwO1n0QQGx9kKbO0_M5gmuhXZ6-LaxQxgrmJnzgP0"",""'TP# look up'!A:C""),3,0),"""")"),"")</f>
        <v/>
      </c>
      <c r="AH2547" s="49" t="str">
        <f t="shared" si="39"/>
        <v/>
      </c>
    </row>
    <row r="2548" spans="8:34" ht="12.75">
      <c r="H2548" s="43"/>
      <c r="AG2548" s="49" t="str">
        <f ca="1">IFERROR(__xludf.DUMMYFUNCTION("IFNA(vlookup(H2548,IMPORTRANGE(""1vUGwO1n0QQGx9kKbO0_M5gmuhXZ6-LaxQxgrmJnzgP0"",""'TP# look up'!A:C""),3,0),"""")"),"")</f>
        <v/>
      </c>
      <c r="AH2548" s="49" t="str">
        <f t="shared" si="39"/>
        <v/>
      </c>
    </row>
    <row r="2549" spans="8:34" ht="12.75">
      <c r="H2549" s="43"/>
      <c r="AG2549" s="49" t="str">
        <f ca="1">IFERROR(__xludf.DUMMYFUNCTION("IFNA(vlookup(H2549,IMPORTRANGE(""1vUGwO1n0QQGx9kKbO0_M5gmuhXZ6-LaxQxgrmJnzgP0"",""'TP# look up'!A:C""),3,0),"""")"),"")</f>
        <v/>
      </c>
      <c r="AH2549" s="49" t="str">
        <f t="shared" si="39"/>
        <v/>
      </c>
    </row>
    <row r="2550" spans="8:34" ht="12.75">
      <c r="H2550" s="43"/>
      <c r="AG2550" s="49" t="str">
        <f ca="1">IFERROR(__xludf.DUMMYFUNCTION("IFNA(vlookup(H2550,IMPORTRANGE(""1vUGwO1n0QQGx9kKbO0_M5gmuhXZ6-LaxQxgrmJnzgP0"",""'TP# look up'!A:C""),3,0),"""")"),"")</f>
        <v/>
      </c>
      <c r="AH2550" s="49" t="str">
        <f t="shared" si="39"/>
        <v/>
      </c>
    </row>
    <row r="2551" spans="8:34" ht="12.75">
      <c r="H2551" s="43"/>
      <c r="AG2551" s="49" t="str">
        <f ca="1">IFERROR(__xludf.DUMMYFUNCTION("IFNA(vlookup(H2551,IMPORTRANGE(""1vUGwO1n0QQGx9kKbO0_M5gmuhXZ6-LaxQxgrmJnzgP0"",""'TP# look up'!A:C""),3,0),"""")"),"")</f>
        <v/>
      </c>
      <c r="AH2551" s="49" t="str">
        <f t="shared" si="39"/>
        <v/>
      </c>
    </row>
    <row r="2552" spans="8:34" ht="12.75">
      <c r="H2552" s="43"/>
      <c r="AG2552" s="49" t="str">
        <f ca="1">IFERROR(__xludf.DUMMYFUNCTION("IFNA(vlookup(H2552,IMPORTRANGE(""1vUGwO1n0QQGx9kKbO0_M5gmuhXZ6-LaxQxgrmJnzgP0"",""'TP# look up'!A:C""),3,0),"""")"),"")</f>
        <v/>
      </c>
      <c r="AH2552" s="49" t="str">
        <f t="shared" si="39"/>
        <v/>
      </c>
    </row>
    <row r="2553" spans="8:34" ht="12.75">
      <c r="H2553" s="43"/>
      <c r="AG2553" s="49" t="str">
        <f ca="1">IFERROR(__xludf.DUMMYFUNCTION("IFNA(vlookup(H2553,IMPORTRANGE(""1vUGwO1n0QQGx9kKbO0_M5gmuhXZ6-LaxQxgrmJnzgP0"",""'TP# look up'!A:C""),3,0),"""")"),"")</f>
        <v/>
      </c>
      <c r="AH2553" s="49" t="str">
        <f t="shared" si="39"/>
        <v/>
      </c>
    </row>
    <row r="2554" spans="8:34" ht="12.75">
      <c r="H2554" s="43"/>
      <c r="AG2554" s="49" t="str">
        <f ca="1">IFERROR(__xludf.DUMMYFUNCTION("IFNA(vlookup(H2554,IMPORTRANGE(""1vUGwO1n0QQGx9kKbO0_M5gmuhXZ6-LaxQxgrmJnzgP0"",""'TP# look up'!A:C""),3,0),"""")"),"")</f>
        <v/>
      </c>
      <c r="AH2554" s="49" t="str">
        <f t="shared" si="39"/>
        <v/>
      </c>
    </row>
    <row r="2555" spans="8:34" ht="12.75">
      <c r="H2555" s="43"/>
      <c r="AG2555" s="49" t="str">
        <f ca="1">IFERROR(__xludf.DUMMYFUNCTION("IFNA(vlookup(H2555,IMPORTRANGE(""1vUGwO1n0QQGx9kKbO0_M5gmuhXZ6-LaxQxgrmJnzgP0"",""'TP# look up'!A:C""),3,0),"""")"),"")</f>
        <v/>
      </c>
      <c r="AH2555" s="49" t="str">
        <f t="shared" si="39"/>
        <v/>
      </c>
    </row>
    <row r="2556" spans="8:34" ht="12.75">
      <c r="H2556" s="43"/>
      <c r="AG2556" s="49" t="str">
        <f ca="1">IFERROR(__xludf.DUMMYFUNCTION("IFNA(vlookup(H2556,IMPORTRANGE(""1vUGwO1n0QQGx9kKbO0_M5gmuhXZ6-LaxQxgrmJnzgP0"",""'TP# look up'!A:C""),3,0),"""")"),"")</f>
        <v/>
      </c>
      <c r="AH2556" s="49" t="str">
        <f t="shared" si="39"/>
        <v/>
      </c>
    </row>
    <row r="2557" spans="8:34" ht="12.75">
      <c r="H2557" s="43"/>
      <c r="AG2557" s="49" t="str">
        <f ca="1">IFERROR(__xludf.DUMMYFUNCTION("IFNA(vlookup(H2557,IMPORTRANGE(""1vUGwO1n0QQGx9kKbO0_M5gmuhXZ6-LaxQxgrmJnzgP0"",""'TP# look up'!A:C""),3,0),"""")"),"")</f>
        <v/>
      </c>
      <c r="AH2557" s="49" t="str">
        <f t="shared" si="39"/>
        <v/>
      </c>
    </row>
    <row r="2558" spans="8:34" ht="12.75">
      <c r="H2558" s="43"/>
      <c r="AG2558" s="49" t="str">
        <f ca="1">IFERROR(__xludf.DUMMYFUNCTION("IFNA(vlookup(H2558,IMPORTRANGE(""1vUGwO1n0QQGx9kKbO0_M5gmuhXZ6-LaxQxgrmJnzgP0"",""'TP# look up'!A:C""),3,0),"""")"),"")</f>
        <v/>
      </c>
      <c r="AH2558" s="49" t="str">
        <f t="shared" si="39"/>
        <v/>
      </c>
    </row>
    <row r="2559" spans="8:34" ht="12.75">
      <c r="H2559" s="43"/>
      <c r="AG2559" s="49" t="str">
        <f ca="1">IFERROR(__xludf.DUMMYFUNCTION("IFNA(vlookup(H2559,IMPORTRANGE(""1vUGwO1n0QQGx9kKbO0_M5gmuhXZ6-LaxQxgrmJnzgP0"",""'TP# look up'!A:C""),3,0),"""")"),"")</f>
        <v/>
      </c>
      <c r="AH2559" s="49" t="str">
        <f t="shared" si="39"/>
        <v/>
      </c>
    </row>
    <row r="2560" spans="8:34" ht="12.75">
      <c r="H2560" s="43"/>
      <c r="AG2560" s="49" t="str">
        <f ca="1">IFERROR(__xludf.DUMMYFUNCTION("IFNA(vlookup(H2560,IMPORTRANGE(""1vUGwO1n0QQGx9kKbO0_M5gmuhXZ6-LaxQxgrmJnzgP0"",""'TP# look up'!A:C""),3,0),"""")"),"")</f>
        <v/>
      </c>
      <c r="AH2560" s="49" t="str">
        <f t="shared" si="39"/>
        <v/>
      </c>
    </row>
    <row r="2561" spans="8:34" ht="12.75">
      <c r="H2561" s="43"/>
      <c r="AG2561" s="49" t="str">
        <f ca="1">IFERROR(__xludf.DUMMYFUNCTION("IFNA(vlookup(H2561,IMPORTRANGE(""1vUGwO1n0QQGx9kKbO0_M5gmuhXZ6-LaxQxgrmJnzgP0"",""'TP# look up'!A:C""),3,0),"""")"),"")</f>
        <v/>
      </c>
      <c r="AH2561" s="49" t="str">
        <f t="shared" si="39"/>
        <v/>
      </c>
    </row>
    <row r="2562" spans="8:34" ht="12.75">
      <c r="H2562" s="43"/>
      <c r="AG2562" s="49" t="str">
        <f ca="1">IFERROR(__xludf.DUMMYFUNCTION("IFNA(vlookup(H2562,IMPORTRANGE(""1vUGwO1n0QQGx9kKbO0_M5gmuhXZ6-LaxQxgrmJnzgP0"",""'TP# look up'!A:C""),3,0),"""")"),"")</f>
        <v/>
      </c>
      <c r="AH2562" s="49" t="str">
        <f t="shared" ref="AH2562:AH2625" si="40">LEFT(J2562,2)</f>
        <v/>
      </c>
    </row>
    <row r="2563" spans="8:34" ht="12.75">
      <c r="H2563" s="43"/>
      <c r="AG2563" s="49" t="str">
        <f ca="1">IFERROR(__xludf.DUMMYFUNCTION("IFNA(vlookup(H2563,IMPORTRANGE(""1vUGwO1n0QQGx9kKbO0_M5gmuhXZ6-LaxQxgrmJnzgP0"",""'TP# look up'!A:C""),3,0),"""")"),"")</f>
        <v/>
      </c>
      <c r="AH2563" s="49" t="str">
        <f t="shared" si="40"/>
        <v/>
      </c>
    </row>
    <row r="2564" spans="8:34" ht="12.75">
      <c r="H2564" s="43"/>
      <c r="AG2564" s="49" t="str">
        <f ca="1">IFERROR(__xludf.DUMMYFUNCTION("IFNA(vlookup(H2564,IMPORTRANGE(""1vUGwO1n0QQGx9kKbO0_M5gmuhXZ6-LaxQxgrmJnzgP0"",""'TP# look up'!A:C""),3,0),"""")"),"")</f>
        <v/>
      </c>
      <c r="AH2564" s="49" t="str">
        <f t="shared" si="40"/>
        <v/>
      </c>
    </row>
    <row r="2565" spans="8:34" ht="12.75">
      <c r="H2565" s="43"/>
      <c r="AG2565" s="49" t="str">
        <f ca="1">IFERROR(__xludf.DUMMYFUNCTION("IFNA(vlookup(H2565,IMPORTRANGE(""1vUGwO1n0QQGx9kKbO0_M5gmuhXZ6-LaxQxgrmJnzgP0"",""'TP# look up'!A:C""),3,0),"""")"),"")</f>
        <v/>
      </c>
      <c r="AH2565" s="49" t="str">
        <f t="shared" si="40"/>
        <v/>
      </c>
    </row>
    <row r="2566" spans="8:34" ht="12.75">
      <c r="H2566" s="43"/>
      <c r="AG2566" s="49" t="str">
        <f ca="1">IFERROR(__xludf.DUMMYFUNCTION("IFNA(vlookup(H2566,IMPORTRANGE(""1vUGwO1n0QQGx9kKbO0_M5gmuhXZ6-LaxQxgrmJnzgP0"",""'TP# look up'!A:C""),3,0),"""")"),"")</f>
        <v/>
      </c>
      <c r="AH2566" s="49" t="str">
        <f t="shared" si="40"/>
        <v/>
      </c>
    </row>
    <row r="2567" spans="8:34" ht="12.75">
      <c r="H2567" s="43"/>
      <c r="AG2567" s="49" t="str">
        <f ca="1">IFERROR(__xludf.DUMMYFUNCTION("IFNA(vlookup(H2567,IMPORTRANGE(""1vUGwO1n0QQGx9kKbO0_M5gmuhXZ6-LaxQxgrmJnzgP0"",""'TP# look up'!A:C""),3,0),"""")"),"")</f>
        <v/>
      </c>
      <c r="AH2567" s="49" t="str">
        <f t="shared" si="40"/>
        <v/>
      </c>
    </row>
    <row r="2568" spans="8:34" ht="12.75">
      <c r="H2568" s="43"/>
      <c r="AG2568" s="49" t="str">
        <f ca="1">IFERROR(__xludf.DUMMYFUNCTION("IFNA(vlookup(H2568,IMPORTRANGE(""1vUGwO1n0QQGx9kKbO0_M5gmuhXZ6-LaxQxgrmJnzgP0"",""'TP# look up'!A:C""),3,0),"""")"),"")</f>
        <v/>
      </c>
      <c r="AH2568" s="49" t="str">
        <f t="shared" si="40"/>
        <v/>
      </c>
    </row>
    <row r="2569" spans="8:34" ht="12.75">
      <c r="H2569" s="43"/>
      <c r="AG2569" s="49" t="str">
        <f ca="1">IFERROR(__xludf.DUMMYFUNCTION("IFNA(vlookup(H2569,IMPORTRANGE(""1vUGwO1n0QQGx9kKbO0_M5gmuhXZ6-LaxQxgrmJnzgP0"",""'TP# look up'!A:C""),3,0),"""")"),"")</f>
        <v/>
      </c>
      <c r="AH2569" s="49" t="str">
        <f t="shared" si="40"/>
        <v/>
      </c>
    </row>
    <row r="2570" spans="8:34" ht="12.75">
      <c r="H2570" s="43"/>
      <c r="AG2570" s="49" t="str">
        <f ca="1">IFERROR(__xludf.DUMMYFUNCTION("IFNA(vlookup(H2570,IMPORTRANGE(""1vUGwO1n0QQGx9kKbO0_M5gmuhXZ6-LaxQxgrmJnzgP0"",""'TP# look up'!A:C""),3,0),"""")"),"")</f>
        <v/>
      </c>
      <c r="AH2570" s="49" t="str">
        <f t="shared" si="40"/>
        <v/>
      </c>
    </row>
    <row r="2571" spans="8:34" ht="12.75">
      <c r="H2571" s="43"/>
      <c r="AG2571" s="49" t="str">
        <f ca="1">IFERROR(__xludf.DUMMYFUNCTION("IFNA(vlookup(H2571,IMPORTRANGE(""1vUGwO1n0QQGx9kKbO0_M5gmuhXZ6-LaxQxgrmJnzgP0"",""'TP# look up'!A:C""),3,0),"""")"),"")</f>
        <v/>
      </c>
      <c r="AH2571" s="49" t="str">
        <f t="shared" si="40"/>
        <v/>
      </c>
    </row>
    <row r="2572" spans="8:34" ht="12.75">
      <c r="H2572" s="43"/>
      <c r="AG2572" s="49" t="str">
        <f ca="1">IFERROR(__xludf.DUMMYFUNCTION("IFNA(vlookup(H2572,IMPORTRANGE(""1vUGwO1n0QQGx9kKbO0_M5gmuhXZ6-LaxQxgrmJnzgP0"",""'TP# look up'!A:C""),3,0),"""")"),"")</f>
        <v/>
      </c>
      <c r="AH2572" s="49" t="str">
        <f t="shared" si="40"/>
        <v/>
      </c>
    </row>
    <row r="2573" spans="8:34" ht="12.75">
      <c r="H2573" s="43"/>
      <c r="AG2573" s="49" t="str">
        <f ca="1">IFERROR(__xludf.DUMMYFUNCTION("IFNA(vlookup(H2573,IMPORTRANGE(""1vUGwO1n0QQGx9kKbO0_M5gmuhXZ6-LaxQxgrmJnzgP0"",""'TP# look up'!A:C""),3,0),"""")"),"")</f>
        <v/>
      </c>
      <c r="AH2573" s="49" t="str">
        <f t="shared" si="40"/>
        <v/>
      </c>
    </row>
    <row r="2574" spans="8:34" ht="12.75">
      <c r="H2574" s="43"/>
      <c r="AG2574" s="49" t="str">
        <f ca="1">IFERROR(__xludf.DUMMYFUNCTION("IFNA(vlookup(H2574,IMPORTRANGE(""1vUGwO1n0QQGx9kKbO0_M5gmuhXZ6-LaxQxgrmJnzgP0"",""'TP# look up'!A:C""),3,0),"""")"),"")</f>
        <v/>
      </c>
      <c r="AH2574" s="49" t="str">
        <f t="shared" si="40"/>
        <v/>
      </c>
    </row>
    <row r="2575" spans="8:34" ht="12.75">
      <c r="H2575" s="43"/>
      <c r="AG2575" s="49" t="str">
        <f ca="1">IFERROR(__xludf.DUMMYFUNCTION("IFNA(vlookup(H2575,IMPORTRANGE(""1vUGwO1n0QQGx9kKbO0_M5gmuhXZ6-LaxQxgrmJnzgP0"",""'TP# look up'!A:C""),3,0),"""")"),"")</f>
        <v/>
      </c>
      <c r="AH2575" s="49" t="str">
        <f t="shared" si="40"/>
        <v/>
      </c>
    </row>
    <row r="2576" spans="8:34" ht="12.75">
      <c r="H2576" s="43"/>
      <c r="AG2576" s="49" t="str">
        <f ca="1">IFERROR(__xludf.DUMMYFUNCTION("IFNA(vlookup(H2576,IMPORTRANGE(""1vUGwO1n0QQGx9kKbO0_M5gmuhXZ6-LaxQxgrmJnzgP0"",""'TP# look up'!A:C""),3,0),"""")"),"")</f>
        <v/>
      </c>
      <c r="AH2576" s="49" t="str">
        <f t="shared" si="40"/>
        <v/>
      </c>
    </row>
    <row r="2577" spans="8:34" ht="12.75">
      <c r="H2577" s="43"/>
      <c r="AG2577" s="49" t="str">
        <f ca="1">IFERROR(__xludf.DUMMYFUNCTION("IFNA(vlookup(H2577,IMPORTRANGE(""1vUGwO1n0QQGx9kKbO0_M5gmuhXZ6-LaxQxgrmJnzgP0"",""'TP# look up'!A:C""),3,0),"""")"),"")</f>
        <v/>
      </c>
      <c r="AH2577" s="49" t="str">
        <f t="shared" si="40"/>
        <v/>
      </c>
    </row>
    <row r="2578" spans="8:34" ht="12.75">
      <c r="H2578" s="43"/>
      <c r="AG2578" s="49" t="str">
        <f ca="1">IFERROR(__xludf.DUMMYFUNCTION("IFNA(vlookup(H2578,IMPORTRANGE(""1vUGwO1n0QQGx9kKbO0_M5gmuhXZ6-LaxQxgrmJnzgP0"",""'TP# look up'!A:C""),3,0),"""")"),"")</f>
        <v/>
      </c>
      <c r="AH2578" s="49" t="str">
        <f t="shared" si="40"/>
        <v/>
      </c>
    </row>
    <row r="2579" spans="8:34" ht="12.75">
      <c r="H2579" s="43"/>
      <c r="AG2579" s="49" t="str">
        <f ca="1">IFERROR(__xludf.DUMMYFUNCTION("IFNA(vlookup(H2579,IMPORTRANGE(""1vUGwO1n0QQGx9kKbO0_M5gmuhXZ6-LaxQxgrmJnzgP0"",""'TP# look up'!A:C""),3,0),"""")"),"")</f>
        <v/>
      </c>
      <c r="AH2579" s="49" t="str">
        <f t="shared" si="40"/>
        <v/>
      </c>
    </row>
    <row r="2580" spans="8:34" ht="12.75">
      <c r="H2580" s="43"/>
      <c r="AG2580" s="49" t="str">
        <f ca="1">IFERROR(__xludf.DUMMYFUNCTION("IFNA(vlookup(H2580,IMPORTRANGE(""1vUGwO1n0QQGx9kKbO0_M5gmuhXZ6-LaxQxgrmJnzgP0"",""'TP# look up'!A:C""),3,0),"""")"),"")</f>
        <v/>
      </c>
      <c r="AH2580" s="49" t="str">
        <f t="shared" si="40"/>
        <v/>
      </c>
    </row>
    <row r="2581" spans="8:34" ht="12.75">
      <c r="H2581" s="43"/>
      <c r="AG2581" s="49" t="str">
        <f ca="1">IFERROR(__xludf.DUMMYFUNCTION("IFNA(vlookup(H2581,IMPORTRANGE(""1vUGwO1n0QQGx9kKbO0_M5gmuhXZ6-LaxQxgrmJnzgP0"",""'TP# look up'!A:C""),3,0),"""")"),"")</f>
        <v/>
      </c>
      <c r="AH2581" s="49" t="str">
        <f t="shared" si="40"/>
        <v/>
      </c>
    </row>
    <row r="2582" spans="8:34" ht="12.75">
      <c r="H2582" s="43"/>
      <c r="AG2582" s="49" t="str">
        <f ca="1">IFERROR(__xludf.DUMMYFUNCTION("IFNA(vlookup(H2582,IMPORTRANGE(""1vUGwO1n0QQGx9kKbO0_M5gmuhXZ6-LaxQxgrmJnzgP0"",""'TP# look up'!A:C""),3,0),"""")"),"")</f>
        <v/>
      </c>
      <c r="AH2582" s="49" t="str">
        <f t="shared" si="40"/>
        <v/>
      </c>
    </row>
    <row r="2583" spans="8:34" ht="12.75">
      <c r="H2583" s="43"/>
      <c r="AG2583" s="49" t="str">
        <f ca="1">IFERROR(__xludf.DUMMYFUNCTION("IFNA(vlookup(H2583,IMPORTRANGE(""1vUGwO1n0QQGx9kKbO0_M5gmuhXZ6-LaxQxgrmJnzgP0"",""'TP# look up'!A:C""),3,0),"""")"),"")</f>
        <v/>
      </c>
      <c r="AH2583" s="49" t="str">
        <f t="shared" si="40"/>
        <v/>
      </c>
    </row>
    <row r="2584" spans="8:34" ht="12.75">
      <c r="H2584" s="43"/>
      <c r="AG2584" s="49" t="str">
        <f ca="1">IFERROR(__xludf.DUMMYFUNCTION("IFNA(vlookup(H2584,IMPORTRANGE(""1vUGwO1n0QQGx9kKbO0_M5gmuhXZ6-LaxQxgrmJnzgP0"",""'TP# look up'!A:C""),3,0),"""")"),"")</f>
        <v/>
      </c>
      <c r="AH2584" s="49" t="str">
        <f t="shared" si="40"/>
        <v/>
      </c>
    </row>
    <row r="2585" spans="8:34" ht="12.75">
      <c r="H2585" s="43"/>
      <c r="AG2585" s="49" t="str">
        <f ca="1">IFERROR(__xludf.DUMMYFUNCTION("IFNA(vlookup(H2585,IMPORTRANGE(""1vUGwO1n0QQGx9kKbO0_M5gmuhXZ6-LaxQxgrmJnzgP0"",""'TP# look up'!A:C""),3,0),"""")"),"")</f>
        <v/>
      </c>
      <c r="AH2585" s="49" t="str">
        <f t="shared" si="40"/>
        <v/>
      </c>
    </row>
    <row r="2586" spans="8:34" ht="12.75">
      <c r="H2586" s="43"/>
      <c r="AG2586" s="49" t="str">
        <f ca="1">IFERROR(__xludf.DUMMYFUNCTION("IFNA(vlookup(H2586,IMPORTRANGE(""1vUGwO1n0QQGx9kKbO0_M5gmuhXZ6-LaxQxgrmJnzgP0"",""'TP# look up'!A:C""),3,0),"""")"),"")</f>
        <v/>
      </c>
      <c r="AH2586" s="49" t="str">
        <f t="shared" si="40"/>
        <v/>
      </c>
    </row>
    <row r="2587" spans="8:34" ht="12.75">
      <c r="H2587" s="43"/>
      <c r="AG2587" s="49" t="str">
        <f ca="1">IFERROR(__xludf.DUMMYFUNCTION("IFNA(vlookup(H2587,IMPORTRANGE(""1vUGwO1n0QQGx9kKbO0_M5gmuhXZ6-LaxQxgrmJnzgP0"",""'TP# look up'!A:C""),3,0),"""")"),"")</f>
        <v/>
      </c>
      <c r="AH2587" s="49" t="str">
        <f t="shared" si="40"/>
        <v/>
      </c>
    </row>
    <row r="2588" spans="8:34" ht="12.75">
      <c r="H2588" s="43"/>
      <c r="AG2588" s="49" t="str">
        <f ca="1">IFERROR(__xludf.DUMMYFUNCTION("IFNA(vlookup(H2588,IMPORTRANGE(""1vUGwO1n0QQGx9kKbO0_M5gmuhXZ6-LaxQxgrmJnzgP0"",""'TP# look up'!A:C""),3,0),"""")"),"")</f>
        <v/>
      </c>
      <c r="AH2588" s="49" t="str">
        <f t="shared" si="40"/>
        <v/>
      </c>
    </row>
    <row r="2589" spans="8:34" ht="12.75">
      <c r="H2589" s="43"/>
      <c r="AG2589" s="49" t="str">
        <f ca="1">IFERROR(__xludf.DUMMYFUNCTION("IFNA(vlookup(H2589,IMPORTRANGE(""1vUGwO1n0QQGx9kKbO0_M5gmuhXZ6-LaxQxgrmJnzgP0"",""'TP# look up'!A:C""),3,0),"""")"),"")</f>
        <v/>
      </c>
      <c r="AH2589" s="49" t="str">
        <f t="shared" si="40"/>
        <v/>
      </c>
    </row>
    <row r="2590" spans="8:34" ht="12.75">
      <c r="H2590" s="43"/>
      <c r="AG2590" s="49" t="str">
        <f ca="1">IFERROR(__xludf.DUMMYFUNCTION("IFNA(vlookup(H2590,IMPORTRANGE(""1vUGwO1n0QQGx9kKbO0_M5gmuhXZ6-LaxQxgrmJnzgP0"",""'TP# look up'!A:C""),3,0),"""")"),"")</f>
        <v/>
      </c>
      <c r="AH2590" s="49" t="str">
        <f t="shared" si="40"/>
        <v/>
      </c>
    </row>
    <row r="2591" spans="8:34" ht="12.75">
      <c r="H2591" s="43"/>
      <c r="AG2591" s="49" t="str">
        <f ca="1">IFERROR(__xludf.DUMMYFUNCTION("IFNA(vlookup(H2591,IMPORTRANGE(""1vUGwO1n0QQGx9kKbO0_M5gmuhXZ6-LaxQxgrmJnzgP0"",""'TP# look up'!A:C""),3,0),"""")"),"")</f>
        <v/>
      </c>
      <c r="AH2591" s="49" t="str">
        <f t="shared" si="40"/>
        <v/>
      </c>
    </row>
    <row r="2592" spans="8:34" ht="12.75">
      <c r="H2592" s="43"/>
      <c r="AG2592" s="49" t="str">
        <f ca="1">IFERROR(__xludf.DUMMYFUNCTION("IFNA(vlookup(H2592,IMPORTRANGE(""1vUGwO1n0QQGx9kKbO0_M5gmuhXZ6-LaxQxgrmJnzgP0"",""'TP# look up'!A:C""),3,0),"""")"),"")</f>
        <v/>
      </c>
      <c r="AH2592" s="49" t="str">
        <f t="shared" si="40"/>
        <v/>
      </c>
    </row>
    <row r="2593" spans="8:34" ht="12.75">
      <c r="H2593" s="43"/>
      <c r="AG2593" s="49" t="str">
        <f ca="1">IFERROR(__xludf.DUMMYFUNCTION("IFNA(vlookup(H2593,IMPORTRANGE(""1vUGwO1n0QQGx9kKbO0_M5gmuhXZ6-LaxQxgrmJnzgP0"",""'TP# look up'!A:C""),3,0),"""")"),"")</f>
        <v/>
      </c>
      <c r="AH2593" s="49" t="str">
        <f t="shared" si="40"/>
        <v/>
      </c>
    </row>
    <row r="2594" spans="8:34" ht="12.75">
      <c r="H2594" s="43"/>
      <c r="AG2594" s="49" t="str">
        <f ca="1">IFERROR(__xludf.DUMMYFUNCTION("IFNA(vlookup(H2594,IMPORTRANGE(""1vUGwO1n0QQGx9kKbO0_M5gmuhXZ6-LaxQxgrmJnzgP0"",""'TP# look up'!A:C""),3,0),"""")"),"")</f>
        <v/>
      </c>
      <c r="AH2594" s="49" t="str">
        <f t="shared" si="40"/>
        <v/>
      </c>
    </row>
    <row r="2595" spans="8:34" ht="12.75">
      <c r="H2595" s="43"/>
      <c r="AG2595" s="49" t="str">
        <f ca="1">IFERROR(__xludf.DUMMYFUNCTION("IFNA(vlookup(H2595,IMPORTRANGE(""1vUGwO1n0QQGx9kKbO0_M5gmuhXZ6-LaxQxgrmJnzgP0"",""'TP# look up'!A:C""),3,0),"""")"),"")</f>
        <v/>
      </c>
      <c r="AH2595" s="49" t="str">
        <f t="shared" si="40"/>
        <v/>
      </c>
    </row>
    <row r="2596" spans="8:34" ht="12.75">
      <c r="H2596" s="43"/>
      <c r="AG2596" s="49" t="str">
        <f ca="1">IFERROR(__xludf.DUMMYFUNCTION("IFNA(vlookup(H2596,IMPORTRANGE(""1vUGwO1n0QQGx9kKbO0_M5gmuhXZ6-LaxQxgrmJnzgP0"",""'TP# look up'!A:C""),3,0),"""")"),"")</f>
        <v/>
      </c>
      <c r="AH2596" s="49" t="str">
        <f t="shared" si="40"/>
        <v/>
      </c>
    </row>
    <row r="2597" spans="8:34" ht="12.75">
      <c r="H2597" s="43"/>
      <c r="AG2597" s="49" t="str">
        <f ca="1">IFERROR(__xludf.DUMMYFUNCTION("IFNA(vlookup(H2597,IMPORTRANGE(""1vUGwO1n0QQGx9kKbO0_M5gmuhXZ6-LaxQxgrmJnzgP0"",""'TP# look up'!A:C""),3,0),"""")"),"")</f>
        <v/>
      </c>
      <c r="AH2597" s="49" t="str">
        <f t="shared" si="40"/>
        <v/>
      </c>
    </row>
    <row r="2598" spans="8:34" ht="12.75">
      <c r="H2598" s="43"/>
      <c r="AG2598" s="49" t="str">
        <f ca="1">IFERROR(__xludf.DUMMYFUNCTION("IFNA(vlookup(H2598,IMPORTRANGE(""1vUGwO1n0QQGx9kKbO0_M5gmuhXZ6-LaxQxgrmJnzgP0"",""'TP# look up'!A:C""),3,0),"""")"),"")</f>
        <v/>
      </c>
      <c r="AH2598" s="49" t="str">
        <f t="shared" si="40"/>
        <v/>
      </c>
    </row>
    <row r="2599" spans="8:34" ht="12.75">
      <c r="H2599" s="43"/>
      <c r="AG2599" s="49" t="str">
        <f ca="1">IFERROR(__xludf.DUMMYFUNCTION("IFNA(vlookup(H2599,IMPORTRANGE(""1vUGwO1n0QQGx9kKbO0_M5gmuhXZ6-LaxQxgrmJnzgP0"",""'TP# look up'!A:C""),3,0),"""")"),"")</f>
        <v/>
      </c>
      <c r="AH2599" s="49" t="str">
        <f t="shared" si="40"/>
        <v/>
      </c>
    </row>
    <row r="2600" spans="8:34" ht="12.75">
      <c r="H2600" s="43"/>
      <c r="AG2600" s="49" t="str">
        <f ca="1">IFERROR(__xludf.DUMMYFUNCTION("IFNA(vlookup(H2600,IMPORTRANGE(""1vUGwO1n0QQGx9kKbO0_M5gmuhXZ6-LaxQxgrmJnzgP0"",""'TP# look up'!A:C""),3,0),"""")"),"")</f>
        <v/>
      </c>
      <c r="AH2600" s="49" t="str">
        <f t="shared" si="40"/>
        <v/>
      </c>
    </row>
    <row r="2601" spans="8:34" ht="12.75">
      <c r="H2601" s="43"/>
      <c r="AG2601" s="49" t="str">
        <f ca="1">IFERROR(__xludf.DUMMYFUNCTION("IFNA(vlookup(H2601,IMPORTRANGE(""1vUGwO1n0QQGx9kKbO0_M5gmuhXZ6-LaxQxgrmJnzgP0"",""'TP# look up'!A:C""),3,0),"""")"),"")</f>
        <v/>
      </c>
      <c r="AH2601" s="49" t="str">
        <f t="shared" si="40"/>
        <v/>
      </c>
    </row>
    <row r="2602" spans="8:34" ht="12.75">
      <c r="H2602" s="43"/>
      <c r="AG2602" s="49" t="str">
        <f ca="1">IFERROR(__xludf.DUMMYFUNCTION("IFNA(vlookup(H2602,IMPORTRANGE(""1vUGwO1n0QQGx9kKbO0_M5gmuhXZ6-LaxQxgrmJnzgP0"",""'TP# look up'!A:C""),3,0),"""")"),"")</f>
        <v/>
      </c>
      <c r="AH2602" s="49" t="str">
        <f t="shared" si="40"/>
        <v/>
      </c>
    </row>
    <row r="2603" spans="8:34" ht="12.75">
      <c r="H2603" s="43"/>
      <c r="AG2603" s="49" t="str">
        <f ca="1">IFERROR(__xludf.DUMMYFUNCTION("IFNA(vlookup(H2603,IMPORTRANGE(""1vUGwO1n0QQGx9kKbO0_M5gmuhXZ6-LaxQxgrmJnzgP0"",""'TP# look up'!A:C""),3,0),"""")"),"")</f>
        <v/>
      </c>
      <c r="AH2603" s="49" t="str">
        <f t="shared" si="40"/>
        <v/>
      </c>
    </row>
    <row r="2604" spans="8:34" ht="12.75">
      <c r="H2604" s="43"/>
      <c r="AG2604" s="49" t="str">
        <f ca="1">IFERROR(__xludf.DUMMYFUNCTION("IFNA(vlookup(H2604,IMPORTRANGE(""1vUGwO1n0QQGx9kKbO0_M5gmuhXZ6-LaxQxgrmJnzgP0"",""'TP# look up'!A:C""),3,0),"""")"),"")</f>
        <v/>
      </c>
      <c r="AH2604" s="49" t="str">
        <f t="shared" si="40"/>
        <v/>
      </c>
    </row>
    <row r="2605" spans="8:34" ht="12.75">
      <c r="H2605" s="43"/>
      <c r="AG2605" s="49" t="str">
        <f ca="1">IFERROR(__xludf.DUMMYFUNCTION("IFNA(vlookup(H2605,IMPORTRANGE(""1vUGwO1n0QQGx9kKbO0_M5gmuhXZ6-LaxQxgrmJnzgP0"",""'TP# look up'!A:C""),3,0),"""")"),"")</f>
        <v/>
      </c>
      <c r="AH2605" s="49" t="str">
        <f t="shared" si="40"/>
        <v/>
      </c>
    </row>
    <row r="2606" spans="8:34" ht="12.75">
      <c r="H2606" s="43"/>
      <c r="AG2606" s="49" t="str">
        <f ca="1">IFERROR(__xludf.DUMMYFUNCTION("IFNA(vlookup(H2606,IMPORTRANGE(""1vUGwO1n0QQGx9kKbO0_M5gmuhXZ6-LaxQxgrmJnzgP0"",""'TP# look up'!A:C""),3,0),"""")"),"")</f>
        <v/>
      </c>
      <c r="AH2606" s="49" t="str">
        <f t="shared" si="40"/>
        <v/>
      </c>
    </row>
    <row r="2607" spans="8:34" ht="12.75">
      <c r="H2607" s="43"/>
      <c r="AG2607" s="49" t="str">
        <f ca="1">IFERROR(__xludf.DUMMYFUNCTION("IFNA(vlookup(H2607,IMPORTRANGE(""1vUGwO1n0QQGx9kKbO0_M5gmuhXZ6-LaxQxgrmJnzgP0"",""'TP# look up'!A:C""),3,0),"""")"),"")</f>
        <v/>
      </c>
      <c r="AH2607" s="49" t="str">
        <f t="shared" si="40"/>
        <v/>
      </c>
    </row>
    <row r="2608" spans="8:34" ht="12.75">
      <c r="H2608" s="43"/>
      <c r="AG2608" s="49" t="str">
        <f ca="1">IFERROR(__xludf.DUMMYFUNCTION("IFNA(vlookup(H2608,IMPORTRANGE(""1vUGwO1n0QQGx9kKbO0_M5gmuhXZ6-LaxQxgrmJnzgP0"",""'TP# look up'!A:C""),3,0),"""")"),"")</f>
        <v/>
      </c>
      <c r="AH2608" s="49" t="str">
        <f t="shared" si="40"/>
        <v/>
      </c>
    </row>
    <row r="2609" spans="8:34" ht="12.75">
      <c r="H2609" s="43"/>
      <c r="AG2609" s="49" t="str">
        <f ca="1">IFERROR(__xludf.DUMMYFUNCTION("IFNA(vlookup(H2609,IMPORTRANGE(""1vUGwO1n0QQGx9kKbO0_M5gmuhXZ6-LaxQxgrmJnzgP0"",""'TP# look up'!A:C""),3,0),"""")"),"")</f>
        <v/>
      </c>
      <c r="AH2609" s="49" t="str">
        <f t="shared" si="40"/>
        <v/>
      </c>
    </row>
    <row r="2610" spans="8:34" ht="12.75">
      <c r="H2610" s="43"/>
      <c r="AG2610" s="49" t="str">
        <f ca="1">IFERROR(__xludf.DUMMYFUNCTION("IFNA(vlookup(H2610,IMPORTRANGE(""1vUGwO1n0QQGx9kKbO0_M5gmuhXZ6-LaxQxgrmJnzgP0"",""'TP# look up'!A:C""),3,0),"""")"),"")</f>
        <v/>
      </c>
      <c r="AH2610" s="49" t="str">
        <f t="shared" si="40"/>
        <v/>
      </c>
    </row>
    <row r="2611" spans="8:34" ht="12.75">
      <c r="H2611" s="43"/>
      <c r="AG2611" s="49" t="str">
        <f ca="1">IFERROR(__xludf.DUMMYFUNCTION("IFNA(vlookup(H2611,IMPORTRANGE(""1vUGwO1n0QQGx9kKbO0_M5gmuhXZ6-LaxQxgrmJnzgP0"",""'TP# look up'!A:C""),3,0),"""")"),"")</f>
        <v/>
      </c>
      <c r="AH2611" s="49" t="str">
        <f t="shared" si="40"/>
        <v/>
      </c>
    </row>
    <row r="2612" spans="8:34" ht="12.75">
      <c r="H2612" s="43"/>
      <c r="AG2612" s="49" t="str">
        <f ca="1">IFERROR(__xludf.DUMMYFUNCTION("IFNA(vlookup(H2612,IMPORTRANGE(""1vUGwO1n0QQGx9kKbO0_M5gmuhXZ6-LaxQxgrmJnzgP0"",""'TP# look up'!A:C""),3,0),"""")"),"")</f>
        <v/>
      </c>
      <c r="AH2612" s="49" t="str">
        <f t="shared" si="40"/>
        <v/>
      </c>
    </row>
    <row r="2613" spans="8:34" ht="12.75">
      <c r="H2613" s="43"/>
      <c r="AG2613" s="49" t="str">
        <f ca="1">IFERROR(__xludf.DUMMYFUNCTION("IFNA(vlookup(H2613,IMPORTRANGE(""1vUGwO1n0QQGx9kKbO0_M5gmuhXZ6-LaxQxgrmJnzgP0"",""'TP# look up'!A:C""),3,0),"""")"),"")</f>
        <v/>
      </c>
      <c r="AH2613" s="49" t="str">
        <f t="shared" si="40"/>
        <v/>
      </c>
    </row>
    <row r="2614" spans="8:34" ht="12.75">
      <c r="H2614" s="43"/>
      <c r="AG2614" s="49" t="str">
        <f ca="1">IFERROR(__xludf.DUMMYFUNCTION("IFNA(vlookup(H2614,IMPORTRANGE(""1vUGwO1n0QQGx9kKbO0_M5gmuhXZ6-LaxQxgrmJnzgP0"",""'TP# look up'!A:C""),3,0),"""")"),"")</f>
        <v/>
      </c>
      <c r="AH2614" s="49" t="str">
        <f t="shared" si="40"/>
        <v/>
      </c>
    </row>
    <row r="2615" spans="8:34" ht="12.75">
      <c r="H2615" s="43"/>
      <c r="AG2615" s="49" t="str">
        <f ca="1">IFERROR(__xludf.DUMMYFUNCTION("IFNA(vlookup(H2615,IMPORTRANGE(""1vUGwO1n0QQGx9kKbO0_M5gmuhXZ6-LaxQxgrmJnzgP0"",""'TP# look up'!A:C""),3,0),"""")"),"")</f>
        <v/>
      </c>
      <c r="AH2615" s="49" t="str">
        <f t="shared" si="40"/>
        <v/>
      </c>
    </row>
    <row r="2616" spans="8:34" ht="12.75">
      <c r="H2616" s="43"/>
      <c r="AG2616" s="49" t="str">
        <f ca="1">IFERROR(__xludf.DUMMYFUNCTION("IFNA(vlookup(H2616,IMPORTRANGE(""1vUGwO1n0QQGx9kKbO0_M5gmuhXZ6-LaxQxgrmJnzgP0"",""'TP# look up'!A:C""),3,0),"""")"),"")</f>
        <v/>
      </c>
      <c r="AH2616" s="49" t="str">
        <f t="shared" si="40"/>
        <v/>
      </c>
    </row>
    <row r="2617" spans="8:34" ht="12.75">
      <c r="H2617" s="43"/>
      <c r="AG2617" s="49" t="str">
        <f ca="1">IFERROR(__xludf.DUMMYFUNCTION("IFNA(vlookup(H2617,IMPORTRANGE(""1vUGwO1n0QQGx9kKbO0_M5gmuhXZ6-LaxQxgrmJnzgP0"",""'TP# look up'!A:C""),3,0),"""")"),"")</f>
        <v/>
      </c>
      <c r="AH2617" s="49" t="str">
        <f t="shared" si="40"/>
        <v/>
      </c>
    </row>
    <row r="2618" spans="8:34" ht="12.75">
      <c r="H2618" s="43"/>
      <c r="AG2618" s="49" t="str">
        <f ca="1">IFERROR(__xludf.DUMMYFUNCTION("IFNA(vlookup(H2618,IMPORTRANGE(""1vUGwO1n0QQGx9kKbO0_M5gmuhXZ6-LaxQxgrmJnzgP0"",""'TP# look up'!A:C""),3,0),"""")"),"")</f>
        <v/>
      </c>
      <c r="AH2618" s="49" t="str">
        <f t="shared" si="40"/>
        <v/>
      </c>
    </row>
    <row r="2619" spans="8:34" ht="12.75">
      <c r="H2619" s="43"/>
      <c r="AG2619" s="49" t="str">
        <f ca="1">IFERROR(__xludf.DUMMYFUNCTION("IFNA(vlookup(H2619,IMPORTRANGE(""1vUGwO1n0QQGx9kKbO0_M5gmuhXZ6-LaxQxgrmJnzgP0"",""'TP# look up'!A:C""),3,0),"""")"),"")</f>
        <v/>
      </c>
      <c r="AH2619" s="49" t="str">
        <f t="shared" si="40"/>
        <v/>
      </c>
    </row>
    <row r="2620" spans="8:34" ht="12.75">
      <c r="H2620" s="43"/>
      <c r="AG2620" s="49" t="str">
        <f ca="1">IFERROR(__xludf.DUMMYFUNCTION("IFNA(vlookup(H2620,IMPORTRANGE(""1vUGwO1n0QQGx9kKbO0_M5gmuhXZ6-LaxQxgrmJnzgP0"",""'TP# look up'!A:C""),3,0),"""")"),"")</f>
        <v/>
      </c>
      <c r="AH2620" s="49" t="str">
        <f t="shared" si="40"/>
        <v/>
      </c>
    </row>
    <row r="2621" spans="8:34" ht="12.75">
      <c r="H2621" s="43"/>
      <c r="AG2621" s="49" t="str">
        <f ca="1">IFERROR(__xludf.DUMMYFUNCTION("IFNA(vlookup(H2621,IMPORTRANGE(""1vUGwO1n0QQGx9kKbO0_M5gmuhXZ6-LaxQxgrmJnzgP0"",""'TP# look up'!A:C""),3,0),"""")"),"")</f>
        <v/>
      </c>
      <c r="AH2621" s="49" t="str">
        <f t="shared" si="40"/>
        <v/>
      </c>
    </row>
    <row r="2622" spans="8:34" ht="12.75">
      <c r="H2622" s="43"/>
      <c r="AG2622" s="49" t="str">
        <f ca="1">IFERROR(__xludf.DUMMYFUNCTION("IFNA(vlookup(H2622,IMPORTRANGE(""1vUGwO1n0QQGx9kKbO0_M5gmuhXZ6-LaxQxgrmJnzgP0"",""'TP# look up'!A:C""),3,0),"""")"),"")</f>
        <v/>
      </c>
      <c r="AH2622" s="49" t="str">
        <f t="shared" si="40"/>
        <v/>
      </c>
    </row>
    <row r="2623" spans="8:34" ht="12.75">
      <c r="H2623" s="43"/>
      <c r="AG2623" s="49" t="str">
        <f ca="1">IFERROR(__xludf.DUMMYFUNCTION("IFNA(vlookup(H2623,IMPORTRANGE(""1vUGwO1n0QQGx9kKbO0_M5gmuhXZ6-LaxQxgrmJnzgP0"",""'TP# look up'!A:C""),3,0),"""")"),"")</f>
        <v/>
      </c>
      <c r="AH2623" s="49" t="str">
        <f t="shared" si="40"/>
        <v/>
      </c>
    </row>
    <row r="2624" spans="8:34" ht="12.75">
      <c r="H2624" s="43"/>
      <c r="AG2624" s="49" t="str">
        <f ca="1">IFERROR(__xludf.DUMMYFUNCTION("IFNA(vlookup(H2624,IMPORTRANGE(""1vUGwO1n0QQGx9kKbO0_M5gmuhXZ6-LaxQxgrmJnzgP0"",""'TP# look up'!A:C""),3,0),"""")"),"")</f>
        <v/>
      </c>
      <c r="AH2624" s="49" t="str">
        <f t="shared" si="40"/>
        <v/>
      </c>
    </row>
    <row r="2625" spans="8:34" ht="12.75">
      <c r="H2625" s="43"/>
      <c r="AG2625" s="49" t="str">
        <f ca="1">IFERROR(__xludf.DUMMYFUNCTION("IFNA(vlookup(H2625,IMPORTRANGE(""1vUGwO1n0QQGx9kKbO0_M5gmuhXZ6-LaxQxgrmJnzgP0"",""'TP# look up'!A:C""),3,0),"""")"),"")</f>
        <v/>
      </c>
      <c r="AH2625" s="49" t="str">
        <f t="shared" si="40"/>
        <v/>
      </c>
    </row>
    <row r="2626" spans="8:34" ht="12.75">
      <c r="H2626" s="43"/>
      <c r="AG2626" s="49" t="str">
        <f ca="1">IFERROR(__xludf.DUMMYFUNCTION("IFNA(vlookup(H2626,IMPORTRANGE(""1vUGwO1n0QQGx9kKbO0_M5gmuhXZ6-LaxQxgrmJnzgP0"",""'TP# look up'!A:C""),3,0),"""")"),"")</f>
        <v/>
      </c>
      <c r="AH2626" s="49" t="str">
        <f t="shared" ref="AH2626:AH2689" si="41">LEFT(J2626,2)</f>
        <v/>
      </c>
    </row>
    <row r="2627" spans="8:34" ht="12.75">
      <c r="H2627" s="43"/>
      <c r="AG2627" s="49" t="str">
        <f ca="1">IFERROR(__xludf.DUMMYFUNCTION("IFNA(vlookup(H2627,IMPORTRANGE(""1vUGwO1n0QQGx9kKbO0_M5gmuhXZ6-LaxQxgrmJnzgP0"",""'TP# look up'!A:C""),3,0),"""")"),"")</f>
        <v/>
      </c>
      <c r="AH2627" s="49" t="str">
        <f t="shared" si="41"/>
        <v/>
      </c>
    </row>
    <row r="2628" spans="8:34" ht="12.75">
      <c r="H2628" s="43"/>
      <c r="AG2628" s="49" t="str">
        <f ca="1">IFERROR(__xludf.DUMMYFUNCTION("IFNA(vlookup(H2628,IMPORTRANGE(""1vUGwO1n0QQGx9kKbO0_M5gmuhXZ6-LaxQxgrmJnzgP0"",""'TP# look up'!A:C""),3,0),"""")"),"")</f>
        <v/>
      </c>
      <c r="AH2628" s="49" t="str">
        <f t="shared" si="41"/>
        <v/>
      </c>
    </row>
    <row r="2629" spans="8:34" ht="12.75">
      <c r="H2629" s="43"/>
      <c r="AG2629" s="49" t="str">
        <f ca="1">IFERROR(__xludf.DUMMYFUNCTION("IFNA(vlookup(H2629,IMPORTRANGE(""1vUGwO1n0QQGx9kKbO0_M5gmuhXZ6-LaxQxgrmJnzgP0"",""'TP# look up'!A:C""),3,0),"""")"),"")</f>
        <v/>
      </c>
      <c r="AH2629" s="49" t="str">
        <f t="shared" si="41"/>
        <v/>
      </c>
    </row>
    <row r="2630" spans="8:34" ht="12.75">
      <c r="H2630" s="43"/>
      <c r="AG2630" s="49" t="str">
        <f ca="1">IFERROR(__xludf.DUMMYFUNCTION("IFNA(vlookup(H2630,IMPORTRANGE(""1vUGwO1n0QQGx9kKbO0_M5gmuhXZ6-LaxQxgrmJnzgP0"",""'TP# look up'!A:C""),3,0),"""")"),"")</f>
        <v/>
      </c>
      <c r="AH2630" s="49" t="str">
        <f t="shared" si="41"/>
        <v/>
      </c>
    </row>
    <row r="2631" spans="8:34" ht="12.75">
      <c r="H2631" s="43"/>
      <c r="AG2631" s="49" t="str">
        <f ca="1">IFERROR(__xludf.DUMMYFUNCTION("IFNA(vlookup(H2631,IMPORTRANGE(""1vUGwO1n0QQGx9kKbO0_M5gmuhXZ6-LaxQxgrmJnzgP0"",""'TP# look up'!A:C""),3,0),"""")"),"")</f>
        <v/>
      </c>
      <c r="AH2631" s="49" t="str">
        <f t="shared" si="41"/>
        <v/>
      </c>
    </row>
    <row r="2632" spans="8:34" ht="12.75">
      <c r="H2632" s="43"/>
      <c r="AG2632" s="49" t="str">
        <f ca="1">IFERROR(__xludf.DUMMYFUNCTION("IFNA(vlookup(H2632,IMPORTRANGE(""1vUGwO1n0QQGx9kKbO0_M5gmuhXZ6-LaxQxgrmJnzgP0"",""'TP# look up'!A:C""),3,0),"""")"),"")</f>
        <v/>
      </c>
      <c r="AH2632" s="49" t="str">
        <f t="shared" si="41"/>
        <v/>
      </c>
    </row>
    <row r="2633" spans="8:34" ht="12.75">
      <c r="H2633" s="43"/>
      <c r="AG2633" s="49" t="str">
        <f ca="1">IFERROR(__xludf.DUMMYFUNCTION("IFNA(vlookup(H2633,IMPORTRANGE(""1vUGwO1n0QQGx9kKbO0_M5gmuhXZ6-LaxQxgrmJnzgP0"",""'TP# look up'!A:C""),3,0),"""")"),"")</f>
        <v/>
      </c>
      <c r="AH2633" s="49" t="str">
        <f t="shared" si="41"/>
        <v/>
      </c>
    </row>
    <row r="2634" spans="8:34" ht="12.75">
      <c r="H2634" s="43"/>
      <c r="AG2634" s="49" t="str">
        <f ca="1">IFERROR(__xludf.DUMMYFUNCTION("IFNA(vlookup(H2634,IMPORTRANGE(""1vUGwO1n0QQGx9kKbO0_M5gmuhXZ6-LaxQxgrmJnzgP0"",""'TP# look up'!A:C""),3,0),"""")"),"")</f>
        <v/>
      </c>
      <c r="AH2634" s="49" t="str">
        <f t="shared" si="41"/>
        <v/>
      </c>
    </row>
    <row r="2635" spans="8:34" ht="12.75">
      <c r="H2635" s="43"/>
      <c r="AG2635" s="49" t="str">
        <f ca="1">IFERROR(__xludf.DUMMYFUNCTION("IFNA(vlookup(H2635,IMPORTRANGE(""1vUGwO1n0QQGx9kKbO0_M5gmuhXZ6-LaxQxgrmJnzgP0"",""'TP# look up'!A:C""),3,0),"""")"),"")</f>
        <v/>
      </c>
      <c r="AH2635" s="49" t="str">
        <f t="shared" si="41"/>
        <v/>
      </c>
    </row>
    <row r="2636" spans="8:34" ht="12.75">
      <c r="H2636" s="43"/>
      <c r="AG2636" s="49" t="str">
        <f ca="1">IFERROR(__xludf.DUMMYFUNCTION("IFNA(vlookup(H2636,IMPORTRANGE(""1vUGwO1n0QQGx9kKbO0_M5gmuhXZ6-LaxQxgrmJnzgP0"",""'TP# look up'!A:C""),3,0),"""")"),"")</f>
        <v/>
      </c>
      <c r="AH2636" s="49" t="str">
        <f t="shared" si="41"/>
        <v/>
      </c>
    </row>
    <row r="2637" spans="8:34" ht="12.75">
      <c r="H2637" s="43"/>
      <c r="AG2637" s="49" t="str">
        <f ca="1">IFERROR(__xludf.DUMMYFUNCTION("IFNA(vlookup(H2637,IMPORTRANGE(""1vUGwO1n0QQGx9kKbO0_M5gmuhXZ6-LaxQxgrmJnzgP0"",""'TP# look up'!A:C""),3,0),"""")"),"")</f>
        <v/>
      </c>
      <c r="AH2637" s="49" t="str">
        <f t="shared" si="41"/>
        <v/>
      </c>
    </row>
    <row r="2638" spans="8:34" ht="12.75">
      <c r="H2638" s="43"/>
      <c r="AG2638" s="49" t="str">
        <f ca="1">IFERROR(__xludf.DUMMYFUNCTION("IFNA(vlookup(H2638,IMPORTRANGE(""1vUGwO1n0QQGx9kKbO0_M5gmuhXZ6-LaxQxgrmJnzgP0"",""'TP# look up'!A:C""),3,0),"""")"),"")</f>
        <v/>
      </c>
      <c r="AH2638" s="49" t="str">
        <f t="shared" si="41"/>
        <v/>
      </c>
    </row>
    <row r="2639" spans="8:34" ht="12.75">
      <c r="H2639" s="43"/>
      <c r="AG2639" s="49" t="str">
        <f ca="1">IFERROR(__xludf.DUMMYFUNCTION("IFNA(vlookup(H2639,IMPORTRANGE(""1vUGwO1n0QQGx9kKbO0_M5gmuhXZ6-LaxQxgrmJnzgP0"",""'TP# look up'!A:C""),3,0),"""")"),"")</f>
        <v/>
      </c>
      <c r="AH2639" s="49" t="str">
        <f t="shared" si="41"/>
        <v/>
      </c>
    </row>
    <row r="2640" spans="8:34" ht="12.75">
      <c r="H2640" s="43"/>
      <c r="AG2640" s="49" t="str">
        <f ca="1">IFERROR(__xludf.DUMMYFUNCTION("IFNA(vlookup(H2640,IMPORTRANGE(""1vUGwO1n0QQGx9kKbO0_M5gmuhXZ6-LaxQxgrmJnzgP0"",""'TP# look up'!A:C""),3,0),"""")"),"")</f>
        <v/>
      </c>
      <c r="AH2640" s="49" t="str">
        <f t="shared" si="41"/>
        <v/>
      </c>
    </row>
    <row r="2641" spans="8:34" ht="12.75">
      <c r="H2641" s="43"/>
      <c r="AG2641" s="49" t="str">
        <f ca="1">IFERROR(__xludf.DUMMYFUNCTION("IFNA(vlookup(H2641,IMPORTRANGE(""1vUGwO1n0QQGx9kKbO0_M5gmuhXZ6-LaxQxgrmJnzgP0"",""'TP# look up'!A:C""),3,0),"""")"),"")</f>
        <v/>
      </c>
      <c r="AH2641" s="49" t="str">
        <f t="shared" si="41"/>
        <v/>
      </c>
    </row>
    <row r="2642" spans="8:34" ht="12.75">
      <c r="H2642" s="43"/>
      <c r="AG2642" s="49" t="str">
        <f ca="1">IFERROR(__xludf.DUMMYFUNCTION("IFNA(vlookup(H2642,IMPORTRANGE(""1vUGwO1n0QQGx9kKbO0_M5gmuhXZ6-LaxQxgrmJnzgP0"",""'TP# look up'!A:C""),3,0),"""")"),"")</f>
        <v/>
      </c>
      <c r="AH2642" s="49" t="str">
        <f t="shared" si="41"/>
        <v/>
      </c>
    </row>
    <row r="2643" spans="8:34" ht="12.75">
      <c r="H2643" s="43"/>
      <c r="AG2643" s="49" t="str">
        <f ca="1">IFERROR(__xludf.DUMMYFUNCTION("IFNA(vlookup(H2643,IMPORTRANGE(""1vUGwO1n0QQGx9kKbO0_M5gmuhXZ6-LaxQxgrmJnzgP0"",""'TP# look up'!A:C""),3,0),"""")"),"")</f>
        <v/>
      </c>
      <c r="AH2643" s="49" t="str">
        <f t="shared" si="41"/>
        <v/>
      </c>
    </row>
    <row r="2644" spans="8:34" ht="12.75">
      <c r="H2644" s="43"/>
      <c r="AG2644" s="49" t="str">
        <f ca="1">IFERROR(__xludf.DUMMYFUNCTION("IFNA(vlookup(H2644,IMPORTRANGE(""1vUGwO1n0QQGx9kKbO0_M5gmuhXZ6-LaxQxgrmJnzgP0"",""'TP# look up'!A:C""),3,0),"""")"),"")</f>
        <v/>
      </c>
      <c r="AH2644" s="49" t="str">
        <f t="shared" si="41"/>
        <v/>
      </c>
    </row>
    <row r="2645" spans="8:34" ht="12.75">
      <c r="H2645" s="43"/>
      <c r="AG2645" s="49" t="str">
        <f ca="1">IFERROR(__xludf.DUMMYFUNCTION("IFNA(vlookup(H2645,IMPORTRANGE(""1vUGwO1n0QQGx9kKbO0_M5gmuhXZ6-LaxQxgrmJnzgP0"",""'TP# look up'!A:C""),3,0),"""")"),"")</f>
        <v/>
      </c>
      <c r="AH2645" s="49" t="str">
        <f t="shared" si="41"/>
        <v/>
      </c>
    </row>
    <row r="2646" spans="8:34" ht="12.75">
      <c r="H2646" s="43"/>
      <c r="AG2646" s="49" t="str">
        <f ca="1">IFERROR(__xludf.DUMMYFUNCTION("IFNA(vlookup(H2646,IMPORTRANGE(""1vUGwO1n0QQGx9kKbO0_M5gmuhXZ6-LaxQxgrmJnzgP0"",""'TP# look up'!A:C""),3,0),"""")"),"")</f>
        <v/>
      </c>
      <c r="AH2646" s="49" t="str">
        <f t="shared" si="41"/>
        <v/>
      </c>
    </row>
    <row r="2647" spans="8:34" ht="12.75">
      <c r="H2647" s="43"/>
      <c r="AG2647" s="49" t="str">
        <f ca="1">IFERROR(__xludf.DUMMYFUNCTION("IFNA(vlookup(H2647,IMPORTRANGE(""1vUGwO1n0QQGx9kKbO0_M5gmuhXZ6-LaxQxgrmJnzgP0"",""'TP# look up'!A:C""),3,0),"""")"),"")</f>
        <v/>
      </c>
      <c r="AH2647" s="49" t="str">
        <f t="shared" si="41"/>
        <v/>
      </c>
    </row>
    <row r="2648" spans="8:34" ht="12.75">
      <c r="H2648" s="43"/>
      <c r="AG2648" s="49" t="str">
        <f ca="1">IFERROR(__xludf.DUMMYFUNCTION("IFNA(vlookup(H2648,IMPORTRANGE(""1vUGwO1n0QQGx9kKbO0_M5gmuhXZ6-LaxQxgrmJnzgP0"",""'TP# look up'!A:C""),3,0),"""")"),"")</f>
        <v/>
      </c>
      <c r="AH2648" s="49" t="str">
        <f t="shared" si="41"/>
        <v/>
      </c>
    </row>
    <row r="2649" spans="8:34" ht="12.75">
      <c r="H2649" s="43"/>
      <c r="AG2649" s="49" t="str">
        <f ca="1">IFERROR(__xludf.DUMMYFUNCTION("IFNA(vlookup(H2649,IMPORTRANGE(""1vUGwO1n0QQGx9kKbO0_M5gmuhXZ6-LaxQxgrmJnzgP0"",""'TP# look up'!A:C""),3,0),"""")"),"")</f>
        <v/>
      </c>
      <c r="AH2649" s="49" t="str">
        <f t="shared" si="41"/>
        <v/>
      </c>
    </row>
    <row r="2650" spans="8:34" ht="12.75">
      <c r="H2650" s="43"/>
      <c r="AG2650" s="49" t="str">
        <f ca="1">IFERROR(__xludf.DUMMYFUNCTION("IFNA(vlookup(H2650,IMPORTRANGE(""1vUGwO1n0QQGx9kKbO0_M5gmuhXZ6-LaxQxgrmJnzgP0"",""'TP# look up'!A:C""),3,0),"""")"),"")</f>
        <v/>
      </c>
      <c r="AH2650" s="49" t="str">
        <f t="shared" si="41"/>
        <v/>
      </c>
    </row>
    <row r="2651" spans="8:34" ht="12.75">
      <c r="H2651" s="43"/>
      <c r="AG2651" s="49" t="str">
        <f ca="1">IFERROR(__xludf.DUMMYFUNCTION("IFNA(vlookup(H2651,IMPORTRANGE(""1vUGwO1n0QQGx9kKbO0_M5gmuhXZ6-LaxQxgrmJnzgP0"",""'TP# look up'!A:C""),3,0),"""")"),"")</f>
        <v/>
      </c>
      <c r="AH2651" s="49" t="str">
        <f t="shared" si="41"/>
        <v/>
      </c>
    </row>
    <row r="2652" spans="8:34" ht="12.75">
      <c r="H2652" s="43"/>
      <c r="AG2652" s="49" t="str">
        <f ca="1">IFERROR(__xludf.DUMMYFUNCTION("IFNA(vlookup(H2652,IMPORTRANGE(""1vUGwO1n0QQGx9kKbO0_M5gmuhXZ6-LaxQxgrmJnzgP0"",""'TP# look up'!A:C""),3,0),"""")"),"")</f>
        <v/>
      </c>
      <c r="AH2652" s="49" t="str">
        <f t="shared" si="41"/>
        <v/>
      </c>
    </row>
    <row r="2653" spans="8:34" ht="12.75">
      <c r="H2653" s="43"/>
      <c r="AG2653" s="49" t="str">
        <f ca="1">IFERROR(__xludf.DUMMYFUNCTION("IFNA(vlookup(H2653,IMPORTRANGE(""1vUGwO1n0QQGx9kKbO0_M5gmuhXZ6-LaxQxgrmJnzgP0"",""'TP# look up'!A:C""),3,0),"""")"),"")</f>
        <v/>
      </c>
      <c r="AH2653" s="49" t="str">
        <f t="shared" si="41"/>
        <v/>
      </c>
    </row>
    <row r="2654" spans="8:34" ht="12.75">
      <c r="H2654" s="43"/>
      <c r="AG2654" s="49" t="str">
        <f ca="1">IFERROR(__xludf.DUMMYFUNCTION("IFNA(vlookup(H2654,IMPORTRANGE(""1vUGwO1n0QQGx9kKbO0_M5gmuhXZ6-LaxQxgrmJnzgP0"",""'TP# look up'!A:C""),3,0),"""")"),"")</f>
        <v/>
      </c>
      <c r="AH2654" s="49" t="str">
        <f t="shared" si="41"/>
        <v/>
      </c>
    </row>
    <row r="2655" spans="8:34" ht="12.75">
      <c r="H2655" s="43"/>
      <c r="AG2655" s="49" t="str">
        <f ca="1">IFERROR(__xludf.DUMMYFUNCTION("IFNA(vlookup(H2655,IMPORTRANGE(""1vUGwO1n0QQGx9kKbO0_M5gmuhXZ6-LaxQxgrmJnzgP0"",""'TP# look up'!A:C""),3,0),"""")"),"")</f>
        <v/>
      </c>
      <c r="AH2655" s="49" t="str">
        <f t="shared" si="41"/>
        <v/>
      </c>
    </row>
    <row r="2656" spans="8:34" ht="12.75">
      <c r="H2656" s="43"/>
      <c r="AG2656" s="49" t="str">
        <f ca="1">IFERROR(__xludf.DUMMYFUNCTION("IFNA(vlookup(H2656,IMPORTRANGE(""1vUGwO1n0QQGx9kKbO0_M5gmuhXZ6-LaxQxgrmJnzgP0"",""'TP# look up'!A:C""),3,0),"""")"),"")</f>
        <v/>
      </c>
      <c r="AH2656" s="49" t="str">
        <f t="shared" si="41"/>
        <v/>
      </c>
    </row>
    <row r="2657" spans="8:34" ht="12.75">
      <c r="H2657" s="43"/>
      <c r="AG2657" s="49" t="str">
        <f ca="1">IFERROR(__xludf.DUMMYFUNCTION("IFNA(vlookup(H2657,IMPORTRANGE(""1vUGwO1n0QQGx9kKbO0_M5gmuhXZ6-LaxQxgrmJnzgP0"",""'TP# look up'!A:C""),3,0),"""")"),"")</f>
        <v/>
      </c>
      <c r="AH2657" s="49" t="str">
        <f t="shared" si="41"/>
        <v/>
      </c>
    </row>
    <row r="2658" spans="8:34" ht="12.75">
      <c r="H2658" s="43"/>
      <c r="AG2658" s="49" t="str">
        <f ca="1">IFERROR(__xludf.DUMMYFUNCTION("IFNA(vlookup(H2658,IMPORTRANGE(""1vUGwO1n0QQGx9kKbO0_M5gmuhXZ6-LaxQxgrmJnzgP0"",""'TP# look up'!A:C""),3,0),"""")"),"")</f>
        <v/>
      </c>
      <c r="AH2658" s="49" t="str">
        <f t="shared" si="41"/>
        <v/>
      </c>
    </row>
    <row r="2659" spans="8:34" ht="12.75">
      <c r="H2659" s="43"/>
      <c r="AG2659" s="49" t="str">
        <f ca="1">IFERROR(__xludf.DUMMYFUNCTION("IFNA(vlookup(H2659,IMPORTRANGE(""1vUGwO1n0QQGx9kKbO0_M5gmuhXZ6-LaxQxgrmJnzgP0"",""'TP# look up'!A:C""),3,0),"""")"),"")</f>
        <v/>
      </c>
      <c r="AH2659" s="49" t="str">
        <f t="shared" si="41"/>
        <v/>
      </c>
    </row>
    <row r="2660" spans="8:34" ht="12.75">
      <c r="H2660" s="43"/>
      <c r="AG2660" s="49" t="str">
        <f ca="1">IFERROR(__xludf.DUMMYFUNCTION("IFNA(vlookup(H2660,IMPORTRANGE(""1vUGwO1n0QQGx9kKbO0_M5gmuhXZ6-LaxQxgrmJnzgP0"",""'TP# look up'!A:C""),3,0),"""")"),"")</f>
        <v/>
      </c>
      <c r="AH2660" s="49" t="str">
        <f t="shared" si="41"/>
        <v/>
      </c>
    </row>
    <row r="2661" spans="8:34" ht="12.75">
      <c r="H2661" s="43"/>
      <c r="AG2661" s="49" t="str">
        <f ca="1">IFERROR(__xludf.DUMMYFUNCTION("IFNA(vlookup(H2661,IMPORTRANGE(""1vUGwO1n0QQGx9kKbO0_M5gmuhXZ6-LaxQxgrmJnzgP0"",""'TP# look up'!A:C""),3,0),"""")"),"")</f>
        <v/>
      </c>
      <c r="AH2661" s="49" t="str">
        <f t="shared" si="41"/>
        <v/>
      </c>
    </row>
    <row r="2662" spans="8:34" ht="12.75">
      <c r="H2662" s="43"/>
      <c r="AG2662" s="49" t="str">
        <f ca="1">IFERROR(__xludf.DUMMYFUNCTION("IFNA(vlookup(H2662,IMPORTRANGE(""1vUGwO1n0QQGx9kKbO0_M5gmuhXZ6-LaxQxgrmJnzgP0"",""'TP# look up'!A:C""),3,0),"""")"),"")</f>
        <v/>
      </c>
      <c r="AH2662" s="49" t="str">
        <f t="shared" si="41"/>
        <v/>
      </c>
    </row>
    <row r="2663" spans="8:34" ht="12.75">
      <c r="H2663" s="43"/>
      <c r="AG2663" s="49" t="str">
        <f ca="1">IFERROR(__xludf.DUMMYFUNCTION("IFNA(vlookup(H2663,IMPORTRANGE(""1vUGwO1n0QQGx9kKbO0_M5gmuhXZ6-LaxQxgrmJnzgP0"",""'TP# look up'!A:C""),3,0),"""")"),"")</f>
        <v/>
      </c>
      <c r="AH2663" s="49" t="str">
        <f t="shared" si="41"/>
        <v/>
      </c>
    </row>
    <row r="2664" spans="8:34" ht="12.75">
      <c r="H2664" s="43"/>
      <c r="AG2664" s="49" t="str">
        <f ca="1">IFERROR(__xludf.DUMMYFUNCTION("IFNA(vlookup(H2664,IMPORTRANGE(""1vUGwO1n0QQGx9kKbO0_M5gmuhXZ6-LaxQxgrmJnzgP0"",""'TP# look up'!A:C""),3,0),"""")"),"")</f>
        <v/>
      </c>
      <c r="AH2664" s="49" t="str">
        <f t="shared" si="41"/>
        <v/>
      </c>
    </row>
    <row r="2665" spans="8:34" ht="12.75">
      <c r="H2665" s="43"/>
      <c r="AG2665" s="49" t="str">
        <f ca="1">IFERROR(__xludf.DUMMYFUNCTION("IFNA(vlookup(H2665,IMPORTRANGE(""1vUGwO1n0QQGx9kKbO0_M5gmuhXZ6-LaxQxgrmJnzgP0"",""'TP# look up'!A:C""),3,0),"""")"),"")</f>
        <v/>
      </c>
      <c r="AH2665" s="49" t="str">
        <f t="shared" si="41"/>
        <v/>
      </c>
    </row>
    <row r="2666" spans="8:34" ht="12.75">
      <c r="H2666" s="43"/>
      <c r="AG2666" s="49" t="str">
        <f ca="1">IFERROR(__xludf.DUMMYFUNCTION("IFNA(vlookup(H2666,IMPORTRANGE(""1vUGwO1n0QQGx9kKbO0_M5gmuhXZ6-LaxQxgrmJnzgP0"",""'TP# look up'!A:C""),3,0),"""")"),"")</f>
        <v/>
      </c>
      <c r="AH2666" s="49" t="str">
        <f t="shared" si="41"/>
        <v/>
      </c>
    </row>
    <row r="2667" spans="8:34" ht="12.75">
      <c r="H2667" s="43"/>
      <c r="AG2667" s="49" t="str">
        <f ca="1">IFERROR(__xludf.DUMMYFUNCTION("IFNA(vlookup(H2667,IMPORTRANGE(""1vUGwO1n0QQGx9kKbO0_M5gmuhXZ6-LaxQxgrmJnzgP0"",""'TP# look up'!A:C""),3,0),"""")"),"")</f>
        <v/>
      </c>
      <c r="AH2667" s="49" t="str">
        <f t="shared" si="41"/>
        <v/>
      </c>
    </row>
    <row r="2668" spans="8:34" ht="12.75">
      <c r="H2668" s="43"/>
      <c r="AG2668" s="49" t="str">
        <f ca="1">IFERROR(__xludf.DUMMYFUNCTION("IFNA(vlookup(H2668,IMPORTRANGE(""1vUGwO1n0QQGx9kKbO0_M5gmuhXZ6-LaxQxgrmJnzgP0"",""'TP# look up'!A:C""),3,0),"""")"),"")</f>
        <v/>
      </c>
      <c r="AH2668" s="49" t="str">
        <f t="shared" si="41"/>
        <v/>
      </c>
    </row>
    <row r="2669" spans="8:34" ht="12.75">
      <c r="H2669" s="43"/>
      <c r="AG2669" s="49" t="str">
        <f ca="1">IFERROR(__xludf.DUMMYFUNCTION("IFNA(vlookup(H2669,IMPORTRANGE(""1vUGwO1n0QQGx9kKbO0_M5gmuhXZ6-LaxQxgrmJnzgP0"",""'TP# look up'!A:C""),3,0),"""")"),"")</f>
        <v/>
      </c>
      <c r="AH2669" s="49" t="str">
        <f t="shared" si="41"/>
        <v/>
      </c>
    </row>
    <row r="2670" spans="8:34" ht="12.75">
      <c r="H2670" s="43"/>
      <c r="AG2670" s="49" t="str">
        <f ca="1">IFERROR(__xludf.DUMMYFUNCTION("IFNA(vlookup(H2670,IMPORTRANGE(""1vUGwO1n0QQGx9kKbO0_M5gmuhXZ6-LaxQxgrmJnzgP0"",""'TP# look up'!A:C""),3,0),"""")"),"")</f>
        <v/>
      </c>
      <c r="AH2670" s="49" t="str">
        <f t="shared" si="41"/>
        <v/>
      </c>
    </row>
    <row r="2671" spans="8:34" ht="12.75">
      <c r="H2671" s="43"/>
      <c r="AG2671" s="49" t="str">
        <f ca="1">IFERROR(__xludf.DUMMYFUNCTION("IFNA(vlookup(H2671,IMPORTRANGE(""1vUGwO1n0QQGx9kKbO0_M5gmuhXZ6-LaxQxgrmJnzgP0"",""'TP# look up'!A:C""),3,0),"""")"),"")</f>
        <v/>
      </c>
      <c r="AH2671" s="49" t="str">
        <f t="shared" si="41"/>
        <v/>
      </c>
    </row>
    <row r="2672" spans="8:34" ht="12.75">
      <c r="H2672" s="43"/>
      <c r="AG2672" s="49" t="str">
        <f ca="1">IFERROR(__xludf.DUMMYFUNCTION("IFNA(vlookup(H2672,IMPORTRANGE(""1vUGwO1n0QQGx9kKbO0_M5gmuhXZ6-LaxQxgrmJnzgP0"",""'TP# look up'!A:C""),3,0),"""")"),"")</f>
        <v/>
      </c>
      <c r="AH2672" s="49" t="str">
        <f t="shared" si="41"/>
        <v/>
      </c>
    </row>
    <row r="2673" spans="8:34" ht="12.75">
      <c r="H2673" s="43"/>
      <c r="AG2673" s="49" t="str">
        <f ca="1">IFERROR(__xludf.DUMMYFUNCTION("IFNA(vlookup(H2673,IMPORTRANGE(""1vUGwO1n0QQGx9kKbO0_M5gmuhXZ6-LaxQxgrmJnzgP0"",""'TP# look up'!A:C""),3,0),"""")"),"")</f>
        <v/>
      </c>
      <c r="AH2673" s="49" t="str">
        <f t="shared" si="41"/>
        <v/>
      </c>
    </row>
    <row r="2674" spans="8:34" ht="12.75">
      <c r="H2674" s="43"/>
      <c r="AG2674" s="49" t="str">
        <f ca="1">IFERROR(__xludf.DUMMYFUNCTION("IFNA(vlookup(H2674,IMPORTRANGE(""1vUGwO1n0QQGx9kKbO0_M5gmuhXZ6-LaxQxgrmJnzgP0"",""'TP# look up'!A:C""),3,0),"""")"),"")</f>
        <v/>
      </c>
      <c r="AH2674" s="49" t="str">
        <f t="shared" si="41"/>
        <v/>
      </c>
    </row>
    <row r="2675" spans="8:34" ht="12.75">
      <c r="H2675" s="43"/>
      <c r="AG2675" s="49" t="str">
        <f ca="1">IFERROR(__xludf.DUMMYFUNCTION("IFNA(vlookup(H2675,IMPORTRANGE(""1vUGwO1n0QQGx9kKbO0_M5gmuhXZ6-LaxQxgrmJnzgP0"",""'TP# look up'!A:C""),3,0),"""")"),"")</f>
        <v/>
      </c>
      <c r="AH2675" s="49" t="str">
        <f t="shared" si="41"/>
        <v/>
      </c>
    </row>
    <row r="2676" spans="8:34" ht="12.75">
      <c r="H2676" s="43"/>
      <c r="AG2676" s="49" t="str">
        <f ca="1">IFERROR(__xludf.DUMMYFUNCTION("IFNA(vlookup(H2676,IMPORTRANGE(""1vUGwO1n0QQGx9kKbO0_M5gmuhXZ6-LaxQxgrmJnzgP0"",""'TP# look up'!A:C""),3,0),"""")"),"")</f>
        <v/>
      </c>
      <c r="AH2676" s="49" t="str">
        <f t="shared" si="41"/>
        <v/>
      </c>
    </row>
    <row r="2677" spans="8:34" ht="12.75">
      <c r="H2677" s="43"/>
      <c r="AG2677" s="49" t="str">
        <f ca="1">IFERROR(__xludf.DUMMYFUNCTION("IFNA(vlookup(H2677,IMPORTRANGE(""1vUGwO1n0QQGx9kKbO0_M5gmuhXZ6-LaxQxgrmJnzgP0"",""'TP# look up'!A:C""),3,0),"""")"),"")</f>
        <v/>
      </c>
      <c r="AH2677" s="49" t="str">
        <f t="shared" si="41"/>
        <v/>
      </c>
    </row>
    <row r="2678" spans="8:34" ht="12.75">
      <c r="H2678" s="43"/>
      <c r="AG2678" s="49" t="str">
        <f ca="1">IFERROR(__xludf.DUMMYFUNCTION("IFNA(vlookup(H2678,IMPORTRANGE(""1vUGwO1n0QQGx9kKbO0_M5gmuhXZ6-LaxQxgrmJnzgP0"",""'TP# look up'!A:C""),3,0),"""")"),"")</f>
        <v/>
      </c>
      <c r="AH2678" s="49" t="str">
        <f t="shared" si="41"/>
        <v/>
      </c>
    </row>
    <row r="2679" spans="8:34" ht="12.75">
      <c r="H2679" s="43"/>
      <c r="AG2679" s="49" t="str">
        <f ca="1">IFERROR(__xludf.DUMMYFUNCTION("IFNA(vlookup(H2679,IMPORTRANGE(""1vUGwO1n0QQGx9kKbO0_M5gmuhXZ6-LaxQxgrmJnzgP0"",""'TP# look up'!A:C""),3,0),"""")"),"")</f>
        <v/>
      </c>
      <c r="AH2679" s="49" t="str">
        <f t="shared" si="41"/>
        <v/>
      </c>
    </row>
    <row r="2680" spans="8:34" ht="12.75">
      <c r="H2680" s="43"/>
      <c r="AG2680" s="49" t="str">
        <f ca="1">IFERROR(__xludf.DUMMYFUNCTION("IFNA(vlookup(H2680,IMPORTRANGE(""1vUGwO1n0QQGx9kKbO0_M5gmuhXZ6-LaxQxgrmJnzgP0"",""'TP# look up'!A:C""),3,0),"""")"),"")</f>
        <v/>
      </c>
      <c r="AH2680" s="49" t="str">
        <f t="shared" si="41"/>
        <v/>
      </c>
    </row>
    <row r="2681" spans="8:34" ht="12.75">
      <c r="H2681" s="43"/>
      <c r="AG2681" s="49" t="str">
        <f ca="1">IFERROR(__xludf.DUMMYFUNCTION("IFNA(vlookup(H2681,IMPORTRANGE(""1vUGwO1n0QQGx9kKbO0_M5gmuhXZ6-LaxQxgrmJnzgP0"",""'TP# look up'!A:C""),3,0),"""")"),"")</f>
        <v/>
      </c>
      <c r="AH2681" s="49" t="str">
        <f t="shared" si="41"/>
        <v/>
      </c>
    </row>
    <row r="2682" spans="8:34" ht="12.75">
      <c r="H2682" s="43"/>
      <c r="AG2682" s="49" t="str">
        <f ca="1">IFERROR(__xludf.DUMMYFUNCTION("IFNA(vlookup(H2682,IMPORTRANGE(""1vUGwO1n0QQGx9kKbO0_M5gmuhXZ6-LaxQxgrmJnzgP0"",""'TP# look up'!A:C""),3,0),"""")"),"")</f>
        <v/>
      </c>
      <c r="AH2682" s="49" t="str">
        <f t="shared" si="41"/>
        <v/>
      </c>
    </row>
    <row r="2683" spans="8:34" ht="12.75">
      <c r="H2683" s="43"/>
      <c r="AG2683" s="49" t="str">
        <f ca="1">IFERROR(__xludf.DUMMYFUNCTION("IFNA(vlookup(H2683,IMPORTRANGE(""1vUGwO1n0QQGx9kKbO0_M5gmuhXZ6-LaxQxgrmJnzgP0"",""'TP# look up'!A:C""),3,0),"""")"),"")</f>
        <v/>
      </c>
      <c r="AH2683" s="49" t="str">
        <f t="shared" si="41"/>
        <v/>
      </c>
    </row>
    <row r="2684" spans="8:34" ht="12.75">
      <c r="H2684" s="43"/>
      <c r="AG2684" s="49" t="str">
        <f ca="1">IFERROR(__xludf.DUMMYFUNCTION("IFNA(vlookup(H2684,IMPORTRANGE(""1vUGwO1n0QQGx9kKbO0_M5gmuhXZ6-LaxQxgrmJnzgP0"",""'TP# look up'!A:C""),3,0),"""")"),"")</f>
        <v/>
      </c>
      <c r="AH2684" s="49" t="str">
        <f t="shared" si="41"/>
        <v/>
      </c>
    </row>
    <row r="2685" spans="8:34" ht="12.75">
      <c r="H2685" s="43"/>
      <c r="AG2685" s="49" t="str">
        <f ca="1">IFERROR(__xludf.DUMMYFUNCTION("IFNA(vlookup(H2685,IMPORTRANGE(""1vUGwO1n0QQGx9kKbO0_M5gmuhXZ6-LaxQxgrmJnzgP0"",""'TP# look up'!A:C""),3,0),"""")"),"")</f>
        <v/>
      </c>
      <c r="AH2685" s="49" t="str">
        <f t="shared" si="41"/>
        <v/>
      </c>
    </row>
    <row r="2686" spans="8:34" ht="12.75">
      <c r="H2686" s="43"/>
      <c r="AG2686" s="49" t="str">
        <f ca="1">IFERROR(__xludf.DUMMYFUNCTION("IFNA(vlookup(H2686,IMPORTRANGE(""1vUGwO1n0QQGx9kKbO0_M5gmuhXZ6-LaxQxgrmJnzgP0"",""'TP# look up'!A:C""),3,0),"""")"),"")</f>
        <v/>
      </c>
      <c r="AH2686" s="49" t="str">
        <f t="shared" si="41"/>
        <v/>
      </c>
    </row>
    <row r="2687" spans="8:34" ht="12.75">
      <c r="H2687" s="43"/>
      <c r="AG2687" s="49" t="str">
        <f ca="1">IFERROR(__xludf.DUMMYFUNCTION("IFNA(vlookup(H2687,IMPORTRANGE(""1vUGwO1n0QQGx9kKbO0_M5gmuhXZ6-LaxQxgrmJnzgP0"",""'TP# look up'!A:C""),3,0),"""")"),"")</f>
        <v/>
      </c>
      <c r="AH2687" s="49" t="str">
        <f t="shared" si="41"/>
        <v/>
      </c>
    </row>
    <row r="2688" spans="8:34" ht="12.75">
      <c r="H2688" s="43"/>
      <c r="AG2688" s="49" t="str">
        <f ca="1">IFERROR(__xludf.DUMMYFUNCTION("IFNA(vlookup(H2688,IMPORTRANGE(""1vUGwO1n0QQGx9kKbO0_M5gmuhXZ6-LaxQxgrmJnzgP0"",""'TP# look up'!A:C""),3,0),"""")"),"")</f>
        <v/>
      </c>
      <c r="AH2688" s="49" t="str">
        <f t="shared" si="41"/>
        <v/>
      </c>
    </row>
    <row r="2689" spans="8:34" ht="12.75">
      <c r="H2689" s="43"/>
      <c r="AG2689" s="49" t="str">
        <f ca="1">IFERROR(__xludf.DUMMYFUNCTION("IFNA(vlookup(H2689,IMPORTRANGE(""1vUGwO1n0QQGx9kKbO0_M5gmuhXZ6-LaxQxgrmJnzgP0"",""'TP# look up'!A:C""),3,0),"""")"),"")</f>
        <v/>
      </c>
      <c r="AH2689" s="49" t="str">
        <f t="shared" si="41"/>
        <v/>
      </c>
    </row>
    <row r="2690" spans="8:34" ht="12.75">
      <c r="H2690" s="43"/>
      <c r="AG2690" s="49" t="str">
        <f ca="1">IFERROR(__xludf.DUMMYFUNCTION("IFNA(vlookup(H2690,IMPORTRANGE(""1vUGwO1n0QQGx9kKbO0_M5gmuhXZ6-LaxQxgrmJnzgP0"",""'TP# look up'!A:C""),3,0),"""")"),"")</f>
        <v/>
      </c>
      <c r="AH2690" s="49" t="str">
        <f t="shared" ref="AH2690:AH2753" si="42">LEFT(J2690,2)</f>
        <v/>
      </c>
    </row>
    <row r="2691" spans="8:34" ht="12.75">
      <c r="H2691" s="43"/>
      <c r="AG2691" s="49" t="str">
        <f ca="1">IFERROR(__xludf.DUMMYFUNCTION("IFNA(vlookup(H2691,IMPORTRANGE(""1vUGwO1n0QQGx9kKbO0_M5gmuhXZ6-LaxQxgrmJnzgP0"",""'TP# look up'!A:C""),3,0),"""")"),"")</f>
        <v/>
      </c>
      <c r="AH2691" s="49" t="str">
        <f t="shared" si="42"/>
        <v/>
      </c>
    </row>
    <row r="2692" spans="8:34" ht="12.75">
      <c r="H2692" s="43"/>
      <c r="AG2692" s="49" t="str">
        <f ca="1">IFERROR(__xludf.DUMMYFUNCTION("IFNA(vlookup(H2692,IMPORTRANGE(""1vUGwO1n0QQGx9kKbO0_M5gmuhXZ6-LaxQxgrmJnzgP0"",""'TP# look up'!A:C""),3,0),"""")"),"")</f>
        <v/>
      </c>
      <c r="AH2692" s="49" t="str">
        <f t="shared" si="42"/>
        <v/>
      </c>
    </row>
    <row r="2693" spans="8:34" ht="12.75">
      <c r="H2693" s="43"/>
      <c r="AG2693" s="49" t="str">
        <f ca="1">IFERROR(__xludf.DUMMYFUNCTION("IFNA(vlookup(H2693,IMPORTRANGE(""1vUGwO1n0QQGx9kKbO0_M5gmuhXZ6-LaxQxgrmJnzgP0"",""'TP# look up'!A:C""),3,0),"""")"),"")</f>
        <v/>
      </c>
      <c r="AH2693" s="49" t="str">
        <f t="shared" si="42"/>
        <v/>
      </c>
    </row>
    <row r="2694" spans="8:34" ht="12.75">
      <c r="H2694" s="43"/>
      <c r="AG2694" s="49" t="str">
        <f ca="1">IFERROR(__xludf.DUMMYFUNCTION("IFNA(vlookup(H2694,IMPORTRANGE(""1vUGwO1n0QQGx9kKbO0_M5gmuhXZ6-LaxQxgrmJnzgP0"",""'TP# look up'!A:C""),3,0),"""")"),"")</f>
        <v/>
      </c>
      <c r="AH2694" s="49" t="str">
        <f t="shared" si="42"/>
        <v/>
      </c>
    </row>
    <row r="2695" spans="8:34" ht="12.75">
      <c r="H2695" s="43"/>
      <c r="AG2695" s="49" t="str">
        <f ca="1">IFERROR(__xludf.DUMMYFUNCTION("IFNA(vlookup(H2695,IMPORTRANGE(""1vUGwO1n0QQGx9kKbO0_M5gmuhXZ6-LaxQxgrmJnzgP0"",""'TP# look up'!A:C""),3,0),"""")"),"")</f>
        <v/>
      </c>
      <c r="AH2695" s="49" t="str">
        <f t="shared" si="42"/>
        <v/>
      </c>
    </row>
    <row r="2696" spans="8:34" ht="12.75">
      <c r="H2696" s="43"/>
      <c r="AG2696" s="49" t="str">
        <f ca="1">IFERROR(__xludf.DUMMYFUNCTION("IFNA(vlookup(H2696,IMPORTRANGE(""1vUGwO1n0QQGx9kKbO0_M5gmuhXZ6-LaxQxgrmJnzgP0"",""'TP# look up'!A:C""),3,0),"""")"),"")</f>
        <v/>
      </c>
      <c r="AH2696" s="49" t="str">
        <f t="shared" si="42"/>
        <v/>
      </c>
    </row>
    <row r="2697" spans="8:34" ht="12.75">
      <c r="H2697" s="43"/>
      <c r="AG2697" s="49" t="str">
        <f ca="1">IFERROR(__xludf.DUMMYFUNCTION("IFNA(vlookup(H2697,IMPORTRANGE(""1vUGwO1n0QQGx9kKbO0_M5gmuhXZ6-LaxQxgrmJnzgP0"",""'TP# look up'!A:C""),3,0),"""")"),"")</f>
        <v/>
      </c>
      <c r="AH2697" s="49" t="str">
        <f t="shared" si="42"/>
        <v/>
      </c>
    </row>
    <row r="2698" spans="8:34" ht="12.75">
      <c r="H2698" s="43"/>
      <c r="AG2698" s="49" t="str">
        <f ca="1">IFERROR(__xludf.DUMMYFUNCTION("IFNA(vlookup(H2698,IMPORTRANGE(""1vUGwO1n0QQGx9kKbO0_M5gmuhXZ6-LaxQxgrmJnzgP0"",""'TP# look up'!A:C""),3,0),"""")"),"")</f>
        <v/>
      </c>
      <c r="AH2698" s="49" t="str">
        <f t="shared" si="42"/>
        <v/>
      </c>
    </row>
    <row r="2699" spans="8:34" ht="12.75">
      <c r="H2699" s="43"/>
      <c r="AG2699" s="49" t="str">
        <f ca="1">IFERROR(__xludf.DUMMYFUNCTION("IFNA(vlookup(H2699,IMPORTRANGE(""1vUGwO1n0QQGx9kKbO0_M5gmuhXZ6-LaxQxgrmJnzgP0"",""'TP# look up'!A:C""),3,0),"""")"),"")</f>
        <v/>
      </c>
      <c r="AH2699" s="49" t="str">
        <f t="shared" si="42"/>
        <v/>
      </c>
    </row>
    <row r="2700" spans="8:34" ht="12.75">
      <c r="H2700" s="43"/>
      <c r="AG2700" s="49" t="str">
        <f ca="1">IFERROR(__xludf.DUMMYFUNCTION("IFNA(vlookup(H2700,IMPORTRANGE(""1vUGwO1n0QQGx9kKbO0_M5gmuhXZ6-LaxQxgrmJnzgP0"",""'TP# look up'!A:C""),3,0),"""")"),"")</f>
        <v/>
      </c>
      <c r="AH2700" s="49" t="str">
        <f t="shared" si="42"/>
        <v/>
      </c>
    </row>
    <row r="2701" spans="8:34" ht="12.75">
      <c r="H2701" s="43"/>
      <c r="AG2701" s="49" t="str">
        <f ca="1">IFERROR(__xludf.DUMMYFUNCTION("IFNA(vlookup(H2701,IMPORTRANGE(""1vUGwO1n0QQGx9kKbO0_M5gmuhXZ6-LaxQxgrmJnzgP0"",""'TP# look up'!A:C""),3,0),"""")"),"")</f>
        <v/>
      </c>
      <c r="AH2701" s="49" t="str">
        <f t="shared" si="42"/>
        <v/>
      </c>
    </row>
    <row r="2702" spans="8:34" ht="12.75">
      <c r="H2702" s="43"/>
      <c r="AG2702" s="49" t="str">
        <f ca="1">IFERROR(__xludf.DUMMYFUNCTION("IFNA(vlookup(H2702,IMPORTRANGE(""1vUGwO1n0QQGx9kKbO0_M5gmuhXZ6-LaxQxgrmJnzgP0"",""'TP# look up'!A:C""),3,0),"""")"),"")</f>
        <v/>
      </c>
      <c r="AH2702" s="49" t="str">
        <f t="shared" si="42"/>
        <v/>
      </c>
    </row>
    <row r="2703" spans="8:34" ht="12.75">
      <c r="H2703" s="43"/>
      <c r="AG2703" s="49" t="str">
        <f ca="1">IFERROR(__xludf.DUMMYFUNCTION("IFNA(vlookup(H2703,IMPORTRANGE(""1vUGwO1n0QQGx9kKbO0_M5gmuhXZ6-LaxQxgrmJnzgP0"",""'TP# look up'!A:C""),3,0),"""")"),"")</f>
        <v/>
      </c>
      <c r="AH2703" s="49" t="str">
        <f t="shared" si="42"/>
        <v/>
      </c>
    </row>
    <row r="2704" spans="8:34" ht="12.75">
      <c r="H2704" s="43"/>
      <c r="AG2704" s="49" t="str">
        <f ca="1">IFERROR(__xludf.DUMMYFUNCTION("IFNA(vlookup(H2704,IMPORTRANGE(""1vUGwO1n0QQGx9kKbO0_M5gmuhXZ6-LaxQxgrmJnzgP0"",""'TP# look up'!A:C""),3,0),"""")"),"")</f>
        <v/>
      </c>
      <c r="AH2704" s="49" t="str">
        <f t="shared" si="42"/>
        <v/>
      </c>
    </row>
    <row r="2705" spans="8:34" ht="12.75">
      <c r="H2705" s="43"/>
      <c r="AG2705" s="49" t="str">
        <f ca="1">IFERROR(__xludf.DUMMYFUNCTION("IFNA(vlookup(H2705,IMPORTRANGE(""1vUGwO1n0QQGx9kKbO0_M5gmuhXZ6-LaxQxgrmJnzgP0"",""'TP# look up'!A:C""),3,0),"""")"),"")</f>
        <v/>
      </c>
      <c r="AH2705" s="49" t="str">
        <f t="shared" si="42"/>
        <v/>
      </c>
    </row>
    <row r="2706" spans="8:34" ht="12.75">
      <c r="H2706" s="43"/>
      <c r="AG2706" s="49" t="str">
        <f ca="1">IFERROR(__xludf.DUMMYFUNCTION("IFNA(vlookup(H2706,IMPORTRANGE(""1vUGwO1n0QQGx9kKbO0_M5gmuhXZ6-LaxQxgrmJnzgP0"",""'TP# look up'!A:C""),3,0),"""")"),"")</f>
        <v/>
      </c>
      <c r="AH2706" s="49" t="str">
        <f t="shared" si="42"/>
        <v/>
      </c>
    </row>
    <row r="2707" spans="8:34" ht="12.75">
      <c r="H2707" s="43"/>
      <c r="AG2707" s="49" t="str">
        <f ca="1">IFERROR(__xludf.DUMMYFUNCTION("IFNA(vlookup(H2707,IMPORTRANGE(""1vUGwO1n0QQGx9kKbO0_M5gmuhXZ6-LaxQxgrmJnzgP0"",""'TP# look up'!A:C""),3,0),"""")"),"")</f>
        <v/>
      </c>
      <c r="AH2707" s="49" t="str">
        <f t="shared" si="42"/>
        <v/>
      </c>
    </row>
    <row r="2708" spans="8:34" ht="12.75">
      <c r="H2708" s="43"/>
      <c r="AG2708" s="49" t="str">
        <f ca="1">IFERROR(__xludf.DUMMYFUNCTION("IFNA(vlookup(H2708,IMPORTRANGE(""1vUGwO1n0QQGx9kKbO0_M5gmuhXZ6-LaxQxgrmJnzgP0"",""'TP# look up'!A:C""),3,0),"""")"),"")</f>
        <v/>
      </c>
      <c r="AH2708" s="49" t="str">
        <f t="shared" si="42"/>
        <v/>
      </c>
    </row>
    <row r="2709" spans="8:34" ht="12.75">
      <c r="H2709" s="43"/>
      <c r="AG2709" s="49" t="str">
        <f ca="1">IFERROR(__xludf.DUMMYFUNCTION("IFNA(vlookup(H2709,IMPORTRANGE(""1vUGwO1n0QQGx9kKbO0_M5gmuhXZ6-LaxQxgrmJnzgP0"",""'TP# look up'!A:C""),3,0),"""")"),"")</f>
        <v/>
      </c>
      <c r="AH2709" s="49" t="str">
        <f t="shared" si="42"/>
        <v/>
      </c>
    </row>
    <row r="2710" spans="8:34" ht="12.75">
      <c r="H2710" s="43"/>
      <c r="AG2710" s="49" t="str">
        <f ca="1">IFERROR(__xludf.DUMMYFUNCTION("IFNA(vlookup(H2710,IMPORTRANGE(""1vUGwO1n0QQGx9kKbO0_M5gmuhXZ6-LaxQxgrmJnzgP0"",""'TP# look up'!A:C""),3,0),"""")"),"")</f>
        <v/>
      </c>
      <c r="AH2710" s="49" t="str">
        <f t="shared" si="42"/>
        <v/>
      </c>
    </row>
    <row r="2711" spans="8:34" ht="12.75">
      <c r="H2711" s="43"/>
      <c r="AG2711" s="49" t="str">
        <f ca="1">IFERROR(__xludf.DUMMYFUNCTION("IFNA(vlookup(H2711,IMPORTRANGE(""1vUGwO1n0QQGx9kKbO0_M5gmuhXZ6-LaxQxgrmJnzgP0"",""'TP# look up'!A:C""),3,0),"""")"),"")</f>
        <v/>
      </c>
      <c r="AH2711" s="49" t="str">
        <f t="shared" si="42"/>
        <v/>
      </c>
    </row>
    <row r="2712" spans="8:34" ht="12.75">
      <c r="H2712" s="43"/>
      <c r="AG2712" s="49" t="str">
        <f ca="1">IFERROR(__xludf.DUMMYFUNCTION("IFNA(vlookup(H2712,IMPORTRANGE(""1vUGwO1n0QQGx9kKbO0_M5gmuhXZ6-LaxQxgrmJnzgP0"",""'TP# look up'!A:C""),3,0),"""")"),"")</f>
        <v/>
      </c>
      <c r="AH2712" s="49" t="str">
        <f t="shared" si="42"/>
        <v/>
      </c>
    </row>
    <row r="2713" spans="8:34" ht="12.75">
      <c r="H2713" s="43"/>
      <c r="AG2713" s="49" t="str">
        <f ca="1">IFERROR(__xludf.DUMMYFUNCTION("IFNA(vlookup(H2713,IMPORTRANGE(""1vUGwO1n0QQGx9kKbO0_M5gmuhXZ6-LaxQxgrmJnzgP0"",""'TP# look up'!A:C""),3,0),"""")"),"")</f>
        <v/>
      </c>
      <c r="AH2713" s="49" t="str">
        <f t="shared" si="42"/>
        <v/>
      </c>
    </row>
    <row r="2714" spans="8:34" ht="12.75">
      <c r="H2714" s="43"/>
      <c r="AG2714" s="49" t="str">
        <f ca="1">IFERROR(__xludf.DUMMYFUNCTION("IFNA(vlookup(H2714,IMPORTRANGE(""1vUGwO1n0QQGx9kKbO0_M5gmuhXZ6-LaxQxgrmJnzgP0"",""'TP# look up'!A:C""),3,0),"""")"),"")</f>
        <v/>
      </c>
      <c r="AH2714" s="49" t="str">
        <f t="shared" si="42"/>
        <v/>
      </c>
    </row>
    <row r="2715" spans="8:34" ht="12.75">
      <c r="H2715" s="43"/>
      <c r="AG2715" s="49" t="str">
        <f ca="1">IFERROR(__xludf.DUMMYFUNCTION("IFNA(vlookup(H2715,IMPORTRANGE(""1vUGwO1n0QQGx9kKbO0_M5gmuhXZ6-LaxQxgrmJnzgP0"",""'TP# look up'!A:C""),3,0),"""")"),"")</f>
        <v/>
      </c>
      <c r="AH2715" s="49" t="str">
        <f t="shared" si="42"/>
        <v/>
      </c>
    </row>
    <row r="2716" spans="8:34" ht="12.75">
      <c r="H2716" s="43"/>
      <c r="AG2716" s="49" t="str">
        <f ca="1">IFERROR(__xludf.DUMMYFUNCTION("IFNA(vlookup(H2716,IMPORTRANGE(""1vUGwO1n0QQGx9kKbO0_M5gmuhXZ6-LaxQxgrmJnzgP0"",""'TP# look up'!A:C""),3,0),"""")"),"")</f>
        <v/>
      </c>
      <c r="AH2716" s="49" t="str">
        <f t="shared" si="42"/>
        <v/>
      </c>
    </row>
    <row r="2717" spans="8:34" ht="12.75">
      <c r="H2717" s="43"/>
      <c r="AG2717" s="49" t="str">
        <f ca="1">IFERROR(__xludf.DUMMYFUNCTION("IFNA(vlookup(H2717,IMPORTRANGE(""1vUGwO1n0QQGx9kKbO0_M5gmuhXZ6-LaxQxgrmJnzgP0"",""'TP# look up'!A:C""),3,0),"""")"),"")</f>
        <v/>
      </c>
      <c r="AH2717" s="49" t="str">
        <f t="shared" si="42"/>
        <v/>
      </c>
    </row>
    <row r="2718" spans="8:34" ht="12.75">
      <c r="H2718" s="43"/>
      <c r="AG2718" s="49" t="str">
        <f ca="1">IFERROR(__xludf.DUMMYFUNCTION("IFNA(vlookup(H2718,IMPORTRANGE(""1vUGwO1n0QQGx9kKbO0_M5gmuhXZ6-LaxQxgrmJnzgP0"",""'TP# look up'!A:C""),3,0),"""")"),"")</f>
        <v/>
      </c>
      <c r="AH2718" s="49" t="str">
        <f t="shared" si="42"/>
        <v/>
      </c>
    </row>
    <row r="2719" spans="8:34" ht="12.75">
      <c r="H2719" s="43"/>
      <c r="AG2719" s="49" t="str">
        <f ca="1">IFERROR(__xludf.DUMMYFUNCTION("IFNA(vlookup(H2719,IMPORTRANGE(""1vUGwO1n0QQGx9kKbO0_M5gmuhXZ6-LaxQxgrmJnzgP0"",""'TP# look up'!A:C""),3,0),"""")"),"")</f>
        <v/>
      </c>
      <c r="AH2719" s="49" t="str">
        <f t="shared" si="42"/>
        <v/>
      </c>
    </row>
    <row r="2720" spans="8:34" ht="12.75">
      <c r="H2720" s="43"/>
      <c r="AG2720" s="49" t="str">
        <f ca="1">IFERROR(__xludf.DUMMYFUNCTION("IFNA(vlookup(H2720,IMPORTRANGE(""1vUGwO1n0QQGx9kKbO0_M5gmuhXZ6-LaxQxgrmJnzgP0"",""'TP# look up'!A:C""),3,0),"""")"),"")</f>
        <v/>
      </c>
      <c r="AH2720" s="49" t="str">
        <f t="shared" si="42"/>
        <v/>
      </c>
    </row>
    <row r="2721" spans="8:34" ht="12.75">
      <c r="H2721" s="43"/>
      <c r="AG2721" s="49" t="str">
        <f ca="1">IFERROR(__xludf.DUMMYFUNCTION("IFNA(vlookup(H2721,IMPORTRANGE(""1vUGwO1n0QQGx9kKbO0_M5gmuhXZ6-LaxQxgrmJnzgP0"",""'TP# look up'!A:C""),3,0),"""")"),"")</f>
        <v/>
      </c>
      <c r="AH2721" s="49" t="str">
        <f t="shared" si="42"/>
        <v/>
      </c>
    </row>
    <row r="2722" spans="8:34" ht="12.75">
      <c r="H2722" s="43"/>
      <c r="AG2722" s="49" t="str">
        <f ca="1">IFERROR(__xludf.DUMMYFUNCTION("IFNA(vlookup(H2722,IMPORTRANGE(""1vUGwO1n0QQGx9kKbO0_M5gmuhXZ6-LaxQxgrmJnzgP0"",""'TP# look up'!A:C""),3,0),"""")"),"")</f>
        <v/>
      </c>
      <c r="AH2722" s="49" t="str">
        <f t="shared" si="42"/>
        <v/>
      </c>
    </row>
    <row r="2723" spans="8:34" ht="12.75">
      <c r="H2723" s="43"/>
      <c r="AG2723" s="49" t="str">
        <f ca="1">IFERROR(__xludf.DUMMYFUNCTION("IFNA(vlookup(H2723,IMPORTRANGE(""1vUGwO1n0QQGx9kKbO0_M5gmuhXZ6-LaxQxgrmJnzgP0"",""'TP# look up'!A:C""),3,0),"""")"),"")</f>
        <v/>
      </c>
      <c r="AH2723" s="49" t="str">
        <f t="shared" si="42"/>
        <v/>
      </c>
    </row>
    <row r="2724" spans="8:34" ht="12.75">
      <c r="H2724" s="43"/>
      <c r="AG2724" s="49" t="str">
        <f ca="1">IFERROR(__xludf.DUMMYFUNCTION("IFNA(vlookup(H2724,IMPORTRANGE(""1vUGwO1n0QQGx9kKbO0_M5gmuhXZ6-LaxQxgrmJnzgP0"",""'TP# look up'!A:C""),3,0),"""")"),"")</f>
        <v/>
      </c>
      <c r="AH2724" s="49" t="str">
        <f t="shared" si="42"/>
        <v/>
      </c>
    </row>
    <row r="2725" spans="8:34" ht="12.75">
      <c r="H2725" s="43"/>
      <c r="AG2725" s="49" t="str">
        <f ca="1">IFERROR(__xludf.DUMMYFUNCTION("IFNA(vlookup(H2725,IMPORTRANGE(""1vUGwO1n0QQGx9kKbO0_M5gmuhXZ6-LaxQxgrmJnzgP0"",""'TP# look up'!A:C""),3,0),"""")"),"")</f>
        <v/>
      </c>
      <c r="AH2725" s="49" t="str">
        <f t="shared" si="42"/>
        <v/>
      </c>
    </row>
    <row r="2726" spans="8:34" ht="12.75">
      <c r="H2726" s="43"/>
      <c r="AG2726" s="49" t="str">
        <f ca="1">IFERROR(__xludf.DUMMYFUNCTION("IFNA(vlookup(H2726,IMPORTRANGE(""1vUGwO1n0QQGx9kKbO0_M5gmuhXZ6-LaxQxgrmJnzgP0"",""'TP# look up'!A:C""),3,0),"""")"),"")</f>
        <v/>
      </c>
      <c r="AH2726" s="49" t="str">
        <f t="shared" si="42"/>
        <v/>
      </c>
    </row>
    <row r="2727" spans="8:34" ht="12.75">
      <c r="H2727" s="43"/>
      <c r="AG2727" s="49" t="str">
        <f ca="1">IFERROR(__xludf.DUMMYFUNCTION("IFNA(vlookup(H2727,IMPORTRANGE(""1vUGwO1n0QQGx9kKbO0_M5gmuhXZ6-LaxQxgrmJnzgP0"",""'TP# look up'!A:C""),3,0),"""")"),"")</f>
        <v/>
      </c>
      <c r="AH2727" s="49" t="str">
        <f t="shared" si="42"/>
        <v/>
      </c>
    </row>
    <row r="2728" spans="8:34" ht="12.75">
      <c r="H2728" s="43"/>
      <c r="AG2728" s="49" t="str">
        <f ca="1">IFERROR(__xludf.DUMMYFUNCTION("IFNA(vlookup(H2728,IMPORTRANGE(""1vUGwO1n0QQGx9kKbO0_M5gmuhXZ6-LaxQxgrmJnzgP0"",""'TP# look up'!A:C""),3,0),"""")"),"")</f>
        <v/>
      </c>
      <c r="AH2728" s="49" t="str">
        <f t="shared" si="42"/>
        <v/>
      </c>
    </row>
    <row r="2729" spans="8:34" ht="12.75">
      <c r="H2729" s="43"/>
      <c r="AG2729" s="49" t="str">
        <f ca="1">IFERROR(__xludf.DUMMYFUNCTION("IFNA(vlookup(H2729,IMPORTRANGE(""1vUGwO1n0QQGx9kKbO0_M5gmuhXZ6-LaxQxgrmJnzgP0"",""'TP# look up'!A:C""),3,0),"""")"),"")</f>
        <v/>
      </c>
      <c r="AH2729" s="49" t="str">
        <f t="shared" si="42"/>
        <v/>
      </c>
    </row>
    <row r="2730" spans="8:34" ht="12.75">
      <c r="H2730" s="43"/>
      <c r="AG2730" s="49" t="str">
        <f ca="1">IFERROR(__xludf.DUMMYFUNCTION("IFNA(vlookup(H2730,IMPORTRANGE(""1vUGwO1n0QQGx9kKbO0_M5gmuhXZ6-LaxQxgrmJnzgP0"",""'TP# look up'!A:C""),3,0),"""")"),"")</f>
        <v/>
      </c>
      <c r="AH2730" s="49" t="str">
        <f t="shared" si="42"/>
        <v/>
      </c>
    </row>
    <row r="2731" spans="8:34" ht="12.75">
      <c r="H2731" s="43"/>
      <c r="AG2731" s="49" t="str">
        <f ca="1">IFERROR(__xludf.DUMMYFUNCTION("IFNA(vlookup(H2731,IMPORTRANGE(""1vUGwO1n0QQGx9kKbO0_M5gmuhXZ6-LaxQxgrmJnzgP0"",""'TP# look up'!A:C""),3,0),"""")"),"")</f>
        <v/>
      </c>
      <c r="AH2731" s="49" t="str">
        <f t="shared" si="42"/>
        <v/>
      </c>
    </row>
    <row r="2732" spans="8:34" ht="12.75">
      <c r="H2732" s="43"/>
      <c r="AG2732" s="49" t="str">
        <f ca="1">IFERROR(__xludf.DUMMYFUNCTION("IFNA(vlookup(H2732,IMPORTRANGE(""1vUGwO1n0QQGx9kKbO0_M5gmuhXZ6-LaxQxgrmJnzgP0"",""'TP# look up'!A:C""),3,0),"""")"),"")</f>
        <v/>
      </c>
      <c r="AH2732" s="49" t="str">
        <f t="shared" si="42"/>
        <v/>
      </c>
    </row>
    <row r="2733" spans="8:34" ht="12.75">
      <c r="H2733" s="43"/>
      <c r="AG2733" s="49" t="str">
        <f ca="1">IFERROR(__xludf.DUMMYFUNCTION("IFNA(vlookup(H2733,IMPORTRANGE(""1vUGwO1n0QQGx9kKbO0_M5gmuhXZ6-LaxQxgrmJnzgP0"",""'TP# look up'!A:C""),3,0),"""")"),"")</f>
        <v/>
      </c>
      <c r="AH2733" s="49" t="str">
        <f t="shared" si="42"/>
        <v/>
      </c>
    </row>
    <row r="2734" spans="8:34" ht="12.75">
      <c r="H2734" s="43"/>
      <c r="AG2734" s="49" t="str">
        <f ca="1">IFERROR(__xludf.DUMMYFUNCTION("IFNA(vlookup(H2734,IMPORTRANGE(""1vUGwO1n0QQGx9kKbO0_M5gmuhXZ6-LaxQxgrmJnzgP0"",""'TP# look up'!A:C""),3,0),"""")"),"")</f>
        <v/>
      </c>
      <c r="AH2734" s="49" t="str">
        <f t="shared" si="42"/>
        <v/>
      </c>
    </row>
    <row r="2735" spans="8:34" ht="12.75">
      <c r="H2735" s="43"/>
      <c r="AG2735" s="49" t="str">
        <f ca="1">IFERROR(__xludf.DUMMYFUNCTION("IFNA(vlookup(H2735,IMPORTRANGE(""1vUGwO1n0QQGx9kKbO0_M5gmuhXZ6-LaxQxgrmJnzgP0"",""'TP# look up'!A:C""),3,0),"""")"),"")</f>
        <v/>
      </c>
      <c r="AH2735" s="49" t="str">
        <f t="shared" si="42"/>
        <v/>
      </c>
    </row>
    <row r="2736" spans="8:34" ht="12.75">
      <c r="H2736" s="43"/>
      <c r="AG2736" s="49" t="str">
        <f ca="1">IFERROR(__xludf.DUMMYFUNCTION("IFNA(vlookup(H2736,IMPORTRANGE(""1vUGwO1n0QQGx9kKbO0_M5gmuhXZ6-LaxQxgrmJnzgP0"",""'TP# look up'!A:C""),3,0),"""")"),"")</f>
        <v/>
      </c>
      <c r="AH2736" s="49" t="str">
        <f t="shared" si="42"/>
        <v/>
      </c>
    </row>
    <row r="2737" spans="8:34" ht="12.75">
      <c r="H2737" s="43"/>
      <c r="AG2737" s="49" t="str">
        <f ca="1">IFERROR(__xludf.DUMMYFUNCTION("IFNA(vlookup(H2737,IMPORTRANGE(""1vUGwO1n0QQGx9kKbO0_M5gmuhXZ6-LaxQxgrmJnzgP0"",""'TP# look up'!A:C""),3,0),"""")"),"")</f>
        <v/>
      </c>
      <c r="AH2737" s="49" t="str">
        <f t="shared" si="42"/>
        <v/>
      </c>
    </row>
    <row r="2738" spans="8:34" ht="12.75">
      <c r="H2738" s="43"/>
      <c r="AG2738" s="49" t="str">
        <f ca="1">IFERROR(__xludf.DUMMYFUNCTION("IFNA(vlookup(H2738,IMPORTRANGE(""1vUGwO1n0QQGx9kKbO0_M5gmuhXZ6-LaxQxgrmJnzgP0"",""'TP# look up'!A:C""),3,0),"""")"),"")</f>
        <v/>
      </c>
      <c r="AH2738" s="49" t="str">
        <f t="shared" si="42"/>
        <v/>
      </c>
    </row>
    <row r="2739" spans="8:34" ht="12.75">
      <c r="H2739" s="43"/>
      <c r="AG2739" s="49" t="str">
        <f ca="1">IFERROR(__xludf.DUMMYFUNCTION("IFNA(vlookup(H2739,IMPORTRANGE(""1vUGwO1n0QQGx9kKbO0_M5gmuhXZ6-LaxQxgrmJnzgP0"",""'TP# look up'!A:C""),3,0),"""")"),"")</f>
        <v/>
      </c>
      <c r="AH2739" s="49" t="str">
        <f t="shared" si="42"/>
        <v/>
      </c>
    </row>
    <row r="2740" spans="8:34" ht="12.75">
      <c r="H2740" s="43"/>
      <c r="AG2740" s="49" t="str">
        <f ca="1">IFERROR(__xludf.DUMMYFUNCTION("IFNA(vlookup(H2740,IMPORTRANGE(""1vUGwO1n0QQGx9kKbO0_M5gmuhXZ6-LaxQxgrmJnzgP0"",""'TP# look up'!A:C""),3,0),"""")"),"")</f>
        <v/>
      </c>
      <c r="AH2740" s="49" t="str">
        <f t="shared" si="42"/>
        <v/>
      </c>
    </row>
    <row r="2741" spans="8:34" ht="12.75">
      <c r="H2741" s="43"/>
      <c r="AG2741" s="49" t="str">
        <f ca="1">IFERROR(__xludf.DUMMYFUNCTION("IFNA(vlookup(H2741,IMPORTRANGE(""1vUGwO1n0QQGx9kKbO0_M5gmuhXZ6-LaxQxgrmJnzgP0"",""'TP# look up'!A:C""),3,0),"""")"),"")</f>
        <v/>
      </c>
      <c r="AH2741" s="49" t="str">
        <f t="shared" si="42"/>
        <v/>
      </c>
    </row>
    <row r="2742" spans="8:34" ht="12.75">
      <c r="H2742" s="43"/>
      <c r="AG2742" s="49" t="str">
        <f ca="1">IFERROR(__xludf.DUMMYFUNCTION("IFNA(vlookup(H2742,IMPORTRANGE(""1vUGwO1n0QQGx9kKbO0_M5gmuhXZ6-LaxQxgrmJnzgP0"",""'TP# look up'!A:C""),3,0),"""")"),"")</f>
        <v/>
      </c>
      <c r="AH2742" s="49" t="str">
        <f t="shared" si="42"/>
        <v/>
      </c>
    </row>
    <row r="2743" spans="8:34" ht="12.75">
      <c r="H2743" s="43"/>
      <c r="AG2743" s="49" t="str">
        <f ca="1">IFERROR(__xludf.DUMMYFUNCTION("IFNA(vlookup(H2743,IMPORTRANGE(""1vUGwO1n0QQGx9kKbO0_M5gmuhXZ6-LaxQxgrmJnzgP0"",""'TP# look up'!A:C""),3,0),"""")"),"")</f>
        <v/>
      </c>
      <c r="AH2743" s="49" t="str">
        <f t="shared" si="42"/>
        <v/>
      </c>
    </row>
    <row r="2744" spans="8:34" ht="12.75">
      <c r="H2744" s="43"/>
      <c r="AG2744" s="49" t="str">
        <f ca="1">IFERROR(__xludf.DUMMYFUNCTION("IFNA(vlookup(H2744,IMPORTRANGE(""1vUGwO1n0QQGx9kKbO0_M5gmuhXZ6-LaxQxgrmJnzgP0"",""'TP# look up'!A:C""),3,0),"""")"),"")</f>
        <v/>
      </c>
      <c r="AH2744" s="49" t="str">
        <f t="shared" si="42"/>
        <v/>
      </c>
    </row>
    <row r="2745" spans="8:34" ht="12.75">
      <c r="H2745" s="43"/>
      <c r="AG2745" s="49" t="str">
        <f ca="1">IFERROR(__xludf.DUMMYFUNCTION("IFNA(vlookup(H2745,IMPORTRANGE(""1vUGwO1n0QQGx9kKbO0_M5gmuhXZ6-LaxQxgrmJnzgP0"",""'TP# look up'!A:C""),3,0),"""")"),"")</f>
        <v/>
      </c>
      <c r="AH2745" s="49" t="str">
        <f t="shared" si="42"/>
        <v/>
      </c>
    </row>
    <row r="2746" spans="8:34" ht="12.75">
      <c r="H2746" s="43"/>
      <c r="AG2746" s="49" t="str">
        <f ca="1">IFERROR(__xludf.DUMMYFUNCTION("IFNA(vlookup(H2746,IMPORTRANGE(""1vUGwO1n0QQGx9kKbO0_M5gmuhXZ6-LaxQxgrmJnzgP0"",""'TP# look up'!A:C""),3,0),"""")"),"")</f>
        <v/>
      </c>
      <c r="AH2746" s="49" t="str">
        <f t="shared" si="42"/>
        <v/>
      </c>
    </row>
    <row r="2747" spans="8:34" ht="12.75">
      <c r="H2747" s="43"/>
      <c r="AG2747" s="49" t="str">
        <f ca="1">IFERROR(__xludf.DUMMYFUNCTION("IFNA(vlookup(H2747,IMPORTRANGE(""1vUGwO1n0QQGx9kKbO0_M5gmuhXZ6-LaxQxgrmJnzgP0"",""'TP# look up'!A:C""),3,0),"""")"),"")</f>
        <v/>
      </c>
      <c r="AH2747" s="49" t="str">
        <f t="shared" si="42"/>
        <v/>
      </c>
    </row>
    <row r="2748" spans="8:34" ht="12.75">
      <c r="H2748" s="43"/>
      <c r="AG2748" s="49" t="str">
        <f ca="1">IFERROR(__xludf.DUMMYFUNCTION("IFNA(vlookup(H2748,IMPORTRANGE(""1vUGwO1n0QQGx9kKbO0_M5gmuhXZ6-LaxQxgrmJnzgP0"",""'TP# look up'!A:C""),3,0),"""")"),"")</f>
        <v/>
      </c>
      <c r="AH2748" s="49" t="str">
        <f t="shared" si="42"/>
        <v/>
      </c>
    </row>
    <row r="2749" spans="8:34" ht="12.75">
      <c r="H2749" s="43"/>
      <c r="AG2749" s="49" t="str">
        <f ca="1">IFERROR(__xludf.DUMMYFUNCTION("IFNA(vlookup(H2749,IMPORTRANGE(""1vUGwO1n0QQGx9kKbO0_M5gmuhXZ6-LaxQxgrmJnzgP0"",""'TP# look up'!A:C""),3,0),"""")"),"")</f>
        <v/>
      </c>
      <c r="AH2749" s="49" t="str">
        <f t="shared" si="42"/>
        <v/>
      </c>
    </row>
    <row r="2750" spans="8:34" ht="12.75">
      <c r="H2750" s="43"/>
      <c r="AG2750" s="49" t="str">
        <f ca="1">IFERROR(__xludf.DUMMYFUNCTION("IFNA(vlookup(H2750,IMPORTRANGE(""1vUGwO1n0QQGx9kKbO0_M5gmuhXZ6-LaxQxgrmJnzgP0"",""'TP# look up'!A:C""),3,0),"""")"),"")</f>
        <v/>
      </c>
      <c r="AH2750" s="49" t="str">
        <f t="shared" si="42"/>
        <v/>
      </c>
    </row>
    <row r="2751" spans="8:34" ht="12.75">
      <c r="H2751" s="43"/>
      <c r="AG2751" s="49" t="str">
        <f ca="1">IFERROR(__xludf.DUMMYFUNCTION("IFNA(vlookup(H2751,IMPORTRANGE(""1vUGwO1n0QQGx9kKbO0_M5gmuhXZ6-LaxQxgrmJnzgP0"",""'TP# look up'!A:C""),3,0),"""")"),"")</f>
        <v/>
      </c>
      <c r="AH2751" s="49" t="str">
        <f t="shared" si="42"/>
        <v/>
      </c>
    </row>
    <row r="2752" spans="8:34" ht="12.75">
      <c r="H2752" s="43"/>
      <c r="AG2752" s="49" t="str">
        <f ca="1">IFERROR(__xludf.DUMMYFUNCTION("IFNA(vlookup(H2752,IMPORTRANGE(""1vUGwO1n0QQGx9kKbO0_M5gmuhXZ6-LaxQxgrmJnzgP0"",""'TP# look up'!A:C""),3,0),"""")"),"")</f>
        <v/>
      </c>
      <c r="AH2752" s="49" t="str">
        <f t="shared" si="42"/>
        <v/>
      </c>
    </row>
    <row r="2753" spans="8:34" ht="12.75">
      <c r="H2753" s="43"/>
      <c r="AG2753" s="49" t="str">
        <f ca="1">IFERROR(__xludf.DUMMYFUNCTION("IFNA(vlookup(H2753,IMPORTRANGE(""1vUGwO1n0QQGx9kKbO0_M5gmuhXZ6-LaxQxgrmJnzgP0"",""'TP# look up'!A:C""),3,0),"""")"),"")</f>
        <v/>
      </c>
      <c r="AH2753" s="49" t="str">
        <f t="shared" si="42"/>
        <v/>
      </c>
    </row>
    <row r="2754" spans="8:34" ht="12.75">
      <c r="H2754" s="43"/>
      <c r="AG2754" s="49" t="str">
        <f ca="1">IFERROR(__xludf.DUMMYFUNCTION("IFNA(vlookup(H2754,IMPORTRANGE(""1vUGwO1n0QQGx9kKbO0_M5gmuhXZ6-LaxQxgrmJnzgP0"",""'TP# look up'!A:C""),3,0),"""")"),"")</f>
        <v/>
      </c>
      <c r="AH2754" s="49" t="str">
        <f t="shared" ref="AH2754:AH2817" si="43">LEFT(J2754,2)</f>
        <v/>
      </c>
    </row>
    <row r="2755" spans="8:34" ht="12.75">
      <c r="H2755" s="43"/>
      <c r="AG2755" s="49" t="str">
        <f ca="1">IFERROR(__xludf.DUMMYFUNCTION("IFNA(vlookup(H2755,IMPORTRANGE(""1vUGwO1n0QQGx9kKbO0_M5gmuhXZ6-LaxQxgrmJnzgP0"",""'TP# look up'!A:C""),3,0),"""")"),"")</f>
        <v/>
      </c>
      <c r="AH2755" s="49" t="str">
        <f t="shared" si="43"/>
        <v/>
      </c>
    </row>
    <row r="2756" spans="8:34" ht="12.75">
      <c r="H2756" s="43"/>
      <c r="AG2756" s="49" t="str">
        <f ca="1">IFERROR(__xludf.DUMMYFUNCTION("IFNA(vlookup(H2756,IMPORTRANGE(""1vUGwO1n0QQGx9kKbO0_M5gmuhXZ6-LaxQxgrmJnzgP0"",""'TP# look up'!A:C""),3,0),"""")"),"")</f>
        <v/>
      </c>
      <c r="AH2756" s="49" t="str">
        <f t="shared" si="43"/>
        <v/>
      </c>
    </row>
    <row r="2757" spans="8:34" ht="12.75">
      <c r="H2757" s="43"/>
      <c r="AG2757" s="49" t="str">
        <f ca="1">IFERROR(__xludf.DUMMYFUNCTION("IFNA(vlookup(H2757,IMPORTRANGE(""1vUGwO1n0QQGx9kKbO0_M5gmuhXZ6-LaxQxgrmJnzgP0"",""'TP# look up'!A:C""),3,0),"""")"),"")</f>
        <v/>
      </c>
      <c r="AH2757" s="49" t="str">
        <f t="shared" si="43"/>
        <v/>
      </c>
    </row>
    <row r="2758" spans="8:34" ht="12.75">
      <c r="H2758" s="43"/>
      <c r="AG2758" s="49" t="str">
        <f ca="1">IFERROR(__xludf.DUMMYFUNCTION("IFNA(vlookup(H2758,IMPORTRANGE(""1vUGwO1n0QQGx9kKbO0_M5gmuhXZ6-LaxQxgrmJnzgP0"",""'TP# look up'!A:C""),3,0),"""")"),"")</f>
        <v/>
      </c>
      <c r="AH2758" s="49" t="str">
        <f t="shared" si="43"/>
        <v/>
      </c>
    </row>
    <row r="2759" spans="8:34" ht="12.75">
      <c r="H2759" s="43"/>
      <c r="AG2759" s="49" t="str">
        <f ca="1">IFERROR(__xludf.DUMMYFUNCTION("IFNA(vlookup(H2759,IMPORTRANGE(""1vUGwO1n0QQGx9kKbO0_M5gmuhXZ6-LaxQxgrmJnzgP0"",""'TP# look up'!A:C""),3,0),"""")"),"")</f>
        <v/>
      </c>
      <c r="AH2759" s="49" t="str">
        <f t="shared" si="43"/>
        <v/>
      </c>
    </row>
    <row r="2760" spans="8:34" ht="12.75">
      <c r="H2760" s="43"/>
      <c r="AG2760" s="49" t="str">
        <f ca="1">IFERROR(__xludf.DUMMYFUNCTION("IFNA(vlookup(H2760,IMPORTRANGE(""1vUGwO1n0QQGx9kKbO0_M5gmuhXZ6-LaxQxgrmJnzgP0"",""'TP# look up'!A:C""),3,0),"""")"),"")</f>
        <v/>
      </c>
      <c r="AH2760" s="49" t="str">
        <f t="shared" si="43"/>
        <v/>
      </c>
    </row>
    <row r="2761" spans="8:34" ht="12.75">
      <c r="H2761" s="43"/>
      <c r="AG2761" s="49" t="str">
        <f ca="1">IFERROR(__xludf.DUMMYFUNCTION("IFNA(vlookup(H2761,IMPORTRANGE(""1vUGwO1n0QQGx9kKbO0_M5gmuhXZ6-LaxQxgrmJnzgP0"",""'TP# look up'!A:C""),3,0),"""")"),"")</f>
        <v/>
      </c>
      <c r="AH2761" s="49" t="str">
        <f t="shared" si="43"/>
        <v/>
      </c>
    </row>
    <row r="2762" spans="8:34" ht="12.75">
      <c r="H2762" s="43"/>
      <c r="AG2762" s="49" t="str">
        <f ca="1">IFERROR(__xludf.DUMMYFUNCTION("IFNA(vlookup(H2762,IMPORTRANGE(""1vUGwO1n0QQGx9kKbO0_M5gmuhXZ6-LaxQxgrmJnzgP0"",""'TP# look up'!A:C""),3,0),"""")"),"")</f>
        <v/>
      </c>
      <c r="AH2762" s="49" t="str">
        <f t="shared" si="43"/>
        <v/>
      </c>
    </row>
    <row r="2763" spans="8:34" ht="12.75">
      <c r="H2763" s="43"/>
      <c r="AG2763" s="49" t="str">
        <f ca="1">IFERROR(__xludf.DUMMYFUNCTION("IFNA(vlookup(H2763,IMPORTRANGE(""1vUGwO1n0QQGx9kKbO0_M5gmuhXZ6-LaxQxgrmJnzgP0"",""'TP# look up'!A:C""),3,0),"""")"),"")</f>
        <v/>
      </c>
      <c r="AH2763" s="49" t="str">
        <f t="shared" si="43"/>
        <v/>
      </c>
    </row>
    <row r="2764" spans="8:34" ht="12.75">
      <c r="H2764" s="43"/>
      <c r="AG2764" s="49" t="str">
        <f ca="1">IFERROR(__xludf.DUMMYFUNCTION("IFNA(vlookup(H2764,IMPORTRANGE(""1vUGwO1n0QQGx9kKbO0_M5gmuhXZ6-LaxQxgrmJnzgP0"",""'TP# look up'!A:C""),3,0),"""")"),"")</f>
        <v/>
      </c>
      <c r="AH2764" s="49" t="str">
        <f t="shared" si="43"/>
        <v/>
      </c>
    </row>
    <row r="2765" spans="8:34" ht="12.75">
      <c r="H2765" s="43"/>
      <c r="AG2765" s="49" t="str">
        <f ca="1">IFERROR(__xludf.DUMMYFUNCTION("IFNA(vlookup(H2765,IMPORTRANGE(""1vUGwO1n0QQGx9kKbO0_M5gmuhXZ6-LaxQxgrmJnzgP0"",""'TP# look up'!A:C""),3,0),"""")"),"")</f>
        <v/>
      </c>
      <c r="AH2765" s="49" t="str">
        <f t="shared" si="43"/>
        <v/>
      </c>
    </row>
    <row r="2766" spans="8:34" ht="12.75">
      <c r="H2766" s="43"/>
      <c r="AG2766" s="49" t="str">
        <f ca="1">IFERROR(__xludf.DUMMYFUNCTION("IFNA(vlookup(H2766,IMPORTRANGE(""1vUGwO1n0QQGx9kKbO0_M5gmuhXZ6-LaxQxgrmJnzgP0"",""'TP# look up'!A:C""),3,0),"""")"),"")</f>
        <v/>
      </c>
      <c r="AH2766" s="49" t="str">
        <f t="shared" si="43"/>
        <v/>
      </c>
    </row>
    <row r="2767" spans="8:34" ht="12.75">
      <c r="H2767" s="43"/>
      <c r="AG2767" s="49" t="str">
        <f ca="1">IFERROR(__xludf.DUMMYFUNCTION("IFNA(vlookup(H2767,IMPORTRANGE(""1vUGwO1n0QQGx9kKbO0_M5gmuhXZ6-LaxQxgrmJnzgP0"",""'TP# look up'!A:C""),3,0),"""")"),"")</f>
        <v/>
      </c>
      <c r="AH2767" s="49" t="str">
        <f t="shared" si="43"/>
        <v/>
      </c>
    </row>
    <row r="2768" spans="8:34" ht="12.75">
      <c r="H2768" s="43"/>
      <c r="AG2768" s="49" t="str">
        <f ca="1">IFERROR(__xludf.DUMMYFUNCTION("IFNA(vlookup(H2768,IMPORTRANGE(""1vUGwO1n0QQGx9kKbO0_M5gmuhXZ6-LaxQxgrmJnzgP0"",""'TP# look up'!A:C""),3,0),"""")"),"")</f>
        <v/>
      </c>
      <c r="AH2768" s="49" t="str">
        <f t="shared" si="43"/>
        <v/>
      </c>
    </row>
    <row r="2769" spans="8:34" ht="12.75">
      <c r="H2769" s="43"/>
      <c r="AG2769" s="49" t="str">
        <f ca="1">IFERROR(__xludf.DUMMYFUNCTION("IFNA(vlookup(H2769,IMPORTRANGE(""1vUGwO1n0QQGx9kKbO0_M5gmuhXZ6-LaxQxgrmJnzgP0"",""'TP# look up'!A:C""),3,0),"""")"),"")</f>
        <v/>
      </c>
      <c r="AH2769" s="49" t="str">
        <f t="shared" si="43"/>
        <v/>
      </c>
    </row>
    <row r="2770" spans="8:34" ht="12.75">
      <c r="H2770" s="43"/>
      <c r="AG2770" s="49" t="str">
        <f ca="1">IFERROR(__xludf.DUMMYFUNCTION("IFNA(vlookup(H2770,IMPORTRANGE(""1vUGwO1n0QQGx9kKbO0_M5gmuhXZ6-LaxQxgrmJnzgP0"",""'TP# look up'!A:C""),3,0),"""")"),"")</f>
        <v/>
      </c>
      <c r="AH2770" s="49" t="str">
        <f t="shared" si="43"/>
        <v/>
      </c>
    </row>
    <row r="2771" spans="8:34" ht="12.75">
      <c r="H2771" s="43"/>
      <c r="AG2771" s="49" t="str">
        <f ca="1">IFERROR(__xludf.DUMMYFUNCTION("IFNA(vlookup(H2771,IMPORTRANGE(""1vUGwO1n0QQGx9kKbO0_M5gmuhXZ6-LaxQxgrmJnzgP0"",""'TP# look up'!A:C""),3,0),"""")"),"")</f>
        <v/>
      </c>
      <c r="AH2771" s="49" t="str">
        <f t="shared" si="43"/>
        <v/>
      </c>
    </row>
    <row r="2772" spans="8:34" ht="12.75">
      <c r="H2772" s="43"/>
      <c r="AG2772" s="49" t="str">
        <f ca="1">IFERROR(__xludf.DUMMYFUNCTION("IFNA(vlookup(H2772,IMPORTRANGE(""1vUGwO1n0QQGx9kKbO0_M5gmuhXZ6-LaxQxgrmJnzgP0"",""'TP# look up'!A:C""),3,0),"""")"),"")</f>
        <v/>
      </c>
      <c r="AH2772" s="49" t="str">
        <f t="shared" si="43"/>
        <v/>
      </c>
    </row>
    <row r="2773" spans="8:34" ht="12.75">
      <c r="H2773" s="43"/>
      <c r="AG2773" s="49" t="str">
        <f ca="1">IFERROR(__xludf.DUMMYFUNCTION("IFNA(vlookup(H2773,IMPORTRANGE(""1vUGwO1n0QQGx9kKbO0_M5gmuhXZ6-LaxQxgrmJnzgP0"",""'TP# look up'!A:C""),3,0),"""")"),"")</f>
        <v/>
      </c>
      <c r="AH2773" s="49" t="str">
        <f t="shared" si="43"/>
        <v/>
      </c>
    </row>
    <row r="2774" spans="8:34" ht="12.75">
      <c r="H2774" s="43"/>
      <c r="AG2774" s="49" t="str">
        <f ca="1">IFERROR(__xludf.DUMMYFUNCTION("IFNA(vlookup(H2774,IMPORTRANGE(""1vUGwO1n0QQGx9kKbO0_M5gmuhXZ6-LaxQxgrmJnzgP0"",""'TP# look up'!A:C""),3,0),"""")"),"")</f>
        <v/>
      </c>
      <c r="AH2774" s="49" t="str">
        <f t="shared" si="43"/>
        <v/>
      </c>
    </row>
    <row r="2775" spans="8:34" ht="12.75">
      <c r="H2775" s="43"/>
      <c r="AG2775" s="49" t="str">
        <f ca="1">IFERROR(__xludf.DUMMYFUNCTION("IFNA(vlookup(H2775,IMPORTRANGE(""1vUGwO1n0QQGx9kKbO0_M5gmuhXZ6-LaxQxgrmJnzgP0"",""'TP# look up'!A:C""),3,0),"""")"),"")</f>
        <v/>
      </c>
      <c r="AH2775" s="49" t="str">
        <f t="shared" si="43"/>
        <v/>
      </c>
    </row>
    <row r="2776" spans="8:34" ht="12.75">
      <c r="H2776" s="43"/>
      <c r="AG2776" s="49" t="str">
        <f ca="1">IFERROR(__xludf.DUMMYFUNCTION("IFNA(vlookup(H2776,IMPORTRANGE(""1vUGwO1n0QQGx9kKbO0_M5gmuhXZ6-LaxQxgrmJnzgP0"",""'TP# look up'!A:C""),3,0),"""")"),"")</f>
        <v/>
      </c>
      <c r="AH2776" s="49" t="str">
        <f t="shared" si="43"/>
        <v/>
      </c>
    </row>
    <row r="2777" spans="8:34" ht="12.75">
      <c r="H2777" s="43"/>
      <c r="AG2777" s="49" t="str">
        <f ca="1">IFERROR(__xludf.DUMMYFUNCTION("IFNA(vlookup(H2777,IMPORTRANGE(""1vUGwO1n0QQGx9kKbO0_M5gmuhXZ6-LaxQxgrmJnzgP0"",""'TP# look up'!A:C""),3,0),"""")"),"")</f>
        <v/>
      </c>
      <c r="AH2777" s="49" t="str">
        <f t="shared" si="43"/>
        <v/>
      </c>
    </row>
    <row r="2778" spans="8:34" ht="12.75">
      <c r="H2778" s="43"/>
      <c r="AG2778" s="49" t="str">
        <f ca="1">IFERROR(__xludf.DUMMYFUNCTION("IFNA(vlookup(H2778,IMPORTRANGE(""1vUGwO1n0QQGx9kKbO0_M5gmuhXZ6-LaxQxgrmJnzgP0"",""'TP# look up'!A:C""),3,0),"""")"),"")</f>
        <v/>
      </c>
      <c r="AH2778" s="49" t="str">
        <f t="shared" si="43"/>
        <v/>
      </c>
    </row>
    <row r="2779" spans="8:34" ht="12.75">
      <c r="H2779" s="43"/>
      <c r="AG2779" s="49" t="str">
        <f ca="1">IFERROR(__xludf.DUMMYFUNCTION("IFNA(vlookup(H2779,IMPORTRANGE(""1vUGwO1n0QQGx9kKbO0_M5gmuhXZ6-LaxQxgrmJnzgP0"",""'TP# look up'!A:C""),3,0),"""")"),"")</f>
        <v/>
      </c>
      <c r="AH2779" s="49" t="str">
        <f t="shared" si="43"/>
        <v/>
      </c>
    </row>
    <row r="2780" spans="8:34" ht="12.75">
      <c r="H2780" s="43"/>
      <c r="AG2780" s="49" t="str">
        <f ca="1">IFERROR(__xludf.DUMMYFUNCTION("IFNA(vlookup(H2780,IMPORTRANGE(""1vUGwO1n0QQGx9kKbO0_M5gmuhXZ6-LaxQxgrmJnzgP0"",""'TP# look up'!A:C""),3,0),"""")"),"")</f>
        <v/>
      </c>
      <c r="AH2780" s="49" t="str">
        <f t="shared" si="43"/>
        <v/>
      </c>
    </row>
    <row r="2781" spans="8:34" ht="12.75">
      <c r="H2781" s="43"/>
      <c r="AG2781" s="49" t="str">
        <f ca="1">IFERROR(__xludf.DUMMYFUNCTION("IFNA(vlookup(H2781,IMPORTRANGE(""1vUGwO1n0QQGx9kKbO0_M5gmuhXZ6-LaxQxgrmJnzgP0"",""'TP# look up'!A:C""),3,0),"""")"),"")</f>
        <v/>
      </c>
      <c r="AH2781" s="49" t="str">
        <f t="shared" si="43"/>
        <v/>
      </c>
    </row>
    <row r="2782" spans="8:34" ht="12.75">
      <c r="H2782" s="43"/>
      <c r="AG2782" s="49" t="str">
        <f ca="1">IFERROR(__xludf.DUMMYFUNCTION("IFNA(vlookup(H2782,IMPORTRANGE(""1vUGwO1n0QQGx9kKbO0_M5gmuhXZ6-LaxQxgrmJnzgP0"",""'TP# look up'!A:C""),3,0),"""")"),"")</f>
        <v/>
      </c>
      <c r="AH2782" s="49" t="str">
        <f t="shared" si="43"/>
        <v/>
      </c>
    </row>
    <row r="2783" spans="8:34" ht="12.75">
      <c r="H2783" s="43"/>
      <c r="AG2783" s="49" t="str">
        <f ca="1">IFERROR(__xludf.DUMMYFUNCTION("IFNA(vlookup(H2783,IMPORTRANGE(""1vUGwO1n0QQGx9kKbO0_M5gmuhXZ6-LaxQxgrmJnzgP0"",""'TP# look up'!A:C""),3,0),"""")"),"")</f>
        <v/>
      </c>
      <c r="AH2783" s="49" t="str">
        <f t="shared" si="43"/>
        <v/>
      </c>
    </row>
    <row r="2784" spans="8:34" ht="12.75">
      <c r="H2784" s="43"/>
      <c r="AG2784" s="49" t="str">
        <f ca="1">IFERROR(__xludf.DUMMYFUNCTION("IFNA(vlookup(H2784,IMPORTRANGE(""1vUGwO1n0QQGx9kKbO0_M5gmuhXZ6-LaxQxgrmJnzgP0"",""'TP# look up'!A:C""),3,0),"""")"),"")</f>
        <v/>
      </c>
      <c r="AH2784" s="49" t="str">
        <f t="shared" si="43"/>
        <v/>
      </c>
    </row>
    <row r="2785" spans="8:34" ht="12.75">
      <c r="H2785" s="43"/>
      <c r="AG2785" s="49" t="str">
        <f ca="1">IFERROR(__xludf.DUMMYFUNCTION("IFNA(vlookup(H2785,IMPORTRANGE(""1vUGwO1n0QQGx9kKbO0_M5gmuhXZ6-LaxQxgrmJnzgP0"",""'TP# look up'!A:C""),3,0),"""")"),"")</f>
        <v/>
      </c>
      <c r="AH2785" s="49" t="str">
        <f t="shared" si="43"/>
        <v/>
      </c>
    </row>
    <row r="2786" spans="8:34" ht="12.75">
      <c r="H2786" s="43"/>
      <c r="AG2786" s="49" t="str">
        <f ca="1">IFERROR(__xludf.DUMMYFUNCTION("IFNA(vlookup(H2786,IMPORTRANGE(""1vUGwO1n0QQGx9kKbO0_M5gmuhXZ6-LaxQxgrmJnzgP0"",""'TP# look up'!A:C""),3,0),"""")"),"")</f>
        <v/>
      </c>
      <c r="AH2786" s="49" t="str">
        <f t="shared" si="43"/>
        <v/>
      </c>
    </row>
    <row r="2787" spans="8:34" ht="12.75">
      <c r="H2787" s="43"/>
      <c r="AG2787" s="49" t="str">
        <f ca="1">IFERROR(__xludf.DUMMYFUNCTION("IFNA(vlookup(H2787,IMPORTRANGE(""1vUGwO1n0QQGx9kKbO0_M5gmuhXZ6-LaxQxgrmJnzgP0"",""'TP# look up'!A:C""),3,0),"""")"),"")</f>
        <v/>
      </c>
      <c r="AH2787" s="49" t="str">
        <f t="shared" si="43"/>
        <v/>
      </c>
    </row>
    <row r="2788" spans="8:34" ht="12.75">
      <c r="H2788" s="43"/>
      <c r="AG2788" s="49" t="str">
        <f ca="1">IFERROR(__xludf.DUMMYFUNCTION("IFNA(vlookup(H2788,IMPORTRANGE(""1vUGwO1n0QQGx9kKbO0_M5gmuhXZ6-LaxQxgrmJnzgP0"",""'TP# look up'!A:C""),3,0),"""")"),"")</f>
        <v/>
      </c>
      <c r="AH2788" s="49" t="str">
        <f t="shared" si="43"/>
        <v/>
      </c>
    </row>
    <row r="2789" spans="8:34" ht="12.75">
      <c r="H2789" s="43"/>
      <c r="AG2789" s="49" t="str">
        <f ca="1">IFERROR(__xludf.DUMMYFUNCTION("IFNA(vlookup(H2789,IMPORTRANGE(""1vUGwO1n0QQGx9kKbO0_M5gmuhXZ6-LaxQxgrmJnzgP0"",""'TP# look up'!A:C""),3,0),"""")"),"")</f>
        <v/>
      </c>
      <c r="AH2789" s="49" t="str">
        <f t="shared" si="43"/>
        <v/>
      </c>
    </row>
    <row r="2790" spans="8:34" ht="12.75">
      <c r="H2790" s="43"/>
      <c r="AG2790" s="49" t="str">
        <f ca="1">IFERROR(__xludf.DUMMYFUNCTION("IFNA(vlookup(H2790,IMPORTRANGE(""1vUGwO1n0QQGx9kKbO0_M5gmuhXZ6-LaxQxgrmJnzgP0"",""'TP# look up'!A:C""),3,0),"""")"),"")</f>
        <v/>
      </c>
      <c r="AH2790" s="49" t="str">
        <f t="shared" si="43"/>
        <v/>
      </c>
    </row>
    <row r="2791" spans="8:34" ht="12.75">
      <c r="H2791" s="43"/>
      <c r="AG2791" s="49" t="str">
        <f ca="1">IFERROR(__xludf.DUMMYFUNCTION("IFNA(vlookup(H2791,IMPORTRANGE(""1vUGwO1n0QQGx9kKbO0_M5gmuhXZ6-LaxQxgrmJnzgP0"",""'TP# look up'!A:C""),3,0),"""")"),"")</f>
        <v/>
      </c>
      <c r="AH2791" s="49" t="str">
        <f t="shared" si="43"/>
        <v/>
      </c>
    </row>
    <row r="2792" spans="8:34" ht="12.75">
      <c r="H2792" s="43"/>
      <c r="AG2792" s="49" t="str">
        <f ca="1">IFERROR(__xludf.DUMMYFUNCTION("IFNA(vlookup(H2792,IMPORTRANGE(""1vUGwO1n0QQGx9kKbO0_M5gmuhXZ6-LaxQxgrmJnzgP0"",""'TP# look up'!A:C""),3,0),"""")"),"")</f>
        <v/>
      </c>
      <c r="AH2792" s="49" t="str">
        <f t="shared" si="43"/>
        <v/>
      </c>
    </row>
    <row r="2793" spans="8:34" ht="12.75">
      <c r="H2793" s="43"/>
      <c r="AG2793" s="49" t="str">
        <f ca="1">IFERROR(__xludf.DUMMYFUNCTION("IFNA(vlookup(H2793,IMPORTRANGE(""1vUGwO1n0QQGx9kKbO0_M5gmuhXZ6-LaxQxgrmJnzgP0"",""'TP# look up'!A:C""),3,0),"""")"),"")</f>
        <v/>
      </c>
      <c r="AH2793" s="49" t="str">
        <f t="shared" si="43"/>
        <v/>
      </c>
    </row>
    <row r="2794" spans="8:34" ht="12.75">
      <c r="H2794" s="43"/>
      <c r="AG2794" s="49" t="str">
        <f ca="1">IFERROR(__xludf.DUMMYFUNCTION("IFNA(vlookup(H2794,IMPORTRANGE(""1vUGwO1n0QQGx9kKbO0_M5gmuhXZ6-LaxQxgrmJnzgP0"",""'TP# look up'!A:C""),3,0),"""")"),"")</f>
        <v/>
      </c>
      <c r="AH2794" s="49" t="str">
        <f t="shared" si="43"/>
        <v/>
      </c>
    </row>
    <row r="2795" spans="8:34" ht="12.75">
      <c r="H2795" s="43"/>
      <c r="AG2795" s="49" t="str">
        <f ca="1">IFERROR(__xludf.DUMMYFUNCTION("IFNA(vlookup(H2795,IMPORTRANGE(""1vUGwO1n0QQGx9kKbO0_M5gmuhXZ6-LaxQxgrmJnzgP0"",""'TP# look up'!A:C""),3,0),"""")"),"")</f>
        <v/>
      </c>
      <c r="AH2795" s="49" t="str">
        <f t="shared" si="43"/>
        <v/>
      </c>
    </row>
    <row r="2796" spans="8:34" ht="12.75">
      <c r="H2796" s="43"/>
      <c r="AG2796" s="49" t="str">
        <f ca="1">IFERROR(__xludf.DUMMYFUNCTION("IFNA(vlookup(H2796,IMPORTRANGE(""1vUGwO1n0QQGx9kKbO0_M5gmuhXZ6-LaxQxgrmJnzgP0"",""'TP# look up'!A:C""),3,0),"""")"),"")</f>
        <v/>
      </c>
      <c r="AH2796" s="49" t="str">
        <f t="shared" si="43"/>
        <v/>
      </c>
    </row>
    <row r="2797" spans="8:34" ht="12.75">
      <c r="H2797" s="43"/>
      <c r="AG2797" s="49" t="str">
        <f ca="1">IFERROR(__xludf.DUMMYFUNCTION("IFNA(vlookup(H2797,IMPORTRANGE(""1vUGwO1n0QQGx9kKbO0_M5gmuhXZ6-LaxQxgrmJnzgP0"",""'TP# look up'!A:C""),3,0),"""")"),"")</f>
        <v/>
      </c>
      <c r="AH2797" s="49" t="str">
        <f t="shared" si="43"/>
        <v/>
      </c>
    </row>
    <row r="2798" spans="8:34" ht="12.75">
      <c r="H2798" s="43"/>
      <c r="AG2798" s="49" t="str">
        <f ca="1">IFERROR(__xludf.DUMMYFUNCTION("IFNA(vlookup(H2798,IMPORTRANGE(""1vUGwO1n0QQGx9kKbO0_M5gmuhXZ6-LaxQxgrmJnzgP0"",""'TP# look up'!A:C""),3,0),"""")"),"")</f>
        <v/>
      </c>
      <c r="AH2798" s="49" t="str">
        <f t="shared" si="43"/>
        <v/>
      </c>
    </row>
    <row r="2799" spans="8:34" ht="12.75">
      <c r="H2799" s="43"/>
      <c r="AG2799" s="49" t="str">
        <f ca="1">IFERROR(__xludf.DUMMYFUNCTION("IFNA(vlookup(H2799,IMPORTRANGE(""1vUGwO1n0QQGx9kKbO0_M5gmuhXZ6-LaxQxgrmJnzgP0"",""'TP# look up'!A:C""),3,0),"""")"),"")</f>
        <v/>
      </c>
      <c r="AH2799" s="49" t="str">
        <f t="shared" si="43"/>
        <v/>
      </c>
    </row>
    <row r="2800" spans="8:34" ht="12.75">
      <c r="H2800" s="43"/>
      <c r="AG2800" s="49" t="str">
        <f ca="1">IFERROR(__xludf.DUMMYFUNCTION("IFNA(vlookup(H2800,IMPORTRANGE(""1vUGwO1n0QQGx9kKbO0_M5gmuhXZ6-LaxQxgrmJnzgP0"",""'TP# look up'!A:C""),3,0),"""")"),"")</f>
        <v/>
      </c>
      <c r="AH2800" s="49" t="str">
        <f t="shared" si="43"/>
        <v/>
      </c>
    </row>
    <row r="2801" spans="8:34" ht="12.75">
      <c r="H2801" s="43"/>
      <c r="AG2801" s="49" t="str">
        <f ca="1">IFERROR(__xludf.DUMMYFUNCTION("IFNA(vlookup(H2801,IMPORTRANGE(""1vUGwO1n0QQGx9kKbO0_M5gmuhXZ6-LaxQxgrmJnzgP0"",""'TP# look up'!A:C""),3,0),"""")"),"")</f>
        <v/>
      </c>
      <c r="AH2801" s="49" t="str">
        <f t="shared" si="43"/>
        <v/>
      </c>
    </row>
    <row r="2802" spans="8:34" ht="12.75">
      <c r="H2802" s="43"/>
      <c r="AG2802" s="49" t="str">
        <f ca="1">IFERROR(__xludf.DUMMYFUNCTION("IFNA(vlookup(H2802,IMPORTRANGE(""1vUGwO1n0QQGx9kKbO0_M5gmuhXZ6-LaxQxgrmJnzgP0"",""'TP# look up'!A:C""),3,0),"""")"),"")</f>
        <v/>
      </c>
      <c r="AH2802" s="49" t="str">
        <f t="shared" si="43"/>
        <v/>
      </c>
    </row>
    <row r="2803" spans="8:34" ht="12.75">
      <c r="H2803" s="43"/>
      <c r="AG2803" s="49" t="str">
        <f ca="1">IFERROR(__xludf.DUMMYFUNCTION("IFNA(vlookup(H2803,IMPORTRANGE(""1vUGwO1n0QQGx9kKbO0_M5gmuhXZ6-LaxQxgrmJnzgP0"",""'TP# look up'!A:C""),3,0),"""")"),"")</f>
        <v/>
      </c>
      <c r="AH2803" s="49" t="str">
        <f t="shared" si="43"/>
        <v/>
      </c>
    </row>
    <row r="2804" spans="8:34" ht="12.75">
      <c r="H2804" s="43"/>
      <c r="AG2804" s="49" t="str">
        <f ca="1">IFERROR(__xludf.DUMMYFUNCTION("IFNA(vlookup(H2804,IMPORTRANGE(""1vUGwO1n0QQGx9kKbO0_M5gmuhXZ6-LaxQxgrmJnzgP0"",""'TP# look up'!A:C""),3,0),"""")"),"")</f>
        <v/>
      </c>
      <c r="AH2804" s="49" t="str">
        <f t="shared" si="43"/>
        <v/>
      </c>
    </row>
    <row r="2805" spans="8:34" ht="12.75">
      <c r="H2805" s="43"/>
      <c r="AG2805" s="49" t="str">
        <f ca="1">IFERROR(__xludf.DUMMYFUNCTION("IFNA(vlookup(H2805,IMPORTRANGE(""1vUGwO1n0QQGx9kKbO0_M5gmuhXZ6-LaxQxgrmJnzgP0"",""'TP# look up'!A:C""),3,0),"""")"),"")</f>
        <v/>
      </c>
      <c r="AH2805" s="49" t="str">
        <f t="shared" si="43"/>
        <v/>
      </c>
    </row>
    <row r="2806" spans="8:34" ht="12.75">
      <c r="H2806" s="43"/>
      <c r="AG2806" s="49" t="str">
        <f ca="1">IFERROR(__xludf.DUMMYFUNCTION("IFNA(vlookup(H2806,IMPORTRANGE(""1vUGwO1n0QQGx9kKbO0_M5gmuhXZ6-LaxQxgrmJnzgP0"",""'TP# look up'!A:C""),3,0),"""")"),"")</f>
        <v/>
      </c>
      <c r="AH2806" s="49" t="str">
        <f t="shared" si="43"/>
        <v/>
      </c>
    </row>
    <row r="2807" spans="8:34" ht="12.75">
      <c r="H2807" s="43"/>
      <c r="AG2807" s="49" t="str">
        <f ca="1">IFERROR(__xludf.DUMMYFUNCTION("IFNA(vlookup(H2807,IMPORTRANGE(""1vUGwO1n0QQGx9kKbO0_M5gmuhXZ6-LaxQxgrmJnzgP0"",""'TP# look up'!A:C""),3,0),"""")"),"")</f>
        <v/>
      </c>
      <c r="AH2807" s="49" t="str">
        <f t="shared" si="43"/>
        <v/>
      </c>
    </row>
    <row r="2808" spans="8:34" ht="12.75">
      <c r="H2808" s="43"/>
      <c r="AG2808" s="49" t="str">
        <f ca="1">IFERROR(__xludf.DUMMYFUNCTION("IFNA(vlookup(H2808,IMPORTRANGE(""1vUGwO1n0QQGx9kKbO0_M5gmuhXZ6-LaxQxgrmJnzgP0"",""'TP# look up'!A:C""),3,0),"""")"),"")</f>
        <v/>
      </c>
      <c r="AH2808" s="49" t="str">
        <f t="shared" si="43"/>
        <v/>
      </c>
    </row>
    <row r="2809" spans="8:34" ht="12.75">
      <c r="H2809" s="43"/>
      <c r="AG2809" s="49" t="str">
        <f ca="1">IFERROR(__xludf.DUMMYFUNCTION("IFNA(vlookup(H2809,IMPORTRANGE(""1vUGwO1n0QQGx9kKbO0_M5gmuhXZ6-LaxQxgrmJnzgP0"",""'TP# look up'!A:C""),3,0),"""")"),"")</f>
        <v/>
      </c>
      <c r="AH2809" s="49" t="str">
        <f t="shared" si="43"/>
        <v/>
      </c>
    </row>
    <row r="2810" spans="8:34" ht="12.75">
      <c r="H2810" s="43"/>
      <c r="AG2810" s="49" t="str">
        <f ca="1">IFERROR(__xludf.DUMMYFUNCTION("IFNA(vlookup(H2810,IMPORTRANGE(""1vUGwO1n0QQGx9kKbO0_M5gmuhXZ6-LaxQxgrmJnzgP0"",""'TP# look up'!A:C""),3,0),"""")"),"")</f>
        <v/>
      </c>
      <c r="AH2810" s="49" t="str">
        <f t="shared" si="43"/>
        <v/>
      </c>
    </row>
    <row r="2811" spans="8:34" ht="12.75">
      <c r="H2811" s="43"/>
      <c r="AG2811" s="49" t="str">
        <f ca="1">IFERROR(__xludf.DUMMYFUNCTION("IFNA(vlookup(H2811,IMPORTRANGE(""1vUGwO1n0QQGx9kKbO0_M5gmuhXZ6-LaxQxgrmJnzgP0"",""'TP# look up'!A:C""),3,0),"""")"),"")</f>
        <v/>
      </c>
      <c r="AH2811" s="49" t="str">
        <f t="shared" si="43"/>
        <v/>
      </c>
    </row>
    <row r="2812" spans="8:34" ht="12.75">
      <c r="H2812" s="43"/>
      <c r="AG2812" s="49" t="str">
        <f ca="1">IFERROR(__xludf.DUMMYFUNCTION("IFNA(vlookup(H2812,IMPORTRANGE(""1vUGwO1n0QQGx9kKbO0_M5gmuhXZ6-LaxQxgrmJnzgP0"",""'TP# look up'!A:C""),3,0),"""")"),"")</f>
        <v/>
      </c>
      <c r="AH2812" s="49" t="str">
        <f t="shared" si="43"/>
        <v/>
      </c>
    </row>
    <row r="2813" spans="8:34" ht="12.75">
      <c r="H2813" s="43"/>
      <c r="AG2813" s="49" t="str">
        <f ca="1">IFERROR(__xludf.DUMMYFUNCTION("IFNA(vlookup(H2813,IMPORTRANGE(""1vUGwO1n0QQGx9kKbO0_M5gmuhXZ6-LaxQxgrmJnzgP0"",""'TP# look up'!A:C""),3,0),"""")"),"")</f>
        <v/>
      </c>
      <c r="AH2813" s="49" t="str">
        <f t="shared" si="43"/>
        <v/>
      </c>
    </row>
    <row r="2814" spans="8:34" ht="12.75">
      <c r="H2814" s="43"/>
      <c r="AG2814" s="49" t="str">
        <f ca="1">IFERROR(__xludf.DUMMYFUNCTION("IFNA(vlookup(H2814,IMPORTRANGE(""1vUGwO1n0QQGx9kKbO0_M5gmuhXZ6-LaxQxgrmJnzgP0"",""'TP# look up'!A:C""),3,0),"""")"),"")</f>
        <v/>
      </c>
      <c r="AH2814" s="49" t="str">
        <f t="shared" si="43"/>
        <v/>
      </c>
    </row>
    <row r="2815" spans="8:34" ht="12.75">
      <c r="H2815" s="43"/>
      <c r="AG2815" s="49" t="str">
        <f ca="1">IFERROR(__xludf.DUMMYFUNCTION("IFNA(vlookup(H2815,IMPORTRANGE(""1vUGwO1n0QQGx9kKbO0_M5gmuhXZ6-LaxQxgrmJnzgP0"",""'TP# look up'!A:C""),3,0),"""")"),"")</f>
        <v/>
      </c>
      <c r="AH2815" s="49" t="str">
        <f t="shared" si="43"/>
        <v/>
      </c>
    </row>
    <row r="2816" spans="8:34" ht="12.75">
      <c r="H2816" s="43"/>
      <c r="AG2816" s="49" t="str">
        <f ca="1">IFERROR(__xludf.DUMMYFUNCTION("IFNA(vlookup(H2816,IMPORTRANGE(""1vUGwO1n0QQGx9kKbO0_M5gmuhXZ6-LaxQxgrmJnzgP0"",""'TP# look up'!A:C""),3,0),"""")"),"")</f>
        <v/>
      </c>
      <c r="AH2816" s="49" t="str">
        <f t="shared" si="43"/>
        <v/>
      </c>
    </row>
    <row r="2817" spans="8:34" ht="12.75">
      <c r="H2817" s="43"/>
      <c r="AG2817" s="49" t="str">
        <f ca="1">IFERROR(__xludf.DUMMYFUNCTION("IFNA(vlookup(H2817,IMPORTRANGE(""1vUGwO1n0QQGx9kKbO0_M5gmuhXZ6-LaxQxgrmJnzgP0"",""'TP# look up'!A:C""),3,0),"""")"),"")</f>
        <v/>
      </c>
      <c r="AH2817" s="49" t="str">
        <f t="shared" si="43"/>
        <v/>
      </c>
    </row>
    <row r="2818" spans="8:34" ht="12.75">
      <c r="H2818" s="43"/>
      <c r="AG2818" s="49" t="str">
        <f ca="1">IFERROR(__xludf.DUMMYFUNCTION("IFNA(vlookup(H2818,IMPORTRANGE(""1vUGwO1n0QQGx9kKbO0_M5gmuhXZ6-LaxQxgrmJnzgP0"",""'TP# look up'!A:C""),3,0),"""")"),"")</f>
        <v/>
      </c>
      <c r="AH2818" s="49" t="str">
        <f t="shared" ref="AH2818:AH2881" si="44">LEFT(J2818,2)</f>
        <v/>
      </c>
    </row>
    <row r="2819" spans="8:34" ht="12.75">
      <c r="H2819" s="43"/>
      <c r="AG2819" s="49" t="str">
        <f ca="1">IFERROR(__xludf.DUMMYFUNCTION("IFNA(vlookup(H2819,IMPORTRANGE(""1vUGwO1n0QQGx9kKbO0_M5gmuhXZ6-LaxQxgrmJnzgP0"",""'TP# look up'!A:C""),3,0),"""")"),"")</f>
        <v/>
      </c>
      <c r="AH2819" s="49" t="str">
        <f t="shared" si="44"/>
        <v/>
      </c>
    </row>
    <row r="2820" spans="8:34" ht="12.75">
      <c r="H2820" s="43"/>
      <c r="AG2820" s="49" t="str">
        <f ca="1">IFERROR(__xludf.DUMMYFUNCTION("IFNA(vlookup(H2820,IMPORTRANGE(""1vUGwO1n0QQGx9kKbO0_M5gmuhXZ6-LaxQxgrmJnzgP0"",""'TP# look up'!A:C""),3,0),"""")"),"")</f>
        <v/>
      </c>
      <c r="AH2820" s="49" t="str">
        <f t="shared" si="44"/>
        <v/>
      </c>
    </row>
    <row r="2821" spans="8:34" ht="12.75">
      <c r="H2821" s="43"/>
      <c r="AG2821" s="49" t="str">
        <f ca="1">IFERROR(__xludf.DUMMYFUNCTION("IFNA(vlookup(H2821,IMPORTRANGE(""1vUGwO1n0QQGx9kKbO0_M5gmuhXZ6-LaxQxgrmJnzgP0"",""'TP# look up'!A:C""),3,0),"""")"),"")</f>
        <v/>
      </c>
      <c r="AH2821" s="49" t="str">
        <f t="shared" si="44"/>
        <v/>
      </c>
    </row>
    <row r="2822" spans="8:34" ht="12.75">
      <c r="H2822" s="43"/>
      <c r="AG2822" s="49" t="str">
        <f ca="1">IFERROR(__xludf.DUMMYFUNCTION("IFNA(vlookup(H2822,IMPORTRANGE(""1vUGwO1n0QQGx9kKbO0_M5gmuhXZ6-LaxQxgrmJnzgP0"",""'TP# look up'!A:C""),3,0),"""")"),"")</f>
        <v/>
      </c>
      <c r="AH2822" s="49" t="str">
        <f t="shared" si="44"/>
        <v/>
      </c>
    </row>
    <row r="2823" spans="8:34" ht="12.75">
      <c r="H2823" s="43"/>
      <c r="AG2823" s="49" t="str">
        <f ca="1">IFERROR(__xludf.DUMMYFUNCTION("IFNA(vlookup(H2823,IMPORTRANGE(""1vUGwO1n0QQGx9kKbO0_M5gmuhXZ6-LaxQxgrmJnzgP0"",""'TP# look up'!A:C""),3,0),"""")"),"")</f>
        <v/>
      </c>
      <c r="AH2823" s="49" t="str">
        <f t="shared" si="44"/>
        <v/>
      </c>
    </row>
    <row r="2824" spans="8:34" ht="12.75">
      <c r="H2824" s="43"/>
      <c r="AG2824" s="49" t="str">
        <f ca="1">IFERROR(__xludf.DUMMYFUNCTION("IFNA(vlookup(H2824,IMPORTRANGE(""1vUGwO1n0QQGx9kKbO0_M5gmuhXZ6-LaxQxgrmJnzgP0"",""'TP# look up'!A:C""),3,0),"""")"),"")</f>
        <v/>
      </c>
      <c r="AH2824" s="49" t="str">
        <f t="shared" si="44"/>
        <v/>
      </c>
    </row>
    <row r="2825" spans="8:34" ht="12.75">
      <c r="H2825" s="43"/>
      <c r="AG2825" s="49" t="str">
        <f ca="1">IFERROR(__xludf.DUMMYFUNCTION("IFNA(vlookup(H2825,IMPORTRANGE(""1vUGwO1n0QQGx9kKbO0_M5gmuhXZ6-LaxQxgrmJnzgP0"",""'TP# look up'!A:C""),3,0),"""")"),"")</f>
        <v/>
      </c>
      <c r="AH2825" s="49" t="str">
        <f t="shared" si="44"/>
        <v/>
      </c>
    </row>
    <row r="2826" spans="8:34" ht="12.75">
      <c r="H2826" s="43"/>
      <c r="AG2826" s="49" t="str">
        <f ca="1">IFERROR(__xludf.DUMMYFUNCTION("IFNA(vlookup(H2826,IMPORTRANGE(""1vUGwO1n0QQGx9kKbO0_M5gmuhXZ6-LaxQxgrmJnzgP0"",""'TP# look up'!A:C""),3,0),"""")"),"")</f>
        <v/>
      </c>
      <c r="AH2826" s="49" t="str">
        <f t="shared" si="44"/>
        <v/>
      </c>
    </row>
    <row r="2827" spans="8:34" ht="12.75">
      <c r="H2827" s="43"/>
      <c r="AG2827" s="49" t="str">
        <f ca="1">IFERROR(__xludf.DUMMYFUNCTION("IFNA(vlookup(H2827,IMPORTRANGE(""1vUGwO1n0QQGx9kKbO0_M5gmuhXZ6-LaxQxgrmJnzgP0"",""'TP# look up'!A:C""),3,0),"""")"),"")</f>
        <v/>
      </c>
      <c r="AH2827" s="49" t="str">
        <f t="shared" si="44"/>
        <v/>
      </c>
    </row>
    <row r="2828" spans="8:34" ht="12.75">
      <c r="H2828" s="43"/>
      <c r="AG2828" s="49" t="str">
        <f ca="1">IFERROR(__xludf.DUMMYFUNCTION("IFNA(vlookup(H2828,IMPORTRANGE(""1vUGwO1n0QQGx9kKbO0_M5gmuhXZ6-LaxQxgrmJnzgP0"",""'TP# look up'!A:C""),3,0),"""")"),"")</f>
        <v/>
      </c>
      <c r="AH2828" s="49" t="str">
        <f t="shared" si="44"/>
        <v/>
      </c>
    </row>
    <row r="2829" spans="8:34" ht="12.75">
      <c r="H2829" s="43"/>
      <c r="AG2829" s="49" t="str">
        <f ca="1">IFERROR(__xludf.DUMMYFUNCTION("IFNA(vlookup(H2829,IMPORTRANGE(""1vUGwO1n0QQGx9kKbO0_M5gmuhXZ6-LaxQxgrmJnzgP0"",""'TP# look up'!A:C""),3,0),"""")"),"")</f>
        <v/>
      </c>
      <c r="AH2829" s="49" t="str">
        <f t="shared" si="44"/>
        <v/>
      </c>
    </row>
    <row r="2830" spans="8:34" ht="12.75">
      <c r="H2830" s="43"/>
      <c r="AG2830" s="49" t="str">
        <f ca="1">IFERROR(__xludf.DUMMYFUNCTION("IFNA(vlookup(H2830,IMPORTRANGE(""1vUGwO1n0QQGx9kKbO0_M5gmuhXZ6-LaxQxgrmJnzgP0"",""'TP# look up'!A:C""),3,0),"""")"),"")</f>
        <v/>
      </c>
      <c r="AH2830" s="49" t="str">
        <f t="shared" si="44"/>
        <v/>
      </c>
    </row>
    <row r="2831" spans="8:34" ht="12.75">
      <c r="H2831" s="43"/>
      <c r="AG2831" s="49" t="str">
        <f ca="1">IFERROR(__xludf.DUMMYFUNCTION("IFNA(vlookup(H2831,IMPORTRANGE(""1vUGwO1n0QQGx9kKbO0_M5gmuhXZ6-LaxQxgrmJnzgP0"",""'TP# look up'!A:C""),3,0),"""")"),"")</f>
        <v/>
      </c>
      <c r="AH2831" s="49" t="str">
        <f t="shared" si="44"/>
        <v/>
      </c>
    </row>
    <row r="2832" spans="8:34" ht="12.75">
      <c r="H2832" s="43"/>
      <c r="AG2832" s="49" t="str">
        <f ca="1">IFERROR(__xludf.DUMMYFUNCTION("IFNA(vlookup(H2832,IMPORTRANGE(""1vUGwO1n0QQGx9kKbO0_M5gmuhXZ6-LaxQxgrmJnzgP0"",""'TP# look up'!A:C""),3,0),"""")"),"")</f>
        <v/>
      </c>
      <c r="AH2832" s="49" t="str">
        <f t="shared" si="44"/>
        <v/>
      </c>
    </row>
    <row r="2833" spans="8:34" ht="12.75">
      <c r="H2833" s="43"/>
      <c r="AG2833" s="49" t="str">
        <f ca="1">IFERROR(__xludf.DUMMYFUNCTION("IFNA(vlookup(H2833,IMPORTRANGE(""1vUGwO1n0QQGx9kKbO0_M5gmuhXZ6-LaxQxgrmJnzgP0"",""'TP# look up'!A:C""),3,0),"""")"),"")</f>
        <v/>
      </c>
      <c r="AH2833" s="49" t="str">
        <f t="shared" si="44"/>
        <v/>
      </c>
    </row>
    <row r="2834" spans="8:34" ht="12.75">
      <c r="H2834" s="43"/>
      <c r="AG2834" s="49" t="str">
        <f ca="1">IFERROR(__xludf.DUMMYFUNCTION("IFNA(vlookup(H2834,IMPORTRANGE(""1vUGwO1n0QQGx9kKbO0_M5gmuhXZ6-LaxQxgrmJnzgP0"",""'TP# look up'!A:C""),3,0),"""")"),"")</f>
        <v/>
      </c>
      <c r="AH2834" s="49" t="str">
        <f t="shared" si="44"/>
        <v/>
      </c>
    </row>
    <row r="2835" spans="8:34" ht="12.75">
      <c r="H2835" s="43"/>
      <c r="AG2835" s="49" t="str">
        <f ca="1">IFERROR(__xludf.DUMMYFUNCTION("IFNA(vlookup(H2835,IMPORTRANGE(""1vUGwO1n0QQGx9kKbO0_M5gmuhXZ6-LaxQxgrmJnzgP0"",""'TP# look up'!A:C""),3,0),"""")"),"")</f>
        <v/>
      </c>
      <c r="AH2835" s="49" t="str">
        <f t="shared" si="44"/>
        <v/>
      </c>
    </row>
    <row r="2836" spans="8:34" ht="12.75">
      <c r="H2836" s="43"/>
      <c r="AG2836" s="49" t="str">
        <f ca="1">IFERROR(__xludf.DUMMYFUNCTION("IFNA(vlookup(H2836,IMPORTRANGE(""1vUGwO1n0QQGx9kKbO0_M5gmuhXZ6-LaxQxgrmJnzgP0"",""'TP# look up'!A:C""),3,0),"""")"),"")</f>
        <v/>
      </c>
      <c r="AH2836" s="49" t="str">
        <f t="shared" si="44"/>
        <v/>
      </c>
    </row>
    <row r="2837" spans="8:34" ht="12.75">
      <c r="H2837" s="43"/>
      <c r="AG2837" s="49" t="str">
        <f ca="1">IFERROR(__xludf.DUMMYFUNCTION("IFNA(vlookup(H2837,IMPORTRANGE(""1vUGwO1n0QQGx9kKbO0_M5gmuhXZ6-LaxQxgrmJnzgP0"",""'TP# look up'!A:C""),3,0),"""")"),"")</f>
        <v/>
      </c>
      <c r="AH2837" s="49" t="str">
        <f t="shared" si="44"/>
        <v/>
      </c>
    </row>
    <row r="2838" spans="8:34" ht="12.75">
      <c r="H2838" s="43"/>
      <c r="AG2838" s="49" t="str">
        <f ca="1">IFERROR(__xludf.DUMMYFUNCTION("IFNA(vlookup(H2838,IMPORTRANGE(""1vUGwO1n0QQGx9kKbO0_M5gmuhXZ6-LaxQxgrmJnzgP0"",""'TP# look up'!A:C""),3,0),"""")"),"")</f>
        <v/>
      </c>
      <c r="AH2838" s="49" t="str">
        <f t="shared" si="44"/>
        <v/>
      </c>
    </row>
    <row r="2839" spans="8:34" ht="12.75">
      <c r="H2839" s="43"/>
      <c r="AG2839" s="49" t="str">
        <f ca="1">IFERROR(__xludf.DUMMYFUNCTION("IFNA(vlookup(H2839,IMPORTRANGE(""1vUGwO1n0QQGx9kKbO0_M5gmuhXZ6-LaxQxgrmJnzgP0"",""'TP# look up'!A:C""),3,0),"""")"),"")</f>
        <v/>
      </c>
      <c r="AH2839" s="49" t="str">
        <f t="shared" si="44"/>
        <v/>
      </c>
    </row>
    <row r="2840" spans="8:34" ht="12.75">
      <c r="H2840" s="43"/>
      <c r="AG2840" s="49" t="str">
        <f ca="1">IFERROR(__xludf.DUMMYFUNCTION("IFNA(vlookup(H2840,IMPORTRANGE(""1vUGwO1n0QQGx9kKbO0_M5gmuhXZ6-LaxQxgrmJnzgP0"",""'TP# look up'!A:C""),3,0),"""")"),"")</f>
        <v/>
      </c>
      <c r="AH2840" s="49" t="str">
        <f t="shared" si="44"/>
        <v/>
      </c>
    </row>
    <row r="2841" spans="8:34" ht="12.75">
      <c r="H2841" s="43"/>
      <c r="AG2841" s="49" t="str">
        <f ca="1">IFERROR(__xludf.DUMMYFUNCTION("IFNA(vlookup(H2841,IMPORTRANGE(""1vUGwO1n0QQGx9kKbO0_M5gmuhXZ6-LaxQxgrmJnzgP0"",""'TP# look up'!A:C""),3,0),"""")"),"")</f>
        <v/>
      </c>
      <c r="AH2841" s="49" t="str">
        <f t="shared" si="44"/>
        <v/>
      </c>
    </row>
    <row r="2842" spans="8:34" ht="12.75">
      <c r="H2842" s="43"/>
      <c r="AG2842" s="49" t="str">
        <f ca="1">IFERROR(__xludf.DUMMYFUNCTION("IFNA(vlookup(H2842,IMPORTRANGE(""1vUGwO1n0QQGx9kKbO0_M5gmuhXZ6-LaxQxgrmJnzgP0"",""'TP# look up'!A:C""),3,0),"""")"),"")</f>
        <v/>
      </c>
      <c r="AH2842" s="49" t="str">
        <f t="shared" si="44"/>
        <v/>
      </c>
    </row>
    <row r="2843" spans="8:34" ht="12.75">
      <c r="H2843" s="43"/>
      <c r="AG2843" s="49" t="str">
        <f ca="1">IFERROR(__xludf.DUMMYFUNCTION("IFNA(vlookup(H2843,IMPORTRANGE(""1vUGwO1n0QQGx9kKbO0_M5gmuhXZ6-LaxQxgrmJnzgP0"",""'TP# look up'!A:C""),3,0),"""")"),"")</f>
        <v/>
      </c>
      <c r="AH2843" s="49" t="str">
        <f t="shared" si="44"/>
        <v/>
      </c>
    </row>
    <row r="2844" spans="8:34" ht="12.75">
      <c r="H2844" s="43"/>
      <c r="AG2844" s="49" t="str">
        <f ca="1">IFERROR(__xludf.DUMMYFUNCTION("IFNA(vlookup(H2844,IMPORTRANGE(""1vUGwO1n0QQGx9kKbO0_M5gmuhXZ6-LaxQxgrmJnzgP0"",""'TP# look up'!A:C""),3,0),"""")"),"")</f>
        <v/>
      </c>
      <c r="AH2844" s="49" t="str">
        <f t="shared" si="44"/>
        <v/>
      </c>
    </row>
    <row r="2845" spans="8:34" ht="12.75">
      <c r="H2845" s="43"/>
      <c r="AG2845" s="49" t="str">
        <f ca="1">IFERROR(__xludf.DUMMYFUNCTION("IFNA(vlookup(H2845,IMPORTRANGE(""1vUGwO1n0QQGx9kKbO0_M5gmuhXZ6-LaxQxgrmJnzgP0"",""'TP# look up'!A:C""),3,0),"""")"),"")</f>
        <v/>
      </c>
      <c r="AH2845" s="49" t="str">
        <f t="shared" si="44"/>
        <v/>
      </c>
    </row>
    <row r="2846" spans="8:34" ht="12.75">
      <c r="H2846" s="43"/>
      <c r="AG2846" s="49" t="str">
        <f ca="1">IFERROR(__xludf.DUMMYFUNCTION("IFNA(vlookup(H2846,IMPORTRANGE(""1vUGwO1n0QQGx9kKbO0_M5gmuhXZ6-LaxQxgrmJnzgP0"",""'TP# look up'!A:C""),3,0),"""")"),"")</f>
        <v/>
      </c>
      <c r="AH2846" s="49" t="str">
        <f t="shared" si="44"/>
        <v/>
      </c>
    </row>
    <row r="2847" spans="8:34" ht="12.75">
      <c r="H2847" s="43"/>
      <c r="AG2847" s="49" t="str">
        <f ca="1">IFERROR(__xludf.DUMMYFUNCTION("IFNA(vlookup(H2847,IMPORTRANGE(""1vUGwO1n0QQGx9kKbO0_M5gmuhXZ6-LaxQxgrmJnzgP0"",""'TP# look up'!A:C""),3,0),"""")"),"")</f>
        <v/>
      </c>
      <c r="AH2847" s="49" t="str">
        <f t="shared" si="44"/>
        <v/>
      </c>
    </row>
    <row r="2848" spans="8:34" ht="12.75">
      <c r="H2848" s="43"/>
      <c r="AG2848" s="49" t="str">
        <f ca="1">IFERROR(__xludf.DUMMYFUNCTION("IFNA(vlookup(H2848,IMPORTRANGE(""1vUGwO1n0QQGx9kKbO0_M5gmuhXZ6-LaxQxgrmJnzgP0"",""'TP# look up'!A:C""),3,0),"""")"),"")</f>
        <v/>
      </c>
      <c r="AH2848" s="49" t="str">
        <f t="shared" si="44"/>
        <v/>
      </c>
    </row>
    <row r="2849" spans="8:34" ht="12.75">
      <c r="H2849" s="43"/>
      <c r="AG2849" s="49" t="str">
        <f ca="1">IFERROR(__xludf.DUMMYFUNCTION("IFNA(vlookup(H2849,IMPORTRANGE(""1vUGwO1n0QQGx9kKbO0_M5gmuhXZ6-LaxQxgrmJnzgP0"",""'TP# look up'!A:C""),3,0),"""")"),"")</f>
        <v/>
      </c>
      <c r="AH2849" s="49" t="str">
        <f t="shared" si="44"/>
        <v/>
      </c>
    </row>
    <row r="2850" spans="8:34" ht="12.75">
      <c r="H2850" s="43"/>
      <c r="AG2850" s="49" t="str">
        <f ca="1">IFERROR(__xludf.DUMMYFUNCTION("IFNA(vlookup(H2850,IMPORTRANGE(""1vUGwO1n0QQGx9kKbO0_M5gmuhXZ6-LaxQxgrmJnzgP0"",""'TP# look up'!A:C""),3,0),"""")"),"")</f>
        <v/>
      </c>
      <c r="AH2850" s="49" t="str">
        <f t="shared" si="44"/>
        <v/>
      </c>
    </row>
    <row r="2851" spans="8:34" ht="12.75">
      <c r="H2851" s="43"/>
      <c r="AG2851" s="49" t="str">
        <f ca="1">IFERROR(__xludf.DUMMYFUNCTION("IFNA(vlookup(H2851,IMPORTRANGE(""1vUGwO1n0QQGx9kKbO0_M5gmuhXZ6-LaxQxgrmJnzgP0"",""'TP# look up'!A:C""),3,0),"""")"),"")</f>
        <v/>
      </c>
      <c r="AH2851" s="49" t="str">
        <f t="shared" si="44"/>
        <v/>
      </c>
    </row>
    <row r="2852" spans="8:34" ht="12.75">
      <c r="H2852" s="43"/>
      <c r="AG2852" s="49" t="str">
        <f ca="1">IFERROR(__xludf.DUMMYFUNCTION("IFNA(vlookup(H2852,IMPORTRANGE(""1vUGwO1n0QQGx9kKbO0_M5gmuhXZ6-LaxQxgrmJnzgP0"",""'TP# look up'!A:C""),3,0),"""")"),"")</f>
        <v/>
      </c>
      <c r="AH2852" s="49" t="str">
        <f t="shared" si="44"/>
        <v/>
      </c>
    </row>
    <row r="2853" spans="8:34" ht="12.75">
      <c r="H2853" s="43"/>
      <c r="AG2853" s="49" t="str">
        <f ca="1">IFERROR(__xludf.DUMMYFUNCTION("IFNA(vlookup(H2853,IMPORTRANGE(""1vUGwO1n0QQGx9kKbO0_M5gmuhXZ6-LaxQxgrmJnzgP0"",""'TP# look up'!A:C""),3,0),"""")"),"")</f>
        <v/>
      </c>
      <c r="AH2853" s="49" t="str">
        <f t="shared" si="44"/>
        <v/>
      </c>
    </row>
    <row r="2854" spans="8:34" ht="12.75">
      <c r="H2854" s="43"/>
      <c r="AG2854" s="49" t="str">
        <f ca="1">IFERROR(__xludf.DUMMYFUNCTION("IFNA(vlookup(H2854,IMPORTRANGE(""1vUGwO1n0QQGx9kKbO0_M5gmuhXZ6-LaxQxgrmJnzgP0"",""'TP# look up'!A:C""),3,0),"""")"),"")</f>
        <v/>
      </c>
      <c r="AH2854" s="49" t="str">
        <f t="shared" si="44"/>
        <v/>
      </c>
    </row>
    <row r="2855" spans="8:34" ht="12.75">
      <c r="H2855" s="43"/>
      <c r="AG2855" s="49" t="str">
        <f ca="1">IFERROR(__xludf.DUMMYFUNCTION("IFNA(vlookup(H2855,IMPORTRANGE(""1vUGwO1n0QQGx9kKbO0_M5gmuhXZ6-LaxQxgrmJnzgP0"",""'TP# look up'!A:C""),3,0),"""")"),"")</f>
        <v/>
      </c>
      <c r="AH2855" s="49" t="str">
        <f t="shared" si="44"/>
        <v/>
      </c>
    </row>
    <row r="2856" spans="8:34" ht="12.75">
      <c r="H2856" s="43"/>
      <c r="AG2856" s="49" t="str">
        <f ca="1">IFERROR(__xludf.DUMMYFUNCTION("IFNA(vlookup(H2856,IMPORTRANGE(""1vUGwO1n0QQGx9kKbO0_M5gmuhXZ6-LaxQxgrmJnzgP0"",""'TP# look up'!A:C""),3,0),"""")"),"")</f>
        <v/>
      </c>
      <c r="AH2856" s="49" t="str">
        <f t="shared" si="44"/>
        <v/>
      </c>
    </row>
    <row r="2857" spans="8:34" ht="12.75">
      <c r="H2857" s="43"/>
      <c r="AG2857" s="49" t="str">
        <f ca="1">IFERROR(__xludf.DUMMYFUNCTION("IFNA(vlookup(H2857,IMPORTRANGE(""1vUGwO1n0QQGx9kKbO0_M5gmuhXZ6-LaxQxgrmJnzgP0"",""'TP# look up'!A:C""),3,0),"""")"),"")</f>
        <v/>
      </c>
      <c r="AH2857" s="49" t="str">
        <f t="shared" si="44"/>
        <v/>
      </c>
    </row>
    <row r="2858" spans="8:34" ht="12.75">
      <c r="H2858" s="43"/>
      <c r="AG2858" s="49" t="str">
        <f ca="1">IFERROR(__xludf.DUMMYFUNCTION("IFNA(vlookup(H2858,IMPORTRANGE(""1vUGwO1n0QQGx9kKbO0_M5gmuhXZ6-LaxQxgrmJnzgP0"",""'TP# look up'!A:C""),3,0),"""")"),"")</f>
        <v/>
      </c>
      <c r="AH2858" s="49" t="str">
        <f t="shared" si="44"/>
        <v/>
      </c>
    </row>
    <row r="2859" spans="8:34" ht="12.75">
      <c r="H2859" s="43"/>
      <c r="AG2859" s="49" t="str">
        <f ca="1">IFERROR(__xludf.DUMMYFUNCTION("IFNA(vlookup(H2859,IMPORTRANGE(""1vUGwO1n0QQGx9kKbO0_M5gmuhXZ6-LaxQxgrmJnzgP0"",""'TP# look up'!A:C""),3,0),"""")"),"")</f>
        <v/>
      </c>
      <c r="AH2859" s="49" t="str">
        <f t="shared" si="44"/>
        <v/>
      </c>
    </row>
    <row r="2860" spans="8:34" ht="12.75">
      <c r="H2860" s="43"/>
      <c r="AG2860" s="49" t="str">
        <f ca="1">IFERROR(__xludf.DUMMYFUNCTION("IFNA(vlookup(H2860,IMPORTRANGE(""1vUGwO1n0QQGx9kKbO0_M5gmuhXZ6-LaxQxgrmJnzgP0"",""'TP# look up'!A:C""),3,0),"""")"),"")</f>
        <v/>
      </c>
      <c r="AH2860" s="49" t="str">
        <f t="shared" si="44"/>
        <v/>
      </c>
    </row>
    <row r="2861" spans="8:34" ht="12.75">
      <c r="H2861" s="43"/>
      <c r="AG2861" s="49" t="str">
        <f ca="1">IFERROR(__xludf.DUMMYFUNCTION("IFNA(vlookup(H2861,IMPORTRANGE(""1vUGwO1n0QQGx9kKbO0_M5gmuhXZ6-LaxQxgrmJnzgP0"",""'TP# look up'!A:C""),3,0),"""")"),"")</f>
        <v/>
      </c>
      <c r="AH2861" s="49" t="str">
        <f t="shared" si="44"/>
        <v/>
      </c>
    </row>
    <row r="2862" spans="8:34" ht="12.75">
      <c r="H2862" s="43"/>
      <c r="AG2862" s="49" t="str">
        <f ca="1">IFERROR(__xludf.DUMMYFUNCTION("IFNA(vlookup(H2862,IMPORTRANGE(""1vUGwO1n0QQGx9kKbO0_M5gmuhXZ6-LaxQxgrmJnzgP0"",""'TP# look up'!A:C""),3,0),"""")"),"")</f>
        <v/>
      </c>
      <c r="AH2862" s="49" t="str">
        <f t="shared" si="44"/>
        <v/>
      </c>
    </row>
    <row r="2863" spans="8:34" ht="12.75">
      <c r="H2863" s="43"/>
      <c r="AG2863" s="49" t="str">
        <f ca="1">IFERROR(__xludf.DUMMYFUNCTION("IFNA(vlookup(H2863,IMPORTRANGE(""1vUGwO1n0QQGx9kKbO0_M5gmuhXZ6-LaxQxgrmJnzgP0"",""'TP# look up'!A:C""),3,0),"""")"),"")</f>
        <v/>
      </c>
      <c r="AH2863" s="49" t="str">
        <f t="shared" si="44"/>
        <v/>
      </c>
    </row>
    <row r="2864" spans="8:34" ht="12.75">
      <c r="H2864" s="43"/>
      <c r="AG2864" s="49" t="str">
        <f ca="1">IFERROR(__xludf.DUMMYFUNCTION("IFNA(vlookup(H2864,IMPORTRANGE(""1vUGwO1n0QQGx9kKbO0_M5gmuhXZ6-LaxQxgrmJnzgP0"",""'TP# look up'!A:C""),3,0),"""")"),"")</f>
        <v/>
      </c>
      <c r="AH2864" s="49" t="str">
        <f t="shared" si="44"/>
        <v/>
      </c>
    </row>
    <row r="2865" spans="8:34" ht="12.75">
      <c r="H2865" s="43"/>
      <c r="AG2865" s="49" t="str">
        <f ca="1">IFERROR(__xludf.DUMMYFUNCTION("IFNA(vlookup(H2865,IMPORTRANGE(""1vUGwO1n0QQGx9kKbO0_M5gmuhXZ6-LaxQxgrmJnzgP0"",""'TP# look up'!A:C""),3,0),"""")"),"")</f>
        <v/>
      </c>
      <c r="AH2865" s="49" t="str">
        <f t="shared" si="44"/>
        <v/>
      </c>
    </row>
    <row r="2866" spans="8:34" ht="12.75">
      <c r="H2866" s="43"/>
      <c r="AG2866" s="49" t="str">
        <f ca="1">IFERROR(__xludf.DUMMYFUNCTION("IFNA(vlookup(H2866,IMPORTRANGE(""1vUGwO1n0QQGx9kKbO0_M5gmuhXZ6-LaxQxgrmJnzgP0"",""'TP# look up'!A:C""),3,0),"""")"),"")</f>
        <v/>
      </c>
      <c r="AH2866" s="49" t="str">
        <f t="shared" si="44"/>
        <v/>
      </c>
    </row>
    <row r="2867" spans="8:34" ht="12.75">
      <c r="H2867" s="43"/>
      <c r="AG2867" s="49" t="str">
        <f ca="1">IFERROR(__xludf.DUMMYFUNCTION("IFNA(vlookup(H2867,IMPORTRANGE(""1vUGwO1n0QQGx9kKbO0_M5gmuhXZ6-LaxQxgrmJnzgP0"",""'TP# look up'!A:C""),3,0),"""")"),"")</f>
        <v/>
      </c>
      <c r="AH2867" s="49" t="str">
        <f t="shared" si="44"/>
        <v/>
      </c>
    </row>
    <row r="2868" spans="8:34" ht="12.75">
      <c r="H2868" s="43"/>
      <c r="AG2868" s="49" t="str">
        <f ca="1">IFERROR(__xludf.DUMMYFUNCTION("IFNA(vlookup(H2868,IMPORTRANGE(""1vUGwO1n0QQGx9kKbO0_M5gmuhXZ6-LaxQxgrmJnzgP0"",""'TP# look up'!A:C""),3,0),"""")"),"")</f>
        <v/>
      </c>
      <c r="AH2868" s="49" t="str">
        <f t="shared" si="44"/>
        <v/>
      </c>
    </row>
    <row r="2869" spans="8:34" ht="12.75">
      <c r="H2869" s="43"/>
      <c r="AG2869" s="49" t="str">
        <f ca="1">IFERROR(__xludf.DUMMYFUNCTION("IFNA(vlookup(H2869,IMPORTRANGE(""1vUGwO1n0QQGx9kKbO0_M5gmuhXZ6-LaxQxgrmJnzgP0"",""'TP# look up'!A:C""),3,0),"""")"),"")</f>
        <v/>
      </c>
      <c r="AH2869" s="49" t="str">
        <f t="shared" si="44"/>
        <v/>
      </c>
    </row>
    <row r="2870" spans="8:34" ht="12.75">
      <c r="H2870" s="43"/>
      <c r="AG2870" s="49" t="str">
        <f ca="1">IFERROR(__xludf.DUMMYFUNCTION("IFNA(vlookup(H2870,IMPORTRANGE(""1vUGwO1n0QQGx9kKbO0_M5gmuhXZ6-LaxQxgrmJnzgP0"",""'TP# look up'!A:C""),3,0),"""")"),"")</f>
        <v/>
      </c>
      <c r="AH2870" s="49" t="str">
        <f t="shared" si="44"/>
        <v/>
      </c>
    </row>
    <row r="2871" spans="8:34" ht="12.75">
      <c r="H2871" s="43"/>
      <c r="AG2871" s="49" t="str">
        <f ca="1">IFERROR(__xludf.DUMMYFUNCTION("IFNA(vlookup(H2871,IMPORTRANGE(""1vUGwO1n0QQGx9kKbO0_M5gmuhXZ6-LaxQxgrmJnzgP0"",""'TP# look up'!A:C""),3,0),"""")"),"")</f>
        <v/>
      </c>
      <c r="AH2871" s="49" t="str">
        <f t="shared" si="44"/>
        <v/>
      </c>
    </row>
    <row r="2872" spans="8:34" ht="12.75">
      <c r="H2872" s="43"/>
      <c r="AG2872" s="49" t="str">
        <f ca="1">IFERROR(__xludf.DUMMYFUNCTION("IFNA(vlookup(H2872,IMPORTRANGE(""1vUGwO1n0QQGx9kKbO0_M5gmuhXZ6-LaxQxgrmJnzgP0"",""'TP# look up'!A:C""),3,0),"""")"),"")</f>
        <v/>
      </c>
      <c r="AH2872" s="49" t="str">
        <f t="shared" si="44"/>
        <v/>
      </c>
    </row>
    <row r="2873" spans="8:34" ht="12.75">
      <c r="H2873" s="43"/>
      <c r="AG2873" s="49" t="str">
        <f ca="1">IFERROR(__xludf.DUMMYFUNCTION("IFNA(vlookup(H2873,IMPORTRANGE(""1vUGwO1n0QQGx9kKbO0_M5gmuhXZ6-LaxQxgrmJnzgP0"",""'TP# look up'!A:C""),3,0),"""")"),"")</f>
        <v/>
      </c>
      <c r="AH2873" s="49" t="str">
        <f t="shared" si="44"/>
        <v/>
      </c>
    </row>
    <row r="2874" spans="8:34" ht="12.75">
      <c r="H2874" s="43"/>
      <c r="AG2874" s="49" t="str">
        <f ca="1">IFERROR(__xludf.DUMMYFUNCTION("IFNA(vlookup(H2874,IMPORTRANGE(""1vUGwO1n0QQGx9kKbO0_M5gmuhXZ6-LaxQxgrmJnzgP0"",""'TP# look up'!A:C""),3,0),"""")"),"")</f>
        <v/>
      </c>
      <c r="AH2874" s="49" t="str">
        <f t="shared" si="44"/>
        <v/>
      </c>
    </row>
    <row r="2875" spans="8:34" ht="12.75">
      <c r="H2875" s="43"/>
      <c r="AG2875" s="49" t="str">
        <f ca="1">IFERROR(__xludf.DUMMYFUNCTION("IFNA(vlookup(H2875,IMPORTRANGE(""1vUGwO1n0QQGx9kKbO0_M5gmuhXZ6-LaxQxgrmJnzgP0"",""'TP# look up'!A:C""),3,0),"""")"),"")</f>
        <v/>
      </c>
      <c r="AH2875" s="49" t="str">
        <f t="shared" si="44"/>
        <v/>
      </c>
    </row>
    <row r="2876" spans="8:34" ht="12.75">
      <c r="H2876" s="43"/>
      <c r="AG2876" s="49" t="str">
        <f ca="1">IFERROR(__xludf.DUMMYFUNCTION("IFNA(vlookup(H2876,IMPORTRANGE(""1vUGwO1n0QQGx9kKbO0_M5gmuhXZ6-LaxQxgrmJnzgP0"",""'TP# look up'!A:C""),3,0),"""")"),"")</f>
        <v/>
      </c>
      <c r="AH2876" s="49" t="str">
        <f t="shared" si="44"/>
        <v/>
      </c>
    </row>
    <row r="2877" spans="8:34" ht="12.75">
      <c r="H2877" s="43"/>
      <c r="AG2877" s="49" t="str">
        <f ca="1">IFERROR(__xludf.DUMMYFUNCTION("IFNA(vlookup(H2877,IMPORTRANGE(""1vUGwO1n0QQGx9kKbO0_M5gmuhXZ6-LaxQxgrmJnzgP0"",""'TP# look up'!A:C""),3,0),"""")"),"")</f>
        <v/>
      </c>
      <c r="AH2877" s="49" t="str">
        <f t="shared" si="44"/>
        <v/>
      </c>
    </row>
    <row r="2878" spans="8:34" ht="12.75">
      <c r="H2878" s="43"/>
      <c r="AG2878" s="49" t="str">
        <f ca="1">IFERROR(__xludf.DUMMYFUNCTION("IFNA(vlookup(H2878,IMPORTRANGE(""1vUGwO1n0QQGx9kKbO0_M5gmuhXZ6-LaxQxgrmJnzgP0"",""'TP# look up'!A:C""),3,0),"""")"),"")</f>
        <v/>
      </c>
      <c r="AH2878" s="49" t="str">
        <f t="shared" si="44"/>
        <v/>
      </c>
    </row>
    <row r="2879" spans="8:34" ht="12.75">
      <c r="H2879" s="43"/>
      <c r="AG2879" s="49" t="str">
        <f ca="1">IFERROR(__xludf.DUMMYFUNCTION("IFNA(vlookup(H2879,IMPORTRANGE(""1vUGwO1n0QQGx9kKbO0_M5gmuhXZ6-LaxQxgrmJnzgP0"",""'TP# look up'!A:C""),3,0),"""")"),"")</f>
        <v/>
      </c>
      <c r="AH2879" s="49" t="str">
        <f t="shared" si="44"/>
        <v/>
      </c>
    </row>
    <row r="2880" spans="8:34" ht="12.75">
      <c r="H2880" s="43"/>
      <c r="AG2880" s="49" t="str">
        <f ca="1">IFERROR(__xludf.DUMMYFUNCTION("IFNA(vlookup(H2880,IMPORTRANGE(""1vUGwO1n0QQGx9kKbO0_M5gmuhXZ6-LaxQxgrmJnzgP0"",""'TP# look up'!A:C""),3,0),"""")"),"")</f>
        <v/>
      </c>
      <c r="AH2880" s="49" t="str">
        <f t="shared" si="44"/>
        <v/>
      </c>
    </row>
    <row r="2881" spans="8:34" ht="12.75">
      <c r="H2881" s="43"/>
      <c r="AG2881" s="49" t="str">
        <f ca="1">IFERROR(__xludf.DUMMYFUNCTION("IFNA(vlookup(H2881,IMPORTRANGE(""1vUGwO1n0QQGx9kKbO0_M5gmuhXZ6-LaxQxgrmJnzgP0"",""'TP# look up'!A:C""),3,0),"""")"),"")</f>
        <v/>
      </c>
      <c r="AH2881" s="49" t="str">
        <f t="shared" si="44"/>
        <v/>
      </c>
    </row>
    <row r="2882" spans="8:34" ht="12.75">
      <c r="H2882" s="43"/>
      <c r="AG2882" s="49" t="str">
        <f ca="1">IFERROR(__xludf.DUMMYFUNCTION("IFNA(vlookup(H2882,IMPORTRANGE(""1vUGwO1n0QQGx9kKbO0_M5gmuhXZ6-LaxQxgrmJnzgP0"",""'TP# look up'!A:C""),3,0),"""")"),"")</f>
        <v/>
      </c>
      <c r="AH2882" s="49" t="str">
        <f t="shared" ref="AH2882:AH2945" si="45">LEFT(J2882,2)</f>
        <v/>
      </c>
    </row>
    <row r="2883" spans="8:34" ht="12.75">
      <c r="H2883" s="43"/>
      <c r="AG2883" s="49" t="str">
        <f ca="1">IFERROR(__xludf.DUMMYFUNCTION("IFNA(vlookup(H2883,IMPORTRANGE(""1vUGwO1n0QQGx9kKbO0_M5gmuhXZ6-LaxQxgrmJnzgP0"",""'TP# look up'!A:C""),3,0),"""")"),"")</f>
        <v/>
      </c>
      <c r="AH2883" s="49" t="str">
        <f t="shared" si="45"/>
        <v/>
      </c>
    </row>
    <row r="2884" spans="8:34" ht="12.75">
      <c r="H2884" s="43"/>
      <c r="AG2884" s="49" t="str">
        <f ca="1">IFERROR(__xludf.DUMMYFUNCTION("IFNA(vlookup(H2884,IMPORTRANGE(""1vUGwO1n0QQGx9kKbO0_M5gmuhXZ6-LaxQxgrmJnzgP0"",""'TP# look up'!A:C""),3,0),"""")"),"")</f>
        <v/>
      </c>
      <c r="AH2884" s="49" t="str">
        <f t="shared" si="45"/>
        <v/>
      </c>
    </row>
    <row r="2885" spans="8:34" ht="12.75">
      <c r="H2885" s="43"/>
      <c r="AG2885" s="49" t="str">
        <f ca="1">IFERROR(__xludf.DUMMYFUNCTION("IFNA(vlookup(H2885,IMPORTRANGE(""1vUGwO1n0QQGx9kKbO0_M5gmuhXZ6-LaxQxgrmJnzgP0"",""'TP# look up'!A:C""),3,0),"""")"),"")</f>
        <v/>
      </c>
      <c r="AH2885" s="49" t="str">
        <f t="shared" si="45"/>
        <v/>
      </c>
    </row>
    <row r="2886" spans="8:34" ht="12.75">
      <c r="H2886" s="43"/>
      <c r="AG2886" s="49" t="str">
        <f ca="1">IFERROR(__xludf.DUMMYFUNCTION("IFNA(vlookup(H2886,IMPORTRANGE(""1vUGwO1n0QQGx9kKbO0_M5gmuhXZ6-LaxQxgrmJnzgP0"",""'TP# look up'!A:C""),3,0),"""")"),"")</f>
        <v/>
      </c>
      <c r="AH2886" s="49" t="str">
        <f t="shared" si="45"/>
        <v/>
      </c>
    </row>
    <row r="2887" spans="8:34" ht="12.75">
      <c r="H2887" s="43"/>
      <c r="AG2887" s="49" t="str">
        <f ca="1">IFERROR(__xludf.DUMMYFUNCTION("IFNA(vlookup(H2887,IMPORTRANGE(""1vUGwO1n0QQGx9kKbO0_M5gmuhXZ6-LaxQxgrmJnzgP0"",""'TP# look up'!A:C""),3,0),"""")"),"")</f>
        <v/>
      </c>
      <c r="AH2887" s="49" t="str">
        <f t="shared" si="45"/>
        <v/>
      </c>
    </row>
    <row r="2888" spans="8:34" ht="12.75">
      <c r="H2888" s="43"/>
      <c r="AG2888" s="49" t="str">
        <f ca="1">IFERROR(__xludf.DUMMYFUNCTION("IFNA(vlookup(H2888,IMPORTRANGE(""1vUGwO1n0QQGx9kKbO0_M5gmuhXZ6-LaxQxgrmJnzgP0"",""'TP# look up'!A:C""),3,0),"""")"),"")</f>
        <v/>
      </c>
      <c r="AH2888" s="49" t="str">
        <f t="shared" si="45"/>
        <v/>
      </c>
    </row>
    <row r="2889" spans="8:34" ht="12.75">
      <c r="H2889" s="43"/>
      <c r="AG2889" s="49" t="str">
        <f ca="1">IFERROR(__xludf.DUMMYFUNCTION("IFNA(vlookup(H2889,IMPORTRANGE(""1vUGwO1n0QQGx9kKbO0_M5gmuhXZ6-LaxQxgrmJnzgP0"",""'TP# look up'!A:C""),3,0),"""")"),"")</f>
        <v/>
      </c>
      <c r="AH2889" s="49" t="str">
        <f t="shared" si="45"/>
        <v/>
      </c>
    </row>
    <row r="2890" spans="8:34" ht="12.75">
      <c r="H2890" s="43"/>
      <c r="AG2890" s="49" t="str">
        <f ca="1">IFERROR(__xludf.DUMMYFUNCTION("IFNA(vlookup(H2890,IMPORTRANGE(""1vUGwO1n0QQGx9kKbO0_M5gmuhXZ6-LaxQxgrmJnzgP0"",""'TP# look up'!A:C""),3,0),"""")"),"")</f>
        <v/>
      </c>
      <c r="AH2890" s="49" t="str">
        <f t="shared" si="45"/>
        <v/>
      </c>
    </row>
    <row r="2891" spans="8:34" ht="12.75">
      <c r="H2891" s="43"/>
      <c r="AG2891" s="49" t="str">
        <f ca="1">IFERROR(__xludf.DUMMYFUNCTION("IFNA(vlookup(H2891,IMPORTRANGE(""1vUGwO1n0QQGx9kKbO0_M5gmuhXZ6-LaxQxgrmJnzgP0"",""'TP# look up'!A:C""),3,0),"""")"),"")</f>
        <v/>
      </c>
      <c r="AH2891" s="49" t="str">
        <f t="shared" si="45"/>
        <v/>
      </c>
    </row>
    <row r="2892" spans="8:34" ht="12.75">
      <c r="H2892" s="43"/>
      <c r="AG2892" s="49" t="str">
        <f ca="1">IFERROR(__xludf.DUMMYFUNCTION("IFNA(vlookup(H2892,IMPORTRANGE(""1vUGwO1n0QQGx9kKbO0_M5gmuhXZ6-LaxQxgrmJnzgP0"",""'TP# look up'!A:C""),3,0),"""")"),"")</f>
        <v/>
      </c>
      <c r="AH2892" s="49" t="str">
        <f t="shared" si="45"/>
        <v/>
      </c>
    </row>
    <row r="2893" spans="8:34" ht="12.75">
      <c r="H2893" s="43"/>
      <c r="AG2893" s="49" t="str">
        <f ca="1">IFERROR(__xludf.DUMMYFUNCTION("IFNA(vlookup(H2893,IMPORTRANGE(""1vUGwO1n0QQGx9kKbO0_M5gmuhXZ6-LaxQxgrmJnzgP0"",""'TP# look up'!A:C""),3,0),"""")"),"")</f>
        <v/>
      </c>
      <c r="AH2893" s="49" t="str">
        <f t="shared" si="45"/>
        <v/>
      </c>
    </row>
    <row r="2894" spans="8:34" ht="12.75">
      <c r="H2894" s="43"/>
      <c r="AG2894" s="49" t="str">
        <f ca="1">IFERROR(__xludf.DUMMYFUNCTION("IFNA(vlookup(H2894,IMPORTRANGE(""1vUGwO1n0QQGx9kKbO0_M5gmuhXZ6-LaxQxgrmJnzgP0"",""'TP# look up'!A:C""),3,0),"""")"),"")</f>
        <v/>
      </c>
      <c r="AH2894" s="49" t="str">
        <f t="shared" si="45"/>
        <v/>
      </c>
    </row>
    <row r="2895" spans="8:34" ht="12.75">
      <c r="H2895" s="43"/>
      <c r="AG2895" s="49" t="str">
        <f ca="1">IFERROR(__xludf.DUMMYFUNCTION("IFNA(vlookup(H2895,IMPORTRANGE(""1vUGwO1n0QQGx9kKbO0_M5gmuhXZ6-LaxQxgrmJnzgP0"",""'TP# look up'!A:C""),3,0),"""")"),"")</f>
        <v/>
      </c>
      <c r="AH2895" s="49" t="str">
        <f t="shared" si="45"/>
        <v/>
      </c>
    </row>
    <row r="2896" spans="8:34" ht="12.75">
      <c r="H2896" s="43"/>
      <c r="AG2896" s="49" t="str">
        <f ca="1">IFERROR(__xludf.DUMMYFUNCTION("IFNA(vlookup(H2896,IMPORTRANGE(""1vUGwO1n0QQGx9kKbO0_M5gmuhXZ6-LaxQxgrmJnzgP0"",""'TP# look up'!A:C""),3,0),"""")"),"")</f>
        <v/>
      </c>
      <c r="AH2896" s="49" t="str">
        <f t="shared" si="45"/>
        <v/>
      </c>
    </row>
    <row r="2897" spans="8:34" ht="12.75">
      <c r="H2897" s="43"/>
      <c r="AG2897" s="49" t="str">
        <f ca="1">IFERROR(__xludf.DUMMYFUNCTION("IFNA(vlookup(H2897,IMPORTRANGE(""1vUGwO1n0QQGx9kKbO0_M5gmuhXZ6-LaxQxgrmJnzgP0"",""'TP# look up'!A:C""),3,0),"""")"),"")</f>
        <v/>
      </c>
      <c r="AH2897" s="49" t="str">
        <f t="shared" si="45"/>
        <v/>
      </c>
    </row>
    <row r="2898" spans="8:34" ht="12.75">
      <c r="H2898" s="43"/>
      <c r="AG2898" s="49" t="str">
        <f ca="1">IFERROR(__xludf.DUMMYFUNCTION("IFNA(vlookup(H2898,IMPORTRANGE(""1vUGwO1n0QQGx9kKbO0_M5gmuhXZ6-LaxQxgrmJnzgP0"",""'TP# look up'!A:C""),3,0),"""")"),"")</f>
        <v/>
      </c>
      <c r="AH2898" s="49" t="str">
        <f t="shared" si="45"/>
        <v/>
      </c>
    </row>
    <row r="2899" spans="8:34" ht="12.75">
      <c r="H2899" s="43"/>
      <c r="AG2899" s="49" t="str">
        <f ca="1">IFERROR(__xludf.DUMMYFUNCTION("IFNA(vlookup(H2899,IMPORTRANGE(""1vUGwO1n0QQGx9kKbO0_M5gmuhXZ6-LaxQxgrmJnzgP0"",""'TP# look up'!A:C""),3,0),"""")"),"")</f>
        <v/>
      </c>
      <c r="AH2899" s="49" t="str">
        <f t="shared" si="45"/>
        <v/>
      </c>
    </row>
    <row r="2900" spans="8:34" ht="12.75">
      <c r="H2900" s="43"/>
      <c r="AG2900" s="49" t="str">
        <f ca="1">IFERROR(__xludf.DUMMYFUNCTION("IFNA(vlookup(H2900,IMPORTRANGE(""1vUGwO1n0QQGx9kKbO0_M5gmuhXZ6-LaxQxgrmJnzgP0"",""'TP# look up'!A:C""),3,0),"""")"),"")</f>
        <v/>
      </c>
      <c r="AH2900" s="49" t="str">
        <f t="shared" si="45"/>
        <v/>
      </c>
    </row>
    <row r="2901" spans="8:34" ht="12.75">
      <c r="H2901" s="43"/>
      <c r="AG2901" s="49" t="str">
        <f ca="1">IFERROR(__xludf.DUMMYFUNCTION("IFNA(vlookup(H2901,IMPORTRANGE(""1vUGwO1n0QQGx9kKbO0_M5gmuhXZ6-LaxQxgrmJnzgP0"",""'TP# look up'!A:C""),3,0),"""")"),"")</f>
        <v/>
      </c>
      <c r="AH2901" s="49" t="str">
        <f t="shared" si="45"/>
        <v/>
      </c>
    </row>
    <row r="2902" spans="8:34" ht="12.75">
      <c r="H2902" s="43"/>
      <c r="AG2902" s="49" t="str">
        <f ca="1">IFERROR(__xludf.DUMMYFUNCTION("IFNA(vlookup(H2902,IMPORTRANGE(""1vUGwO1n0QQGx9kKbO0_M5gmuhXZ6-LaxQxgrmJnzgP0"",""'TP# look up'!A:C""),3,0),"""")"),"")</f>
        <v/>
      </c>
      <c r="AH2902" s="49" t="str">
        <f t="shared" si="45"/>
        <v/>
      </c>
    </row>
    <row r="2903" spans="8:34" ht="12.75">
      <c r="H2903" s="43"/>
      <c r="AG2903" s="49" t="str">
        <f ca="1">IFERROR(__xludf.DUMMYFUNCTION("IFNA(vlookup(H2903,IMPORTRANGE(""1vUGwO1n0QQGx9kKbO0_M5gmuhXZ6-LaxQxgrmJnzgP0"",""'TP# look up'!A:C""),3,0),"""")"),"")</f>
        <v/>
      </c>
      <c r="AH2903" s="49" t="str">
        <f t="shared" si="45"/>
        <v/>
      </c>
    </row>
    <row r="2904" spans="8:34" ht="12.75">
      <c r="H2904" s="43"/>
      <c r="AG2904" s="49" t="str">
        <f ca="1">IFERROR(__xludf.DUMMYFUNCTION("IFNA(vlookup(H2904,IMPORTRANGE(""1vUGwO1n0QQGx9kKbO0_M5gmuhXZ6-LaxQxgrmJnzgP0"",""'TP# look up'!A:C""),3,0),"""")"),"")</f>
        <v/>
      </c>
      <c r="AH2904" s="49" t="str">
        <f t="shared" si="45"/>
        <v/>
      </c>
    </row>
    <row r="2905" spans="8:34" ht="12.75">
      <c r="H2905" s="43"/>
      <c r="AG2905" s="49" t="str">
        <f ca="1">IFERROR(__xludf.DUMMYFUNCTION("IFNA(vlookup(H2905,IMPORTRANGE(""1vUGwO1n0QQGx9kKbO0_M5gmuhXZ6-LaxQxgrmJnzgP0"",""'TP# look up'!A:C""),3,0),"""")"),"")</f>
        <v/>
      </c>
      <c r="AH2905" s="49" t="str">
        <f t="shared" si="45"/>
        <v/>
      </c>
    </row>
    <row r="2906" spans="8:34" ht="12.75">
      <c r="H2906" s="43"/>
      <c r="AG2906" s="49" t="str">
        <f ca="1">IFERROR(__xludf.DUMMYFUNCTION("IFNA(vlookup(H2906,IMPORTRANGE(""1vUGwO1n0QQGx9kKbO0_M5gmuhXZ6-LaxQxgrmJnzgP0"",""'TP# look up'!A:C""),3,0),"""")"),"")</f>
        <v/>
      </c>
      <c r="AH2906" s="49" t="str">
        <f t="shared" si="45"/>
        <v/>
      </c>
    </row>
    <row r="2907" spans="8:34" ht="12.75">
      <c r="H2907" s="43"/>
      <c r="AG2907" s="49" t="str">
        <f ca="1">IFERROR(__xludf.DUMMYFUNCTION("IFNA(vlookup(H2907,IMPORTRANGE(""1vUGwO1n0QQGx9kKbO0_M5gmuhXZ6-LaxQxgrmJnzgP0"",""'TP# look up'!A:C""),3,0),"""")"),"")</f>
        <v/>
      </c>
      <c r="AH2907" s="49" t="str">
        <f t="shared" si="45"/>
        <v/>
      </c>
    </row>
    <row r="2908" spans="8:34" ht="12.75">
      <c r="H2908" s="43"/>
      <c r="AG2908" s="49" t="str">
        <f ca="1">IFERROR(__xludf.DUMMYFUNCTION("IFNA(vlookup(H2908,IMPORTRANGE(""1vUGwO1n0QQGx9kKbO0_M5gmuhXZ6-LaxQxgrmJnzgP0"",""'TP# look up'!A:C""),3,0),"""")"),"")</f>
        <v/>
      </c>
      <c r="AH2908" s="49" t="str">
        <f t="shared" si="45"/>
        <v/>
      </c>
    </row>
    <row r="2909" spans="8:34" ht="12.75">
      <c r="H2909" s="43"/>
      <c r="AG2909" s="49" t="str">
        <f ca="1">IFERROR(__xludf.DUMMYFUNCTION("IFNA(vlookup(H2909,IMPORTRANGE(""1vUGwO1n0QQGx9kKbO0_M5gmuhXZ6-LaxQxgrmJnzgP0"",""'TP# look up'!A:C""),3,0),"""")"),"")</f>
        <v/>
      </c>
      <c r="AH2909" s="49" t="str">
        <f t="shared" si="45"/>
        <v/>
      </c>
    </row>
    <row r="2910" spans="8:34" ht="12.75">
      <c r="H2910" s="43"/>
      <c r="AG2910" s="49" t="str">
        <f ca="1">IFERROR(__xludf.DUMMYFUNCTION("IFNA(vlookup(H2910,IMPORTRANGE(""1vUGwO1n0QQGx9kKbO0_M5gmuhXZ6-LaxQxgrmJnzgP0"",""'TP# look up'!A:C""),3,0),"""")"),"")</f>
        <v/>
      </c>
      <c r="AH2910" s="49" t="str">
        <f t="shared" si="45"/>
        <v/>
      </c>
    </row>
    <row r="2911" spans="8:34" ht="12.75">
      <c r="H2911" s="43"/>
      <c r="AG2911" s="49" t="str">
        <f ca="1">IFERROR(__xludf.DUMMYFUNCTION("IFNA(vlookup(H2911,IMPORTRANGE(""1vUGwO1n0QQGx9kKbO0_M5gmuhXZ6-LaxQxgrmJnzgP0"",""'TP# look up'!A:C""),3,0),"""")"),"")</f>
        <v/>
      </c>
      <c r="AH2911" s="49" t="str">
        <f t="shared" si="45"/>
        <v/>
      </c>
    </row>
    <row r="2912" spans="8:34" ht="12.75">
      <c r="H2912" s="43"/>
      <c r="AG2912" s="49" t="str">
        <f ca="1">IFERROR(__xludf.DUMMYFUNCTION("IFNA(vlookup(H2912,IMPORTRANGE(""1vUGwO1n0QQGx9kKbO0_M5gmuhXZ6-LaxQxgrmJnzgP0"",""'TP# look up'!A:C""),3,0),"""")"),"")</f>
        <v/>
      </c>
      <c r="AH2912" s="49" t="str">
        <f t="shared" si="45"/>
        <v/>
      </c>
    </row>
    <row r="2913" spans="8:34" ht="12.75">
      <c r="H2913" s="43"/>
      <c r="AG2913" s="49" t="str">
        <f ca="1">IFERROR(__xludf.DUMMYFUNCTION("IFNA(vlookup(H2913,IMPORTRANGE(""1vUGwO1n0QQGx9kKbO0_M5gmuhXZ6-LaxQxgrmJnzgP0"",""'TP# look up'!A:C""),3,0),"""")"),"")</f>
        <v/>
      </c>
      <c r="AH2913" s="49" t="str">
        <f t="shared" si="45"/>
        <v/>
      </c>
    </row>
    <row r="2914" spans="8:34" ht="12.75">
      <c r="H2914" s="43"/>
      <c r="AG2914" s="49" t="str">
        <f ca="1">IFERROR(__xludf.DUMMYFUNCTION("IFNA(vlookup(H2914,IMPORTRANGE(""1vUGwO1n0QQGx9kKbO0_M5gmuhXZ6-LaxQxgrmJnzgP0"",""'TP# look up'!A:C""),3,0),"""")"),"")</f>
        <v/>
      </c>
      <c r="AH2914" s="49" t="str">
        <f t="shared" si="45"/>
        <v/>
      </c>
    </row>
    <row r="2915" spans="8:34" ht="12.75">
      <c r="H2915" s="43"/>
      <c r="AG2915" s="49" t="str">
        <f ca="1">IFERROR(__xludf.DUMMYFUNCTION("IFNA(vlookup(H2915,IMPORTRANGE(""1vUGwO1n0QQGx9kKbO0_M5gmuhXZ6-LaxQxgrmJnzgP0"",""'TP# look up'!A:C""),3,0),"""")"),"")</f>
        <v/>
      </c>
      <c r="AH2915" s="49" t="str">
        <f t="shared" si="45"/>
        <v/>
      </c>
    </row>
    <row r="2916" spans="8:34" ht="12.75">
      <c r="H2916" s="43"/>
      <c r="AG2916" s="49" t="str">
        <f ca="1">IFERROR(__xludf.DUMMYFUNCTION("IFNA(vlookup(H2916,IMPORTRANGE(""1vUGwO1n0QQGx9kKbO0_M5gmuhXZ6-LaxQxgrmJnzgP0"",""'TP# look up'!A:C""),3,0),"""")"),"")</f>
        <v/>
      </c>
      <c r="AH2916" s="49" t="str">
        <f t="shared" si="45"/>
        <v/>
      </c>
    </row>
    <row r="2917" spans="8:34" ht="12.75">
      <c r="H2917" s="43"/>
      <c r="AG2917" s="49" t="str">
        <f ca="1">IFERROR(__xludf.DUMMYFUNCTION("IFNA(vlookup(H2917,IMPORTRANGE(""1vUGwO1n0QQGx9kKbO0_M5gmuhXZ6-LaxQxgrmJnzgP0"",""'TP# look up'!A:C""),3,0),"""")"),"")</f>
        <v/>
      </c>
      <c r="AH2917" s="49" t="str">
        <f t="shared" si="45"/>
        <v/>
      </c>
    </row>
    <row r="2918" spans="8:34" ht="12.75">
      <c r="H2918" s="43"/>
      <c r="AG2918" s="49" t="str">
        <f ca="1">IFERROR(__xludf.DUMMYFUNCTION("IFNA(vlookup(H2918,IMPORTRANGE(""1vUGwO1n0QQGx9kKbO0_M5gmuhXZ6-LaxQxgrmJnzgP0"",""'TP# look up'!A:C""),3,0),"""")"),"")</f>
        <v/>
      </c>
      <c r="AH2918" s="49" t="str">
        <f t="shared" si="45"/>
        <v/>
      </c>
    </row>
    <row r="2919" spans="8:34" ht="12.75">
      <c r="H2919" s="43"/>
      <c r="AG2919" s="49" t="str">
        <f ca="1">IFERROR(__xludf.DUMMYFUNCTION("IFNA(vlookup(H2919,IMPORTRANGE(""1vUGwO1n0QQGx9kKbO0_M5gmuhXZ6-LaxQxgrmJnzgP0"",""'TP# look up'!A:C""),3,0),"""")"),"")</f>
        <v/>
      </c>
      <c r="AH2919" s="49" t="str">
        <f t="shared" si="45"/>
        <v/>
      </c>
    </row>
    <row r="2920" spans="8:34" ht="12.75">
      <c r="H2920" s="43"/>
      <c r="AG2920" s="49" t="str">
        <f ca="1">IFERROR(__xludf.DUMMYFUNCTION("IFNA(vlookup(H2920,IMPORTRANGE(""1vUGwO1n0QQGx9kKbO0_M5gmuhXZ6-LaxQxgrmJnzgP0"",""'TP# look up'!A:C""),3,0),"""")"),"")</f>
        <v/>
      </c>
      <c r="AH2920" s="49" t="str">
        <f t="shared" si="45"/>
        <v/>
      </c>
    </row>
    <row r="2921" spans="8:34" ht="12.75">
      <c r="H2921" s="43"/>
      <c r="AG2921" s="49" t="str">
        <f ca="1">IFERROR(__xludf.DUMMYFUNCTION("IFNA(vlookup(H2921,IMPORTRANGE(""1vUGwO1n0QQGx9kKbO0_M5gmuhXZ6-LaxQxgrmJnzgP0"",""'TP# look up'!A:C""),3,0),"""")"),"")</f>
        <v/>
      </c>
      <c r="AH2921" s="49" t="str">
        <f t="shared" si="45"/>
        <v/>
      </c>
    </row>
    <row r="2922" spans="8:34" ht="12.75">
      <c r="H2922" s="43"/>
      <c r="AG2922" s="49" t="str">
        <f ca="1">IFERROR(__xludf.DUMMYFUNCTION("IFNA(vlookup(H2922,IMPORTRANGE(""1vUGwO1n0QQGx9kKbO0_M5gmuhXZ6-LaxQxgrmJnzgP0"",""'TP# look up'!A:C""),3,0),"""")"),"")</f>
        <v/>
      </c>
      <c r="AH2922" s="49" t="str">
        <f t="shared" si="45"/>
        <v/>
      </c>
    </row>
    <row r="2923" spans="8:34" ht="12.75">
      <c r="H2923" s="43"/>
      <c r="AG2923" s="49" t="str">
        <f ca="1">IFERROR(__xludf.DUMMYFUNCTION("IFNA(vlookup(H2923,IMPORTRANGE(""1vUGwO1n0QQGx9kKbO0_M5gmuhXZ6-LaxQxgrmJnzgP0"",""'TP# look up'!A:C""),3,0),"""")"),"")</f>
        <v/>
      </c>
      <c r="AH2923" s="49" t="str">
        <f t="shared" si="45"/>
        <v/>
      </c>
    </row>
    <row r="2924" spans="8:34" ht="12.75">
      <c r="H2924" s="43"/>
      <c r="AG2924" s="49" t="str">
        <f ca="1">IFERROR(__xludf.DUMMYFUNCTION("IFNA(vlookup(H2924,IMPORTRANGE(""1vUGwO1n0QQGx9kKbO0_M5gmuhXZ6-LaxQxgrmJnzgP0"",""'TP# look up'!A:C""),3,0),"""")"),"")</f>
        <v/>
      </c>
      <c r="AH2924" s="49" t="str">
        <f t="shared" si="45"/>
        <v/>
      </c>
    </row>
    <row r="2925" spans="8:34" ht="12.75">
      <c r="H2925" s="43"/>
      <c r="AG2925" s="49" t="str">
        <f ca="1">IFERROR(__xludf.DUMMYFUNCTION("IFNA(vlookup(H2925,IMPORTRANGE(""1vUGwO1n0QQGx9kKbO0_M5gmuhXZ6-LaxQxgrmJnzgP0"",""'TP# look up'!A:C""),3,0),"""")"),"")</f>
        <v/>
      </c>
      <c r="AH2925" s="49" t="str">
        <f t="shared" si="45"/>
        <v/>
      </c>
    </row>
    <row r="2926" spans="8:34" ht="12.75">
      <c r="H2926" s="43"/>
      <c r="AG2926" s="49" t="str">
        <f ca="1">IFERROR(__xludf.DUMMYFUNCTION("IFNA(vlookup(H2926,IMPORTRANGE(""1vUGwO1n0QQGx9kKbO0_M5gmuhXZ6-LaxQxgrmJnzgP0"",""'TP# look up'!A:C""),3,0),"""")"),"")</f>
        <v/>
      </c>
      <c r="AH2926" s="49" t="str">
        <f t="shared" si="45"/>
        <v/>
      </c>
    </row>
    <row r="2927" spans="8:34" ht="12.75">
      <c r="H2927" s="43"/>
      <c r="AG2927" s="49" t="str">
        <f ca="1">IFERROR(__xludf.DUMMYFUNCTION("IFNA(vlookup(H2927,IMPORTRANGE(""1vUGwO1n0QQGx9kKbO0_M5gmuhXZ6-LaxQxgrmJnzgP0"",""'TP# look up'!A:C""),3,0),"""")"),"")</f>
        <v/>
      </c>
      <c r="AH2927" s="49" t="str">
        <f t="shared" si="45"/>
        <v/>
      </c>
    </row>
    <row r="2928" spans="8:34" ht="12.75">
      <c r="H2928" s="43"/>
      <c r="AG2928" s="49" t="str">
        <f ca="1">IFERROR(__xludf.DUMMYFUNCTION("IFNA(vlookup(H2928,IMPORTRANGE(""1vUGwO1n0QQGx9kKbO0_M5gmuhXZ6-LaxQxgrmJnzgP0"",""'TP# look up'!A:C""),3,0),"""")"),"")</f>
        <v/>
      </c>
      <c r="AH2928" s="49" t="str">
        <f t="shared" si="45"/>
        <v/>
      </c>
    </row>
    <row r="2929" spans="8:34" ht="12.75">
      <c r="H2929" s="43"/>
      <c r="AG2929" s="49" t="str">
        <f ca="1">IFERROR(__xludf.DUMMYFUNCTION("IFNA(vlookup(H2929,IMPORTRANGE(""1vUGwO1n0QQGx9kKbO0_M5gmuhXZ6-LaxQxgrmJnzgP0"",""'TP# look up'!A:C""),3,0),"""")"),"")</f>
        <v/>
      </c>
      <c r="AH2929" s="49" t="str">
        <f t="shared" si="45"/>
        <v/>
      </c>
    </row>
    <row r="2930" spans="8:34" ht="12.75">
      <c r="H2930" s="43"/>
      <c r="AG2930" s="49" t="str">
        <f ca="1">IFERROR(__xludf.DUMMYFUNCTION("IFNA(vlookup(H2930,IMPORTRANGE(""1vUGwO1n0QQGx9kKbO0_M5gmuhXZ6-LaxQxgrmJnzgP0"",""'TP# look up'!A:C""),3,0),"""")"),"")</f>
        <v/>
      </c>
      <c r="AH2930" s="49" t="str">
        <f t="shared" si="45"/>
        <v/>
      </c>
    </row>
    <row r="2931" spans="8:34" ht="12.75">
      <c r="H2931" s="43"/>
      <c r="AG2931" s="49" t="str">
        <f ca="1">IFERROR(__xludf.DUMMYFUNCTION("IFNA(vlookup(H2931,IMPORTRANGE(""1vUGwO1n0QQGx9kKbO0_M5gmuhXZ6-LaxQxgrmJnzgP0"",""'TP# look up'!A:C""),3,0),"""")"),"")</f>
        <v/>
      </c>
      <c r="AH2931" s="49" t="str">
        <f t="shared" si="45"/>
        <v/>
      </c>
    </row>
    <row r="2932" spans="8:34" ht="12.75">
      <c r="H2932" s="43"/>
      <c r="AG2932" s="49" t="str">
        <f ca="1">IFERROR(__xludf.DUMMYFUNCTION("IFNA(vlookup(H2932,IMPORTRANGE(""1vUGwO1n0QQGx9kKbO0_M5gmuhXZ6-LaxQxgrmJnzgP0"",""'TP# look up'!A:C""),3,0),"""")"),"")</f>
        <v/>
      </c>
      <c r="AH2932" s="49" t="str">
        <f t="shared" si="45"/>
        <v/>
      </c>
    </row>
    <row r="2933" spans="8:34" ht="12.75">
      <c r="H2933" s="43"/>
      <c r="AG2933" s="49" t="str">
        <f ca="1">IFERROR(__xludf.DUMMYFUNCTION("IFNA(vlookup(H2933,IMPORTRANGE(""1vUGwO1n0QQGx9kKbO0_M5gmuhXZ6-LaxQxgrmJnzgP0"",""'TP# look up'!A:C""),3,0),"""")"),"")</f>
        <v/>
      </c>
      <c r="AH2933" s="49" t="str">
        <f t="shared" si="45"/>
        <v/>
      </c>
    </row>
    <row r="2934" spans="8:34" ht="12.75">
      <c r="H2934" s="43"/>
      <c r="AG2934" s="49" t="str">
        <f ca="1">IFERROR(__xludf.DUMMYFUNCTION("IFNA(vlookup(H2934,IMPORTRANGE(""1vUGwO1n0QQGx9kKbO0_M5gmuhXZ6-LaxQxgrmJnzgP0"",""'TP# look up'!A:C""),3,0),"""")"),"")</f>
        <v/>
      </c>
      <c r="AH2934" s="49" t="str">
        <f t="shared" si="45"/>
        <v/>
      </c>
    </row>
    <row r="2935" spans="8:34" ht="12.75">
      <c r="H2935" s="43"/>
      <c r="AG2935" s="49" t="str">
        <f ca="1">IFERROR(__xludf.DUMMYFUNCTION("IFNA(vlookup(H2935,IMPORTRANGE(""1vUGwO1n0QQGx9kKbO0_M5gmuhXZ6-LaxQxgrmJnzgP0"",""'TP# look up'!A:C""),3,0),"""")"),"")</f>
        <v/>
      </c>
      <c r="AH2935" s="49" t="str">
        <f t="shared" si="45"/>
        <v/>
      </c>
    </row>
    <row r="2936" spans="8:34" ht="12.75">
      <c r="H2936" s="43"/>
      <c r="AG2936" s="49" t="str">
        <f ca="1">IFERROR(__xludf.DUMMYFUNCTION("IFNA(vlookup(H2936,IMPORTRANGE(""1vUGwO1n0QQGx9kKbO0_M5gmuhXZ6-LaxQxgrmJnzgP0"",""'TP# look up'!A:C""),3,0),"""")"),"")</f>
        <v/>
      </c>
      <c r="AH2936" s="49" t="str">
        <f t="shared" si="45"/>
        <v/>
      </c>
    </row>
    <row r="2937" spans="8:34" ht="12.75">
      <c r="H2937" s="43"/>
      <c r="AG2937" s="49" t="str">
        <f ca="1">IFERROR(__xludf.DUMMYFUNCTION("IFNA(vlookup(H2937,IMPORTRANGE(""1vUGwO1n0QQGx9kKbO0_M5gmuhXZ6-LaxQxgrmJnzgP0"",""'TP# look up'!A:C""),3,0),"""")"),"")</f>
        <v/>
      </c>
      <c r="AH2937" s="49" t="str">
        <f t="shared" si="45"/>
        <v/>
      </c>
    </row>
    <row r="2938" spans="8:34" ht="12.75">
      <c r="H2938" s="43"/>
      <c r="AG2938" s="49" t="str">
        <f ca="1">IFERROR(__xludf.DUMMYFUNCTION("IFNA(vlookup(H2938,IMPORTRANGE(""1vUGwO1n0QQGx9kKbO0_M5gmuhXZ6-LaxQxgrmJnzgP0"",""'TP# look up'!A:C""),3,0),"""")"),"")</f>
        <v/>
      </c>
      <c r="AH2938" s="49" t="str">
        <f t="shared" si="45"/>
        <v/>
      </c>
    </row>
    <row r="2939" spans="8:34" ht="12.75">
      <c r="H2939" s="43"/>
      <c r="AG2939" s="49" t="str">
        <f ca="1">IFERROR(__xludf.DUMMYFUNCTION("IFNA(vlookup(H2939,IMPORTRANGE(""1vUGwO1n0QQGx9kKbO0_M5gmuhXZ6-LaxQxgrmJnzgP0"",""'TP# look up'!A:C""),3,0),"""")"),"")</f>
        <v/>
      </c>
      <c r="AH2939" s="49" t="str">
        <f t="shared" si="45"/>
        <v/>
      </c>
    </row>
    <row r="2940" spans="8:34" ht="12.75">
      <c r="H2940" s="43"/>
      <c r="AG2940" s="49" t="str">
        <f ca="1">IFERROR(__xludf.DUMMYFUNCTION("IFNA(vlookup(H2940,IMPORTRANGE(""1vUGwO1n0QQGx9kKbO0_M5gmuhXZ6-LaxQxgrmJnzgP0"",""'TP# look up'!A:C""),3,0),"""")"),"")</f>
        <v/>
      </c>
      <c r="AH2940" s="49" t="str">
        <f t="shared" si="45"/>
        <v/>
      </c>
    </row>
    <row r="2941" spans="8:34" ht="12.75">
      <c r="H2941" s="43"/>
      <c r="AG2941" s="49" t="str">
        <f ca="1">IFERROR(__xludf.DUMMYFUNCTION("IFNA(vlookup(H2941,IMPORTRANGE(""1vUGwO1n0QQGx9kKbO0_M5gmuhXZ6-LaxQxgrmJnzgP0"",""'TP# look up'!A:C""),3,0),"""")"),"")</f>
        <v/>
      </c>
      <c r="AH2941" s="49" t="str">
        <f t="shared" si="45"/>
        <v/>
      </c>
    </row>
    <row r="2942" spans="8:34" ht="12.75">
      <c r="H2942" s="43"/>
      <c r="AG2942" s="49" t="str">
        <f ca="1">IFERROR(__xludf.DUMMYFUNCTION("IFNA(vlookup(H2942,IMPORTRANGE(""1vUGwO1n0QQGx9kKbO0_M5gmuhXZ6-LaxQxgrmJnzgP0"",""'TP# look up'!A:C""),3,0),"""")"),"")</f>
        <v/>
      </c>
      <c r="AH2942" s="49" t="str">
        <f t="shared" si="45"/>
        <v/>
      </c>
    </row>
    <row r="2943" spans="8:34" ht="12.75">
      <c r="H2943" s="43"/>
      <c r="AG2943" s="49" t="str">
        <f ca="1">IFERROR(__xludf.DUMMYFUNCTION("IFNA(vlookup(H2943,IMPORTRANGE(""1vUGwO1n0QQGx9kKbO0_M5gmuhXZ6-LaxQxgrmJnzgP0"",""'TP# look up'!A:C""),3,0),"""")"),"")</f>
        <v/>
      </c>
      <c r="AH2943" s="49" t="str">
        <f t="shared" si="45"/>
        <v/>
      </c>
    </row>
    <row r="2944" spans="8:34" ht="12.75">
      <c r="H2944" s="43"/>
      <c r="AG2944" s="49" t="str">
        <f ca="1">IFERROR(__xludf.DUMMYFUNCTION("IFNA(vlookup(H2944,IMPORTRANGE(""1vUGwO1n0QQGx9kKbO0_M5gmuhXZ6-LaxQxgrmJnzgP0"",""'TP# look up'!A:C""),3,0),"""")"),"")</f>
        <v/>
      </c>
      <c r="AH2944" s="49" t="str">
        <f t="shared" si="45"/>
        <v/>
      </c>
    </row>
    <row r="2945" spans="8:34" ht="12.75">
      <c r="H2945" s="43"/>
      <c r="AG2945" s="49" t="str">
        <f ca="1">IFERROR(__xludf.DUMMYFUNCTION("IFNA(vlookup(H2945,IMPORTRANGE(""1vUGwO1n0QQGx9kKbO0_M5gmuhXZ6-LaxQxgrmJnzgP0"",""'TP# look up'!A:C""),3,0),"""")"),"")</f>
        <v/>
      </c>
      <c r="AH2945" s="49" t="str">
        <f t="shared" si="45"/>
        <v/>
      </c>
    </row>
    <row r="2946" spans="8:34" ht="12.75">
      <c r="H2946" s="43"/>
      <c r="AG2946" s="49" t="str">
        <f ca="1">IFERROR(__xludf.DUMMYFUNCTION("IFNA(vlookup(H2946,IMPORTRANGE(""1vUGwO1n0QQGx9kKbO0_M5gmuhXZ6-LaxQxgrmJnzgP0"",""'TP# look up'!A:C""),3,0),"""")"),"")</f>
        <v/>
      </c>
      <c r="AH2946" s="49" t="str">
        <f t="shared" ref="AH2946:AH3009" si="46">LEFT(J2946,2)</f>
        <v/>
      </c>
    </row>
    <row r="2947" spans="8:34" ht="12.75">
      <c r="H2947" s="43"/>
      <c r="AG2947" s="49" t="str">
        <f ca="1">IFERROR(__xludf.DUMMYFUNCTION("IFNA(vlookup(H2947,IMPORTRANGE(""1vUGwO1n0QQGx9kKbO0_M5gmuhXZ6-LaxQxgrmJnzgP0"",""'TP# look up'!A:C""),3,0),"""")"),"")</f>
        <v/>
      </c>
      <c r="AH2947" s="49" t="str">
        <f t="shared" si="46"/>
        <v/>
      </c>
    </row>
    <row r="2948" spans="8:34" ht="12.75">
      <c r="H2948" s="43"/>
      <c r="AG2948" s="49" t="str">
        <f ca="1">IFERROR(__xludf.DUMMYFUNCTION("IFNA(vlookup(H2948,IMPORTRANGE(""1vUGwO1n0QQGx9kKbO0_M5gmuhXZ6-LaxQxgrmJnzgP0"",""'TP# look up'!A:C""),3,0),"""")"),"")</f>
        <v/>
      </c>
      <c r="AH2948" s="49" t="str">
        <f t="shared" si="46"/>
        <v/>
      </c>
    </row>
    <row r="2949" spans="8:34" ht="12.75">
      <c r="H2949" s="43"/>
      <c r="AG2949" s="49" t="str">
        <f ca="1">IFERROR(__xludf.DUMMYFUNCTION("IFNA(vlookup(H2949,IMPORTRANGE(""1vUGwO1n0QQGx9kKbO0_M5gmuhXZ6-LaxQxgrmJnzgP0"",""'TP# look up'!A:C""),3,0),"""")"),"")</f>
        <v/>
      </c>
      <c r="AH2949" s="49" t="str">
        <f t="shared" si="46"/>
        <v/>
      </c>
    </row>
    <row r="2950" spans="8:34" ht="12.75">
      <c r="H2950" s="43"/>
      <c r="AG2950" s="49" t="str">
        <f ca="1">IFERROR(__xludf.DUMMYFUNCTION("IFNA(vlookup(H2950,IMPORTRANGE(""1vUGwO1n0QQGx9kKbO0_M5gmuhXZ6-LaxQxgrmJnzgP0"",""'TP# look up'!A:C""),3,0),"""")"),"")</f>
        <v/>
      </c>
      <c r="AH2950" s="49" t="str">
        <f t="shared" si="46"/>
        <v/>
      </c>
    </row>
    <row r="2951" spans="8:34" ht="12.75">
      <c r="H2951" s="43"/>
      <c r="AG2951" s="49" t="str">
        <f ca="1">IFERROR(__xludf.DUMMYFUNCTION("IFNA(vlookup(H2951,IMPORTRANGE(""1vUGwO1n0QQGx9kKbO0_M5gmuhXZ6-LaxQxgrmJnzgP0"",""'TP# look up'!A:C""),3,0),"""")"),"")</f>
        <v/>
      </c>
      <c r="AH2951" s="49" t="str">
        <f t="shared" si="46"/>
        <v/>
      </c>
    </row>
    <row r="2952" spans="8:34" ht="12.75">
      <c r="H2952" s="43"/>
      <c r="AG2952" s="49" t="str">
        <f ca="1">IFERROR(__xludf.DUMMYFUNCTION("IFNA(vlookup(H2952,IMPORTRANGE(""1vUGwO1n0QQGx9kKbO0_M5gmuhXZ6-LaxQxgrmJnzgP0"",""'TP# look up'!A:C""),3,0),"""")"),"")</f>
        <v/>
      </c>
      <c r="AH2952" s="49" t="str">
        <f t="shared" si="46"/>
        <v/>
      </c>
    </row>
    <row r="2953" spans="8:34" ht="12.75">
      <c r="H2953" s="43"/>
      <c r="AG2953" s="49" t="str">
        <f ca="1">IFERROR(__xludf.DUMMYFUNCTION("IFNA(vlookup(H2953,IMPORTRANGE(""1vUGwO1n0QQGx9kKbO0_M5gmuhXZ6-LaxQxgrmJnzgP0"",""'TP# look up'!A:C""),3,0),"""")"),"")</f>
        <v/>
      </c>
      <c r="AH2953" s="49" t="str">
        <f t="shared" si="46"/>
        <v/>
      </c>
    </row>
    <row r="2954" spans="8:34" ht="12.75">
      <c r="H2954" s="43"/>
      <c r="AG2954" s="49" t="str">
        <f ca="1">IFERROR(__xludf.DUMMYFUNCTION("IFNA(vlookup(H2954,IMPORTRANGE(""1vUGwO1n0QQGx9kKbO0_M5gmuhXZ6-LaxQxgrmJnzgP0"",""'TP# look up'!A:C""),3,0),"""")"),"")</f>
        <v/>
      </c>
      <c r="AH2954" s="49" t="str">
        <f t="shared" si="46"/>
        <v/>
      </c>
    </row>
    <row r="2955" spans="8:34" ht="12.75">
      <c r="H2955" s="43"/>
      <c r="AG2955" s="49" t="str">
        <f ca="1">IFERROR(__xludf.DUMMYFUNCTION("IFNA(vlookup(H2955,IMPORTRANGE(""1vUGwO1n0QQGx9kKbO0_M5gmuhXZ6-LaxQxgrmJnzgP0"",""'TP# look up'!A:C""),3,0),"""")"),"")</f>
        <v/>
      </c>
      <c r="AH2955" s="49" t="str">
        <f t="shared" si="46"/>
        <v/>
      </c>
    </row>
    <row r="2956" spans="8:34" ht="12.75">
      <c r="H2956" s="43"/>
      <c r="AG2956" s="49" t="str">
        <f ca="1">IFERROR(__xludf.DUMMYFUNCTION("IFNA(vlookup(H2956,IMPORTRANGE(""1vUGwO1n0QQGx9kKbO0_M5gmuhXZ6-LaxQxgrmJnzgP0"",""'TP# look up'!A:C""),3,0),"""")"),"")</f>
        <v/>
      </c>
      <c r="AH2956" s="49" t="str">
        <f t="shared" si="46"/>
        <v/>
      </c>
    </row>
    <row r="2957" spans="8:34" ht="12.75">
      <c r="H2957" s="43"/>
      <c r="AG2957" s="49" t="str">
        <f ca="1">IFERROR(__xludf.DUMMYFUNCTION("IFNA(vlookup(H2957,IMPORTRANGE(""1vUGwO1n0QQGx9kKbO0_M5gmuhXZ6-LaxQxgrmJnzgP0"",""'TP# look up'!A:C""),3,0),"""")"),"")</f>
        <v/>
      </c>
      <c r="AH2957" s="49" t="str">
        <f t="shared" si="46"/>
        <v/>
      </c>
    </row>
    <row r="2958" spans="8:34" ht="12.75">
      <c r="H2958" s="43"/>
      <c r="AG2958" s="49" t="str">
        <f ca="1">IFERROR(__xludf.DUMMYFUNCTION("IFNA(vlookup(H2958,IMPORTRANGE(""1vUGwO1n0QQGx9kKbO0_M5gmuhXZ6-LaxQxgrmJnzgP0"",""'TP# look up'!A:C""),3,0),"""")"),"")</f>
        <v/>
      </c>
      <c r="AH2958" s="49" t="str">
        <f t="shared" si="46"/>
        <v/>
      </c>
    </row>
    <row r="2959" spans="8:34" ht="12.75">
      <c r="H2959" s="43"/>
      <c r="AG2959" s="49" t="str">
        <f ca="1">IFERROR(__xludf.DUMMYFUNCTION("IFNA(vlookup(H2959,IMPORTRANGE(""1vUGwO1n0QQGx9kKbO0_M5gmuhXZ6-LaxQxgrmJnzgP0"",""'TP# look up'!A:C""),3,0),"""")"),"")</f>
        <v/>
      </c>
      <c r="AH2959" s="49" t="str">
        <f t="shared" si="46"/>
        <v/>
      </c>
    </row>
    <row r="2960" spans="8:34" ht="12.75">
      <c r="H2960" s="43"/>
      <c r="AG2960" s="49" t="str">
        <f ca="1">IFERROR(__xludf.DUMMYFUNCTION("IFNA(vlookup(H2960,IMPORTRANGE(""1vUGwO1n0QQGx9kKbO0_M5gmuhXZ6-LaxQxgrmJnzgP0"",""'TP# look up'!A:C""),3,0),"""")"),"")</f>
        <v/>
      </c>
      <c r="AH2960" s="49" t="str">
        <f t="shared" si="46"/>
        <v/>
      </c>
    </row>
    <row r="2961" spans="8:34" ht="12.75">
      <c r="H2961" s="43"/>
      <c r="AG2961" s="49" t="str">
        <f ca="1">IFERROR(__xludf.DUMMYFUNCTION("IFNA(vlookup(H2961,IMPORTRANGE(""1vUGwO1n0QQGx9kKbO0_M5gmuhXZ6-LaxQxgrmJnzgP0"",""'TP# look up'!A:C""),3,0),"""")"),"")</f>
        <v/>
      </c>
      <c r="AH2961" s="49" t="str">
        <f t="shared" si="46"/>
        <v/>
      </c>
    </row>
    <row r="2962" spans="8:34" ht="12.75">
      <c r="H2962" s="43"/>
      <c r="AG2962" s="49" t="str">
        <f ca="1">IFERROR(__xludf.DUMMYFUNCTION("IFNA(vlookup(H2962,IMPORTRANGE(""1vUGwO1n0QQGx9kKbO0_M5gmuhXZ6-LaxQxgrmJnzgP0"",""'TP# look up'!A:C""),3,0),"""")"),"")</f>
        <v/>
      </c>
      <c r="AH2962" s="49" t="str">
        <f t="shared" si="46"/>
        <v/>
      </c>
    </row>
    <row r="2963" spans="8:34" ht="12.75">
      <c r="H2963" s="43"/>
      <c r="AG2963" s="49" t="str">
        <f ca="1">IFERROR(__xludf.DUMMYFUNCTION("IFNA(vlookup(H2963,IMPORTRANGE(""1vUGwO1n0QQGx9kKbO0_M5gmuhXZ6-LaxQxgrmJnzgP0"",""'TP# look up'!A:C""),3,0),"""")"),"")</f>
        <v/>
      </c>
      <c r="AH2963" s="49" t="str">
        <f t="shared" si="46"/>
        <v/>
      </c>
    </row>
    <row r="2964" spans="8:34" ht="12.75">
      <c r="H2964" s="43"/>
      <c r="AG2964" s="49" t="str">
        <f ca="1">IFERROR(__xludf.DUMMYFUNCTION("IFNA(vlookup(H2964,IMPORTRANGE(""1vUGwO1n0QQGx9kKbO0_M5gmuhXZ6-LaxQxgrmJnzgP0"",""'TP# look up'!A:C""),3,0),"""")"),"")</f>
        <v/>
      </c>
      <c r="AH2964" s="49" t="str">
        <f t="shared" si="46"/>
        <v/>
      </c>
    </row>
    <row r="2965" spans="8:34" ht="12.75">
      <c r="H2965" s="43"/>
      <c r="AG2965" s="49" t="str">
        <f ca="1">IFERROR(__xludf.DUMMYFUNCTION("IFNA(vlookup(H2965,IMPORTRANGE(""1vUGwO1n0QQGx9kKbO0_M5gmuhXZ6-LaxQxgrmJnzgP0"",""'TP# look up'!A:C""),3,0),"""")"),"")</f>
        <v/>
      </c>
      <c r="AH2965" s="49" t="str">
        <f t="shared" si="46"/>
        <v/>
      </c>
    </row>
    <row r="2966" spans="8:34" ht="12.75">
      <c r="H2966" s="43"/>
      <c r="AG2966" s="49" t="str">
        <f ca="1">IFERROR(__xludf.DUMMYFUNCTION("IFNA(vlookup(H2966,IMPORTRANGE(""1vUGwO1n0QQGx9kKbO0_M5gmuhXZ6-LaxQxgrmJnzgP0"",""'TP# look up'!A:C""),3,0),"""")"),"")</f>
        <v/>
      </c>
      <c r="AH2966" s="49" t="str">
        <f t="shared" si="46"/>
        <v/>
      </c>
    </row>
    <row r="2967" spans="8:34" ht="12.75">
      <c r="H2967" s="43"/>
      <c r="AG2967" s="49" t="str">
        <f ca="1">IFERROR(__xludf.DUMMYFUNCTION("IFNA(vlookup(H2967,IMPORTRANGE(""1vUGwO1n0QQGx9kKbO0_M5gmuhXZ6-LaxQxgrmJnzgP0"",""'TP# look up'!A:C""),3,0),"""")"),"")</f>
        <v/>
      </c>
      <c r="AH2967" s="49" t="str">
        <f t="shared" si="46"/>
        <v/>
      </c>
    </row>
    <row r="2968" spans="8:34" ht="12.75">
      <c r="H2968" s="43"/>
      <c r="AG2968" s="49" t="str">
        <f ca="1">IFERROR(__xludf.DUMMYFUNCTION("IFNA(vlookup(H2968,IMPORTRANGE(""1vUGwO1n0QQGx9kKbO0_M5gmuhXZ6-LaxQxgrmJnzgP0"",""'TP# look up'!A:C""),3,0),"""")"),"")</f>
        <v/>
      </c>
      <c r="AH2968" s="49" t="str">
        <f t="shared" si="46"/>
        <v/>
      </c>
    </row>
    <row r="2969" spans="8:34" ht="12.75">
      <c r="H2969" s="43"/>
      <c r="AG2969" s="49" t="str">
        <f ca="1">IFERROR(__xludf.DUMMYFUNCTION("IFNA(vlookup(H2969,IMPORTRANGE(""1vUGwO1n0QQGx9kKbO0_M5gmuhXZ6-LaxQxgrmJnzgP0"",""'TP# look up'!A:C""),3,0),"""")"),"")</f>
        <v/>
      </c>
      <c r="AH2969" s="49" t="str">
        <f t="shared" si="46"/>
        <v/>
      </c>
    </row>
    <row r="2970" spans="8:34" ht="12.75">
      <c r="H2970" s="43"/>
      <c r="AG2970" s="49" t="str">
        <f ca="1">IFERROR(__xludf.DUMMYFUNCTION("IFNA(vlookup(H2970,IMPORTRANGE(""1vUGwO1n0QQGx9kKbO0_M5gmuhXZ6-LaxQxgrmJnzgP0"",""'TP# look up'!A:C""),3,0),"""")"),"")</f>
        <v/>
      </c>
      <c r="AH2970" s="49" t="str">
        <f t="shared" si="46"/>
        <v/>
      </c>
    </row>
    <row r="2971" spans="8:34" ht="12.75">
      <c r="H2971" s="43"/>
      <c r="AG2971" s="49" t="str">
        <f ca="1">IFERROR(__xludf.DUMMYFUNCTION("IFNA(vlookup(H2971,IMPORTRANGE(""1vUGwO1n0QQGx9kKbO0_M5gmuhXZ6-LaxQxgrmJnzgP0"",""'TP# look up'!A:C""),3,0),"""")"),"")</f>
        <v/>
      </c>
      <c r="AH2971" s="49" t="str">
        <f t="shared" si="46"/>
        <v/>
      </c>
    </row>
    <row r="2972" spans="8:34" ht="12.75">
      <c r="H2972" s="43"/>
      <c r="AG2972" s="49" t="str">
        <f ca="1">IFERROR(__xludf.DUMMYFUNCTION("IFNA(vlookup(H2972,IMPORTRANGE(""1vUGwO1n0QQGx9kKbO0_M5gmuhXZ6-LaxQxgrmJnzgP0"",""'TP# look up'!A:C""),3,0),"""")"),"")</f>
        <v/>
      </c>
      <c r="AH2972" s="49" t="str">
        <f t="shared" si="46"/>
        <v/>
      </c>
    </row>
    <row r="2973" spans="8:34" ht="12.75">
      <c r="H2973" s="43"/>
      <c r="AG2973" s="49" t="str">
        <f ca="1">IFERROR(__xludf.DUMMYFUNCTION("IFNA(vlookup(H2973,IMPORTRANGE(""1vUGwO1n0QQGx9kKbO0_M5gmuhXZ6-LaxQxgrmJnzgP0"",""'TP# look up'!A:C""),3,0),"""")"),"")</f>
        <v/>
      </c>
      <c r="AH2973" s="49" t="str">
        <f t="shared" si="46"/>
        <v/>
      </c>
    </row>
    <row r="2974" spans="8:34" ht="12.75">
      <c r="H2974" s="43"/>
      <c r="AG2974" s="49" t="str">
        <f ca="1">IFERROR(__xludf.DUMMYFUNCTION("IFNA(vlookup(H2974,IMPORTRANGE(""1vUGwO1n0QQGx9kKbO0_M5gmuhXZ6-LaxQxgrmJnzgP0"",""'TP# look up'!A:C""),3,0),"""")"),"")</f>
        <v/>
      </c>
      <c r="AH2974" s="49" t="str">
        <f t="shared" si="46"/>
        <v/>
      </c>
    </row>
    <row r="2975" spans="8:34" ht="12.75">
      <c r="H2975" s="43"/>
      <c r="AG2975" s="49" t="str">
        <f ca="1">IFERROR(__xludf.DUMMYFUNCTION("IFNA(vlookup(H2975,IMPORTRANGE(""1vUGwO1n0QQGx9kKbO0_M5gmuhXZ6-LaxQxgrmJnzgP0"",""'TP# look up'!A:C""),3,0),"""")"),"")</f>
        <v/>
      </c>
      <c r="AH2975" s="49" t="str">
        <f t="shared" si="46"/>
        <v/>
      </c>
    </row>
    <row r="2976" spans="8:34" ht="12.75">
      <c r="H2976" s="43"/>
      <c r="AG2976" s="49" t="str">
        <f ca="1">IFERROR(__xludf.DUMMYFUNCTION("IFNA(vlookup(H2976,IMPORTRANGE(""1vUGwO1n0QQGx9kKbO0_M5gmuhXZ6-LaxQxgrmJnzgP0"",""'TP# look up'!A:C""),3,0),"""")"),"")</f>
        <v/>
      </c>
      <c r="AH2976" s="49" t="str">
        <f t="shared" si="46"/>
        <v/>
      </c>
    </row>
    <row r="2977" spans="8:34" ht="12.75">
      <c r="H2977" s="43"/>
      <c r="AG2977" s="49" t="str">
        <f ca="1">IFERROR(__xludf.DUMMYFUNCTION("IFNA(vlookup(H2977,IMPORTRANGE(""1vUGwO1n0QQGx9kKbO0_M5gmuhXZ6-LaxQxgrmJnzgP0"",""'TP# look up'!A:C""),3,0),"""")"),"")</f>
        <v/>
      </c>
      <c r="AH2977" s="49" t="str">
        <f t="shared" si="46"/>
        <v/>
      </c>
    </row>
    <row r="2978" spans="8:34" ht="12.75">
      <c r="H2978" s="43"/>
      <c r="AG2978" s="49" t="str">
        <f ca="1">IFERROR(__xludf.DUMMYFUNCTION("IFNA(vlookup(H2978,IMPORTRANGE(""1vUGwO1n0QQGx9kKbO0_M5gmuhXZ6-LaxQxgrmJnzgP0"",""'TP# look up'!A:C""),3,0),"""")"),"")</f>
        <v/>
      </c>
      <c r="AH2978" s="49" t="str">
        <f t="shared" si="46"/>
        <v/>
      </c>
    </row>
    <row r="2979" spans="8:34" ht="12.75">
      <c r="H2979" s="43"/>
      <c r="AG2979" s="49" t="str">
        <f ca="1">IFERROR(__xludf.DUMMYFUNCTION("IFNA(vlookup(H2979,IMPORTRANGE(""1vUGwO1n0QQGx9kKbO0_M5gmuhXZ6-LaxQxgrmJnzgP0"",""'TP# look up'!A:C""),3,0),"""")"),"")</f>
        <v/>
      </c>
      <c r="AH2979" s="49" t="str">
        <f t="shared" si="46"/>
        <v/>
      </c>
    </row>
    <row r="2980" spans="8:34" ht="12.75">
      <c r="H2980" s="43"/>
      <c r="AG2980" s="49" t="str">
        <f ca="1">IFERROR(__xludf.DUMMYFUNCTION("IFNA(vlookup(H2980,IMPORTRANGE(""1vUGwO1n0QQGx9kKbO0_M5gmuhXZ6-LaxQxgrmJnzgP0"",""'TP# look up'!A:C""),3,0),"""")"),"")</f>
        <v/>
      </c>
      <c r="AH2980" s="49" t="str">
        <f t="shared" si="46"/>
        <v/>
      </c>
    </row>
    <row r="2981" spans="8:34" ht="12.75">
      <c r="H2981" s="43"/>
      <c r="AG2981" s="49" t="str">
        <f ca="1">IFERROR(__xludf.DUMMYFUNCTION("IFNA(vlookup(H2981,IMPORTRANGE(""1vUGwO1n0QQGx9kKbO0_M5gmuhXZ6-LaxQxgrmJnzgP0"",""'TP# look up'!A:C""),3,0),"""")"),"")</f>
        <v/>
      </c>
      <c r="AH2981" s="49" t="str">
        <f t="shared" si="46"/>
        <v/>
      </c>
    </row>
    <row r="2982" spans="8:34" ht="12.75">
      <c r="H2982" s="43"/>
      <c r="AG2982" s="49" t="str">
        <f ca="1">IFERROR(__xludf.DUMMYFUNCTION("IFNA(vlookup(H2982,IMPORTRANGE(""1vUGwO1n0QQGx9kKbO0_M5gmuhXZ6-LaxQxgrmJnzgP0"",""'TP# look up'!A:C""),3,0),"""")"),"")</f>
        <v/>
      </c>
      <c r="AH2982" s="49" t="str">
        <f t="shared" si="46"/>
        <v/>
      </c>
    </row>
    <row r="2983" spans="8:34" ht="12.75">
      <c r="H2983" s="43"/>
      <c r="AG2983" s="49" t="str">
        <f ca="1">IFERROR(__xludf.DUMMYFUNCTION("IFNA(vlookup(H2983,IMPORTRANGE(""1vUGwO1n0QQGx9kKbO0_M5gmuhXZ6-LaxQxgrmJnzgP0"",""'TP# look up'!A:C""),3,0),"""")"),"")</f>
        <v/>
      </c>
      <c r="AH2983" s="49" t="str">
        <f t="shared" si="46"/>
        <v/>
      </c>
    </row>
    <row r="2984" spans="8:34" ht="12.75">
      <c r="H2984" s="43"/>
      <c r="AG2984" s="49" t="str">
        <f ca="1">IFERROR(__xludf.DUMMYFUNCTION("IFNA(vlookup(H2984,IMPORTRANGE(""1vUGwO1n0QQGx9kKbO0_M5gmuhXZ6-LaxQxgrmJnzgP0"",""'TP# look up'!A:C""),3,0),"""")"),"")</f>
        <v/>
      </c>
      <c r="AH2984" s="49" t="str">
        <f t="shared" si="46"/>
        <v/>
      </c>
    </row>
    <row r="2985" spans="8:34" ht="12.75">
      <c r="H2985" s="43"/>
      <c r="AG2985" s="49" t="str">
        <f ca="1">IFERROR(__xludf.DUMMYFUNCTION("IFNA(vlookup(H2985,IMPORTRANGE(""1vUGwO1n0QQGx9kKbO0_M5gmuhXZ6-LaxQxgrmJnzgP0"",""'TP# look up'!A:C""),3,0),"""")"),"")</f>
        <v/>
      </c>
      <c r="AH2985" s="49" t="str">
        <f t="shared" si="46"/>
        <v/>
      </c>
    </row>
    <row r="2986" spans="8:34" ht="12.75">
      <c r="H2986" s="43"/>
      <c r="AG2986" s="49" t="str">
        <f ca="1">IFERROR(__xludf.DUMMYFUNCTION("IFNA(vlookup(H2986,IMPORTRANGE(""1vUGwO1n0QQGx9kKbO0_M5gmuhXZ6-LaxQxgrmJnzgP0"",""'TP# look up'!A:C""),3,0),"""")"),"")</f>
        <v/>
      </c>
      <c r="AH2986" s="49" t="str">
        <f t="shared" si="46"/>
        <v/>
      </c>
    </row>
    <row r="2987" spans="8:34" ht="12.75">
      <c r="H2987" s="43"/>
      <c r="AG2987" s="49" t="str">
        <f ca="1">IFERROR(__xludf.DUMMYFUNCTION("IFNA(vlookup(H2987,IMPORTRANGE(""1vUGwO1n0QQGx9kKbO0_M5gmuhXZ6-LaxQxgrmJnzgP0"",""'TP# look up'!A:C""),3,0),"""")"),"")</f>
        <v/>
      </c>
      <c r="AH2987" s="49" t="str">
        <f t="shared" si="46"/>
        <v/>
      </c>
    </row>
    <row r="2988" spans="8:34" ht="12.75">
      <c r="H2988" s="43"/>
      <c r="AG2988" s="49" t="str">
        <f ca="1">IFERROR(__xludf.DUMMYFUNCTION("IFNA(vlookup(H2988,IMPORTRANGE(""1vUGwO1n0QQGx9kKbO0_M5gmuhXZ6-LaxQxgrmJnzgP0"",""'TP# look up'!A:C""),3,0),"""")"),"")</f>
        <v/>
      </c>
      <c r="AH2988" s="49" t="str">
        <f t="shared" si="46"/>
        <v/>
      </c>
    </row>
    <row r="2989" spans="8:34" ht="12.75">
      <c r="H2989" s="43"/>
      <c r="AG2989" s="49" t="str">
        <f ca="1">IFERROR(__xludf.DUMMYFUNCTION("IFNA(vlookup(H2989,IMPORTRANGE(""1vUGwO1n0QQGx9kKbO0_M5gmuhXZ6-LaxQxgrmJnzgP0"",""'TP# look up'!A:C""),3,0),"""")"),"")</f>
        <v/>
      </c>
      <c r="AH2989" s="49" t="str">
        <f t="shared" si="46"/>
        <v/>
      </c>
    </row>
    <row r="2990" spans="8:34" ht="12.75">
      <c r="H2990" s="43"/>
      <c r="AG2990" s="49" t="str">
        <f ca="1">IFERROR(__xludf.DUMMYFUNCTION("IFNA(vlookup(H2990,IMPORTRANGE(""1vUGwO1n0QQGx9kKbO0_M5gmuhXZ6-LaxQxgrmJnzgP0"",""'TP# look up'!A:C""),3,0),"""")"),"")</f>
        <v/>
      </c>
      <c r="AH2990" s="49" t="str">
        <f t="shared" si="46"/>
        <v/>
      </c>
    </row>
    <row r="2991" spans="8:34" ht="12.75">
      <c r="H2991" s="43"/>
      <c r="AG2991" s="49" t="str">
        <f ca="1">IFERROR(__xludf.DUMMYFUNCTION("IFNA(vlookup(H2991,IMPORTRANGE(""1vUGwO1n0QQGx9kKbO0_M5gmuhXZ6-LaxQxgrmJnzgP0"",""'TP# look up'!A:C""),3,0),"""")"),"")</f>
        <v/>
      </c>
      <c r="AH2991" s="49" t="str">
        <f t="shared" si="46"/>
        <v/>
      </c>
    </row>
    <row r="2992" spans="8:34" ht="12.75">
      <c r="H2992" s="43"/>
      <c r="AG2992" s="49" t="str">
        <f ca="1">IFERROR(__xludf.DUMMYFUNCTION("IFNA(vlookup(H2992,IMPORTRANGE(""1vUGwO1n0QQGx9kKbO0_M5gmuhXZ6-LaxQxgrmJnzgP0"",""'TP# look up'!A:C""),3,0),"""")"),"")</f>
        <v/>
      </c>
      <c r="AH2992" s="49" t="str">
        <f t="shared" si="46"/>
        <v/>
      </c>
    </row>
    <row r="2993" spans="8:34" ht="12.75">
      <c r="H2993" s="43"/>
      <c r="AG2993" s="49" t="str">
        <f ca="1">IFERROR(__xludf.DUMMYFUNCTION("IFNA(vlookup(H2993,IMPORTRANGE(""1vUGwO1n0QQGx9kKbO0_M5gmuhXZ6-LaxQxgrmJnzgP0"",""'TP# look up'!A:C""),3,0),"""")"),"")</f>
        <v/>
      </c>
      <c r="AH2993" s="49" t="str">
        <f t="shared" si="46"/>
        <v/>
      </c>
    </row>
    <row r="2994" spans="8:34" ht="12.75">
      <c r="H2994" s="43"/>
      <c r="AG2994" s="49" t="str">
        <f ca="1">IFERROR(__xludf.DUMMYFUNCTION("IFNA(vlookup(H2994,IMPORTRANGE(""1vUGwO1n0QQGx9kKbO0_M5gmuhXZ6-LaxQxgrmJnzgP0"",""'TP# look up'!A:C""),3,0),"""")"),"")</f>
        <v/>
      </c>
      <c r="AH2994" s="49" t="str">
        <f t="shared" si="46"/>
        <v/>
      </c>
    </row>
    <row r="2995" spans="8:34" ht="12.75">
      <c r="H2995" s="43"/>
      <c r="AG2995" s="49" t="str">
        <f ca="1">IFERROR(__xludf.DUMMYFUNCTION("IFNA(vlookup(H2995,IMPORTRANGE(""1vUGwO1n0QQGx9kKbO0_M5gmuhXZ6-LaxQxgrmJnzgP0"",""'TP# look up'!A:C""),3,0),"""")"),"")</f>
        <v/>
      </c>
      <c r="AH2995" s="49" t="str">
        <f t="shared" si="46"/>
        <v/>
      </c>
    </row>
    <row r="2996" spans="8:34" ht="12.75">
      <c r="H2996" s="43"/>
      <c r="AG2996" s="49" t="str">
        <f ca="1">IFERROR(__xludf.DUMMYFUNCTION("IFNA(vlookup(H2996,IMPORTRANGE(""1vUGwO1n0QQGx9kKbO0_M5gmuhXZ6-LaxQxgrmJnzgP0"",""'TP# look up'!A:C""),3,0),"""")"),"")</f>
        <v/>
      </c>
      <c r="AH2996" s="49" t="str">
        <f t="shared" si="46"/>
        <v/>
      </c>
    </row>
    <row r="2997" spans="8:34" ht="12.75">
      <c r="H2997" s="43"/>
      <c r="AG2997" s="49" t="str">
        <f ca="1">IFERROR(__xludf.DUMMYFUNCTION("IFNA(vlookup(H2997,IMPORTRANGE(""1vUGwO1n0QQGx9kKbO0_M5gmuhXZ6-LaxQxgrmJnzgP0"",""'TP# look up'!A:C""),3,0),"""")"),"")</f>
        <v/>
      </c>
      <c r="AH2997" s="49" t="str">
        <f t="shared" si="46"/>
        <v/>
      </c>
    </row>
    <row r="2998" spans="8:34" ht="12.75">
      <c r="H2998" s="43"/>
      <c r="AG2998" s="49" t="str">
        <f ca="1">IFERROR(__xludf.DUMMYFUNCTION("IFNA(vlookup(H2998,IMPORTRANGE(""1vUGwO1n0QQGx9kKbO0_M5gmuhXZ6-LaxQxgrmJnzgP0"",""'TP# look up'!A:C""),3,0),"""")"),"")</f>
        <v/>
      </c>
      <c r="AH2998" s="49" t="str">
        <f t="shared" si="46"/>
        <v/>
      </c>
    </row>
    <row r="2999" spans="8:34" ht="12.75">
      <c r="H2999" s="43"/>
      <c r="AG2999" s="49" t="str">
        <f ca="1">IFERROR(__xludf.DUMMYFUNCTION("IFNA(vlookup(H2999,IMPORTRANGE(""1vUGwO1n0QQGx9kKbO0_M5gmuhXZ6-LaxQxgrmJnzgP0"",""'TP# look up'!A:C""),3,0),"""")"),"")</f>
        <v/>
      </c>
      <c r="AH2999" s="49" t="str">
        <f t="shared" si="46"/>
        <v/>
      </c>
    </row>
    <row r="3000" spans="8:34" ht="12.75">
      <c r="H3000" s="43"/>
      <c r="AG3000" s="49" t="str">
        <f ca="1">IFERROR(__xludf.DUMMYFUNCTION("IFNA(vlookup(H3000,IMPORTRANGE(""1vUGwO1n0QQGx9kKbO0_M5gmuhXZ6-LaxQxgrmJnzgP0"",""'TP# look up'!A:C""),3,0),"""")"),"")</f>
        <v/>
      </c>
      <c r="AH3000" s="49" t="str">
        <f t="shared" si="46"/>
        <v/>
      </c>
    </row>
    <row r="3001" spans="8:34" ht="12.75">
      <c r="H3001" s="43"/>
      <c r="AG3001" s="49" t="str">
        <f ca="1">IFERROR(__xludf.DUMMYFUNCTION("IFNA(vlookup(H3001,IMPORTRANGE(""1vUGwO1n0QQGx9kKbO0_M5gmuhXZ6-LaxQxgrmJnzgP0"",""'TP# look up'!A:C""),3,0),"""")"),"")</f>
        <v/>
      </c>
      <c r="AH3001" s="49" t="str">
        <f t="shared" si="46"/>
        <v/>
      </c>
    </row>
    <row r="3002" spans="8:34" ht="12.75">
      <c r="H3002" s="43"/>
      <c r="AG3002" s="49" t="str">
        <f ca="1">IFERROR(__xludf.DUMMYFUNCTION("IFNA(vlookup(H3002,IMPORTRANGE(""1vUGwO1n0QQGx9kKbO0_M5gmuhXZ6-LaxQxgrmJnzgP0"",""'TP# look up'!A:C""),3,0),"""")"),"")</f>
        <v/>
      </c>
      <c r="AH3002" s="49" t="str">
        <f t="shared" si="46"/>
        <v/>
      </c>
    </row>
    <row r="3003" spans="8:34" ht="12.75">
      <c r="H3003" s="43"/>
      <c r="AG3003" s="49" t="str">
        <f ca="1">IFERROR(__xludf.DUMMYFUNCTION("IFNA(vlookup(H3003,IMPORTRANGE(""1vUGwO1n0QQGx9kKbO0_M5gmuhXZ6-LaxQxgrmJnzgP0"",""'TP# look up'!A:C""),3,0),"""")"),"")</f>
        <v/>
      </c>
      <c r="AH3003" s="49" t="str">
        <f t="shared" si="46"/>
        <v/>
      </c>
    </row>
    <row r="3004" spans="8:34" ht="12.75">
      <c r="H3004" s="43"/>
      <c r="AG3004" s="49" t="str">
        <f ca="1">IFERROR(__xludf.DUMMYFUNCTION("IFNA(vlookup(H3004,IMPORTRANGE(""1vUGwO1n0QQGx9kKbO0_M5gmuhXZ6-LaxQxgrmJnzgP0"",""'TP# look up'!A:C""),3,0),"""")"),"")</f>
        <v/>
      </c>
      <c r="AH3004" s="49" t="str">
        <f t="shared" si="46"/>
        <v/>
      </c>
    </row>
    <row r="3005" spans="8:34" ht="12.75">
      <c r="H3005" s="43"/>
      <c r="AG3005" s="49" t="str">
        <f ca="1">IFERROR(__xludf.DUMMYFUNCTION("IFNA(vlookup(H3005,IMPORTRANGE(""1vUGwO1n0QQGx9kKbO0_M5gmuhXZ6-LaxQxgrmJnzgP0"",""'TP# look up'!A:C""),3,0),"""")"),"")</f>
        <v/>
      </c>
      <c r="AH3005" s="49" t="str">
        <f t="shared" si="46"/>
        <v/>
      </c>
    </row>
    <row r="3006" spans="8:34" ht="12.75">
      <c r="H3006" s="43"/>
      <c r="AG3006" s="49" t="str">
        <f ca="1">IFERROR(__xludf.DUMMYFUNCTION("IFNA(vlookup(H3006,IMPORTRANGE(""1vUGwO1n0QQGx9kKbO0_M5gmuhXZ6-LaxQxgrmJnzgP0"",""'TP# look up'!A:C""),3,0),"""")"),"")</f>
        <v/>
      </c>
      <c r="AH3006" s="49" t="str">
        <f t="shared" si="46"/>
        <v/>
      </c>
    </row>
    <row r="3007" spans="8:34" ht="12.75">
      <c r="H3007" s="43"/>
      <c r="AG3007" s="49" t="str">
        <f ca="1">IFERROR(__xludf.DUMMYFUNCTION("IFNA(vlookup(H3007,IMPORTRANGE(""1vUGwO1n0QQGx9kKbO0_M5gmuhXZ6-LaxQxgrmJnzgP0"",""'TP# look up'!A:C""),3,0),"""")"),"")</f>
        <v/>
      </c>
      <c r="AH3007" s="49" t="str">
        <f t="shared" si="46"/>
        <v/>
      </c>
    </row>
    <row r="3008" spans="8:34" ht="12.75">
      <c r="H3008" s="43"/>
      <c r="AG3008" s="49" t="str">
        <f ca="1">IFERROR(__xludf.DUMMYFUNCTION("IFNA(vlookup(H3008,IMPORTRANGE(""1vUGwO1n0QQGx9kKbO0_M5gmuhXZ6-LaxQxgrmJnzgP0"",""'TP# look up'!A:C""),3,0),"""")"),"")</f>
        <v/>
      </c>
      <c r="AH3008" s="49" t="str">
        <f t="shared" si="46"/>
        <v/>
      </c>
    </row>
    <row r="3009" spans="8:34" ht="12.75">
      <c r="H3009" s="43"/>
      <c r="AG3009" s="49" t="str">
        <f ca="1">IFERROR(__xludf.DUMMYFUNCTION("IFNA(vlookup(H3009,IMPORTRANGE(""1vUGwO1n0QQGx9kKbO0_M5gmuhXZ6-LaxQxgrmJnzgP0"",""'TP# look up'!A:C""),3,0),"""")"),"")</f>
        <v/>
      </c>
      <c r="AH3009" s="49" t="str">
        <f t="shared" si="46"/>
        <v/>
      </c>
    </row>
    <row r="3010" spans="8:34" ht="12.75">
      <c r="H3010" s="43"/>
      <c r="AG3010" s="49" t="str">
        <f ca="1">IFERROR(__xludf.DUMMYFUNCTION("IFNA(vlookup(H3010,IMPORTRANGE(""1vUGwO1n0QQGx9kKbO0_M5gmuhXZ6-LaxQxgrmJnzgP0"",""'TP# look up'!A:C""),3,0),"""")"),"")</f>
        <v/>
      </c>
      <c r="AH3010" s="49" t="str">
        <f t="shared" ref="AH3010:AH3073" si="47">LEFT(J3010,2)</f>
        <v/>
      </c>
    </row>
    <row r="3011" spans="8:34" ht="12.75">
      <c r="H3011" s="43"/>
      <c r="AG3011" s="49" t="str">
        <f ca="1">IFERROR(__xludf.DUMMYFUNCTION("IFNA(vlookup(H3011,IMPORTRANGE(""1vUGwO1n0QQGx9kKbO0_M5gmuhXZ6-LaxQxgrmJnzgP0"",""'TP# look up'!A:C""),3,0),"""")"),"")</f>
        <v/>
      </c>
      <c r="AH3011" s="49" t="str">
        <f t="shared" si="47"/>
        <v/>
      </c>
    </row>
    <row r="3012" spans="8:34" ht="12.75">
      <c r="H3012" s="43"/>
      <c r="AG3012" s="49" t="str">
        <f ca="1">IFERROR(__xludf.DUMMYFUNCTION("IFNA(vlookup(H3012,IMPORTRANGE(""1vUGwO1n0QQGx9kKbO0_M5gmuhXZ6-LaxQxgrmJnzgP0"",""'TP# look up'!A:C""),3,0),"""")"),"")</f>
        <v/>
      </c>
      <c r="AH3012" s="49" t="str">
        <f t="shared" si="47"/>
        <v/>
      </c>
    </row>
    <row r="3013" spans="8:34" ht="12.75">
      <c r="H3013" s="43"/>
      <c r="AG3013" s="49" t="str">
        <f ca="1">IFERROR(__xludf.DUMMYFUNCTION("IFNA(vlookup(H3013,IMPORTRANGE(""1vUGwO1n0QQGx9kKbO0_M5gmuhXZ6-LaxQxgrmJnzgP0"",""'TP# look up'!A:C""),3,0),"""")"),"")</f>
        <v/>
      </c>
      <c r="AH3013" s="49" t="str">
        <f t="shared" si="47"/>
        <v/>
      </c>
    </row>
    <row r="3014" spans="8:34" ht="12.75">
      <c r="H3014" s="43"/>
      <c r="AG3014" s="49" t="str">
        <f ca="1">IFERROR(__xludf.DUMMYFUNCTION("IFNA(vlookup(H3014,IMPORTRANGE(""1vUGwO1n0QQGx9kKbO0_M5gmuhXZ6-LaxQxgrmJnzgP0"",""'TP# look up'!A:C""),3,0),"""")"),"")</f>
        <v/>
      </c>
      <c r="AH3014" s="49" t="str">
        <f t="shared" si="47"/>
        <v/>
      </c>
    </row>
    <row r="3015" spans="8:34" ht="12.75">
      <c r="H3015" s="43"/>
      <c r="AG3015" s="49" t="str">
        <f ca="1">IFERROR(__xludf.DUMMYFUNCTION("IFNA(vlookup(H3015,IMPORTRANGE(""1vUGwO1n0QQGx9kKbO0_M5gmuhXZ6-LaxQxgrmJnzgP0"",""'TP# look up'!A:C""),3,0),"""")"),"")</f>
        <v/>
      </c>
      <c r="AH3015" s="49" t="str">
        <f t="shared" si="47"/>
        <v/>
      </c>
    </row>
    <row r="3016" spans="8:34" ht="12.75">
      <c r="H3016" s="43"/>
      <c r="AG3016" s="49" t="str">
        <f ca="1">IFERROR(__xludf.DUMMYFUNCTION("IFNA(vlookup(H3016,IMPORTRANGE(""1vUGwO1n0QQGx9kKbO0_M5gmuhXZ6-LaxQxgrmJnzgP0"",""'TP# look up'!A:C""),3,0),"""")"),"")</f>
        <v/>
      </c>
      <c r="AH3016" s="49" t="str">
        <f t="shared" si="47"/>
        <v/>
      </c>
    </row>
    <row r="3017" spans="8:34" ht="12.75">
      <c r="H3017" s="43"/>
      <c r="AG3017" s="49" t="str">
        <f ca="1">IFERROR(__xludf.DUMMYFUNCTION("IFNA(vlookup(H3017,IMPORTRANGE(""1vUGwO1n0QQGx9kKbO0_M5gmuhXZ6-LaxQxgrmJnzgP0"",""'TP# look up'!A:C""),3,0),"""")"),"")</f>
        <v/>
      </c>
      <c r="AH3017" s="49" t="str">
        <f t="shared" si="47"/>
        <v/>
      </c>
    </row>
    <row r="3018" spans="8:34" ht="12.75">
      <c r="H3018" s="43"/>
      <c r="AG3018" s="49" t="str">
        <f ca="1">IFERROR(__xludf.DUMMYFUNCTION("IFNA(vlookup(H3018,IMPORTRANGE(""1vUGwO1n0QQGx9kKbO0_M5gmuhXZ6-LaxQxgrmJnzgP0"",""'TP# look up'!A:C""),3,0),"""")"),"")</f>
        <v/>
      </c>
      <c r="AH3018" s="49" t="str">
        <f t="shared" si="47"/>
        <v/>
      </c>
    </row>
    <row r="3019" spans="8:34" ht="12.75">
      <c r="H3019" s="43"/>
      <c r="AG3019" s="49" t="str">
        <f ca="1">IFERROR(__xludf.DUMMYFUNCTION("IFNA(vlookup(H3019,IMPORTRANGE(""1vUGwO1n0QQGx9kKbO0_M5gmuhXZ6-LaxQxgrmJnzgP0"",""'TP# look up'!A:C""),3,0),"""")"),"")</f>
        <v/>
      </c>
      <c r="AH3019" s="49" t="str">
        <f t="shared" si="47"/>
        <v/>
      </c>
    </row>
    <row r="3020" spans="8:34" ht="12.75">
      <c r="H3020" s="43"/>
      <c r="AG3020" s="49" t="str">
        <f ca="1">IFERROR(__xludf.DUMMYFUNCTION("IFNA(vlookup(H3020,IMPORTRANGE(""1vUGwO1n0QQGx9kKbO0_M5gmuhXZ6-LaxQxgrmJnzgP0"",""'TP# look up'!A:C""),3,0),"""")"),"")</f>
        <v/>
      </c>
      <c r="AH3020" s="49" t="str">
        <f t="shared" si="47"/>
        <v/>
      </c>
    </row>
    <row r="3021" spans="8:34" ht="12.75">
      <c r="H3021" s="43"/>
      <c r="AG3021" s="49" t="str">
        <f ca="1">IFERROR(__xludf.DUMMYFUNCTION("IFNA(vlookup(H3021,IMPORTRANGE(""1vUGwO1n0QQGx9kKbO0_M5gmuhXZ6-LaxQxgrmJnzgP0"",""'TP# look up'!A:C""),3,0),"""")"),"")</f>
        <v/>
      </c>
      <c r="AH3021" s="49" t="str">
        <f t="shared" si="47"/>
        <v/>
      </c>
    </row>
    <row r="3022" spans="8:34" ht="12.75">
      <c r="H3022" s="43"/>
      <c r="AG3022" s="49" t="str">
        <f ca="1">IFERROR(__xludf.DUMMYFUNCTION("IFNA(vlookup(H3022,IMPORTRANGE(""1vUGwO1n0QQGx9kKbO0_M5gmuhXZ6-LaxQxgrmJnzgP0"",""'TP# look up'!A:C""),3,0),"""")"),"")</f>
        <v/>
      </c>
      <c r="AH3022" s="49" t="str">
        <f t="shared" si="47"/>
        <v/>
      </c>
    </row>
    <row r="3023" spans="8:34" ht="12.75">
      <c r="H3023" s="43"/>
      <c r="AG3023" s="49" t="str">
        <f ca="1">IFERROR(__xludf.DUMMYFUNCTION("IFNA(vlookup(H3023,IMPORTRANGE(""1vUGwO1n0QQGx9kKbO0_M5gmuhXZ6-LaxQxgrmJnzgP0"",""'TP# look up'!A:C""),3,0),"""")"),"")</f>
        <v/>
      </c>
      <c r="AH3023" s="49" t="str">
        <f t="shared" si="47"/>
        <v/>
      </c>
    </row>
    <row r="3024" spans="8:34" ht="12.75">
      <c r="H3024" s="43"/>
      <c r="AG3024" s="49" t="str">
        <f ca="1">IFERROR(__xludf.DUMMYFUNCTION("IFNA(vlookup(H3024,IMPORTRANGE(""1vUGwO1n0QQGx9kKbO0_M5gmuhXZ6-LaxQxgrmJnzgP0"",""'TP# look up'!A:C""),3,0),"""")"),"")</f>
        <v/>
      </c>
      <c r="AH3024" s="49" t="str">
        <f t="shared" si="47"/>
        <v/>
      </c>
    </row>
    <row r="3025" spans="8:34" ht="12.75">
      <c r="H3025" s="43"/>
      <c r="AG3025" s="49" t="str">
        <f ca="1">IFERROR(__xludf.DUMMYFUNCTION("IFNA(vlookup(H3025,IMPORTRANGE(""1vUGwO1n0QQGx9kKbO0_M5gmuhXZ6-LaxQxgrmJnzgP0"",""'TP# look up'!A:C""),3,0),"""")"),"")</f>
        <v/>
      </c>
      <c r="AH3025" s="49" t="str">
        <f t="shared" si="47"/>
        <v/>
      </c>
    </row>
    <row r="3026" spans="8:34" ht="12.75">
      <c r="H3026" s="43"/>
      <c r="AG3026" s="49" t="str">
        <f ca="1">IFERROR(__xludf.DUMMYFUNCTION("IFNA(vlookup(H3026,IMPORTRANGE(""1vUGwO1n0QQGx9kKbO0_M5gmuhXZ6-LaxQxgrmJnzgP0"",""'TP# look up'!A:C""),3,0),"""")"),"")</f>
        <v/>
      </c>
      <c r="AH3026" s="49" t="str">
        <f t="shared" si="47"/>
        <v/>
      </c>
    </row>
    <row r="3027" spans="8:34" ht="12.75">
      <c r="H3027" s="43"/>
      <c r="AG3027" s="49" t="str">
        <f ca="1">IFERROR(__xludf.DUMMYFUNCTION("IFNA(vlookup(H3027,IMPORTRANGE(""1vUGwO1n0QQGx9kKbO0_M5gmuhXZ6-LaxQxgrmJnzgP0"",""'TP# look up'!A:C""),3,0),"""")"),"")</f>
        <v/>
      </c>
      <c r="AH3027" s="49" t="str">
        <f t="shared" si="47"/>
        <v/>
      </c>
    </row>
    <row r="3028" spans="8:34" ht="12.75">
      <c r="H3028" s="43"/>
      <c r="AG3028" s="49" t="str">
        <f ca="1">IFERROR(__xludf.DUMMYFUNCTION("IFNA(vlookup(H3028,IMPORTRANGE(""1vUGwO1n0QQGx9kKbO0_M5gmuhXZ6-LaxQxgrmJnzgP0"",""'TP# look up'!A:C""),3,0),"""")"),"")</f>
        <v/>
      </c>
      <c r="AH3028" s="49" t="str">
        <f t="shared" si="47"/>
        <v/>
      </c>
    </row>
    <row r="3029" spans="8:34" ht="12.75">
      <c r="H3029" s="43"/>
      <c r="AG3029" s="49" t="str">
        <f ca="1">IFERROR(__xludf.DUMMYFUNCTION("IFNA(vlookup(H3029,IMPORTRANGE(""1vUGwO1n0QQGx9kKbO0_M5gmuhXZ6-LaxQxgrmJnzgP0"",""'TP# look up'!A:C""),3,0),"""")"),"")</f>
        <v/>
      </c>
      <c r="AH3029" s="49" t="str">
        <f t="shared" si="47"/>
        <v/>
      </c>
    </row>
    <row r="3030" spans="8:34" ht="12.75">
      <c r="H3030" s="43"/>
      <c r="AG3030" s="49" t="str">
        <f ca="1">IFERROR(__xludf.DUMMYFUNCTION("IFNA(vlookup(H3030,IMPORTRANGE(""1vUGwO1n0QQGx9kKbO0_M5gmuhXZ6-LaxQxgrmJnzgP0"",""'TP# look up'!A:C""),3,0),"""")"),"")</f>
        <v/>
      </c>
      <c r="AH3030" s="49" t="str">
        <f t="shared" si="47"/>
        <v/>
      </c>
    </row>
    <row r="3031" spans="8:34" ht="12.75">
      <c r="H3031" s="43"/>
      <c r="AG3031" s="49" t="str">
        <f ca="1">IFERROR(__xludf.DUMMYFUNCTION("IFNA(vlookup(H3031,IMPORTRANGE(""1vUGwO1n0QQGx9kKbO0_M5gmuhXZ6-LaxQxgrmJnzgP0"",""'TP# look up'!A:C""),3,0),"""")"),"")</f>
        <v/>
      </c>
      <c r="AH3031" s="49" t="str">
        <f t="shared" si="47"/>
        <v/>
      </c>
    </row>
    <row r="3032" spans="8:34" ht="12.75">
      <c r="H3032" s="43"/>
      <c r="AG3032" s="49" t="str">
        <f ca="1">IFERROR(__xludf.DUMMYFUNCTION("IFNA(vlookup(H3032,IMPORTRANGE(""1vUGwO1n0QQGx9kKbO0_M5gmuhXZ6-LaxQxgrmJnzgP0"",""'TP# look up'!A:C""),3,0),"""")"),"")</f>
        <v/>
      </c>
      <c r="AH3032" s="49" t="str">
        <f t="shared" si="47"/>
        <v/>
      </c>
    </row>
    <row r="3033" spans="8:34" ht="12.75">
      <c r="H3033" s="43"/>
      <c r="AG3033" s="49" t="str">
        <f ca="1">IFERROR(__xludf.DUMMYFUNCTION("IFNA(vlookup(H3033,IMPORTRANGE(""1vUGwO1n0QQGx9kKbO0_M5gmuhXZ6-LaxQxgrmJnzgP0"",""'TP# look up'!A:C""),3,0),"""")"),"")</f>
        <v/>
      </c>
      <c r="AH3033" s="49" t="str">
        <f t="shared" si="47"/>
        <v/>
      </c>
    </row>
    <row r="3034" spans="8:34" ht="12.75">
      <c r="H3034" s="43"/>
      <c r="AG3034" s="49" t="str">
        <f ca="1">IFERROR(__xludf.DUMMYFUNCTION("IFNA(vlookup(H3034,IMPORTRANGE(""1vUGwO1n0QQGx9kKbO0_M5gmuhXZ6-LaxQxgrmJnzgP0"",""'TP# look up'!A:C""),3,0),"""")"),"")</f>
        <v/>
      </c>
      <c r="AH3034" s="49" t="str">
        <f t="shared" si="47"/>
        <v/>
      </c>
    </row>
    <row r="3035" spans="8:34" ht="12.75">
      <c r="H3035" s="43"/>
      <c r="AG3035" s="49" t="str">
        <f ca="1">IFERROR(__xludf.DUMMYFUNCTION("IFNA(vlookup(H3035,IMPORTRANGE(""1vUGwO1n0QQGx9kKbO0_M5gmuhXZ6-LaxQxgrmJnzgP0"",""'TP# look up'!A:C""),3,0),"""")"),"")</f>
        <v/>
      </c>
      <c r="AH3035" s="49" t="str">
        <f t="shared" si="47"/>
        <v/>
      </c>
    </row>
    <row r="3036" spans="8:34" ht="12.75">
      <c r="H3036" s="43"/>
      <c r="AG3036" s="49" t="str">
        <f ca="1">IFERROR(__xludf.DUMMYFUNCTION("IFNA(vlookup(H3036,IMPORTRANGE(""1vUGwO1n0QQGx9kKbO0_M5gmuhXZ6-LaxQxgrmJnzgP0"",""'TP# look up'!A:C""),3,0),"""")"),"")</f>
        <v/>
      </c>
      <c r="AH3036" s="49" t="str">
        <f t="shared" si="47"/>
        <v/>
      </c>
    </row>
    <row r="3037" spans="8:34" ht="12.75">
      <c r="H3037" s="43"/>
      <c r="AG3037" s="49" t="str">
        <f ca="1">IFERROR(__xludf.DUMMYFUNCTION("IFNA(vlookup(H3037,IMPORTRANGE(""1vUGwO1n0QQGx9kKbO0_M5gmuhXZ6-LaxQxgrmJnzgP0"",""'TP# look up'!A:C""),3,0),"""")"),"")</f>
        <v/>
      </c>
      <c r="AH3037" s="49" t="str">
        <f t="shared" si="47"/>
        <v/>
      </c>
    </row>
    <row r="3038" spans="8:34" ht="12.75">
      <c r="H3038" s="43"/>
      <c r="AG3038" s="49" t="str">
        <f ca="1">IFERROR(__xludf.DUMMYFUNCTION("IFNA(vlookup(H3038,IMPORTRANGE(""1vUGwO1n0QQGx9kKbO0_M5gmuhXZ6-LaxQxgrmJnzgP0"",""'TP# look up'!A:C""),3,0),"""")"),"")</f>
        <v/>
      </c>
      <c r="AH3038" s="49" t="str">
        <f t="shared" si="47"/>
        <v/>
      </c>
    </row>
    <row r="3039" spans="8:34" ht="12.75">
      <c r="H3039" s="43"/>
      <c r="AG3039" s="49" t="str">
        <f ca="1">IFERROR(__xludf.DUMMYFUNCTION("IFNA(vlookup(H3039,IMPORTRANGE(""1vUGwO1n0QQGx9kKbO0_M5gmuhXZ6-LaxQxgrmJnzgP0"",""'TP# look up'!A:C""),3,0),"""")"),"")</f>
        <v/>
      </c>
      <c r="AH3039" s="49" t="str">
        <f t="shared" si="47"/>
        <v/>
      </c>
    </row>
    <row r="3040" spans="8:34" ht="12.75">
      <c r="H3040" s="43"/>
      <c r="AG3040" s="49" t="str">
        <f ca="1">IFERROR(__xludf.DUMMYFUNCTION("IFNA(vlookup(H3040,IMPORTRANGE(""1vUGwO1n0QQGx9kKbO0_M5gmuhXZ6-LaxQxgrmJnzgP0"",""'TP# look up'!A:C""),3,0),"""")"),"")</f>
        <v/>
      </c>
      <c r="AH3040" s="49" t="str">
        <f t="shared" si="47"/>
        <v/>
      </c>
    </row>
    <row r="3041" spans="8:34" ht="12.75">
      <c r="H3041" s="43"/>
      <c r="AG3041" s="49" t="str">
        <f ca="1">IFERROR(__xludf.DUMMYFUNCTION("IFNA(vlookup(H3041,IMPORTRANGE(""1vUGwO1n0QQGx9kKbO0_M5gmuhXZ6-LaxQxgrmJnzgP0"",""'TP# look up'!A:C""),3,0),"""")"),"")</f>
        <v/>
      </c>
      <c r="AH3041" s="49" t="str">
        <f t="shared" si="47"/>
        <v/>
      </c>
    </row>
    <row r="3042" spans="8:34" ht="12.75">
      <c r="H3042" s="43"/>
      <c r="AG3042" s="49" t="str">
        <f ca="1">IFERROR(__xludf.DUMMYFUNCTION("IFNA(vlookup(H3042,IMPORTRANGE(""1vUGwO1n0QQGx9kKbO0_M5gmuhXZ6-LaxQxgrmJnzgP0"",""'TP# look up'!A:C""),3,0),"""")"),"")</f>
        <v/>
      </c>
      <c r="AH3042" s="49" t="str">
        <f t="shared" si="47"/>
        <v/>
      </c>
    </row>
    <row r="3043" spans="8:34" ht="12.75">
      <c r="H3043" s="43"/>
      <c r="AG3043" s="49" t="str">
        <f ca="1">IFERROR(__xludf.DUMMYFUNCTION("IFNA(vlookup(H3043,IMPORTRANGE(""1vUGwO1n0QQGx9kKbO0_M5gmuhXZ6-LaxQxgrmJnzgP0"",""'TP# look up'!A:C""),3,0),"""")"),"")</f>
        <v/>
      </c>
      <c r="AH3043" s="49" t="str">
        <f t="shared" si="47"/>
        <v/>
      </c>
    </row>
    <row r="3044" spans="8:34" ht="12.75">
      <c r="H3044" s="43"/>
      <c r="AG3044" s="49" t="str">
        <f ca="1">IFERROR(__xludf.DUMMYFUNCTION("IFNA(vlookup(H3044,IMPORTRANGE(""1vUGwO1n0QQGx9kKbO0_M5gmuhXZ6-LaxQxgrmJnzgP0"",""'TP# look up'!A:C""),3,0),"""")"),"")</f>
        <v/>
      </c>
      <c r="AH3044" s="49" t="str">
        <f t="shared" si="47"/>
        <v/>
      </c>
    </row>
    <row r="3045" spans="8:34" ht="12.75">
      <c r="H3045" s="43"/>
      <c r="AG3045" s="49" t="str">
        <f ca="1">IFERROR(__xludf.DUMMYFUNCTION("IFNA(vlookup(H3045,IMPORTRANGE(""1vUGwO1n0QQGx9kKbO0_M5gmuhXZ6-LaxQxgrmJnzgP0"",""'TP# look up'!A:C""),3,0),"""")"),"")</f>
        <v/>
      </c>
      <c r="AH3045" s="49" t="str">
        <f t="shared" si="47"/>
        <v/>
      </c>
    </row>
    <row r="3046" spans="8:34" ht="12.75">
      <c r="H3046" s="43"/>
      <c r="AG3046" s="49" t="str">
        <f ca="1">IFERROR(__xludf.DUMMYFUNCTION("IFNA(vlookup(H3046,IMPORTRANGE(""1vUGwO1n0QQGx9kKbO0_M5gmuhXZ6-LaxQxgrmJnzgP0"",""'TP# look up'!A:C""),3,0),"""")"),"")</f>
        <v/>
      </c>
      <c r="AH3046" s="49" t="str">
        <f t="shared" si="47"/>
        <v/>
      </c>
    </row>
    <row r="3047" spans="8:34" ht="12.75">
      <c r="H3047" s="43"/>
      <c r="AG3047" s="49" t="str">
        <f ca="1">IFERROR(__xludf.DUMMYFUNCTION("IFNA(vlookup(H3047,IMPORTRANGE(""1vUGwO1n0QQGx9kKbO0_M5gmuhXZ6-LaxQxgrmJnzgP0"",""'TP# look up'!A:C""),3,0),"""")"),"")</f>
        <v/>
      </c>
      <c r="AH3047" s="49" t="str">
        <f t="shared" si="47"/>
        <v/>
      </c>
    </row>
    <row r="3048" spans="8:34" ht="12.75">
      <c r="H3048" s="43"/>
      <c r="AG3048" s="49" t="str">
        <f ca="1">IFERROR(__xludf.DUMMYFUNCTION("IFNA(vlookup(H3048,IMPORTRANGE(""1vUGwO1n0QQGx9kKbO0_M5gmuhXZ6-LaxQxgrmJnzgP0"",""'TP# look up'!A:C""),3,0),"""")"),"")</f>
        <v/>
      </c>
      <c r="AH3048" s="49" t="str">
        <f t="shared" si="47"/>
        <v/>
      </c>
    </row>
    <row r="3049" spans="8:34" ht="12.75">
      <c r="H3049" s="43"/>
      <c r="AG3049" s="49" t="str">
        <f ca="1">IFERROR(__xludf.DUMMYFUNCTION("IFNA(vlookup(H3049,IMPORTRANGE(""1vUGwO1n0QQGx9kKbO0_M5gmuhXZ6-LaxQxgrmJnzgP0"",""'TP# look up'!A:C""),3,0),"""")"),"")</f>
        <v/>
      </c>
      <c r="AH3049" s="49" t="str">
        <f t="shared" si="47"/>
        <v/>
      </c>
    </row>
    <row r="3050" spans="8:34" ht="12.75">
      <c r="H3050" s="43"/>
      <c r="AG3050" s="49" t="str">
        <f ca="1">IFERROR(__xludf.DUMMYFUNCTION("IFNA(vlookup(H3050,IMPORTRANGE(""1vUGwO1n0QQGx9kKbO0_M5gmuhXZ6-LaxQxgrmJnzgP0"",""'TP# look up'!A:C""),3,0),"""")"),"")</f>
        <v/>
      </c>
      <c r="AH3050" s="49" t="str">
        <f t="shared" si="47"/>
        <v/>
      </c>
    </row>
    <row r="3051" spans="8:34" ht="12.75">
      <c r="H3051" s="43"/>
      <c r="AG3051" s="49" t="str">
        <f ca="1">IFERROR(__xludf.DUMMYFUNCTION("IFNA(vlookup(H3051,IMPORTRANGE(""1vUGwO1n0QQGx9kKbO0_M5gmuhXZ6-LaxQxgrmJnzgP0"",""'TP# look up'!A:C""),3,0),"""")"),"")</f>
        <v/>
      </c>
      <c r="AH3051" s="49" t="str">
        <f t="shared" si="47"/>
        <v/>
      </c>
    </row>
    <row r="3052" spans="8:34" ht="12.75">
      <c r="H3052" s="43"/>
      <c r="AG3052" s="49" t="str">
        <f ca="1">IFERROR(__xludf.DUMMYFUNCTION("IFNA(vlookup(H3052,IMPORTRANGE(""1vUGwO1n0QQGx9kKbO0_M5gmuhXZ6-LaxQxgrmJnzgP0"",""'TP# look up'!A:C""),3,0),"""")"),"")</f>
        <v/>
      </c>
      <c r="AH3052" s="49" t="str">
        <f t="shared" si="47"/>
        <v/>
      </c>
    </row>
    <row r="3053" spans="8:34" ht="12.75">
      <c r="H3053" s="43"/>
      <c r="AG3053" s="49" t="str">
        <f ca="1">IFERROR(__xludf.DUMMYFUNCTION("IFNA(vlookup(H3053,IMPORTRANGE(""1vUGwO1n0QQGx9kKbO0_M5gmuhXZ6-LaxQxgrmJnzgP0"",""'TP# look up'!A:C""),3,0),"""")"),"")</f>
        <v/>
      </c>
      <c r="AH3053" s="49" t="str">
        <f t="shared" si="47"/>
        <v/>
      </c>
    </row>
    <row r="3054" spans="8:34" ht="12.75">
      <c r="H3054" s="43"/>
      <c r="AG3054" s="49" t="str">
        <f ca="1">IFERROR(__xludf.DUMMYFUNCTION("IFNA(vlookup(H3054,IMPORTRANGE(""1vUGwO1n0QQGx9kKbO0_M5gmuhXZ6-LaxQxgrmJnzgP0"",""'TP# look up'!A:C""),3,0),"""")"),"")</f>
        <v/>
      </c>
      <c r="AH3054" s="49" t="str">
        <f t="shared" si="47"/>
        <v/>
      </c>
    </row>
    <row r="3055" spans="8:34" ht="12.75">
      <c r="H3055" s="43"/>
      <c r="AG3055" s="49" t="str">
        <f ca="1">IFERROR(__xludf.DUMMYFUNCTION("IFNA(vlookup(H3055,IMPORTRANGE(""1vUGwO1n0QQGx9kKbO0_M5gmuhXZ6-LaxQxgrmJnzgP0"",""'TP# look up'!A:C""),3,0),"""")"),"")</f>
        <v/>
      </c>
      <c r="AH3055" s="49" t="str">
        <f t="shared" si="47"/>
        <v/>
      </c>
    </row>
    <row r="3056" spans="8:34" ht="12.75">
      <c r="H3056" s="43"/>
      <c r="AG3056" s="49" t="str">
        <f ca="1">IFERROR(__xludf.DUMMYFUNCTION("IFNA(vlookup(H3056,IMPORTRANGE(""1vUGwO1n0QQGx9kKbO0_M5gmuhXZ6-LaxQxgrmJnzgP0"",""'TP# look up'!A:C""),3,0),"""")"),"")</f>
        <v/>
      </c>
      <c r="AH3056" s="49" t="str">
        <f t="shared" si="47"/>
        <v/>
      </c>
    </row>
    <row r="3057" spans="8:34" ht="12.75">
      <c r="H3057" s="43"/>
      <c r="AG3057" s="49" t="str">
        <f ca="1">IFERROR(__xludf.DUMMYFUNCTION("IFNA(vlookup(H3057,IMPORTRANGE(""1vUGwO1n0QQGx9kKbO0_M5gmuhXZ6-LaxQxgrmJnzgP0"",""'TP# look up'!A:C""),3,0),"""")"),"")</f>
        <v/>
      </c>
      <c r="AH3057" s="49" t="str">
        <f t="shared" si="47"/>
        <v/>
      </c>
    </row>
    <row r="3058" spans="8:34" ht="12.75">
      <c r="H3058" s="43"/>
      <c r="AG3058" s="49" t="str">
        <f ca="1">IFERROR(__xludf.DUMMYFUNCTION("IFNA(vlookup(H3058,IMPORTRANGE(""1vUGwO1n0QQGx9kKbO0_M5gmuhXZ6-LaxQxgrmJnzgP0"",""'TP# look up'!A:C""),3,0),"""")"),"")</f>
        <v/>
      </c>
      <c r="AH3058" s="49" t="str">
        <f t="shared" si="47"/>
        <v/>
      </c>
    </row>
    <row r="3059" spans="8:34" ht="12.75">
      <c r="H3059" s="43"/>
      <c r="AG3059" s="49" t="str">
        <f ca="1">IFERROR(__xludf.DUMMYFUNCTION("IFNA(vlookup(H3059,IMPORTRANGE(""1vUGwO1n0QQGx9kKbO0_M5gmuhXZ6-LaxQxgrmJnzgP0"",""'TP# look up'!A:C""),3,0),"""")"),"")</f>
        <v/>
      </c>
      <c r="AH3059" s="49" t="str">
        <f t="shared" si="47"/>
        <v/>
      </c>
    </row>
    <row r="3060" spans="8:34" ht="12.75">
      <c r="H3060" s="43"/>
      <c r="AG3060" s="49" t="str">
        <f ca="1">IFERROR(__xludf.DUMMYFUNCTION("IFNA(vlookup(H3060,IMPORTRANGE(""1vUGwO1n0QQGx9kKbO0_M5gmuhXZ6-LaxQxgrmJnzgP0"",""'TP# look up'!A:C""),3,0),"""")"),"")</f>
        <v/>
      </c>
      <c r="AH3060" s="49" t="str">
        <f t="shared" si="47"/>
        <v/>
      </c>
    </row>
    <row r="3061" spans="8:34" ht="12.75">
      <c r="H3061" s="43"/>
      <c r="AG3061" s="49" t="str">
        <f ca="1">IFERROR(__xludf.DUMMYFUNCTION("IFNA(vlookup(H3061,IMPORTRANGE(""1vUGwO1n0QQGx9kKbO0_M5gmuhXZ6-LaxQxgrmJnzgP0"",""'TP# look up'!A:C""),3,0),"""")"),"")</f>
        <v/>
      </c>
      <c r="AH3061" s="49" t="str">
        <f t="shared" si="47"/>
        <v/>
      </c>
    </row>
    <row r="3062" spans="8:34" ht="12.75">
      <c r="H3062" s="43"/>
      <c r="AG3062" s="49" t="str">
        <f ca="1">IFERROR(__xludf.DUMMYFUNCTION("IFNA(vlookup(H3062,IMPORTRANGE(""1vUGwO1n0QQGx9kKbO0_M5gmuhXZ6-LaxQxgrmJnzgP0"",""'TP# look up'!A:C""),3,0),"""")"),"")</f>
        <v/>
      </c>
      <c r="AH3062" s="49" t="str">
        <f t="shared" si="47"/>
        <v/>
      </c>
    </row>
    <row r="3063" spans="8:34" ht="12.75">
      <c r="H3063" s="43"/>
      <c r="AG3063" s="49" t="str">
        <f ca="1">IFERROR(__xludf.DUMMYFUNCTION("IFNA(vlookup(H3063,IMPORTRANGE(""1vUGwO1n0QQGx9kKbO0_M5gmuhXZ6-LaxQxgrmJnzgP0"",""'TP# look up'!A:C""),3,0),"""")"),"")</f>
        <v/>
      </c>
      <c r="AH3063" s="49" t="str">
        <f t="shared" si="47"/>
        <v/>
      </c>
    </row>
    <row r="3064" spans="8:34" ht="12.75">
      <c r="H3064" s="43"/>
      <c r="AG3064" s="49" t="str">
        <f ca="1">IFERROR(__xludf.DUMMYFUNCTION("IFNA(vlookup(H3064,IMPORTRANGE(""1vUGwO1n0QQGx9kKbO0_M5gmuhXZ6-LaxQxgrmJnzgP0"",""'TP# look up'!A:C""),3,0),"""")"),"")</f>
        <v/>
      </c>
      <c r="AH3064" s="49" t="str">
        <f t="shared" si="47"/>
        <v/>
      </c>
    </row>
    <row r="3065" spans="8:34" ht="12.75">
      <c r="H3065" s="43"/>
      <c r="AG3065" s="49" t="str">
        <f ca="1">IFERROR(__xludf.DUMMYFUNCTION("IFNA(vlookup(H3065,IMPORTRANGE(""1vUGwO1n0QQGx9kKbO0_M5gmuhXZ6-LaxQxgrmJnzgP0"",""'TP# look up'!A:C""),3,0),"""")"),"")</f>
        <v/>
      </c>
      <c r="AH3065" s="49" t="str">
        <f t="shared" si="47"/>
        <v/>
      </c>
    </row>
    <row r="3066" spans="8:34" ht="12.75">
      <c r="H3066" s="43"/>
      <c r="AG3066" s="49" t="str">
        <f ca="1">IFERROR(__xludf.DUMMYFUNCTION("IFNA(vlookup(H3066,IMPORTRANGE(""1vUGwO1n0QQGx9kKbO0_M5gmuhXZ6-LaxQxgrmJnzgP0"",""'TP# look up'!A:C""),3,0),"""")"),"")</f>
        <v/>
      </c>
      <c r="AH3066" s="49" t="str">
        <f t="shared" si="47"/>
        <v/>
      </c>
    </row>
    <row r="3067" spans="8:34" ht="12.75">
      <c r="H3067" s="43"/>
      <c r="AG3067" s="49" t="str">
        <f ca="1">IFERROR(__xludf.DUMMYFUNCTION("IFNA(vlookup(H3067,IMPORTRANGE(""1vUGwO1n0QQGx9kKbO0_M5gmuhXZ6-LaxQxgrmJnzgP0"",""'TP# look up'!A:C""),3,0),"""")"),"")</f>
        <v/>
      </c>
      <c r="AH3067" s="49" t="str">
        <f t="shared" si="47"/>
        <v/>
      </c>
    </row>
    <row r="3068" spans="8:34" ht="12.75">
      <c r="H3068" s="43"/>
      <c r="AG3068" s="49" t="str">
        <f ca="1">IFERROR(__xludf.DUMMYFUNCTION("IFNA(vlookup(H3068,IMPORTRANGE(""1vUGwO1n0QQGx9kKbO0_M5gmuhXZ6-LaxQxgrmJnzgP0"",""'TP# look up'!A:C""),3,0),"""")"),"")</f>
        <v/>
      </c>
      <c r="AH3068" s="49" t="str">
        <f t="shared" si="47"/>
        <v/>
      </c>
    </row>
    <row r="3069" spans="8:34" ht="12.75">
      <c r="H3069" s="43"/>
      <c r="AG3069" s="49" t="str">
        <f ca="1">IFERROR(__xludf.DUMMYFUNCTION("IFNA(vlookup(H3069,IMPORTRANGE(""1vUGwO1n0QQGx9kKbO0_M5gmuhXZ6-LaxQxgrmJnzgP0"",""'TP# look up'!A:C""),3,0),"""")"),"")</f>
        <v/>
      </c>
      <c r="AH3069" s="49" t="str">
        <f t="shared" si="47"/>
        <v/>
      </c>
    </row>
    <row r="3070" spans="8:34" ht="12.75">
      <c r="H3070" s="43"/>
      <c r="AG3070" s="49" t="str">
        <f ca="1">IFERROR(__xludf.DUMMYFUNCTION("IFNA(vlookup(H3070,IMPORTRANGE(""1vUGwO1n0QQGx9kKbO0_M5gmuhXZ6-LaxQxgrmJnzgP0"",""'TP# look up'!A:C""),3,0),"""")"),"")</f>
        <v/>
      </c>
      <c r="AH3070" s="49" t="str">
        <f t="shared" si="47"/>
        <v/>
      </c>
    </row>
    <row r="3071" spans="8:34" ht="12.75">
      <c r="H3071" s="43"/>
      <c r="AG3071" s="49" t="str">
        <f ca="1">IFERROR(__xludf.DUMMYFUNCTION("IFNA(vlookup(H3071,IMPORTRANGE(""1vUGwO1n0QQGx9kKbO0_M5gmuhXZ6-LaxQxgrmJnzgP0"",""'TP# look up'!A:C""),3,0),"""")"),"")</f>
        <v/>
      </c>
      <c r="AH3071" s="49" t="str">
        <f t="shared" si="47"/>
        <v/>
      </c>
    </row>
    <row r="3072" spans="8:34" ht="12.75">
      <c r="H3072" s="43"/>
      <c r="AG3072" s="49" t="str">
        <f ca="1">IFERROR(__xludf.DUMMYFUNCTION("IFNA(vlookup(H3072,IMPORTRANGE(""1vUGwO1n0QQGx9kKbO0_M5gmuhXZ6-LaxQxgrmJnzgP0"",""'TP# look up'!A:C""),3,0),"""")"),"")</f>
        <v/>
      </c>
      <c r="AH3072" s="49" t="str">
        <f t="shared" si="47"/>
        <v/>
      </c>
    </row>
    <row r="3073" spans="8:34" ht="12.75">
      <c r="H3073" s="43"/>
      <c r="AG3073" s="49" t="str">
        <f ca="1">IFERROR(__xludf.DUMMYFUNCTION("IFNA(vlookup(H3073,IMPORTRANGE(""1vUGwO1n0QQGx9kKbO0_M5gmuhXZ6-LaxQxgrmJnzgP0"",""'TP# look up'!A:C""),3,0),"""")"),"")</f>
        <v/>
      </c>
      <c r="AH3073" s="49" t="str">
        <f t="shared" si="47"/>
        <v/>
      </c>
    </row>
    <row r="3074" spans="8:34" ht="12.75">
      <c r="H3074" s="43"/>
      <c r="AG3074" s="49" t="str">
        <f ca="1">IFERROR(__xludf.DUMMYFUNCTION("IFNA(vlookup(H3074,IMPORTRANGE(""1vUGwO1n0QQGx9kKbO0_M5gmuhXZ6-LaxQxgrmJnzgP0"",""'TP# look up'!A:C""),3,0),"""")"),"")</f>
        <v/>
      </c>
      <c r="AH3074" s="49" t="str">
        <f t="shared" ref="AH3074:AH3137" si="48">LEFT(J3074,2)</f>
        <v/>
      </c>
    </row>
    <row r="3075" spans="8:34" ht="12.75">
      <c r="H3075" s="43"/>
      <c r="AG3075" s="49" t="str">
        <f ca="1">IFERROR(__xludf.DUMMYFUNCTION("IFNA(vlookup(H3075,IMPORTRANGE(""1vUGwO1n0QQGx9kKbO0_M5gmuhXZ6-LaxQxgrmJnzgP0"",""'TP# look up'!A:C""),3,0),"""")"),"")</f>
        <v/>
      </c>
      <c r="AH3075" s="49" t="str">
        <f t="shared" si="48"/>
        <v/>
      </c>
    </row>
    <row r="3076" spans="8:34" ht="12.75">
      <c r="H3076" s="43"/>
      <c r="AG3076" s="49" t="str">
        <f ca="1">IFERROR(__xludf.DUMMYFUNCTION("IFNA(vlookup(H3076,IMPORTRANGE(""1vUGwO1n0QQGx9kKbO0_M5gmuhXZ6-LaxQxgrmJnzgP0"",""'TP# look up'!A:C""),3,0),"""")"),"")</f>
        <v/>
      </c>
      <c r="AH3076" s="49" t="str">
        <f t="shared" si="48"/>
        <v/>
      </c>
    </row>
    <row r="3077" spans="8:34" ht="12.75">
      <c r="H3077" s="43"/>
      <c r="AG3077" s="49" t="str">
        <f ca="1">IFERROR(__xludf.DUMMYFUNCTION("IFNA(vlookup(H3077,IMPORTRANGE(""1vUGwO1n0QQGx9kKbO0_M5gmuhXZ6-LaxQxgrmJnzgP0"",""'TP# look up'!A:C""),3,0),"""")"),"")</f>
        <v/>
      </c>
      <c r="AH3077" s="49" t="str">
        <f t="shared" si="48"/>
        <v/>
      </c>
    </row>
    <row r="3078" spans="8:34" ht="12.75">
      <c r="H3078" s="43"/>
      <c r="AG3078" s="49" t="str">
        <f ca="1">IFERROR(__xludf.DUMMYFUNCTION("IFNA(vlookup(H3078,IMPORTRANGE(""1vUGwO1n0QQGx9kKbO0_M5gmuhXZ6-LaxQxgrmJnzgP0"",""'TP# look up'!A:C""),3,0),"""")"),"")</f>
        <v/>
      </c>
      <c r="AH3078" s="49" t="str">
        <f t="shared" si="48"/>
        <v/>
      </c>
    </row>
    <row r="3079" spans="8:34" ht="12.75">
      <c r="H3079" s="43"/>
      <c r="AG3079" s="49" t="str">
        <f ca="1">IFERROR(__xludf.DUMMYFUNCTION("IFNA(vlookup(H3079,IMPORTRANGE(""1vUGwO1n0QQGx9kKbO0_M5gmuhXZ6-LaxQxgrmJnzgP0"",""'TP# look up'!A:C""),3,0),"""")"),"")</f>
        <v/>
      </c>
      <c r="AH3079" s="49" t="str">
        <f t="shared" si="48"/>
        <v/>
      </c>
    </row>
    <row r="3080" spans="8:34" ht="12.75">
      <c r="H3080" s="43"/>
      <c r="AG3080" s="49" t="str">
        <f ca="1">IFERROR(__xludf.DUMMYFUNCTION("IFNA(vlookup(H3080,IMPORTRANGE(""1vUGwO1n0QQGx9kKbO0_M5gmuhXZ6-LaxQxgrmJnzgP0"",""'TP# look up'!A:C""),3,0),"""")"),"")</f>
        <v/>
      </c>
      <c r="AH3080" s="49" t="str">
        <f t="shared" si="48"/>
        <v/>
      </c>
    </row>
    <row r="3081" spans="8:34" ht="12.75">
      <c r="H3081" s="43"/>
      <c r="AG3081" s="49" t="str">
        <f ca="1">IFERROR(__xludf.DUMMYFUNCTION("IFNA(vlookup(H3081,IMPORTRANGE(""1vUGwO1n0QQGx9kKbO0_M5gmuhXZ6-LaxQxgrmJnzgP0"",""'TP# look up'!A:C""),3,0),"""")"),"")</f>
        <v/>
      </c>
      <c r="AH3081" s="49" t="str">
        <f t="shared" si="48"/>
        <v/>
      </c>
    </row>
    <row r="3082" spans="8:34" ht="12.75">
      <c r="H3082" s="43"/>
      <c r="AG3082" s="49" t="str">
        <f ca="1">IFERROR(__xludf.DUMMYFUNCTION("IFNA(vlookup(H3082,IMPORTRANGE(""1vUGwO1n0QQGx9kKbO0_M5gmuhXZ6-LaxQxgrmJnzgP0"",""'TP# look up'!A:C""),3,0),"""")"),"")</f>
        <v/>
      </c>
      <c r="AH3082" s="49" t="str">
        <f t="shared" si="48"/>
        <v/>
      </c>
    </row>
    <row r="3083" spans="8:34" ht="12.75">
      <c r="H3083" s="43"/>
      <c r="AG3083" s="49" t="str">
        <f ca="1">IFERROR(__xludf.DUMMYFUNCTION("IFNA(vlookup(H3083,IMPORTRANGE(""1vUGwO1n0QQGx9kKbO0_M5gmuhXZ6-LaxQxgrmJnzgP0"",""'TP# look up'!A:C""),3,0),"""")"),"")</f>
        <v/>
      </c>
      <c r="AH3083" s="49" t="str">
        <f t="shared" si="48"/>
        <v/>
      </c>
    </row>
    <row r="3084" spans="8:34" ht="12.75">
      <c r="H3084" s="43"/>
      <c r="AG3084" s="49" t="str">
        <f ca="1">IFERROR(__xludf.DUMMYFUNCTION("IFNA(vlookup(H3084,IMPORTRANGE(""1vUGwO1n0QQGx9kKbO0_M5gmuhXZ6-LaxQxgrmJnzgP0"",""'TP# look up'!A:C""),3,0),"""")"),"")</f>
        <v/>
      </c>
      <c r="AH3084" s="49" t="str">
        <f t="shared" si="48"/>
        <v/>
      </c>
    </row>
    <row r="3085" spans="8:34" ht="12.75">
      <c r="H3085" s="43"/>
      <c r="AG3085" s="49" t="str">
        <f ca="1">IFERROR(__xludf.DUMMYFUNCTION("IFNA(vlookup(H3085,IMPORTRANGE(""1vUGwO1n0QQGx9kKbO0_M5gmuhXZ6-LaxQxgrmJnzgP0"",""'TP# look up'!A:C""),3,0),"""")"),"")</f>
        <v/>
      </c>
      <c r="AH3085" s="49" t="str">
        <f t="shared" si="48"/>
        <v/>
      </c>
    </row>
    <row r="3086" spans="8:34" ht="12.75">
      <c r="H3086" s="43"/>
      <c r="AG3086" s="49" t="str">
        <f ca="1">IFERROR(__xludf.DUMMYFUNCTION("IFNA(vlookup(H3086,IMPORTRANGE(""1vUGwO1n0QQGx9kKbO0_M5gmuhXZ6-LaxQxgrmJnzgP0"",""'TP# look up'!A:C""),3,0),"""")"),"")</f>
        <v/>
      </c>
      <c r="AH3086" s="49" t="str">
        <f t="shared" si="48"/>
        <v/>
      </c>
    </row>
    <row r="3087" spans="8:34" ht="12.75">
      <c r="H3087" s="43"/>
      <c r="AG3087" s="49" t="str">
        <f ca="1">IFERROR(__xludf.DUMMYFUNCTION("IFNA(vlookup(H3087,IMPORTRANGE(""1vUGwO1n0QQGx9kKbO0_M5gmuhXZ6-LaxQxgrmJnzgP0"",""'TP# look up'!A:C""),3,0),"""")"),"")</f>
        <v/>
      </c>
      <c r="AH3087" s="49" t="str">
        <f t="shared" si="48"/>
        <v/>
      </c>
    </row>
    <row r="3088" spans="8:34" ht="12.75">
      <c r="H3088" s="43"/>
      <c r="AG3088" s="49" t="str">
        <f ca="1">IFERROR(__xludf.DUMMYFUNCTION("IFNA(vlookup(H3088,IMPORTRANGE(""1vUGwO1n0QQGx9kKbO0_M5gmuhXZ6-LaxQxgrmJnzgP0"",""'TP# look up'!A:C""),3,0),"""")"),"")</f>
        <v/>
      </c>
      <c r="AH3088" s="49" t="str">
        <f t="shared" si="48"/>
        <v/>
      </c>
    </row>
    <row r="3089" spans="8:34" ht="12.75">
      <c r="H3089" s="43"/>
      <c r="AG3089" s="49" t="str">
        <f ca="1">IFERROR(__xludf.DUMMYFUNCTION("IFNA(vlookup(H3089,IMPORTRANGE(""1vUGwO1n0QQGx9kKbO0_M5gmuhXZ6-LaxQxgrmJnzgP0"",""'TP# look up'!A:C""),3,0),"""")"),"")</f>
        <v/>
      </c>
      <c r="AH3089" s="49" t="str">
        <f t="shared" si="48"/>
        <v/>
      </c>
    </row>
    <row r="3090" spans="8:34" ht="12.75">
      <c r="H3090" s="43"/>
      <c r="AG3090" s="49" t="str">
        <f ca="1">IFERROR(__xludf.DUMMYFUNCTION("IFNA(vlookup(H3090,IMPORTRANGE(""1vUGwO1n0QQGx9kKbO0_M5gmuhXZ6-LaxQxgrmJnzgP0"",""'TP# look up'!A:C""),3,0),"""")"),"")</f>
        <v/>
      </c>
      <c r="AH3090" s="49" t="str">
        <f t="shared" si="48"/>
        <v/>
      </c>
    </row>
    <row r="3091" spans="8:34" ht="12.75">
      <c r="H3091" s="43"/>
      <c r="AG3091" s="49" t="str">
        <f ca="1">IFERROR(__xludf.DUMMYFUNCTION("IFNA(vlookup(H3091,IMPORTRANGE(""1vUGwO1n0QQGx9kKbO0_M5gmuhXZ6-LaxQxgrmJnzgP0"",""'TP# look up'!A:C""),3,0),"""")"),"")</f>
        <v/>
      </c>
      <c r="AH3091" s="49" t="str">
        <f t="shared" si="48"/>
        <v/>
      </c>
    </row>
    <row r="3092" spans="8:34" ht="12.75">
      <c r="H3092" s="43"/>
      <c r="AG3092" s="49" t="str">
        <f ca="1">IFERROR(__xludf.DUMMYFUNCTION("IFNA(vlookup(H3092,IMPORTRANGE(""1vUGwO1n0QQGx9kKbO0_M5gmuhXZ6-LaxQxgrmJnzgP0"",""'TP# look up'!A:C""),3,0),"""")"),"")</f>
        <v/>
      </c>
      <c r="AH3092" s="49" t="str">
        <f t="shared" si="48"/>
        <v/>
      </c>
    </row>
    <row r="3093" spans="8:34" ht="12.75">
      <c r="H3093" s="43"/>
      <c r="AG3093" s="49" t="str">
        <f ca="1">IFERROR(__xludf.DUMMYFUNCTION("IFNA(vlookup(H3093,IMPORTRANGE(""1vUGwO1n0QQGx9kKbO0_M5gmuhXZ6-LaxQxgrmJnzgP0"",""'TP# look up'!A:C""),3,0),"""")"),"")</f>
        <v/>
      </c>
      <c r="AH3093" s="49" t="str">
        <f t="shared" si="48"/>
        <v/>
      </c>
    </row>
    <row r="3094" spans="8:34" ht="12.75">
      <c r="H3094" s="43"/>
      <c r="AG3094" s="49" t="str">
        <f ca="1">IFERROR(__xludf.DUMMYFUNCTION("IFNA(vlookup(H3094,IMPORTRANGE(""1vUGwO1n0QQGx9kKbO0_M5gmuhXZ6-LaxQxgrmJnzgP0"",""'TP# look up'!A:C""),3,0),"""")"),"")</f>
        <v/>
      </c>
      <c r="AH3094" s="49" t="str">
        <f t="shared" si="48"/>
        <v/>
      </c>
    </row>
    <row r="3095" spans="8:34" ht="12.75">
      <c r="H3095" s="43"/>
      <c r="AG3095" s="49" t="str">
        <f ca="1">IFERROR(__xludf.DUMMYFUNCTION("IFNA(vlookup(H3095,IMPORTRANGE(""1vUGwO1n0QQGx9kKbO0_M5gmuhXZ6-LaxQxgrmJnzgP0"",""'TP# look up'!A:C""),3,0),"""")"),"")</f>
        <v/>
      </c>
      <c r="AH3095" s="49" t="str">
        <f t="shared" si="48"/>
        <v/>
      </c>
    </row>
    <row r="3096" spans="8:34" ht="12.75">
      <c r="H3096" s="43"/>
      <c r="AG3096" s="49" t="str">
        <f ca="1">IFERROR(__xludf.DUMMYFUNCTION("IFNA(vlookup(H3096,IMPORTRANGE(""1vUGwO1n0QQGx9kKbO0_M5gmuhXZ6-LaxQxgrmJnzgP0"",""'TP# look up'!A:C""),3,0),"""")"),"")</f>
        <v/>
      </c>
      <c r="AH3096" s="49" t="str">
        <f t="shared" si="48"/>
        <v/>
      </c>
    </row>
    <row r="3097" spans="8:34" ht="12.75">
      <c r="H3097" s="43"/>
      <c r="AG3097" s="49" t="str">
        <f ca="1">IFERROR(__xludf.DUMMYFUNCTION("IFNA(vlookup(H3097,IMPORTRANGE(""1vUGwO1n0QQGx9kKbO0_M5gmuhXZ6-LaxQxgrmJnzgP0"",""'TP# look up'!A:C""),3,0),"""")"),"")</f>
        <v/>
      </c>
      <c r="AH3097" s="49" t="str">
        <f t="shared" si="48"/>
        <v/>
      </c>
    </row>
    <row r="3098" spans="8:34" ht="12.75">
      <c r="H3098" s="43"/>
      <c r="AG3098" s="49" t="str">
        <f ca="1">IFERROR(__xludf.DUMMYFUNCTION("IFNA(vlookup(H3098,IMPORTRANGE(""1vUGwO1n0QQGx9kKbO0_M5gmuhXZ6-LaxQxgrmJnzgP0"",""'TP# look up'!A:C""),3,0),"""")"),"")</f>
        <v/>
      </c>
      <c r="AH3098" s="49" t="str">
        <f t="shared" si="48"/>
        <v/>
      </c>
    </row>
    <row r="3099" spans="8:34" ht="12.75">
      <c r="H3099" s="43"/>
      <c r="AG3099" s="49" t="str">
        <f ca="1">IFERROR(__xludf.DUMMYFUNCTION("IFNA(vlookup(H3099,IMPORTRANGE(""1vUGwO1n0QQGx9kKbO0_M5gmuhXZ6-LaxQxgrmJnzgP0"",""'TP# look up'!A:C""),3,0),"""")"),"")</f>
        <v/>
      </c>
      <c r="AH3099" s="49" t="str">
        <f t="shared" si="48"/>
        <v/>
      </c>
    </row>
    <row r="3100" spans="8:34" ht="12.75">
      <c r="H3100" s="43"/>
      <c r="AG3100" s="49" t="str">
        <f ca="1">IFERROR(__xludf.DUMMYFUNCTION("IFNA(vlookup(H3100,IMPORTRANGE(""1vUGwO1n0QQGx9kKbO0_M5gmuhXZ6-LaxQxgrmJnzgP0"",""'TP# look up'!A:C""),3,0),"""")"),"")</f>
        <v/>
      </c>
      <c r="AH3100" s="49" t="str">
        <f t="shared" si="48"/>
        <v/>
      </c>
    </row>
    <row r="3101" spans="8:34" ht="12.75">
      <c r="H3101" s="43"/>
      <c r="AG3101" s="49" t="str">
        <f ca="1">IFERROR(__xludf.DUMMYFUNCTION("IFNA(vlookup(H3101,IMPORTRANGE(""1vUGwO1n0QQGx9kKbO0_M5gmuhXZ6-LaxQxgrmJnzgP0"",""'TP# look up'!A:C""),3,0),"""")"),"")</f>
        <v/>
      </c>
      <c r="AH3101" s="49" t="str">
        <f t="shared" si="48"/>
        <v/>
      </c>
    </row>
    <row r="3102" spans="8:34" ht="12.75">
      <c r="H3102" s="43"/>
      <c r="AG3102" s="49" t="str">
        <f ca="1">IFERROR(__xludf.DUMMYFUNCTION("IFNA(vlookup(H3102,IMPORTRANGE(""1vUGwO1n0QQGx9kKbO0_M5gmuhXZ6-LaxQxgrmJnzgP0"",""'TP# look up'!A:C""),3,0),"""")"),"")</f>
        <v/>
      </c>
      <c r="AH3102" s="49" t="str">
        <f t="shared" si="48"/>
        <v/>
      </c>
    </row>
    <row r="3103" spans="8:34" ht="12.75">
      <c r="H3103" s="43"/>
      <c r="AG3103" s="49" t="str">
        <f ca="1">IFERROR(__xludf.DUMMYFUNCTION("IFNA(vlookup(H3103,IMPORTRANGE(""1vUGwO1n0QQGx9kKbO0_M5gmuhXZ6-LaxQxgrmJnzgP0"",""'TP# look up'!A:C""),3,0),"""")"),"")</f>
        <v/>
      </c>
      <c r="AH3103" s="49" t="str">
        <f t="shared" si="48"/>
        <v/>
      </c>
    </row>
    <row r="3104" spans="8:34" ht="12.75">
      <c r="H3104" s="43"/>
      <c r="AG3104" s="49" t="str">
        <f ca="1">IFERROR(__xludf.DUMMYFUNCTION("IFNA(vlookup(H3104,IMPORTRANGE(""1vUGwO1n0QQGx9kKbO0_M5gmuhXZ6-LaxQxgrmJnzgP0"",""'TP# look up'!A:C""),3,0),"""")"),"")</f>
        <v/>
      </c>
      <c r="AH3104" s="49" t="str">
        <f t="shared" si="48"/>
        <v/>
      </c>
    </row>
    <row r="3105" spans="8:34" ht="12.75">
      <c r="H3105" s="43"/>
      <c r="AG3105" s="49" t="str">
        <f ca="1">IFERROR(__xludf.DUMMYFUNCTION("IFNA(vlookup(H3105,IMPORTRANGE(""1vUGwO1n0QQGx9kKbO0_M5gmuhXZ6-LaxQxgrmJnzgP0"",""'TP# look up'!A:C""),3,0),"""")"),"")</f>
        <v/>
      </c>
      <c r="AH3105" s="49" t="str">
        <f t="shared" si="48"/>
        <v/>
      </c>
    </row>
    <row r="3106" spans="8:34" ht="12.75">
      <c r="H3106" s="43"/>
      <c r="AG3106" s="49" t="str">
        <f ca="1">IFERROR(__xludf.DUMMYFUNCTION("IFNA(vlookup(H3106,IMPORTRANGE(""1vUGwO1n0QQGx9kKbO0_M5gmuhXZ6-LaxQxgrmJnzgP0"",""'TP# look up'!A:C""),3,0),"""")"),"")</f>
        <v/>
      </c>
      <c r="AH3106" s="49" t="str">
        <f t="shared" si="48"/>
        <v/>
      </c>
    </row>
    <row r="3107" spans="8:34" ht="12.75">
      <c r="H3107" s="43"/>
      <c r="AG3107" s="49" t="str">
        <f ca="1">IFERROR(__xludf.DUMMYFUNCTION("IFNA(vlookup(H3107,IMPORTRANGE(""1vUGwO1n0QQGx9kKbO0_M5gmuhXZ6-LaxQxgrmJnzgP0"",""'TP# look up'!A:C""),3,0),"""")"),"")</f>
        <v/>
      </c>
      <c r="AH3107" s="49" t="str">
        <f t="shared" si="48"/>
        <v/>
      </c>
    </row>
    <row r="3108" spans="8:34" ht="12.75">
      <c r="H3108" s="43"/>
      <c r="AG3108" s="49" t="str">
        <f ca="1">IFERROR(__xludf.DUMMYFUNCTION("IFNA(vlookup(H3108,IMPORTRANGE(""1vUGwO1n0QQGx9kKbO0_M5gmuhXZ6-LaxQxgrmJnzgP0"",""'TP# look up'!A:C""),3,0),"""")"),"")</f>
        <v/>
      </c>
      <c r="AH3108" s="49" t="str">
        <f t="shared" si="48"/>
        <v/>
      </c>
    </row>
    <row r="3109" spans="8:34" ht="12.75">
      <c r="H3109" s="43"/>
      <c r="AG3109" s="49" t="str">
        <f ca="1">IFERROR(__xludf.DUMMYFUNCTION("IFNA(vlookup(H3109,IMPORTRANGE(""1vUGwO1n0QQGx9kKbO0_M5gmuhXZ6-LaxQxgrmJnzgP0"",""'TP# look up'!A:C""),3,0),"""")"),"")</f>
        <v/>
      </c>
      <c r="AH3109" s="49" t="str">
        <f t="shared" si="48"/>
        <v/>
      </c>
    </row>
    <row r="3110" spans="8:34" ht="12.75">
      <c r="H3110" s="43"/>
      <c r="AG3110" s="49" t="str">
        <f ca="1">IFERROR(__xludf.DUMMYFUNCTION("IFNA(vlookup(H3110,IMPORTRANGE(""1vUGwO1n0QQGx9kKbO0_M5gmuhXZ6-LaxQxgrmJnzgP0"",""'TP# look up'!A:C""),3,0),"""")"),"")</f>
        <v/>
      </c>
      <c r="AH3110" s="49" t="str">
        <f t="shared" si="48"/>
        <v/>
      </c>
    </row>
    <row r="3111" spans="8:34" ht="12.75">
      <c r="H3111" s="43"/>
      <c r="AG3111" s="49" t="str">
        <f ca="1">IFERROR(__xludf.DUMMYFUNCTION("IFNA(vlookup(H3111,IMPORTRANGE(""1vUGwO1n0QQGx9kKbO0_M5gmuhXZ6-LaxQxgrmJnzgP0"",""'TP# look up'!A:C""),3,0),"""")"),"")</f>
        <v/>
      </c>
      <c r="AH3111" s="49" t="str">
        <f t="shared" si="48"/>
        <v/>
      </c>
    </row>
    <row r="3112" spans="8:34" ht="12.75">
      <c r="H3112" s="43"/>
      <c r="AG3112" s="49" t="str">
        <f ca="1">IFERROR(__xludf.DUMMYFUNCTION("IFNA(vlookup(H3112,IMPORTRANGE(""1vUGwO1n0QQGx9kKbO0_M5gmuhXZ6-LaxQxgrmJnzgP0"",""'TP# look up'!A:C""),3,0),"""")"),"")</f>
        <v/>
      </c>
      <c r="AH3112" s="49" t="str">
        <f t="shared" si="48"/>
        <v/>
      </c>
    </row>
    <row r="3113" spans="8:34" ht="12.75">
      <c r="H3113" s="43"/>
      <c r="AG3113" s="49" t="str">
        <f ca="1">IFERROR(__xludf.DUMMYFUNCTION("IFNA(vlookup(H3113,IMPORTRANGE(""1vUGwO1n0QQGx9kKbO0_M5gmuhXZ6-LaxQxgrmJnzgP0"",""'TP# look up'!A:C""),3,0),"""")"),"")</f>
        <v/>
      </c>
      <c r="AH3113" s="49" t="str">
        <f t="shared" si="48"/>
        <v/>
      </c>
    </row>
    <row r="3114" spans="8:34" ht="12.75">
      <c r="H3114" s="43"/>
      <c r="AG3114" s="49" t="str">
        <f ca="1">IFERROR(__xludf.DUMMYFUNCTION("IFNA(vlookup(H3114,IMPORTRANGE(""1vUGwO1n0QQGx9kKbO0_M5gmuhXZ6-LaxQxgrmJnzgP0"",""'TP# look up'!A:C""),3,0),"""")"),"")</f>
        <v/>
      </c>
      <c r="AH3114" s="49" t="str">
        <f t="shared" si="48"/>
        <v/>
      </c>
    </row>
    <row r="3115" spans="8:34" ht="12.75">
      <c r="H3115" s="43"/>
      <c r="AG3115" s="49" t="str">
        <f ca="1">IFERROR(__xludf.DUMMYFUNCTION("IFNA(vlookup(H3115,IMPORTRANGE(""1vUGwO1n0QQGx9kKbO0_M5gmuhXZ6-LaxQxgrmJnzgP0"",""'TP# look up'!A:C""),3,0),"""")"),"")</f>
        <v/>
      </c>
      <c r="AH3115" s="49" t="str">
        <f t="shared" si="48"/>
        <v/>
      </c>
    </row>
    <row r="3116" spans="8:34" ht="12.75">
      <c r="H3116" s="43"/>
      <c r="AG3116" s="49" t="str">
        <f ca="1">IFERROR(__xludf.DUMMYFUNCTION("IFNA(vlookup(H3116,IMPORTRANGE(""1vUGwO1n0QQGx9kKbO0_M5gmuhXZ6-LaxQxgrmJnzgP0"",""'TP# look up'!A:C""),3,0),"""")"),"")</f>
        <v/>
      </c>
      <c r="AH3116" s="49" t="str">
        <f t="shared" si="48"/>
        <v/>
      </c>
    </row>
    <row r="3117" spans="8:34" ht="12.75">
      <c r="H3117" s="43"/>
      <c r="AG3117" s="49" t="str">
        <f ca="1">IFERROR(__xludf.DUMMYFUNCTION("IFNA(vlookup(H3117,IMPORTRANGE(""1vUGwO1n0QQGx9kKbO0_M5gmuhXZ6-LaxQxgrmJnzgP0"",""'TP# look up'!A:C""),3,0),"""")"),"")</f>
        <v/>
      </c>
      <c r="AH3117" s="49" t="str">
        <f t="shared" si="48"/>
        <v/>
      </c>
    </row>
    <row r="3118" spans="8:34" ht="12.75">
      <c r="H3118" s="43"/>
      <c r="AG3118" s="49" t="str">
        <f ca="1">IFERROR(__xludf.DUMMYFUNCTION("IFNA(vlookup(H3118,IMPORTRANGE(""1vUGwO1n0QQGx9kKbO0_M5gmuhXZ6-LaxQxgrmJnzgP0"",""'TP# look up'!A:C""),3,0),"""")"),"")</f>
        <v/>
      </c>
      <c r="AH3118" s="49" t="str">
        <f t="shared" si="48"/>
        <v/>
      </c>
    </row>
    <row r="3119" spans="8:34" ht="12.75">
      <c r="H3119" s="43"/>
      <c r="AG3119" s="49" t="str">
        <f ca="1">IFERROR(__xludf.DUMMYFUNCTION("IFNA(vlookup(H3119,IMPORTRANGE(""1vUGwO1n0QQGx9kKbO0_M5gmuhXZ6-LaxQxgrmJnzgP0"",""'TP# look up'!A:C""),3,0),"""")"),"")</f>
        <v/>
      </c>
      <c r="AH3119" s="49" t="str">
        <f t="shared" si="48"/>
        <v/>
      </c>
    </row>
    <row r="3120" spans="8:34" ht="12.75">
      <c r="H3120" s="43"/>
      <c r="AG3120" s="49" t="str">
        <f ca="1">IFERROR(__xludf.DUMMYFUNCTION("IFNA(vlookup(H3120,IMPORTRANGE(""1vUGwO1n0QQGx9kKbO0_M5gmuhXZ6-LaxQxgrmJnzgP0"",""'TP# look up'!A:C""),3,0),"""")"),"")</f>
        <v/>
      </c>
      <c r="AH3120" s="49" t="str">
        <f t="shared" si="48"/>
        <v/>
      </c>
    </row>
    <row r="3121" spans="8:34" ht="12.75">
      <c r="H3121" s="43"/>
      <c r="AG3121" s="49" t="str">
        <f ca="1">IFERROR(__xludf.DUMMYFUNCTION("IFNA(vlookup(H3121,IMPORTRANGE(""1vUGwO1n0QQGx9kKbO0_M5gmuhXZ6-LaxQxgrmJnzgP0"",""'TP# look up'!A:C""),3,0),"""")"),"")</f>
        <v/>
      </c>
      <c r="AH3121" s="49" t="str">
        <f t="shared" si="48"/>
        <v/>
      </c>
    </row>
    <row r="3122" spans="8:34" ht="12.75">
      <c r="H3122" s="43"/>
      <c r="AG3122" s="49" t="str">
        <f ca="1">IFERROR(__xludf.DUMMYFUNCTION("IFNA(vlookup(H3122,IMPORTRANGE(""1vUGwO1n0QQGx9kKbO0_M5gmuhXZ6-LaxQxgrmJnzgP0"",""'TP# look up'!A:C""),3,0),"""")"),"")</f>
        <v/>
      </c>
      <c r="AH3122" s="49" t="str">
        <f t="shared" si="48"/>
        <v/>
      </c>
    </row>
    <row r="3123" spans="8:34" ht="12.75">
      <c r="H3123" s="43"/>
      <c r="AG3123" s="49" t="str">
        <f ca="1">IFERROR(__xludf.DUMMYFUNCTION("IFNA(vlookup(H3123,IMPORTRANGE(""1vUGwO1n0QQGx9kKbO0_M5gmuhXZ6-LaxQxgrmJnzgP0"",""'TP# look up'!A:C""),3,0),"""")"),"")</f>
        <v/>
      </c>
      <c r="AH3123" s="49" t="str">
        <f t="shared" si="48"/>
        <v/>
      </c>
    </row>
    <row r="3124" spans="8:34" ht="12.75">
      <c r="H3124" s="43"/>
      <c r="AG3124" s="49" t="str">
        <f ca="1">IFERROR(__xludf.DUMMYFUNCTION("IFNA(vlookup(H3124,IMPORTRANGE(""1vUGwO1n0QQGx9kKbO0_M5gmuhXZ6-LaxQxgrmJnzgP0"",""'TP# look up'!A:C""),3,0),"""")"),"")</f>
        <v/>
      </c>
      <c r="AH3124" s="49" t="str">
        <f t="shared" si="48"/>
        <v/>
      </c>
    </row>
    <row r="3125" spans="8:34" ht="12.75">
      <c r="H3125" s="43"/>
      <c r="AG3125" s="49" t="str">
        <f ca="1">IFERROR(__xludf.DUMMYFUNCTION("IFNA(vlookup(H3125,IMPORTRANGE(""1vUGwO1n0QQGx9kKbO0_M5gmuhXZ6-LaxQxgrmJnzgP0"",""'TP# look up'!A:C""),3,0),"""")"),"")</f>
        <v/>
      </c>
      <c r="AH3125" s="49" t="str">
        <f t="shared" si="48"/>
        <v/>
      </c>
    </row>
    <row r="3126" spans="8:34" ht="12.75">
      <c r="H3126" s="43"/>
      <c r="AG3126" s="49" t="str">
        <f ca="1">IFERROR(__xludf.DUMMYFUNCTION("IFNA(vlookup(H3126,IMPORTRANGE(""1vUGwO1n0QQGx9kKbO0_M5gmuhXZ6-LaxQxgrmJnzgP0"",""'TP# look up'!A:C""),3,0),"""")"),"")</f>
        <v/>
      </c>
      <c r="AH3126" s="49" t="str">
        <f t="shared" si="48"/>
        <v/>
      </c>
    </row>
    <row r="3127" spans="8:34" ht="12.75">
      <c r="H3127" s="43"/>
      <c r="AG3127" s="49" t="str">
        <f ca="1">IFERROR(__xludf.DUMMYFUNCTION("IFNA(vlookup(H3127,IMPORTRANGE(""1vUGwO1n0QQGx9kKbO0_M5gmuhXZ6-LaxQxgrmJnzgP0"",""'TP# look up'!A:C""),3,0),"""")"),"")</f>
        <v/>
      </c>
      <c r="AH3127" s="49" t="str">
        <f t="shared" si="48"/>
        <v/>
      </c>
    </row>
    <row r="3128" spans="8:34" ht="12.75">
      <c r="H3128" s="43"/>
      <c r="AG3128" s="49" t="str">
        <f ca="1">IFERROR(__xludf.DUMMYFUNCTION("IFNA(vlookup(H3128,IMPORTRANGE(""1vUGwO1n0QQGx9kKbO0_M5gmuhXZ6-LaxQxgrmJnzgP0"",""'TP# look up'!A:C""),3,0),"""")"),"")</f>
        <v/>
      </c>
      <c r="AH3128" s="49" t="str">
        <f t="shared" si="48"/>
        <v/>
      </c>
    </row>
    <row r="3129" spans="8:34" ht="12.75">
      <c r="H3129" s="43"/>
      <c r="AG3129" s="49" t="str">
        <f ca="1">IFERROR(__xludf.DUMMYFUNCTION("IFNA(vlookup(H3129,IMPORTRANGE(""1vUGwO1n0QQGx9kKbO0_M5gmuhXZ6-LaxQxgrmJnzgP0"",""'TP# look up'!A:C""),3,0),"""")"),"")</f>
        <v/>
      </c>
      <c r="AH3129" s="49" t="str">
        <f t="shared" si="48"/>
        <v/>
      </c>
    </row>
    <row r="3130" spans="8:34" ht="12.75">
      <c r="H3130" s="43"/>
      <c r="AG3130" s="49" t="str">
        <f ca="1">IFERROR(__xludf.DUMMYFUNCTION("IFNA(vlookup(H3130,IMPORTRANGE(""1vUGwO1n0QQGx9kKbO0_M5gmuhXZ6-LaxQxgrmJnzgP0"",""'TP# look up'!A:C""),3,0),"""")"),"")</f>
        <v/>
      </c>
      <c r="AH3130" s="49" t="str">
        <f t="shared" si="48"/>
        <v/>
      </c>
    </row>
    <row r="3131" spans="8:34" ht="12.75">
      <c r="H3131" s="43"/>
      <c r="AG3131" s="49" t="str">
        <f ca="1">IFERROR(__xludf.DUMMYFUNCTION("IFNA(vlookup(H3131,IMPORTRANGE(""1vUGwO1n0QQGx9kKbO0_M5gmuhXZ6-LaxQxgrmJnzgP0"",""'TP# look up'!A:C""),3,0),"""")"),"")</f>
        <v/>
      </c>
      <c r="AH3131" s="49" t="str">
        <f t="shared" si="48"/>
        <v/>
      </c>
    </row>
    <row r="3132" spans="8:34" ht="12.75">
      <c r="H3132" s="43"/>
      <c r="AG3132" s="49" t="str">
        <f ca="1">IFERROR(__xludf.DUMMYFUNCTION("IFNA(vlookup(H3132,IMPORTRANGE(""1vUGwO1n0QQGx9kKbO0_M5gmuhXZ6-LaxQxgrmJnzgP0"",""'TP# look up'!A:C""),3,0),"""")"),"")</f>
        <v/>
      </c>
      <c r="AH3132" s="49" t="str">
        <f t="shared" si="48"/>
        <v/>
      </c>
    </row>
    <row r="3133" spans="8:34" ht="12.75">
      <c r="H3133" s="43"/>
      <c r="AG3133" s="49" t="str">
        <f ca="1">IFERROR(__xludf.DUMMYFUNCTION("IFNA(vlookup(H3133,IMPORTRANGE(""1vUGwO1n0QQGx9kKbO0_M5gmuhXZ6-LaxQxgrmJnzgP0"",""'TP# look up'!A:C""),3,0),"""")"),"")</f>
        <v/>
      </c>
      <c r="AH3133" s="49" t="str">
        <f t="shared" si="48"/>
        <v/>
      </c>
    </row>
    <row r="3134" spans="8:34" ht="12.75">
      <c r="H3134" s="43"/>
      <c r="AG3134" s="49" t="str">
        <f ca="1">IFERROR(__xludf.DUMMYFUNCTION("IFNA(vlookup(H3134,IMPORTRANGE(""1vUGwO1n0QQGx9kKbO0_M5gmuhXZ6-LaxQxgrmJnzgP0"",""'TP# look up'!A:C""),3,0),"""")"),"")</f>
        <v/>
      </c>
      <c r="AH3134" s="49" t="str">
        <f t="shared" si="48"/>
        <v/>
      </c>
    </row>
    <row r="3135" spans="8:34" ht="12.75">
      <c r="H3135" s="43"/>
      <c r="AG3135" s="49" t="str">
        <f ca="1">IFERROR(__xludf.DUMMYFUNCTION("IFNA(vlookup(H3135,IMPORTRANGE(""1vUGwO1n0QQGx9kKbO0_M5gmuhXZ6-LaxQxgrmJnzgP0"",""'TP# look up'!A:C""),3,0),"""")"),"")</f>
        <v/>
      </c>
      <c r="AH3135" s="49" t="str">
        <f t="shared" si="48"/>
        <v/>
      </c>
    </row>
    <row r="3136" spans="8:34" ht="12.75">
      <c r="H3136" s="43"/>
      <c r="AG3136" s="49" t="str">
        <f ca="1">IFERROR(__xludf.DUMMYFUNCTION("IFNA(vlookup(H3136,IMPORTRANGE(""1vUGwO1n0QQGx9kKbO0_M5gmuhXZ6-LaxQxgrmJnzgP0"",""'TP# look up'!A:C""),3,0),"""")"),"")</f>
        <v/>
      </c>
      <c r="AH3136" s="49" t="str">
        <f t="shared" si="48"/>
        <v/>
      </c>
    </row>
    <row r="3137" spans="8:34" ht="12.75">
      <c r="H3137" s="43"/>
      <c r="AG3137" s="49" t="str">
        <f ca="1">IFERROR(__xludf.DUMMYFUNCTION("IFNA(vlookup(H3137,IMPORTRANGE(""1vUGwO1n0QQGx9kKbO0_M5gmuhXZ6-LaxQxgrmJnzgP0"",""'TP# look up'!A:C""),3,0),"""")"),"")</f>
        <v/>
      </c>
      <c r="AH3137" s="49" t="str">
        <f t="shared" si="48"/>
        <v/>
      </c>
    </row>
    <row r="3138" spans="8:34" ht="12.75">
      <c r="H3138" s="43"/>
      <c r="AG3138" s="49" t="str">
        <f ca="1">IFERROR(__xludf.DUMMYFUNCTION("IFNA(vlookup(H3138,IMPORTRANGE(""1vUGwO1n0QQGx9kKbO0_M5gmuhXZ6-LaxQxgrmJnzgP0"",""'TP# look up'!A:C""),3,0),"""")"),"")</f>
        <v/>
      </c>
      <c r="AH3138" s="49" t="str">
        <f t="shared" ref="AH3138:AH3201" si="49">LEFT(J3138,2)</f>
        <v/>
      </c>
    </row>
    <row r="3139" spans="8:34" ht="12.75">
      <c r="H3139" s="43"/>
      <c r="AG3139" s="49" t="str">
        <f ca="1">IFERROR(__xludf.DUMMYFUNCTION("IFNA(vlookup(H3139,IMPORTRANGE(""1vUGwO1n0QQGx9kKbO0_M5gmuhXZ6-LaxQxgrmJnzgP0"",""'TP# look up'!A:C""),3,0),"""")"),"")</f>
        <v/>
      </c>
      <c r="AH3139" s="49" t="str">
        <f t="shared" si="49"/>
        <v/>
      </c>
    </row>
    <row r="3140" spans="8:34" ht="12.75">
      <c r="H3140" s="43"/>
      <c r="AG3140" s="49" t="str">
        <f ca="1">IFERROR(__xludf.DUMMYFUNCTION("IFNA(vlookup(H3140,IMPORTRANGE(""1vUGwO1n0QQGx9kKbO0_M5gmuhXZ6-LaxQxgrmJnzgP0"",""'TP# look up'!A:C""),3,0),"""")"),"")</f>
        <v/>
      </c>
      <c r="AH3140" s="49" t="str">
        <f t="shared" si="49"/>
        <v/>
      </c>
    </row>
    <row r="3141" spans="8:34" ht="12.75">
      <c r="H3141" s="43"/>
      <c r="AG3141" s="49" t="str">
        <f ca="1">IFERROR(__xludf.DUMMYFUNCTION("IFNA(vlookup(H3141,IMPORTRANGE(""1vUGwO1n0QQGx9kKbO0_M5gmuhXZ6-LaxQxgrmJnzgP0"",""'TP# look up'!A:C""),3,0),"""")"),"")</f>
        <v/>
      </c>
      <c r="AH3141" s="49" t="str">
        <f t="shared" si="49"/>
        <v/>
      </c>
    </row>
    <row r="3142" spans="8:34" ht="12.75">
      <c r="H3142" s="43"/>
      <c r="AG3142" s="49" t="str">
        <f ca="1">IFERROR(__xludf.DUMMYFUNCTION("IFNA(vlookup(H3142,IMPORTRANGE(""1vUGwO1n0QQGx9kKbO0_M5gmuhXZ6-LaxQxgrmJnzgP0"",""'TP# look up'!A:C""),3,0),"""")"),"")</f>
        <v/>
      </c>
      <c r="AH3142" s="49" t="str">
        <f t="shared" si="49"/>
        <v/>
      </c>
    </row>
    <row r="3143" spans="8:34" ht="12.75">
      <c r="H3143" s="43"/>
      <c r="AG3143" s="49" t="str">
        <f ca="1">IFERROR(__xludf.DUMMYFUNCTION("IFNA(vlookup(H3143,IMPORTRANGE(""1vUGwO1n0QQGx9kKbO0_M5gmuhXZ6-LaxQxgrmJnzgP0"",""'TP# look up'!A:C""),3,0),"""")"),"")</f>
        <v/>
      </c>
      <c r="AH3143" s="49" t="str">
        <f t="shared" si="49"/>
        <v/>
      </c>
    </row>
    <row r="3144" spans="8:34" ht="12.75">
      <c r="H3144" s="43"/>
      <c r="AG3144" s="49" t="str">
        <f ca="1">IFERROR(__xludf.DUMMYFUNCTION("IFNA(vlookup(H3144,IMPORTRANGE(""1vUGwO1n0QQGx9kKbO0_M5gmuhXZ6-LaxQxgrmJnzgP0"",""'TP# look up'!A:C""),3,0),"""")"),"")</f>
        <v/>
      </c>
      <c r="AH3144" s="49" t="str">
        <f t="shared" si="49"/>
        <v/>
      </c>
    </row>
    <row r="3145" spans="8:34" ht="12.75">
      <c r="H3145" s="43"/>
      <c r="AG3145" s="49" t="str">
        <f ca="1">IFERROR(__xludf.DUMMYFUNCTION("IFNA(vlookup(H3145,IMPORTRANGE(""1vUGwO1n0QQGx9kKbO0_M5gmuhXZ6-LaxQxgrmJnzgP0"",""'TP# look up'!A:C""),3,0),"""")"),"")</f>
        <v/>
      </c>
      <c r="AH3145" s="49" t="str">
        <f t="shared" si="49"/>
        <v/>
      </c>
    </row>
    <row r="3146" spans="8:34" ht="12.75">
      <c r="H3146" s="43"/>
      <c r="AG3146" s="49" t="str">
        <f ca="1">IFERROR(__xludf.DUMMYFUNCTION("IFNA(vlookup(H3146,IMPORTRANGE(""1vUGwO1n0QQGx9kKbO0_M5gmuhXZ6-LaxQxgrmJnzgP0"",""'TP# look up'!A:C""),3,0),"""")"),"")</f>
        <v/>
      </c>
      <c r="AH3146" s="49" t="str">
        <f t="shared" si="49"/>
        <v/>
      </c>
    </row>
    <row r="3147" spans="8:34" ht="12.75">
      <c r="H3147" s="43"/>
      <c r="AG3147" s="49" t="str">
        <f ca="1">IFERROR(__xludf.DUMMYFUNCTION("IFNA(vlookup(H3147,IMPORTRANGE(""1vUGwO1n0QQGx9kKbO0_M5gmuhXZ6-LaxQxgrmJnzgP0"",""'TP# look up'!A:C""),3,0),"""")"),"")</f>
        <v/>
      </c>
      <c r="AH3147" s="49" t="str">
        <f t="shared" si="49"/>
        <v/>
      </c>
    </row>
    <row r="3148" spans="8:34" ht="12.75">
      <c r="H3148" s="43"/>
      <c r="AG3148" s="49" t="str">
        <f ca="1">IFERROR(__xludf.DUMMYFUNCTION("IFNA(vlookup(H3148,IMPORTRANGE(""1vUGwO1n0QQGx9kKbO0_M5gmuhXZ6-LaxQxgrmJnzgP0"",""'TP# look up'!A:C""),3,0),"""")"),"")</f>
        <v/>
      </c>
      <c r="AH3148" s="49" t="str">
        <f t="shared" si="49"/>
        <v/>
      </c>
    </row>
    <row r="3149" spans="8:34" ht="12.75">
      <c r="H3149" s="43"/>
      <c r="AG3149" s="49" t="str">
        <f ca="1">IFERROR(__xludf.DUMMYFUNCTION("IFNA(vlookup(H3149,IMPORTRANGE(""1vUGwO1n0QQGx9kKbO0_M5gmuhXZ6-LaxQxgrmJnzgP0"",""'TP# look up'!A:C""),3,0),"""")"),"")</f>
        <v/>
      </c>
      <c r="AH3149" s="49" t="str">
        <f t="shared" si="49"/>
        <v/>
      </c>
    </row>
    <row r="3150" spans="8:34" ht="12.75">
      <c r="H3150" s="43"/>
      <c r="AG3150" s="49" t="str">
        <f ca="1">IFERROR(__xludf.DUMMYFUNCTION("IFNA(vlookup(H3150,IMPORTRANGE(""1vUGwO1n0QQGx9kKbO0_M5gmuhXZ6-LaxQxgrmJnzgP0"",""'TP# look up'!A:C""),3,0),"""")"),"")</f>
        <v/>
      </c>
      <c r="AH3150" s="49" t="str">
        <f t="shared" si="49"/>
        <v/>
      </c>
    </row>
    <row r="3151" spans="8:34" ht="12.75">
      <c r="H3151" s="43"/>
      <c r="AG3151" s="49" t="str">
        <f ca="1">IFERROR(__xludf.DUMMYFUNCTION("IFNA(vlookup(H3151,IMPORTRANGE(""1vUGwO1n0QQGx9kKbO0_M5gmuhXZ6-LaxQxgrmJnzgP0"",""'TP# look up'!A:C""),3,0),"""")"),"")</f>
        <v/>
      </c>
      <c r="AH3151" s="49" t="str">
        <f t="shared" si="49"/>
        <v/>
      </c>
    </row>
    <row r="3152" spans="8:34" ht="12.75">
      <c r="H3152" s="43"/>
      <c r="AG3152" s="49" t="str">
        <f ca="1">IFERROR(__xludf.DUMMYFUNCTION("IFNA(vlookup(H3152,IMPORTRANGE(""1vUGwO1n0QQGx9kKbO0_M5gmuhXZ6-LaxQxgrmJnzgP0"",""'TP# look up'!A:C""),3,0),"""")"),"")</f>
        <v/>
      </c>
      <c r="AH3152" s="49" t="str">
        <f t="shared" si="49"/>
        <v/>
      </c>
    </row>
    <row r="3153" spans="8:34" ht="12.75">
      <c r="H3153" s="43"/>
      <c r="AG3153" s="49" t="str">
        <f ca="1">IFERROR(__xludf.DUMMYFUNCTION("IFNA(vlookup(H3153,IMPORTRANGE(""1vUGwO1n0QQGx9kKbO0_M5gmuhXZ6-LaxQxgrmJnzgP0"",""'TP# look up'!A:C""),3,0),"""")"),"")</f>
        <v/>
      </c>
      <c r="AH3153" s="49" t="str">
        <f t="shared" si="49"/>
        <v/>
      </c>
    </row>
    <row r="3154" spans="8:34" ht="12.75">
      <c r="H3154" s="43"/>
      <c r="AG3154" s="49" t="str">
        <f ca="1">IFERROR(__xludf.DUMMYFUNCTION("IFNA(vlookup(H3154,IMPORTRANGE(""1vUGwO1n0QQGx9kKbO0_M5gmuhXZ6-LaxQxgrmJnzgP0"",""'TP# look up'!A:C""),3,0),"""")"),"")</f>
        <v/>
      </c>
      <c r="AH3154" s="49" t="str">
        <f t="shared" si="49"/>
        <v/>
      </c>
    </row>
    <row r="3155" spans="8:34" ht="12.75">
      <c r="H3155" s="43"/>
      <c r="AG3155" s="49" t="str">
        <f ca="1">IFERROR(__xludf.DUMMYFUNCTION("IFNA(vlookup(H3155,IMPORTRANGE(""1vUGwO1n0QQGx9kKbO0_M5gmuhXZ6-LaxQxgrmJnzgP0"",""'TP# look up'!A:C""),3,0),"""")"),"")</f>
        <v/>
      </c>
      <c r="AH3155" s="49" t="str">
        <f t="shared" si="49"/>
        <v/>
      </c>
    </row>
    <row r="3156" spans="8:34" ht="12.75">
      <c r="H3156" s="43"/>
      <c r="AG3156" s="49" t="str">
        <f ca="1">IFERROR(__xludf.DUMMYFUNCTION("IFNA(vlookup(H3156,IMPORTRANGE(""1vUGwO1n0QQGx9kKbO0_M5gmuhXZ6-LaxQxgrmJnzgP0"",""'TP# look up'!A:C""),3,0),"""")"),"")</f>
        <v/>
      </c>
      <c r="AH3156" s="49" t="str">
        <f t="shared" si="49"/>
        <v/>
      </c>
    </row>
    <row r="3157" spans="8:34" ht="12.75">
      <c r="H3157" s="43"/>
      <c r="AG3157" s="49" t="str">
        <f ca="1">IFERROR(__xludf.DUMMYFUNCTION("IFNA(vlookup(H3157,IMPORTRANGE(""1vUGwO1n0QQGx9kKbO0_M5gmuhXZ6-LaxQxgrmJnzgP0"",""'TP# look up'!A:C""),3,0),"""")"),"")</f>
        <v/>
      </c>
      <c r="AH3157" s="49" t="str">
        <f t="shared" si="49"/>
        <v/>
      </c>
    </row>
    <row r="3158" spans="8:34" ht="12.75">
      <c r="H3158" s="43"/>
      <c r="AG3158" s="49" t="str">
        <f ca="1">IFERROR(__xludf.DUMMYFUNCTION("IFNA(vlookup(H3158,IMPORTRANGE(""1vUGwO1n0QQGx9kKbO0_M5gmuhXZ6-LaxQxgrmJnzgP0"",""'TP# look up'!A:C""),3,0),"""")"),"")</f>
        <v/>
      </c>
      <c r="AH3158" s="49" t="str">
        <f t="shared" si="49"/>
        <v/>
      </c>
    </row>
    <row r="3159" spans="8:34" ht="12.75">
      <c r="H3159" s="43"/>
      <c r="AG3159" s="49" t="str">
        <f ca="1">IFERROR(__xludf.DUMMYFUNCTION("IFNA(vlookup(H3159,IMPORTRANGE(""1vUGwO1n0QQGx9kKbO0_M5gmuhXZ6-LaxQxgrmJnzgP0"",""'TP# look up'!A:C""),3,0),"""")"),"")</f>
        <v/>
      </c>
      <c r="AH3159" s="49" t="str">
        <f t="shared" si="49"/>
        <v/>
      </c>
    </row>
    <row r="3160" spans="8:34" ht="12.75">
      <c r="H3160" s="43"/>
      <c r="AG3160" s="49" t="str">
        <f ca="1">IFERROR(__xludf.DUMMYFUNCTION("IFNA(vlookup(H3160,IMPORTRANGE(""1vUGwO1n0QQGx9kKbO0_M5gmuhXZ6-LaxQxgrmJnzgP0"",""'TP# look up'!A:C""),3,0),"""")"),"")</f>
        <v/>
      </c>
      <c r="AH3160" s="49" t="str">
        <f t="shared" si="49"/>
        <v/>
      </c>
    </row>
    <row r="3161" spans="8:34" ht="12.75">
      <c r="H3161" s="43"/>
      <c r="AG3161" s="49" t="str">
        <f ca="1">IFERROR(__xludf.DUMMYFUNCTION("IFNA(vlookup(H3161,IMPORTRANGE(""1vUGwO1n0QQGx9kKbO0_M5gmuhXZ6-LaxQxgrmJnzgP0"",""'TP# look up'!A:C""),3,0),"""")"),"")</f>
        <v/>
      </c>
      <c r="AH3161" s="49" t="str">
        <f t="shared" si="49"/>
        <v/>
      </c>
    </row>
    <row r="3162" spans="8:34" ht="12.75">
      <c r="H3162" s="43"/>
      <c r="AG3162" s="49" t="str">
        <f ca="1">IFERROR(__xludf.DUMMYFUNCTION("IFNA(vlookup(H3162,IMPORTRANGE(""1vUGwO1n0QQGx9kKbO0_M5gmuhXZ6-LaxQxgrmJnzgP0"",""'TP# look up'!A:C""),3,0),"""")"),"")</f>
        <v/>
      </c>
      <c r="AH3162" s="49" t="str">
        <f t="shared" si="49"/>
        <v/>
      </c>
    </row>
    <row r="3163" spans="8:34" ht="12.75">
      <c r="H3163" s="43"/>
      <c r="AG3163" s="49" t="str">
        <f ca="1">IFERROR(__xludf.DUMMYFUNCTION("IFNA(vlookup(H3163,IMPORTRANGE(""1vUGwO1n0QQGx9kKbO0_M5gmuhXZ6-LaxQxgrmJnzgP0"",""'TP# look up'!A:C""),3,0),"""")"),"")</f>
        <v/>
      </c>
      <c r="AH3163" s="49" t="str">
        <f t="shared" si="49"/>
        <v/>
      </c>
    </row>
    <row r="3164" spans="8:34" ht="12.75">
      <c r="H3164" s="43"/>
      <c r="AG3164" s="49" t="str">
        <f ca="1">IFERROR(__xludf.DUMMYFUNCTION("IFNA(vlookup(H3164,IMPORTRANGE(""1vUGwO1n0QQGx9kKbO0_M5gmuhXZ6-LaxQxgrmJnzgP0"",""'TP# look up'!A:C""),3,0),"""")"),"")</f>
        <v/>
      </c>
      <c r="AH3164" s="49" t="str">
        <f t="shared" si="49"/>
        <v/>
      </c>
    </row>
    <row r="3165" spans="8:34" ht="12.75">
      <c r="H3165" s="43"/>
      <c r="AG3165" s="49" t="str">
        <f ca="1">IFERROR(__xludf.DUMMYFUNCTION("IFNA(vlookup(H3165,IMPORTRANGE(""1vUGwO1n0QQGx9kKbO0_M5gmuhXZ6-LaxQxgrmJnzgP0"",""'TP# look up'!A:C""),3,0),"""")"),"")</f>
        <v/>
      </c>
      <c r="AH3165" s="49" t="str">
        <f t="shared" si="49"/>
        <v/>
      </c>
    </row>
    <row r="3166" spans="8:34" ht="12.75">
      <c r="H3166" s="43"/>
      <c r="AG3166" s="49" t="str">
        <f ca="1">IFERROR(__xludf.DUMMYFUNCTION("IFNA(vlookup(H3166,IMPORTRANGE(""1vUGwO1n0QQGx9kKbO0_M5gmuhXZ6-LaxQxgrmJnzgP0"",""'TP# look up'!A:C""),3,0),"""")"),"")</f>
        <v/>
      </c>
      <c r="AH3166" s="49" t="str">
        <f t="shared" si="49"/>
        <v/>
      </c>
    </row>
    <row r="3167" spans="8:34" ht="12.75">
      <c r="H3167" s="43"/>
      <c r="AG3167" s="49" t="str">
        <f ca="1">IFERROR(__xludf.DUMMYFUNCTION("IFNA(vlookup(H3167,IMPORTRANGE(""1vUGwO1n0QQGx9kKbO0_M5gmuhXZ6-LaxQxgrmJnzgP0"",""'TP# look up'!A:C""),3,0),"""")"),"")</f>
        <v/>
      </c>
      <c r="AH3167" s="49" t="str">
        <f t="shared" si="49"/>
        <v/>
      </c>
    </row>
    <row r="3168" spans="8:34" ht="12.75">
      <c r="H3168" s="43"/>
      <c r="AG3168" s="49" t="str">
        <f ca="1">IFERROR(__xludf.DUMMYFUNCTION("IFNA(vlookup(H3168,IMPORTRANGE(""1vUGwO1n0QQGx9kKbO0_M5gmuhXZ6-LaxQxgrmJnzgP0"",""'TP# look up'!A:C""),3,0),"""")"),"")</f>
        <v/>
      </c>
      <c r="AH3168" s="49" t="str">
        <f t="shared" si="49"/>
        <v/>
      </c>
    </row>
    <row r="3169" spans="8:34" ht="12.75">
      <c r="H3169" s="43"/>
      <c r="AG3169" s="49" t="str">
        <f ca="1">IFERROR(__xludf.DUMMYFUNCTION("IFNA(vlookup(H3169,IMPORTRANGE(""1vUGwO1n0QQGx9kKbO0_M5gmuhXZ6-LaxQxgrmJnzgP0"",""'TP# look up'!A:C""),3,0),"""")"),"")</f>
        <v/>
      </c>
      <c r="AH3169" s="49" t="str">
        <f t="shared" si="49"/>
        <v/>
      </c>
    </row>
    <row r="3170" spans="8:34" ht="12.75">
      <c r="H3170" s="43"/>
      <c r="AG3170" s="49" t="str">
        <f ca="1">IFERROR(__xludf.DUMMYFUNCTION("IFNA(vlookup(H3170,IMPORTRANGE(""1vUGwO1n0QQGx9kKbO0_M5gmuhXZ6-LaxQxgrmJnzgP0"",""'TP# look up'!A:C""),3,0),"""")"),"")</f>
        <v/>
      </c>
      <c r="AH3170" s="49" t="str">
        <f t="shared" si="49"/>
        <v/>
      </c>
    </row>
    <row r="3171" spans="8:34" ht="12.75">
      <c r="H3171" s="43"/>
      <c r="AG3171" s="49" t="str">
        <f ca="1">IFERROR(__xludf.DUMMYFUNCTION("IFNA(vlookup(H3171,IMPORTRANGE(""1vUGwO1n0QQGx9kKbO0_M5gmuhXZ6-LaxQxgrmJnzgP0"",""'TP# look up'!A:C""),3,0),"""")"),"")</f>
        <v/>
      </c>
      <c r="AH3171" s="49" t="str">
        <f t="shared" si="49"/>
        <v/>
      </c>
    </row>
    <row r="3172" spans="8:34" ht="12.75">
      <c r="H3172" s="43"/>
      <c r="AG3172" s="49" t="str">
        <f ca="1">IFERROR(__xludf.DUMMYFUNCTION("IFNA(vlookup(H3172,IMPORTRANGE(""1vUGwO1n0QQGx9kKbO0_M5gmuhXZ6-LaxQxgrmJnzgP0"",""'TP# look up'!A:C""),3,0),"""")"),"")</f>
        <v/>
      </c>
      <c r="AH3172" s="49" t="str">
        <f t="shared" si="49"/>
        <v/>
      </c>
    </row>
    <row r="3173" spans="8:34" ht="12.75">
      <c r="H3173" s="43"/>
      <c r="AG3173" s="49" t="str">
        <f ca="1">IFERROR(__xludf.DUMMYFUNCTION("IFNA(vlookup(H3173,IMPORTRANGE(""1vUGwO1n0QQGx9kKbO0_M5gmuhXZ6-LaxQxgrmJnzgP0"",""'TP# look up'!A:C""),3,0),"""")"),"")</f>
        <v/>
      </c>
      <c r="AH3173" s="49" t="str">
        <f t="shared" si="49"/>
        <v/>
      </c>
    </row>
    <row r="3174" spans="8:34" ht="12.75">
      <c r="H3174" s="43"/>
      <c r="AG3174" s="49" t="str">
        <f ca="1">IFERROR(__xludf.DUMMYFUNCTION("IFNA(vlookup(H3174,IMPORTRANGE(""1vUGwO1n0QQGx9kKbO0_M5gmuhXZ6-LaxQxgrmJnzgP0"",""'TP# look up'!A:C""),3,0),"""")"),"")</f>
        <v/>
      </c>
      <c r="AH3174" s="49" t="str">
        <f t="shared" si="49"/>
        <v/>
      </c>
    </row>
    <row r="3175" spans="8:34" ht="12.75">
      <c r="H3175" s="43"/>
      <c r="AG3175" s="49" t="str">
        <f ca="1">IFERROR(__xludf.DUMMYFUNCTION("IFNA(vlookup(H3175,IMPORTRANGE(""1vUGwO1n0QQGx9kKbO0_M5gmuhXZ6-LaxQxgrmJnzgP0"",""'TP# look up'!A:C""),3,0),"""")"),"")</f>
        <v/>
      </c>
      <c r="AH3175" s="49" t="str">
        <f t="shared" si="49"/>
        <v/>
      </c>
    </row>
    <row r="3176" spans="8:34" ht="12.75">
      <c r="H3176" s="43"/>
      <c r="AG3176" s="49" t="str">
        <f ca="1">IFERROR(__xludf.DUMMYFUNCTION("IFNA(vlookup(H3176,IMPORTRANGE(""1vUGwO1n0QQGx9kKbO0_M5gmuhXZ6-LaxQxgrmJnzgP0"",""'TP# look up'!A:C""),3,0),"""")"),"")</f>
        <v/>
      </c>
      <c r="AH3176" s="49" t="str">
        <f t="shared" si="49"/>
        <v/>
      </c>
    </row>
    <row r="3177" spans="8:34" ht="12.75">
      <c r="H3177" s="43"/>
      <c r="AG3177" s="49" t="str">
        <f ca="1">IFERROR(__xludf.DUMMYFUNCTION("IFNA(vlookup(H3177,IMPORTRANGE(""1vUGwO1n0QQGx9kKbO0_M5gmuhXZ6-LaxQxgrmJnzgP0"",""'TP# look up'!A:C""),3,0),"""")"),"")</f>
        <v/>
      </c>
      <c r="AH3177" s="49" t="str">
        <f t="shared" si="49"/>
        <v/>
      </c>
    </row>
    <row r="3178" spans="8:34" ht="12.75">
      <c r="H3178" s="43"/>
      <c r="AG3178" s="49" t="str">
        <f ca="1">IFERROR(__xludf.DUMMYFUNCTION("IFNA(vlookup(H3178,IMPORTRANGE(""1vUGwO1n0QQGx9kKbO0_M5gmuhXZ6-LaxQxgrmJnzgP0"",""'TP# look up'!A:C""),3,0),"""")"),"")</f>
        <v/>
      </c>
      <c r="AH3178" s="49" t="str">
        <f t="shared" si="49"/>
        <v/>
      </c>
    </row>
    <row r="3179" spans="8:34" ht="12.75">
      <c r="H3179" s="43"/>
      <c r="AG3179" s="49" t="str">
        <f ca="1">IFERROR(__xludf.DUMMYFUNCTION("IFNA(vlookup(H3179,IMPORTRANGE(""1vUGwO1n0QQGx9kKbO0_M5gmuhXZ6-LaxQxgrmJnzgP0"",""'TP# look up'!A:C""),3,0),"""")"),"")</f>
        <v/>
      </c>
      <c r="AH3179" s="49" t="str">
        <f t="shared" si="49"/>
        <v/>
      </c>
    </row>
    <row r="3180" spans="8:34" ht="12.75">
      <c r="H3180" s="43"/>
      <c r="AG3180" s="49" t="str">
        <f ca="1">IFERROR(__xludf.DUMMYFUNCTION("IFNA(vlookup(H3180,IMPORTRANGE(""1vUGwO1n0QQGx9kKbO0_M5gmuhXZ6-LaxQxgrmJnzgP0"",""'TP# look up'!A:C""),3,0),"""")"),"")</f>
        <v/>
      </c>
      <c r="AH3180" s="49" t="str">
        <f t="shared" si="49"/>
        <v/>
      </c>
    </row>
    <row r="3181" spans="8:34" ht="12.75">
      <c r="H3181" s="43"/>
      <c r="AG3181" s="49" t="str">
        <f ca="1">IFERROR(__xludf.DUMMYFUNCTION("IFNA(vlookup(H3181,IMPORTRANGE(""1vUGwO1n0QQGx9kKbO0_M5gmuhXZ6-LaxQxgrmJnzgP0"",""'TP# look up'!A:C""),3,0),"""")"),"")</f>
        <v/>
      </c>
      <c r="AH3181" s="49" t="str">
        <f t="shared" si="49"/>
        <v/>
      </c>
    </row>
    <row r="3182" spans="8:34" ht="12.75">
      <c r="H3182" s="43"/>
      <c r="AG3182" s="49" t="str">
        <f ca="1">IFERROR(__xludf.DUMMYFUNCTION("IFNA(vlookup(H3182,IMPORTRANGE(""1vUGwO1n0QQGx9kKbO0_M5gmuhXZ6-LaxQxgrmJnzgP0"",""'TP# look up'!A:C""),3,0),"""")"),"")</f>
        <v/>
      </c>
      <c r="AH3182" s="49" t="str">
        <f t="shared" si="49"/>
        <v/>
      </c>
    </row>
    <row r="3183" spans="8:34" ht="12.75">
      <c r="H3183" s="43"/>
      <c r="AG3183" s="49" t="str">
        <f ca="1">IFERROR(__xludf.DUMMYFUNCTION("IFNA(vlookup(H3183,IMPORTRANGE(""1vUGwO1n0QQGx9kKbO0_M5gmuhXZ6-LaxQxgrmJnzgP0"",""'TP# look up'!A:C""),3,0),"""")"),"")</f>
        <v/>
      </c>
      <c r="AH3183" s="49" t="str">
        <f t="shared" si="49"/>
        <v/>
      </c>
    </row>
    <row r="3184" spans="8:34" ht="12.75">
      <c r="H3184" s="43"/>
      <c r="AG3184" s="49" t="str">
        <f ca="1">IFERROR(__xludf.DUMMYFUNCTION("IFNA(vlookup(H3184,IMPORTRANGE(""1vUGwO1n0QQGx9kKbO0_M5gmuhXZ6-LaxQxgrmJnzgP0"",""'TP# look up'!A:C""),3,0),"""")"),"")</f>
        <v/>
      </c>
      <c r="AH3184" s="49" t="str">
        <f t="shared" si="49"/>
        <v/>
      </c>
    </row>
    <row r="3185" spans="8:34" ht="12.75">
      <c r="H3185" s="43"/>
      <c r="AG3185" s="49" t="str">
        <f ca="1">IFERROR(__xludf.DUMMYFUNCTION("IFNA(vlookup(H3185,IMPORTRANGE(""1vUGwO1n0QQGx9kKbO0_M5gmuhXZ6-LaxQxgrmJnzgP0"",""'TP# look up'!A:C""),3,0),"""")"),"")</f>
        <v/>
      </c>
      <c r="AH3185" s="49" t="str">
        <f t="shared" si="49"/>
        <v/>
      </c>
    </row>
    <row r="3186" spans="8:34" ht="12.75">
      <c r="H3186" s="43"/>
      <c r="AG3186" s="49" t="str">
        <f ca="1">IFERROR(__xludf.DUMMYFUNCTION("IFNA(vlookup(H3186,IMPORTRANGE(""1vUGwO1n0QQGx9kKbO0_M5gmuhXZ6-LaxQxgrmJnzgP0"",""'TP# look up'!A:C""),3,0),"""")"),"")</f>
        <v/>
      </c>
      <c r="AH3186" s="49" t="str">
        <f t="shared" si="49"/>
        <v/>
      </c>
    </row>
    <row r="3187" spans="8:34" ht="12.75">
      <c r="H3187" s="43"/>
      <c r="AG3187" s="49" t="str">
        <f ca="1">IFERROR(__xludf.DUMMYFUNCTION("IFNA(vlookup(H3187,IMPORTRANGE(""1vUGwO1n0QQGx9kKbO0_M5gmuhXZ6-LaxQxgrmJnzgP0"",""'TP# look up'!A:C""),3,0),"""")"),"")</f>
        <v/>
      </c>
      <c r="AH3187" s="49" t="str">
        <f t="shared" si="49"/>
        <v/>
      </c>
    </row>
    <row r="3188" spans="8:34" ht="12.75">
      <c r="H3188" s="43"/>
      <c r="AG3188" s="49" t="str">
        <f ca="1">IFERROR(__xludf.DUMMYFUNCTION("IFNA(vlookup(H3188,IMPORTRANGE(""1vUGwO1n0QQGx9kKbO0_M5gmuhXZ6-LaxQxgrmJnzgP0"",""'TP# look up'!A:C""),3,0),"""")"),"")</f>
        <v/>
      </c>
      <c r="AH3188" s="49" t="str">
        <f t="shared" si="49"/>
        <v/>
      </c>
    </row>
    <row r="3189" spans="8:34" ht="12.75">
      <c r="H3189" s="43"/>
      <c r="AG3189" s="49" t="str">
        <f ca="1">IFERROR(__xludf.DUMMYFUNCTION("IFNA(vlookup(H3189,IMPORTRANGE(""1vUGwO1n0QQGx9kKbO0_M5gmuhXZ6-LaxQxgrmJnzgP0"",""'TP# look up'!A:C""),3,0),"""")"),"")</f>
        <v/>
      </c>
      <c r="AH3189" s="49" t="str">
        <f t="shared" si="49"/>
        <v/>
      </c>
    </row>
    <row r="3190" spans="8:34" ht="12.75">
      <c r="H3190" s="43"/>
      <c r="AG3190" s="49" t="str">
        <f ca="1">IFERROR(__xludf.DUMMYFUNCTION("IFNA(vlookup(H3190,IMPORTRANGE(""1vUGwO1n0QQGx9kKbO0_M5gmuhXZ6-LaxQxgrmJnzgP0"",""'TP# look up'!A:C""),3,0),"""")"),"")</f>
        <v/>
      </c>
      <c r="AH3190" s="49" t="str">
        <f t="shared" si="49"/>
        <v/>
      </c>
    </row>
    <row r="3191" spans="8:34" ht="12.75">
      <c r="H3191" s="43"/>
      <c r="AG3191" s="49" t="str">
        <f ca="1">IFERROR(__xludf.DUMMYFUNCTION("IFNA(vlookup(H3191,IMPORTRANGE(""1vUGwO1n0QQGx9kKbO0_M5gmuhXZ6-LaxQxgrmJnzgP0"",""'TP# look up'!A:C""),3,0),"""")"),"")</f>
        <v/>
      </c>
      <c r="AH3191" s="49" t="str">
        <f t="shared" si="49"/>
        <v/>
      </c>
    </row>
    <row r="3192" spans="8:34" ht="12.75">
      <c r="H3192" s="43"/>
      <c r="AG3192" s="49" t="str">
        <f ca="1">IFERROR(__xludf.DUMMYFUNCTION("IFNA(vlookup(H3192,IMPORTRANGE(""1vUGwO1n0QQGx9kKbO0_M5gmuhXZ6-LaxQxgrmJnzgP0"",""'TP# look up'!A:C""),3,0),"""")"),"")</f>
        <v/>
      </c>
      <c r="AH3192" s="49" t="str">
        <f t="shared" si="49"/>
        <v/>
      </c>
    </row>
    <row r="3193" spans="8:34" ht="12.75">
      <c r="H3193" s="43"/>
      <c r="AG3193" s="49" t="str">
        <f ca="1">IFERROR(__xludf.DUMMYFUNCTION("IFNA(vlookup(H3193,IMPORTRANGE(""1vUGwO1n0QQGx9kKbO0_M5gmuhXZ6-LaxQxgrmJnzgP0"",""'TP# look up'!A:C""),3,0),"""")"),"")</f>
        <v/>
      </c>
      <c r="AH3193" s="49" t="str">
        <f t="shared" si="49"/>
        <v/>
      </c>
    </row>
    <row r="3194" spans="8:34" ht="12.75">
      <c r="H3194" s="43"/>
      <c r="AG3194" s="49" t="str">
        <f ca="1">IFERROR(__xludf.DUMMYFUNCTION("IFNA(vlookup(H3194,IMPORTRANGE(""1vUGwO1n0QQGx9kKbO0_M5gmuhXZ6-LaxQxgrmJnzgP0"",""'TP# look up'!A:C""),3,0),"""")"),"")</f>
        <v/>
      </c>
      <c r="AH3194" s="49" t="str">
        <f t="shared" si="49"/>
        <v/>
      </c>
    </row>
    <row r="3195" spans="8:34" ht="12.75">
      <c r="H3195" s="43"/>
      <c r="AG3195" s="49" t="str">
        <f ca="1">IFERROR(__xludf.DUMMYFUNCTION("IFNA(vlookup(H3195,IMPORTRANGE(""1vUGwO1n0QQGx9kKbO0_M5gmuhXZ6-LaxQxgrmJnzgP0"",""'TP# look up'!A:C""),3,0),"""")"),"")</f>
        <v/>
      </c>
      <c r="AH3195" s="49" t="str">
        <f t="shared" si="49"/>
        <v/>
      </c>
    </row>
    <row r="3196" spans="8:34" ht="12.75">
      <c r="H3196" s="43"/>
      <c r="AG3196" s="49" t="str">
        <f ca="1">IFERROR(__xludf.DUMMYFUNCTION("IFNA(vlookup(H3196,IMPORTRANGE(""1vUGwO1n0QQGx9kKbO0_M5gmuhXZ6-LaxQxgrmJnzgP0"",""'TP# look up'!A:C""),3,0),"""")"),"")</f>
        <v/>
      </c>
      <c r="AH3196" s="49" t="str">
        <f t="shared" si="49"/>
        <v/>
      </c>
    </row>
    <row r="3197" spans="8:34" ht="12.75">
      <c r="H3197" s="43"/>
      <c r="AG3197" s="49" t="str">
        <f ca="1">IFERROR(__xludf.DUMMYFUNCTION("IFNA(vlookup(H3197,IMPORTRANGE(""1vUGwO1n0QQGx9kKbO0_M5gmuhXZ6-LaxQxgrmJnzgP0"",""'TP# look up'!A:C""),3,0),"""")"),"")</f>
        <v/>
      </c>
      <c r="AH3197" s="49" t="str">
        <f t="shared" si="49"/>
        <v/>
      </c>
    </row>
    <row r="3198" spans="8:34" ht="12.75">
      <c r="H3198" s="43"/>
      <c r="AG3198" s="49" t="str">
        <f ca="1">IFERROR(__xludf.DUMMYFUNCTION("IFNA(vlookup(H3198,IMPORTRANGE(""1vUGwO1n0QQGx9kKbO0_M5gmuhXZ6-LaxQxgrmJnzgP0"",""'TP# look up'!A:C""),3,0),"""")"),"")</f>
        <v/>
      </c>
      <c r="AH3198" s="49" t="str">
        <f t="shared" si="49"/>
        <v/>
      </c>
    </row>
    <row r="3199" spans="8:34" ht="12.75">
      <c r="H3199" s="43"/>
      <c r="AG3199" s="49" t="str">
        <f ca="1">IFERROR(__xludf.DUMMYFUNCTION("IFNA(vlookup(H3199,IMPORTRANGE(""1vUGwO1n0QQGx9kKbO0_M5gmuhXZ6-LaxQxgrmJnzgP0"",""'TP# look up'!A:C""),3,0),"""")"),"")</f>
        <v/>
      </c>
      <c r="AH3199" s="49" t="str">
        <f t="shared" si="49"/>
        <v/>
      </c>
    </row>
    <row r="3200" spans="8:34" ht="12.75">
      <c r="H3200" s="43"/>
      <c r="AG3200" s="49" t="str">
        <f ca="1">IFERROR(__xludf.DUMMYFUNCTION("IFNA(vlookup(H3200,IMPORTRANGE(""1vUGwO1n0QQGx9kKbO0_M5gmuhXZ6-LaxQxgrmJnzgP0"",""'TP# look up'!A:C""),3,0),"""")"),"")</f>
        <v/>
      </c>
      <c r="AH3200" s="49" t="str">
        <f t="shared" si="49"/>
        <v/>
      </c>
    </row>
    <row r="3201" spans="8:34" ht="12.75">
      <c r="H3201" s="43"/>
      <c r="AG3201" s="49" t="str">
        <f ca="1">IFERROR(__xludf.DUMMYFUNCTION("IFNA(vlookup(H3201,IMPORTRANGE(""1vUGwO1n0QQGx9kKbO0_M5gmuhXZ6-LaxQxgrmJnzgP0"",""'TP# look up'!A:C""),3,0),"""")"),"")</f>
        <v/>
      </c>
      <c r="AH3201" s="49" t="str">
        <f t="shared" si="49"/>
        <v/>
      </c>
    </row>
    <row r="3202" spans="8:34" ht="12.75">
      <c r="H3202" s="43"/>
      <c r="AG3202" s="49" t="str">
        <f ca="1">IFERROR(__xludf.DUMMYFUNCTION("IFNA(vlookup(H3202,IMPORTRANGE(""1vUGwO1n0QQGx9kKbO0_M5gmuhXZ6-LaxQxgrmJnzgP0"",""'TP# look up'!A:C""),3,0),"""")"),"")</f>
        <v/>
      </c>
      <c r="AH3202" s="49" t="str">
        <f t="shared" ref="AH3202:AH3265" si="50">LEFT(J3202,2)</f>
        <v/>
      </c>
    </row>
    <row r="3203" spans="8:34" ht="12.75">
      <c r="H3203" s="43"/>
      <c r="AG3203" s="49" t="str">
        <f ca="1">IFERROR(__xludf.DUMMYFUNCTION("IFNA(vlookup(H3203,IMPORTRANGE(""1vUGwO1n0QQGx9kKbO0_M5gmuhXZ6-LaxQxgrmJnzgP0"",""'TP# look up'!A:C""),3,0),"""")"),"")</f>
        <v/>
      </c>
      <c r="AH3203" s="49" t="str">
        <f t="shared" si="50"/>
        <v/>
      </c>
    </row>
    <row r="3204" spans="8:34" ht="12.75">
      <c r="H3204" s="43"/>
      <c r="AG3204" s="49" t="str">
        <f ca="1">IFERROR(__xludf.DUMMYFUNCTION("IFNA(vlookup(H3204,IMPORTRANGE(""1vUGwO1n0QQGx9kKbO0_M5gmuhXZ6-LaxQxgrmJnzgP0"",""'TP# look up'!A:C""),3,0),"""")"),"")</f>
        <v/>
      </c>
      <c r="AH3204" s="49" t="str">
        <f t="shared" si="50"/>
        <v/>
      </c>
    </row>
    <row r="3205" spans="8:34" ht="12.75">
      <c r="H3205" s="43"/>
      <c r="AG3205" s="49" t="str">
        <f ca="1">IFERROR(__xludf.DUMMYFUNCTION("IFNA(vlookup(H3205,IMPORTRANGE(""1vUGwO1n0QQGx9kKbO0_M5gmuhXZ6-LaxQxgrmJnzgP0"",""'TP# look up'!A:C""),3,0),"""")"),"")</f>
        <v/>
      </c>
      <c r="AH3205" s="49" t="str">
        <f t="shared" si="50"/>
        <v/>
      </c>
    </row>
    <row r="3206" spans="8:34" ht="12.75">
      <c r="H3206" s="43"/>
      <c r="AG3206" s="49" t="str">
        <f ca="1">IFERROR(__xludf.DUMMYFUNCTION("IFNA(vlookup(H3206,IMPORTRANGE(""1vUGwO1n0QQGx9kKbO0_M5gmuhXZ6-LaxQxgrmJnzgP0"",""'TP# look up'!A:C""),3,0),"""")"),"")</f>
        <v/>
      </c>
      <c r="AH3206" s="49" t="str">
        <f t="shared" si="50"/>
        <v/>
      </c>
    </row>
    <row r="3207" spans="8:34" ht="12.75">
      <c r="H3207" s="43"/>
      <c r="AG3207" s="49" t="str">
        <f ca="1">IFERROR(__xludf.DUMMYFUNCTION("IFNA(vlookup(H3207,IMPORTRANGE(""1vUGwO1n0QQGx9kKbO0_M5gmuhXZ6-LaxQxgrmJnzgP0"",""'TP# look up'!A:C""),3,0),"""")"),"")</f>
        <v/>
      </c>
      <c r="AH3207" s="49" t="str">
        <f t="shared" si="50"/>
        <v/>
      </c>
    </row>
    <row r="3208" spans="8:34" ht="12.75">
      <c r="H3208" s="43"/>
      <c r="AG3208" s="49" t="str">
        <f ca="1">IFERROR(__xludf.DUMMYFUNCTION("IFNA(vlookup(H3208,IMPORTRANGE(""1vUGwO1n0QQGx9kKbO0_M5gmuhXZ6-LaxQxgrmJnzgP0"",""'TP# look up'!A:C""),3,0),"""")"),"")</f>
        <v/>
      </c>
      <c r="AH3208" s="49" t="str">
        <f t="shared" si="50"/>
        <v/>
      </c>
    </row>
    <row r="3209" spans="8:34" ht="12.75">
      <c r="H3209" s="43"/>
      <c r="AG3209" s="49" t="str">
        <f ca="1">IFERROR(__xludf.DUMMYFUNCTION("IFNA(vlookup(H3209,IMPORTRANGE(""1vUGwO1n0QQGx9kKbO0_M5gmuhXZ6-LaxQxgrmJnzgP0"",""'TP# look up'!A:C""),3,0),"""")"),"")</f>
        <v/>
      </c>
      <c r="AH3209" s="49" t="str">
        <f t="shared" si="50"/>
        <v/>
      </c>
    </row>
    <row r="3210" spans="8:34" ht="12.75">
      <c r="H3210" s="43"/>
      <c r="AG3210" s="49" t="str">
        <f ca="1">IFERROR(__xludf.DUMMYFUNCTION("IFNA(vlookup(H3210,IMPORTRANGE(""1vUGwO1n0QQGx9kKbO0_M5gmuhXZ6-LaxQxgrmJnzgP0"",""'TP# look up'!A:C""),3,0),"""")"),"")</f>
        <v/>
      </c>
      <c r="AH3210" s="49" t="str">
        <f t="shared" si="50"/>
        <v/>
      </c>
    </row>
    <row r="3211" spans="8:34" ht="12.75">
      <c r="H3211" s="43"/>
      <c r="AG3211" s="49" t="str">
        <f ca="1">IFERROR(__xludf.DUMMYFUNCTION("IFNA(vlookup(H3211,IMPORTRANGE(""1vUGwO1n0QQGx9kKbO0_M5gmuhXZ6-LaxQxgrmJnzgP0"",""'TP# look up'!A:C""),3,0),"""")"),"")</f>
        <v/>
      </c>
      <c r="AH3211" s="49" t="str">
        <f t="shared" si="50"/>
        <v/>
      </c>
    </row>
    <row r="3212" spans="8:34" ht="12.75">
      <c r="H3212" s="43"/>
      <c r="AG3212" s="49" t="str">
        <f ca="1">IFERROR(__xludf.DUMMYFUNCTION("IFNA(vlookup(H3212,IMPORTRANGE(""1vUGwO1n0QQGx9kKbO0_M5gmuhXZ6-LaxQxgrmJnzgP0"",""'TP# look up'!A:C""),3,0),"""")"),"")</f>
        <v/>
      </c>
      <c r="AH3212" s="49" t="str">
        <f t="shared" si="50"/>
        <v/>
      </c>
    </row>
    <row r="3213" spans="8:34" ht="12.75">
      <c r="H3213" s="43"/>
      <c r="AG3213" s="49" t="str">
        <f ca="1">IFERROR(__xludf.DUMMYFUNCTION("IFNA(vlookup(H3213,IMPORTRANGE(""1vUGwO1n0QQGx9kKbO0_M5gmuhXZ6-LaxQxgrmJnzgP0"",""'TP# look up'!A:C""),3,0),"""")"),"")</f>
        <v/>
      </c>
      <c r="AH3213" s="49" t="str">
        <f t="shared" si="50"/>
        <v/>
      </c>
    </row>
    <row r="3214" spans="8:34" ht="12.75">
      <c r="H3214" s="43"/>
      <c r="AG3214" s="49" t="str">
        <f ca="1">IFERROR(__xludf.DUMMYFUNCTION("IFNA(vlookup(H3214,IMPORTRANGE(""1vUGwO1n0QQGx9kKbO0_M5gmuhXZ6-LaxQxgrmJnzgP0"",""'TP# look up'!A:C""),3,0),"""")"),"")</f>
        <v/>
      </c>
      <c r="AH3214" s="49" t="str">
        <f t="shared" si="50"/>
        <v/>
      </c>
    </row>
    <row r="3215" spans="8:34" ht="12.75">
      <c r="H3215" s="43"/>
      <c r="AG3215" s="49" t="str">
        <f ca="1">IFERROR(__xludf.DUMMYFUNCTION("IFNA(vlookup(H3215,IMPORTRANGE(""1vUGwO1n0QQGx9kKbO0_M5gmuhXZ6-LaxQxgrmJnzgP0"",""'TP# look up'!A:C""),3,0),"""")"),"")</f>
        <v/>
      </c>
      <c r="AH3215" s="49" t="str">
        <f t="shared" si="50"/>
        <v/>
      </c>
    </row>
    <row r="3216" spans="8:34" ht="12.75">
      <c r="H3216" s="43"/>
      <c r="AG3216" s="49" t="str">
        <f ca="1">IFERROR(__xludf.DUMMYFUNCTION("IFNA(vlookup(H3216,IMPORTRANGE(""1vUGwO1n0QQGx9kKbO0_M5gmuhXZ6-LaxQxgrmJnzgP0"",""'TP# look up'!A:C""),3,0),"""")"),"")</f>
        <v/>
      </c>
      <c r="AH3216" s="49" t="str">
        <f t="shared" si="50"/>
        <v/>
      </c>
    </row>
    <row r="3217" spans="8:34" ht="12.75">
      <c r="H3217" s="43"/>
      <c r="AG3217" s="49" t="str">
        <f ca="1">IFERROR(__xludf.DUMMYFUNCTION("IFNA(vlookup(H3217,IMPORTRANGE(""1vUGwO1n0QQGx9kKbO0_M5gmuhXZ6-LaxQxgrmJnzgP0"",""'TP# look up'!A:C""),3,0),"""")"),"")</f>
        <v/>
      </c>
      <c r="AH3217" s="49" t="str">
        <f t="shared" si="50"/>
        <v/>
      </c>
    </row>
    <row r="3218" spans="8:34" ht="12.75">
      <c r="H3218" s="43"/>
      <c r="AG3218" s="49" t="str">
        <f ca="1">IFERROR(__xludf.DUMMYFUNCTION("IFNA(vlookup(H3218,IMPORTRANGE(""1vUGwO1n0QQGx9kKbO0_M5gmuhXZ6-LaxQxgrmJnzgP0"",""'TP# look up'!A:C""),3,0),"""")"),"")</f>
        <v/>
      </c>
      <c r="AH3218" s="49" t="str">
        <f t="shared" si="50"/>
        <v/>
      </c>
    </row>
    <row r="3219" spans="8:34" ht="12.75">
      <c r="H3219" s="43"/>
      <c r="AG3219" s="49" t="str">
        <f ca="1">IFERROR(__xludf.DUMMYFUNCTION("IFNA(vlookup(H3219,IMPORTRANGE(""1vUGwO1n0QQGx9kKbO0_M5gmuhXZ6-LaxQxgrmJnzgP0"",""'TP# look up'!A:C""),3,0),"""")"),"")</f>
        <v/>
      </c>
      <c r="AH3219" s="49" t="str">
        <f t="shared" si="50"/>
        <v/>
      </c>
    </row>
    <row r="3220" spans="8:34" ht="12.75">
      <c r="H3220" s="43"/>
      <c r="AG3220" s="49" t="str">
        <f ca="1">IFERROR(__xludf.DUMMYFUNCTION("IFNA(vlookup(H3220,IMPORTRANGE(""1vUGwO1n0QQGx9kKbO0_M5gmuhXZ6-LaxQxgrmJnzgP0"",""'TP# look up'!A:C""),3,0),"""")"),"")</f>
        <v/>
      </c>
      <c r="AH3220" s="49" t="str">
        <f t="shared" si="50"/>
        <v/>
      </c>
    </row>
    <row r="3221" spans="8:34" ht="12.75">
      <c r="H3221" s="43"/>
      <c r="AG3221" s="49" t="str">
        <f ca="1">IFERROR(__xludf.DUMMYFUNCTION("IFNA(vlookup(H3221,IMPORTRANGE(""1vUGwO1n0QQGx9kKbO0_M5gmuhXZ6-LaxQxgrmJnzgP0"",""'TP# look up'!A:C""),3,0),"""")"),"")</f>
        <v/>
      </c>
      <c r="AH3221" s="49" t="str">
        <f t="shared" si="50"/>
        <v/>
      </c>
    </row>
    <row r="3222" spans="8:34" ht="12.75">
      <c r="H3222" s="43"/>
      <c r="AG3222" s="49" t="str">
        <f ca="1">IFERROR(__xludf.DUMMYFUNCTION("IFNA(vlookup(H3222,IMPORTRANGE(""1vUGwO1n0QQGx9kKbO0_M5gmuhXZ6-LaxQxgrmJnzgP0"",""'TP# look up'!A:C""),3,0),"""")"),"")</f>
        <v/>
      </c>
      <c r="AH3222" s="49" t="str">
        <f t="shared" si="50"/>
        <v/>
      </c>
    </row>
    <row r="3223" spans="8:34" ht="12.75">
      <c r="H3223" s="43"/>
      <c r="AG3223" s="49" t="str">
        <f ca="1">IFERROR(__xludf.DUMMYFUNCTION("IFNA(vlookup(H3223,IMPORTRANGE(""1vUGwO1n0QQGx9kKbO0_M5gmuhXZ6-LaxQxgrmJnzgP0"",""'TP# look up'!A:C""),3,0),"""")"),"")</f>
        <v/>
      </c>
      <c r="AH3223" s="49" t="str">
        <f t="shared" si="50"/>
        <v/>
      </c>
    </row>
    <row r="3224" spans="8:34" ht="12.75">
      <c r="H3224" s="43"/>
      <c r="AG3224" s="49" t="str">
        <f ca="1">IFERROR(__xludf.DUMMYFUNCTION("IFNA(vlookup(H3224,IMPORTRANGE(""1vUGwO1n0QQGx9kKbO0_M5gmuhXZ6-LaxQxgrmJnzgP0"",""'TP# look up'!A:C""),3,0),"""")"),"")</f>
        <v/>
      </c>
      <c r="AH3224" s="49" t="str">
        <f t="shared" si="50"/>
        <v/>
      </c>
    </row>
    <row r="3225" spans="8:34" ht="12.75">
      <c r="H3225" s="43"/>
      <c r="AG3225" s="49" t="str">
        <f ca="1">IFERROR(__xludf.DUMMYFUNCTION("IFNA(vlookup(H3225,IMPORTRANGE(""1vUGwO1n0QQGx9kKbO0_M5gmuhXZ6-LaxQxgrmJnzgP0"",""'TP# look up'!A:C""),3,0),"""")"),"")</f>
        <v/>
      </c>
      <c r="AH3225" s="49" t="str">
        <f t="shared" si="50"/>
        <v/>
      </c>
    </row>
    <row r="3226" spans="8:34" ht="12.75">
      <c r="H3226" s="43"/>
      <c r="AG3226" s="49" t="str">
        <f ca="1">IFERROR(__xludf.DUMMYFUNCTION("IFNA(vlookup(H3226,IMPORTRANGE(""1vUGwO1n0QQGx9kKbO0_M5gmuhXZ6-LaxQxgrmJnzgP0"",""'TP# look up'!A:C""),3,0),"""")"),"")</f>
        <v/>
      </c>
      <c r="AH3226" s="49" t="str">
        <f t="shared" si="50"/>
        <v/>
      </c>
    </row>
    <row r="3227" spans="8:34" ht="12.75">
      <c r="H3227" s="43"/>
      <c r="AG3227" s="49" t="str">
        <f ca="1">IFERROR(__xludf.DUMMYFUNCTION("IFNA(vlookup(H3227,IMPORTRANGE(""1vUGwO1n0QQGx9kKbO0_M5gmuhXZ6-LaxQxgrmJnzgP0"",""'TP# look up'!A:C""),3,0),"""")"),"")</f>
        <v/>
      </c>
      <c r="AH3227" s="49" t="str">
        <f t="shared" si="50"/>
        <v/>
      </c>
    </row>
    <row r="3228" spans="8:34" ht="12.75">
      <c r="H3228" s="43"/>
      <c r="AG3228" s="49" t="str">
        <f ca="1">IFERROR(__xludf.DUMMYFUNCTION("IFNA(vlookup(H3228,IMPORTRANGE(""1vUGwO1n0QQGx9kKbO0_M5gmuhXZ6-LaxQxgrmJnzgP0"",""'TP# look up'!A:C""),3,0),"""")"),"")</f>
        <v/>
      </c>
      <c r="AH3228" s="49" t="str">
        <f t="shared" si="50"/>
        <v/>
      </c>
    </row>
    <row r="3229" spans="8:34" ht="12.75">
      <c r="H3229" s="43"/>
      <c r="AG3229" s="49" t="str">
        <f ca="1">IFERROR(__xludf.DUMMYFUNCTION("IFNA(vlookup(H3229,IMPORTRANGE(""1vUGwO1n0QQGx9kKbO0_M5gmuhXZ6-LaxQxgrmJnzgP0"",""'TP# look up'!A:C""),3,0),"""")"),"")</f>
        <v/>
      </c>
      <c r="AH3229" s="49" t="str">
        <f t="shared" si="50"/>
        <v/>
      </c>
    </row>
    <row r="3230" spans="8:34" ht="12.75">
      <c r="H3230" s="43"/>
      <c r="AG3230" s="49" t="str">
        <f ca="1">IFERROR(__xludf.DUMMYFUNCTION("IFNA(vlookup(H3230,IMPORTRANGE(""1vUGwO1n0QQGx9kKbO0_M5gmuhXZ6-LaxQxgrmJnzgP0"",""'TP# look up'!A:C""),3,0),"""")"),"")</f>
        <v/>
      </c>
      <c r="AH3230" s="49" t="str">
        <f t="shared" si="50"/>
        <v/>
      </c>
    </row>
    <row r="3231" spans="8:34" ht="12.75">
      <c r="H3231" s="43"/>
      <c r="AG3231" s="49" t="str">
        <f ca="1">IFERROR(__xludf.DUMMYFUNCTION("IFNA(vlookup(H3231,IMPORTRANGE(""1vUGwO1n0QQGx9kKbO0_M5gmuhXZ6-LaxQxgrmJnzgP0"",""'TP# look up'!A:C""),3,0),"""")"),"")</f>
        <v/>
      </c>
      <c r="AH3231" s="49" t="str">
        <f t="shared" si="50"/>
        <v/>
      </c>
    </row>
    <row r="3232" spans="8:34" ht="12.75">
      <c r="H3232" s="43"/>
      <c r="AG3232" s="49" t="str">
        <f ca="1">IFERROR(__xludf.DUMMYFUNCTION("IFNA(vlookup(H3232,IMPORTRANGE(""1vUGwO1n0QQGx9kKbO0_M5gmuhXZ6-LaxQxgrmJnzgP0"",""'TP# look up'!A:C""),3,0),"""")"),"")</f>
        <v/>
      </c>
      <c r="AH3232" s="49" t="str">
        <f t="shared" si="50"/>
        <v/>
      </c>
    </row>
    <row r="3233" spans="8:34" ht="12.75">
      <c r="H3233" s="43"/>
      <c r="AG3233" s="49" t="str">
        <f ca="1">IFERROR(__xludf.DUMMYFUNCTION("IFNA(vlookup(H3233,IMPORTRANGE(""1vUGwO1n0QQGx9kKbO0_M5gmuhXZ6-LaxQxgrmJnzgP0"",""'TP# look up'!A:C""),3,0),"""")"),"")</f>
        <v/>
      </c>
      <c r="AH3233" s="49" t="str">
        <f t="shared" si="50"/>
        <v/>
      </c>
    </row>
    <row r="3234" spans="8:34" ht="12.75">
      <c r="H3234" s="43"/>
      <c r="AG3234" s="49" t="str">
        <f ca="1">IFERROR(__xludf.DUMMYFUNCTION("IFNA(vlookup(H3234,IMPORTRANGE(""1vUGwO1n0QQGx9kKbO0_M5gmuhXZ6-LaxQxgrmJnzgP0"",""'TP# look up'!A:C""),3,0),"""")"),"")</f>
        <v/>
      </c>
      <c r="AH3234" s="49" t="str">
        <f t="shared" si="50"/>
        <v/>
      </c>
    </row>
    <row r="3235" spans="8:34" ht="12.75">
      <c r="H3235" s="43"/>
      <c r="AG3235" s="49" t="str">
        <f ca="1">IFERROR(__xludf.DUMMYFUNCTION("IFNA(vlookup(H3235,IMPORTRANGE(""1vUGwO1n0QQGx9kKbO0_M5gmuhXZ6-LaxQxgrmJnzgP0"",""'TP# look up'!A:C""),3,0),"""")"),"")</f>
        <v/>
      </c>
      <c r="AH3235" s="49" t="str">
        <f t="shared" si="50"/>
        <v/>
      </c>
    </row>
    <row r="3236" spans="8:34" ht="12.75">
      <c r="H3236" s="43"/>
      <c r="AG3236" s="49" t="str">
        <f ca="1">IFERROR(__xludf.DUMMYFUNCTION("IFNA(vlookup(H3236,IMPORTRANGE(""1vUGwO1n0QQGx9kKbO0_M5gmuhXZ6-LaxQxgrmJnzgP0"",""'TP# look up'!A:C""),3,0),"""")"),"")</f>
        <v/>
      </c>
      <c r="AH3236" s="49" t="str">
        <f t="shared" si="50"/>
        <v/>
      </c>
    </row>
    <row r="3237" spans="8:34" ht="12.75">
      <c r="H3237" s="43"/>
      <c r="AG3237" s="49" t="str">
        <f ca="1">IFERROR(__xludf.DUMMYFUNCTION("IFNA(vlookup(H3237,IMPORTRANGE(""1vUGwO1n0QQGx9kKbO0_M5gmuhXZ6-LaxQxgrmJnzgP0"",""'TP# look up'!A:C""),3,0),"""")"),"")</f>
        <v/>
      </c>
      <c r="AH3237" s="49" t="str">
        <f t="shared" si="50"/>
        <v/>
      </c>
    </row>
    <row r="3238" spans="8:34" ht="12.75">
      <c r="H3238" s="43"/>
      <c r="AG3238" s="49" t="str">
        <f ca="1">IFERROR(__xludf.DUMMYFUNCTION("IFNA(vlookup(H3238,IMPORTRANGE(""1vUGwO1n0QQGx9kKbO0_M5gmuhXZ6-LaxQxgrmJnzgP0"",""'TP# look up'!A:C""),3,0),"""")"),"")</f>
        <v/>
      </c>
      <c r="AH3238" s="49" t="str">
        <f t="shared" si="50"/>
        <v/>
      </c>
    </row>
    <row r="3239" spans="8:34" ht="12.75">
      <c r="H3239" s="43"/>
      <c r="AG3239" s="49" t="str">
        <f ca="1">IFERROR(__xludf.DUMMYFUNCTION("IFNA(vlookup(H3239,IMPORTRANGE(""1vUGwO1n0QQGx9kKbO0_M5gmuhXZ6-LaxQxgrmJnzgP0"",""'TP# look up'!A:C""),3,0),"""")"),"")</f>
        <v/>
      </c>
      <c r="AH3239" s="49" t="str">
        <f t="shared" si="50"/>
        <v/>
      </c>
    </row>
    <row r="3240" spans="8:34" ht="12.75">
      <c r="H3240" s="43"/>
      <c r="AG3240" s="49" t="str">
        <f ca="1">IFERROR(__xludf.DUMMYFUNCTION("IFNA(vlookup(H3240,IMPORTRANGE(""1vUGwO1n0QQGx9kKbO0_M5gmuhXZ6-LaxQxgrmJnzgP0"",""'TP# look up'!A:C""),3,0),"""")"),"")</f>
        <v/>
      </c>
      <c r="AH3240" s="49" t="str">
        <f t="shared" si="50"/>
        <v/>
      </c>
    </row>
    <row r="3241" spans="8:34" ht="12.75">
      <c r="H3241" s="43"/>
      <c r="AG3241" s="49" t="str">
        <f ca="1">IFERROR(__xludf.DUMMYFUNCTION("IFNA(vlookup(H3241,IMPORTRANGE(""1vUGwO1n0QQGx9kKbO0_M5gmuhXZ6-LaxQxgrmJnzgP0"",""'TP# look up'!A:C""),3,0),"""")"),"")</f>
        <v/>
      </c>
      <c r="AH3241" s="49" t="str">
        <f t="shared" si="50"/>
        <v/>
      </c>
    </row>
    <row r="3242" spans="8:34" ht="12.75">
      <c r="H3242" s="43"/>
      <c r="AG3242" s="49" t="str">
        <f ca="1">IFERROR(__xludf.DUMMYFUNCTION("IFNA(vlookup(H3242,IMPORTRANGE(""1vUGwO1n0QQGx9kKbO0_M5gmuhXZ6-LaxQxgrmJnzgP0"",""'TP# look up'!A:C""),3,0),"""")"),"")</f>
        <v/>
      </c>
      <c r="AH3242" s="49" t="str">
        <f t="shared" si="50"/>
        <v/>
      </c>
    </row>
    <row r="3243" spans="8:34" ht="12.75">
      <c r="H3243" s="43"/>
      <c r="AG3243" s="49" t="str">
        <f ca="1">IFERROR(__xludf.DUMMYFUNCTION("IFNA(vlookup(H3243,IMPORTRANGE(""1vUGwO1n0QQGx9kKbO0_M5gmuhXZ6-LaxQxgrmJnzgP0"",""'TP# look up'!A:C""),3,0),"""")"),"")</f>
        <v/>
      </c>
      <c r="AH3243" s="49" t="str">
        <f t="shared" si="50"/>
        <v/>
      </c>
    </row>
    <row r="3244" spans="8:34" ht="12.75">
      <c r="H3244" s="43"/>
      <c r="AG3244" s="49" t="str">
        <f ca="1">IFERROR(__xludf.DUMMYFUNCTION("IFNA(vlookup(H3244,IMPORTRANGE(""1vUGwO1n0QQGx9kKbO0_M5gmuhXZ6-LaxQxgrmJnzgP0"",""'TP# look up'!A:C""),3,0),"""")"),"")</f>
        <v/>
      </c>
      <c r="AH3244" s="49" t="str">
        <f t="shared" si="50"/>
        <v/>
      </c>
    </row>
    <row r="3245" spans="8:34" ht="12.75">
      <c r="H3245" s="43"/>
      <c r="AG3245" s="49" t="str">
        <f ca="1">IFERROR(__xludf.DUMMYFUNCTION("IFNA(vlookup(H3245,IMPORTRANGE(""1vUGwO1n0QQGx9kKbO0_M5gmuhXZ6-LaxQxgrmJnzgP0"",""'TP# look up'!A:C""),3,0),"""")"),"")</f>
        <v/>
      </c>
      <c r="AH3245" s="49" t="str">
        <f t="shared" si="50"/>
        <v/>
      </c>
    </row>
    <row r="3246" spans="8:34" ht="12.75">
      <c r="H3246" s="43"/>
      <c r="AG3246" s="49" t="str">
        <f ca="1">IFERROR(__xludf.DUMMYFUNCTION("IFNA(vlookup(H3246,IMPORTRANGE(""1vUGwO1n0QQGx9kKbO0_M5gmuhXZ6-LaxQxgrmJnzgP0"",""'TP# look up'!A:C""),3,0),"""")"),"")</f>
        <v/>
      </c>
      <c r="AH3246" s="49" t="str">
        <f t="shared" si="50"/>
        <v/>
      </c>
    </row>
    <row r="3247" spans="8:34" ht="12.75">
      <c r="H3247" s="43"/>
      <c r="AG3247" s="49" t="str">
        <f ca="1">IFERROR(__xludf.DUMMYFUNCTION("IFNA(vlookup(H3247,IMPORTRANGE(""1vUGwO1n0QQGx9kKbO0_M5gmuhXZ6-LaxQxgrmJnzgP0"",""'TP# look up'!A:C""),3,0),"""")"),"")</f>
        <v/>
      </c>
      <c r="AH3247" s="49" t="str">
        <f t="shared" si="50"/>
        <v/>
      </c>
    </row>
    <row r="3248" spans="8:34" ht="12.75">
      <c r="H3248" s="43"/>
      <c r="AG3248" s="49" t="str">
        <f ca="1">IFERROR(__xludf.DUMMYFUNCTION("IFNA(vlookup(H3248,IMPORTRANGE(""1vUGwO1n0QQGx9kKbO0_M5gmuhXZ6-LaxQxgrmJnzgP0"",""'TP# look up'!A:C""),3,0),"""")"),"")</f>
        <v/>
      </c>
      <c r="AH3248" s="49" t="str">
        <f t="shared" si="50"/>
        <v/>
      </c>
    </row>
    <row r="3249" spans="8:34" ht="12.75">
      <c r="H3249" s="43"/>
      <c r="AG3249" s="49" t="str">
        <f ca="1">IFERROR(__xludf.DUMMYFUNCTION("IFNA(vlookup(H3249,IMPORTRANGE(""1vUGwO1n0QQGx9kKbO0_M5gmuhXZ6-LaxQxgrmJnzgP0"",""'TP# look up'!A:C""),3,0),"""")"),"")</f>
        <v/>
      </c>
      <c r="AH3249" s="49" t="str">
        <f t="shared" si="50"/>
        <v/>
      </c>
    </row>
    <row r="3250" spans="8:34" ht="12.75">
      <c r="H3250" s="43"/>
      <c r="AG3250" s="49" t="str">
        <f ca="1">IFERROR(__xludf.DUMMYFUNCTION("IFNA(vlookup(H3250,IMPORTRANGE(""1vUGwO1n0QQGx9kKbO0_M5gmuhXZ6-LaxQxgrmJnzgP0"",""'TP# look up'!A:C""),3,0),"""")"),"")</f>
        <v/>
      </c>
      <c r="AH3250" s="49" t="str">
        <f t="shared" si="50"/>
        <v/>
      </c>
    </row>
    <row r="3251" spans="8:34" ht="12.75">
      <c r="H3251" s="43"/>
      <c r="AG3251" s="49" t="str">
        <f ca="1">IFERROR(__xludf.DUMMYFUNCTION("IFNA(vlookup(H3251,IMPORTRANGE(""1vUGwO1n0QQGx9kKbO0_M5gmuhXZ6-LaxQxgrmJnzgP0"",""'TP# look up'!A:C""),3,0),"""")"),"")</f>
        <v/>
      </c>
      <c r="AH3251" s="49" t="str">
        <f t="shared" si="50"/>
        <v/>
      </c>
    </row>
    <row r="3252" spans="8:34" ht="12.75">
      <c r="H3252" s="43"/>
      <c r="AG3252" s="49" t="str">
        <f ca="1">IFERROR(__xludf.DUMMYFUNCTION("IFNA(vlookup(H3252,IMPORTRANGE(""1vUGwO1n0QQGx9kKbO0_M5gmuhXZ6-LaxQxgrmJnzgP0"",""'TP# look up'!A:C""),3,0),"""")"),"")</f>
        <v/>
      </c>
      <c r="AH3252" s="49" t="str">
        <f t="shared" si="50"/>
        <v/>
      </c>
    </row>
    <row r="3253" spans="8:34" ht="12.75">
      <c r="H3253" s="43"/>
      <c r="AG3253" s="49" t="str">
        <f ca="1">IFERROR(__xludf.DUMMYFUNCTION("IFNA(vlookup(H3253,IMPORTRANGE(""1vUGwO1n0QQGx9kKbO0_M5gmuhXZ6-LaxQxgrmJnzgP0"",""'TP# look up'!A:C""),3,0),"""")"),"")</f>
        <v/>
      </c>
      <c r="AH3253" s="49" t="str">
        <f t="shared" si="50"/>
        <v/>
      </c>
    </row>
    <row r="3254" spans="8:34" ht="12.75">
      <c r="H3254" s="43"/>
      <c r="AG3254" s="49" t="str">
        <f ca="1">IFERROR(__xludf.DUMMYFUNCTION("IFNA(vlookup(H3254,IMPORTRANGE(""1vUGwO1n0QQGx9kKbO0_M5gmuhXZ6-LaxQxgrmJnzgP0"",""'TP# look up'!A:C""),3,0),"""")"),"")</f>
        <v/>
      </c>
      <c r="AH3254" s="49" t="str">
        <f t="shared" si="50"/>
        <v/>
      </c>
    </row>
    <row r="3255" spans="8:34" ht="12.75">
      <c r="H3255" s="43"/>
      <c r="AG3255" s="49" t="str">
        <f ca="1">IFERROR(__xludf.DUMMYFUNCTION("IFNA(vlookup(H3255,IMPORTRANGE(""1vUGwO1n0QQGx9kKbO0_M5gmuhXZ6-LaxQxgrmJnzgP0"",""'TP# look up'!A:C""),3,0),"""")"),"")</f>
        <v/>
      </c>
      <c r="AH3255" s="49" t="str">
        <f t="shared" si="50"/>
        <v/>
      </c>
    </row>
    <row r="3256" spans="8:34" ht="12.75">
      <c r="H3256" s="43"/>
      <c r="AG3256" s="49" t="str">
        <f ca="1">IFERROR(__xludf.DUMMYFUNCTION("IFNA(vlookup(H3256,IMPORTRANGE(""1vUGwO1n0QQGx9kKbO0_M5gmuhXZ6-LaxQxgrmJnzgP0"",""'TP# look up'!A:C""),3,0),"""")"),"")</f>
        <v/>
      </c>
      <c r="AH3256" s="49" t="str">
        <f t="shared" si="50"/>
        <v/>
      </c>
    </row>
    <row r="3257" spans="8:34" ht="12.75">
      <c r="H3257" s="43"/>
      <c r="AG3257" s="49" t="str">
        <f ca="1">IFERROR(__xludf.DUMMYFUNCTION("IFNA(vlookup(H3257,IMPORTRANGE(""1vUGwO1n0QQGx9kKbO0_M5gmuhXZ6-LaxQxgrmJnzgP0"",""'TP# look up'!A:C""),3,0),"""")"),"")</f>
        <v/>
      </c>
      <c r="AH3257" s="49" t="str">
        <f t="shared" si="50"/>
        <v/>
      </c>
    </row>
    <row r="3258" spans="8:34" ht="12.75">
      <c r="H3258" s="43"/>
      <c r="AG3258" s="49" t="str">
        <f ca="1">IFERROR(__xludf.DUMMYFUNCTION("IFNA(vlookup(H3258,IMPORTRANGE(""1vUGwO1n0QQGx9kKbO0_M5gmuhXZ6-LaxQxgrmJnzgP0"",""'TP# look up'!A:C""),3,0),"""")"),"")</f>
        <v/>
      </c>
      <c r="AH3258" s="49" t="str">
        <f t="shared" si="50"/>
        <v/>
      </c>
    </row>
    <row r="3259" spans="8:34" ht="12.75">
      <c r="H3259" s="43"/>
      <c r="AG3259" s="49" t="str">
        <f ca="1">IFERROR(__xludf.DUMMYFUNCTION("IFNA(vlookup(H3259,IMPORTRANGE(""1vUGwO1n0QQGx9kKbO0_M5gmuhXZ6-LaxQxgrmJnzgP0"",""'TP# look up'!A:C""),3,0),"""")"),"")</f>
        <v/>
      </c>
      <c r="AH3259" s="49" t="str">
        <f t="shared" si="50"/>
        <v/>
      </c>
    </row>
    <row r="3260" spans="8:34" ht="12.75">
      <c r="H3260" s="43"/>
      <c r="AG3260" s="49" t="str">
        <f ca="1">IFERROR(__xludf.DUMMYFUNCTION("IFNA(vlookup(H3260,IMPORTRANGE(""1vUGwO1n0QQGx9kKbO0_M5gmuhXZ6-LaxQxgrmJnzgP0"",""'TP# look up'!A:C""),3,0),"""")"),"")</f>
        <v/>
      </c>
      <c r="AH3260" s="49" t="str">
        <f t="shared" si="50"/>
        <v/>
      </c>
    </row>
    <row r="3261" spans="8:34" ht="12.75">
      <c r="H3261" s="43"/>
      <c r="AG3261" s="49" t="str">
        <f ca="1">IFERROR(__xludf.DUMMYFUNCTION("IFNA(vlookup(H3261,IMPORTRANGE(""1vUGwO1n0QQGx9kKbO0_M5gmuhXZ6-LaxQxgrmJnzgP0"",""'TP# look up'!A:C""),3,0),"""")"),"")</f>
        <v/>
      </c>
      <c r="AH3261" s="49" t="str">
        <f t="shared" si="50"/>
        <v/>
      </c>
    </row>
    <row r="3262" spans="8:34" ht="12.75">
      <c r="H3262" s="43"/>
      <c r="AG3262" s="49" t="str">
        <f ca="1">IFERROR(__xludf.DUMMYFUNCTION("IFNA(vlookup(H3262,IMPORTRANGE(""1vUGwO1n0QQGx9kKbO0_M5gmuhXZ6-LaxQxgrmJnzgP0"",""'TP# look up'!A:C""),3,0),"""")"),"")</f>
        <v/>
      </c>
      <c r="AH3262" s="49" t="str">
        <f t="shared" si="50"/>
        <v/>
      </c>
    </row>
    <row r="3263" spans="8:34" ht="12.75">
      <c r="H3263" s="43"/>
      <c r="AG3263" s="49" t="str">
        <f ca="1">IFERROR(__xludf.DUMMYFUNCTION("IFNA(vlookup(H3263,IMPORTRANGE(""1vUGwO1n0QQGx9kKbO0_M5gmuhXZ6-LaxQxgrmJnzgP0"",""'TP# look up'!A:C""),3,0),"""")"),"")</f>
        <v/>
      </c>
      <c r="AH3263" s="49" t="str">
        <f t="shared" si="50"/>
        <v/>
      </c>
    </row>
    <row r="3264" spans="8:34" ht="12.75">
      <c r="H3264" s="43"/>
      <c r="AG3264" s="49" t="str">
        <f ca="1">IFERROR(__xludf.DUMMYFUNCTION("IFNA(vlookup(H3264,IMPORTRANGE(""1vUGwO1n0QQGx9kKbO0_M5gmuhXZ6-LaxQxgrmJnzgP0"",""'TP# look up'!A:C""),3,0),"""")"),"")</f>
        <v/>
      </c>
      <c r="AH3264" s="49" t="str">
        <f t="shared" si="50"/>
        <v/>
      </c>
    </row>
    <row r="3265" spans="8:34" ht="12.75">
      <c r="H3265" s="43"/>
      <c r="AG3265" s="49" t="str">
        <f ca="1">IFERROR(__xludf.DUMMYFUNCTION("IFNA(vlookup(H3265,IMPORTRANGE(""1vUGwO1n0QQGx9kKbO0_M5gmuhXZ6-LaxQxgrmJnzgP0"",""'TP# look up'!A:C""),3,0),"""")"),"")</f>
        <v/>
      </c>
      <c r="AH3265" s="49" t="str">
        <f t="shared" si="50"/>
        <v/>
      </c>
    </row>
    <row r="3266" spans="8:34" ht="12.75">
      <c r="H3266" s="43"/>
      <c r="AG3266" s="49" t="str">
        <f ca="1">IFERROR(__xludf.DUMMYFUNCTION("IFNA(vlookup(H3266,IMPORTRANGE(""1vUGwO1n0QQGx9kKbO0_M5gmuhXZ6-LaxQxgrmJnzgP0"",""'TP# look up'!A:C""),3,0),"""")"),"")</f>
        <v/>
      </c>
      <c r="AH3266" s="49" t="str">
        <f t="shared" ref="AH3266:AH3329" si="51">LEFT(J3266,2)</f>
        <v/>
      </c>
    </row>
    <row r="3267" spans="8:34" ht="12.75">
      <c r="H3267" s="43"/>
      <c r="AG3267" s="49" t="str">
        <f ca="1">IFERROR(__xludf.DUMMYFUNCTION("IFNA(vlookup(H3267,IMPORTRANGE(""1vUGwO1n0QQGx9kKbO0_M5gmuhXZ6-LaxQxgrmJnzgP0"",""'TP# look up'!A:C""),3,0),"""")"),"")</f>
        <v/>
      </c>
      <c r="AH3267" s="49" t="str">
        <f t="shared" si="51"/>
        <v/>
      </c>
    </row>
    <row r="3268" spans="8:34" ht="12.75">
      <c r="H3268" s="43"/>
      <c r="AG3268" s="49" t="str">
        <f ca="1">IFERROR(__xludf.DUMMYFUNCTION("IFNA(vlookup(H3268,IMPORTRANGE(""1vUGwO1n0QQGx9kKbO0_M5gmuhXZ6-LaxQxgrmJnzgP0"",""'TP# look up'!A:C""),3,0),"""")"),"")</f>
        <v/>
      </c>
      <c r="AH3268" s="49" t="str">
        <f t="shared" si="51"/>
        <v/>
      </c>
    </row>
    <row r="3269" spans="8:34" ht="12.75">
      <c r="H3269" s="43"/>
      <c r="AG3269" s="49" t="str">
        <f ca="1">IFERROR(__xludf.DUMMYFUNCTION("IFNA(vlookup(H3269,IMPORTRANGE(""1vUGwO1n0QQGx9kKbO0_M5gmuhXZ6-LaxQxgrmJnzgP0"",""'TP# look up'!A:C""),3,0),"""")"),"")</f>
        <v/>
      </c>
      <c r="AH3269" s="49" t="str">
        <f t="shared" si="51"/>
        <v/>
      </c>
    </row>
    <row r="3270" spans="8:34" ht="12.75">
      <c r="H3270" s="43"/>
      <c r="AG3270" s="49" t="str">
        <f ca="1">IFERROR(__xludf.DUMMYFUNCTION("IFNA(vlookup(H3270,IMPORTRANGE(""1vUGwO1n0QQGx9kKbO0_M5gmuhXZ6-LaxQxgrmJnzgP0"",""'TP# look up'!A:C""),3,0),"""")"),"")</f>
        <v/>
      </c>
      <c r="AH3270" s="49" t="str">
        <f t="shared" si="51"/>
        <v/>
      </c>
    </row>
    <row r="3271" spans="8:34" ht="12.75">
      <c r="H3271" s="43"/>
      <c r="AG3271" s="49" t="str">
        <f ca="1">IFERROR(__xludf.DUMMYFUNCTION("IFNA(vlookup(H3271,IMPORTRANGE(""1vUGwO1n0QQGx9kKbO0_M5gmuhXZ6-LaxQxgrmJnzgP0"",""'TP# look up'!A:C""),3,0),"""")"),"")</f>
        <v/>
      </c>
      <c r="AH3271" s="49" t="str">
        <f t="shared" si="51"/>
        <v/>
      </c>
    </row>
    <row r="3272" spans="8:34" ht="12.75">
      <c r="H3272" s="43"/>
      <c r="AG3272" s="49" t="str">
        <f ca="1">IFERROR(__xludf.DUMMYFUNCTION("IFNA(vlookup(H3272,IMPORTRANGE(""1vUGwO1n0QQGx9kKbO0_M5gmuhXZ6-LaxQxgrmJnzgP0"",""'TP# look up'!A:C""),3,0),"""")"),"")</f>
        <v/>
      </c>
      <c r="AH3272" s="49" t="str">
        <f t="shared" si="51"/>
        <v/>
      </c>
    </row>
    <row r="3273" spans="8:34" ht="12.75">
      <c r="H3273" s="43"/>
      <c r="AG3273" s="49" t="str">
        <f ca="1">IFERROR(__xludf.DUMMYFUNCTION("IFNA(vlookup(H3273,IMPORTRANGE(""1vUGwO1n0QQGx9kKbO0_M5gmuhXZ6-LaxQxgrmJnzgP0"",""'TP# look up'!A:C""),3,0),"""")"),"")</f>
        <v/>
      </c>
      <c r="AH3273" s="49" t="str">
        <f t="shared" si="51"/>
        <v/>
      </c>
    </row>
    <row r="3274" spans="8:34" ht="12.75">
      <c r="H3274" s="43"/>
      <c r="AG3274" s="49" t="str">
        <f ca="1">IFERROR(__xludf.DUMMYFUNCTION("IFNA(vlookup(H3274,IMPORTRANGE(""1vUGwO1n0QQGx9kKbO0_M5gmuhXZ6-LaxQxgrmJnzgP0"",""'TP# look up'!A:C""),3,0),"""")"),"")</f>
        <v/>
      </c>
      <c r="AH3274" s="49" t="str">
        <f t="shared" si="51"/>
        <v/>
      </c>
    </row>
    <row r="3275" spans="8:34" ht="12.75">
      <c r="H3275" s="43"/>
      <c r="AG3275" s="49" t="str">
        <f ca="1">IFERROR(__xludf.DUMMYFUNCTION("IFNA(vlookup(H3275,IMPORTRANGE(""1vUGwO1n0QQGx9kKbO0_M5gmuhXZ6-LaxQxgrmJnzgP0"",""'TP# look up'!A:C""),3,0),"""")"),"")</f>
        <v/>
      </c>
      <c r="AH3275" s="49" t="str">
        <f t="shared" si="51"/>
        <v/>
      </c>
    </row>
    <row r="3276" spans="8:34" ht="12.75">
      <c r="H3276" s="43"/>
      <c r="AG3276" s="49" t="str">
        <f ca="1">IFERROR(__xludf.DUMMYFUNCTION("IFNA(vlookup(H3276,IMPORTRANGE(""1vUGwO1n0QQGx9kKbO0_M5gmuhXZ6-LaxQxgrmJnzgP0"",""'TP# look up'!A:C""),3,0),"""")"),"")</f>
        <v/>
      </c>
      <c r="AH3276" s="49" t="str">
        <f t="shared" si="51"/>
        <v/>
      </c>
    </row>
    <row r="3277" spans="8:34" ht="12.75">
      <c r="H3277" s="43"/>
      <c r="AG3277" s="49" t="str">
        <f ca="1">IFERROR(__xludf.DUMMYFUNCTION("IFNA(vlookup(H3277,IMPORTRANGE(""1vUGwO1n0QQGx9kKbO0_M5gmuhXZ6-LaxQxgrmJnzgP0"",""'TP# look up'!A:C""),3,0),"""")"),"")</f>
        <v/>
      </c>
      <c r="AH3277" s="49" t="str">
        <f t="shared" si="51"/>
        <v/>
      </c>
    </row>
    <row r="3278" spans="8:34" ht="12.75">
      <c r="H3278" s="43"/>
      <c r="AG3278" s="49" t="str">
        <f ca="1">IFERROR(__xludf.DUMMYFUNCTION("IFNA(vlookup(H3278,IMPORTRANGE(""1vUGwO1n0QQGx9kKbO0_M5gmuhXZ6-LaxQxgrmJnzgP0"",""'TP# look up'!A:C""),3,0),"""")"),"")</f>
        <v/>
      </c>
      <c r="AH3278" s="49" t="str">
        <f t="shared" si="51"/>
        <v/>
      </c>
    </row>
    <row r="3279" spans="8:34" ht="12.75">
      <c r="H3279" s="43"/>
      <c r="AG3279" s="49" t="str">
        <f ca="1">IFERROR(__xludf.DUMMYFUNCTION("IFNA(vlookup(H3279,IMPORTRANGE(""1vUGwO1n0QQGx9kKbO0_M5gmuhXZ6-LaxQxgrmJnzgP0"",""'TP# look up'!A:C""),3,0),"""")"),"")</f>
        <v/>
      </c>
      <c r="AH3279" s="49" t="str">
        <f t="shared" si="51"/>
        <v/>
      </c>
    </row>
    <row r="3280" spans="8:34" ht="12.75">
      <c r="H3280" s="43"/>
      <c r="AG3280" s="49" t="str">
        <f ca="1">IFERROR(__xludf.DUMMYFUNCTION("IFNA(vlookup(H3280,IMPORTRANGE(""1vUGwO1n0QQGx9kKbO0_M5gmuhXZ6-LaxQxgrmJnzgP0"",""'TP# look up'!A:C""),3,0),"""")"),"")</f>
        <v/>
      </c>
      <c r="AH3280" s="49" t="str">
        <f t="shared" si="51"/>
        <v/>
      </c>
    </row>
    <row r="3281" spans="8:34" ht="12.75">
      <c r="H3281" s="43"/>
      <c r="AG3281" s="49" t="str">
        <f ca="1">IFERROR(__xludf.DUMMYFUNCTION("IFNA(vlookup(H3281,IMPORTRANGE(""1vUGwO1n0QQGx9kKbO0_M5gmuhXZ6-LaxQxgrmJnzgP0"",""'TP# look up'!A:C""),3,0),"""")"),"")</f>
        <v/>
      </c>
      <c r="AH3281" s="49" t="str">
        <f t="shared" si="51"/>
        <v/>
      </c>
    </row>
    <row r="3282" spans="8:34" ht="12.75">
      <c r="H3282" s="43"/>
      <c r="AG3282" s="49" t="str">
        <f ca="1">IFERROR(__xludf.DUMMYFUNCTION("IFNA(vlookup(H3282,IMPORTRANGE(""1vUGwO1n0QQGx9kKbO0_M5gmuhXZ6-LaxQxgrmJnzgP0"",""'TP# look up'!A:C""),3,0),"""")"),"")</f>
        <v/>
      </c>
      <c r="AH3282" s="49" t="str">
        <f t="shared" si="51"/>
        <v/>
      </c>
    </row>
    <row r="3283" spans="8:34" ht="12.75">
      <c r="H3283" s="43"/>
      <c r="AG3283" s="49" t="str">
        <f ca="1">IFERROR(__xludf.DUMMYFUNCTION("IFNA(vlookup(H3283,IMPORTRANGE(""1vUGwO1n0QQGx9kKbO0_M5gmuhXZ6-LaxQxgrmJnzgP0"",""'TP# look up'!A:C""),3,0),"""")"),"")</f>
        <v/>
      </c>
      <c r="AH3283" s="49" t="str">
        <f t="shared" si="51"/>
        <v/>
      </c>
    </row>
    <row r="3284" spans="8:34" ht="12.75">
      <c r="H3284" s="43"/>
      <c r="AG3284" s="49" t="str">
        <f ca="1">IFERROR(__xludf.DUMMYFUNCTION("IFNA(vlookup(H3284,IMPORTRANGE(""1vUGwO1n0QQGx9kKbO0_M5gmuhXZ6-LaxQxgrmJnzgP0"",""'TP# look up'!A:C""),3,0),"""")"),"")</f>
        <v/>
      </c>
      <c r="AH3284" s="49" t="str">
        <f t="shared" si="51"/>
        <v/>
      </c>
    </row>
    <row r="3285" spans="8:34" ht="12.75">
      <c r="H3285" s="43"/>
      <c r="AG3285" s="49" t="str">
        <f ca="1">IFERROR(__xludf.DUMMYFUNCTION("IFNA(vlookup(H3285,IMPORTRANGE(""1vUGwO1n0QQGx9kKbO0_M5gmuhXZ6-LaxQxgrmJnzgP0"",""'TP# look up'!A:C""),3,0),"""")"),"")</f>
        <v/>
      </c>
      <c r="AH3285" s="49" t="str">
        <f t="shared" si="51"/>
        <v/>
      </c>
    </row>
    <row r="3286" spans="8:34" ht="12.75">
      <c r="H3286" s="43"/>
      <c r="AG3286" s="49" t="str">
        <f ca="1">IFERROR(__xludf.DUMMYFUNCTION("IFNA(vlookup(H3286,IMPORTRANGE(""1vUGwO1n0QQGx9kKbO0_M5gmuhXZ6-LaxQxgrmJnzgP0"",""'TP# look up'!A:C""),3,0),"""")"),"")</f>
        <v/>
      </c>
      <c r="AH3286" s="49" t="str">
        <f t="shared" si="51"/>
        <v/>
      </c>
    </row>
    <row r="3287" spans="8:34" ht="12.75">
      <c r="H3287" s="43"/>
      <c r="AG3287" s="49" t="str">
        <f ca="1">IFERROR(__xludf.DUMMYFUNCTION("IFNA(vlookup(H3287,IMPORTRANGE(""1vUGwO1n0QQGx9kKbO0_M5gmuhXZ6-LaxQxgrmJnzgP0"",""'TP# look up'!A:C""),3,0),"""")"),"")</f>
        <v/>
      </c>
      <c r="AH3287" s="49" t="str">
        <f t="shared" si="51"/>
        <v/>
      </c>
    </row>
    <row r="3288" spans="8:34" ht="12.75">
      <c r="H3288" s="43"/>
      <c r="AG3288" s="49" t="str">
        <f ca="1">IFERROR(__xludf.DUMMYFUNCTION("IFNA(vlookup(H3288,IMPORTRANGE(""1vUGwO1n0QQGx9kKbO0_M5gmuhXZ6-LaxQxgrmJnzgP0"",""'TP# look up'!A:C""),3,0),"""")"),"")</f>
        <v/>
      </c>
      <c r="AH3288" s="49" t="str">
        <f t="shared" si="51"/>
        <v/>
      </c>
    </row>
    <row r="3289" spans="8:34" ht="12.75">
      <c r="H3289" s="43"/>
      <c r="AG3289" s="49" t="str">
        <f ca="1">IFERROR(__xludf.DUMMYFUNCTION("IFNA(vlookup(H3289,IMPORTRANGE(""1vUGwO1n0QQGx9kKbO0_M5gmuhXZ6-LaxQxgrmJnzgP0"",""'TP# look up'!A:C""),3,0),"""")"),"")</f>
        <v/>
      </c>
      <c r="AH3289" s="49" t="str">
        <f t="shared" si="51"/>
        <v/>
      </c>
    </row>
    <row r="3290" spans="8:34" ht="12.75">
      <c r="H3290" s="43"/>
      <c r="AG3290" s="49" t="str">
        <f ca="1">IFERROR(__xludf.DUMMYFUNCTION("IFNA(vlookup(H3290,IMPORTRANGE(""1vUGwO1n0QQGx9kKbO0_M5gmuhXZ6-LaxQxgrmJnzgP0"",""'TP# look up'!A:C""),3,0),"""")"),"")</f>
        <v/>
      </c>
      <c r="AH3290" s="49" t="str">
        <f t="shared" si="51"/>
        <v/>
      </c>
    </row>
    <row r="3291" spans="8:34" ht="12.75">
      <c r="H3291" s="43"/>
      <c r="AG3291" s="49" t="str">
        <f ca="1">IFERROR(__xludf.DUMMYFUNCTION("IFNA(vlookup(H3291,IMPORTRANGE(""1vUGwO1n0QQGx9kKbO0_M5gmuhXZ6-LaxQxgrmJnzgP0"",""'TP# look up'!A:C""),3,0),"""")"),"")</f>
        <v/>
      </c>
      <c r="AH3291" s="49" t="str">
        <f t="shared" si="51"/>
        <v/>
      </c>
    </row>
    <row r="3292" spans="8:34" ht="12.75">
      <c r="H3292" s="43"/>
      <c r="AG3292" s="49" t="str">
        <f ca="1">IFERROR(__xludf.DUMMYFUNCTION("IFNA(vlookup(H3292,IMPORTRANGE(""1vUGwO1n0QQGx9kKbO0_M5gmuhXZ6-LaxQxgrmJnzgP0"",""'TP# look up'!A:C""),3,0),"""")"),"")</f>
        <v/>
      </c>
      <c r="AH3292" s="49" t="str">
        <f t="shared" si="51"/>
        <v/>
      </c>
    </row>
    <row r="3293" spans="8:34" ht="12.75">
      <c r="H3293" s="43"/>
      <c r="AG3293" s="49" t="str">
        <f ca="1">IFERROR(__xludf.DUMMYFUNCTION("IFNA(vlookup(H3293,IMPORTRANGE(""1vUGwO1n0QQGx9kKbO0_M5gmuhXZ6-LaxQxgrmJnzgP0"",""'TP# look up'!A:C""),3,0),"""")"),"")</f>
        <v/>
      </c>
      <c r="AH3293" s="49" t="str">
        <f t="shared" si="51"/>
        <v/>
      </c>
    </row>
    <row r="3294" spans="8:34" ht="12.75">
      <c r="H3294" s="43"/>
      <c r="AG3294" s="49" t="str">
        <f ca="1">IFERROR(__xludf.DUMMYFUNCTION("IFNA(vlookup(H3294,IMPORTRANGE(""1vUGwO1n0QQGx9kKbO0_M5gmuhXZ6-LaxQxgrmJnzgP0"",""'TP# look up'!A:C""),3,0),"""")"),"")</f>
        <v/>
      </c>
      <c r="AH3294" s="49" t="str">
        <f t="shared" si="51"/>
        <v/>
      </c>
    </row>
    <row r="3295" spans="8:34" ht="12.75">
      <c r="H3295" s="43"/>
      <c r="AG3295" s="49" t="str">
        <f ca="1">IFERROR(__xludf.DUMMYFUNCTION("IFNA(vlookup(H3295,IMPORTRANGE(""1vUGwO1n0QQGx9kKbO0_M5gmuhXZ6-LaxQxgrmJnzgP0"",""'TP# look up'!A:C""),3,0),"""")"),"")</f>
        <v/>
      </c>
      <c r="AH3295" s="49" t="str">
        <f t="shared" si="51"/>
        <v/>
      </c>
    </row>
    <row r="3296" spans="8:34" ht="12.75">
      <c r="H3296" s="43"/>
      <c r="AG3296" s="49" t="str">
        <f ca="1">IFERROR(__xludf.DUMMYFUNCTION("IFNA(vlookup(H3296,IMPORTRANGE(""1vUGwO1n0QQGx9kKbO0_M5gmuhXZ6-LaxQxgrmJnzgP0"",""'TP# look up'!A:C""),3,0),"""")"),"")</f>
        <v/>
      </c>
      <c r="AH3296" s="49" t="str">
        <f t="shared" si="51"/>
        <v/>
      </c>
    </row>
    <row r="3297" spans="8:34" ht="12.75">
      <c r="H3297" s="43"/>
      <c r="AG3297" s="49" t="str">
        <f ca="1">IFERROR(__xludf.DUMMYFUNCTION("IFNA(vlookup(H3297,IMPORTRANGE(""1vUGwO1n0QQGx9kKbO0_M5gmuhXZ6-LaxQxgrmJnzgP0"",""'TP# look up'!A:C""),3,0),"""")"),"")</f>
        <v/>
      </c>
      <c r="AH3297" s="49" t="str">
        <f t="shared" si="51"/>
        <v/>
      </c>
    </row>
    <row r="3298" spans="8:34" ht="12.75">
      <c r="H3298" s="43"/>
      <c r="AG3298" s="49" t="str">
        <f ca="1">IFERROR(__xludf.DUMMYFUNCTION("IFNA(vlookup(H3298,IMPORTRANGE(""1vUGwO1n0QQGx9kKbO0_M5gmuhXZ6-LaxQxgrmJnzgP0"",""'TP# look up'!A:C""),3,0),"""")"),"")</f>
        <v/>
      </c>
      <c r="AH3298" s="49" t="str">
        <f t="shared" si="51"/>
        <v/>
      </c>
    </row>
    <row r="3299" spans="8:34" ht="12.75">
      <c r="H3299" s="43"/>
      <c r="AG3299" s="49" t="str">
        <f ca="1">IFERROR(__xludf.DUMMYFUNCTION("IFNA(vlookup(H3299,IMPORTRANGE(""1vUGwO1n0QQGx9kKbO0_M5gmuhXZ6-LaxQxgrmJnzgP0"",""'TP# look up'!A:C""),3,0),"""")"),"")</f>
        <v/>
      </c>
      <c r="AH3299" s="49" t="str">
        <f t="shared" si="51"/>
        <v/>
      </c>
    </row>
    <row r="3300" spans="8:34" ht="12.75">
      <c r="H3300" s="43"/>
      <c r="AG3300" s="49" t="str">
        <f ca="1">IFERROR(__xludf.DUMMYFUNCTION("IFNA(vlookup(H3300,IMPORTRANGE(""1vUGwO1n0QQGx9kKbO0_M5gmuhXZ6-LaxQxgrmJnzgP0"",""'TP# look up'!A:C""),3,0),"""")"),"")</f>
        <v/>
      </c>
      <c r="AH3300" s="49" t="str">
        <f t="shared" si="51"/>
        <v/>
      </c>
    </row>
    <row r="3301" spans="8:34" ht="12.75">
      <c r="H3301" s="43"/>
      <c r="AG3301" s="49" t="str">
        <f ca="1">IFERROR(__xludf.DUMMYFUNCTION("IFNA(vlookup(H3301,IMPORTRANGE(""1vUGwO1n0QQGx9kKbO0_M5gmuhXZ6-LaxQxgrmJnzgP0"",""'TP# look up'!A:C""),3,0),"""")"),"")</f>
        <v/>
      </c>
      <c r="AH3301" s="49" t="str">
        <f t="shared" si="51"/>
        <v/>
      </c>
    </row>
    <row r="3302" spans="8:34" ht="12.75">
      <c r="H3302" s="43"/>
      <c r="AG3302" s="49" t="str">
        <f ca="1">IFERROR(__xludf.DUMMYFUNCTION("IFNA(vlookup(H3302,IMPORTRANGE(""1vUGwO1n0QQGx9kKbO0_M5gmuhXZ6-LaxQxgrmJnzgP0"",""'TP# look up'!A:C""),3,0),"""")"),"")</f>
        <v/>
      </c>
      <c r="AH3302" s="49" t="str">
        <f t="shared" si="51"/>
        <v/>
      </c>
    </row>
    <row r="3303" spans="8:34" ht="12.75">
      <c r="H3303" s="43"/>
      <c r="AG3303" s="49" t="str">
        <f ca="1">IFERROR(__xludf.DUMMYFUNCTION("IFNA(vlookup(H3303,IMPORTRANGE(""1vUGwO1n0QQGx9kKbO0_M5gmuhXZ6-LaxQxgrmJnzgP0"",""'TP# look up'!A:C""),3,0),"""")"),"")</f>
        <v/>
      </c>
      <c r="AH3303" s="49" t="str">
        <f t="shared" si="51"/>
        <v/>
      </c>
    </row>
    <row r="3304" spans="8:34" ht="12.75">
      <c r="H3304" s="43"/>
      <c r="AG3304" s="49" t="str">
        <f ca="1">IFERROR(__xludf.DUMMYFUNCTION("IFNA(vlookup(H3304,IMPORTRANGE(""1vUGwO1n0QQGx9kKbO0_M5gmuhXZ6-LaxQxgrmJnzgP0"",""'TP# look up'!A:C""),3,0),"""")"),"")</f>
        <v/>
      </c>
      <c r="AH3304" s="49" t="str">
        <f t="shared" si="51"/>
        <v/>
      </c>
    </row>
    <row r="3305" spans="8:34" ht="12.75">
      <c r="H3305" s="43"/>
      <c r="AG3305" s="49" t="str">
        <f ca="1">IFERROR(__xludf.DUMMYFUNCTION("IFNA(vlookup(H3305,IMPORTRANGE(""1vUGwO1n0QQGx9kKbO0_M5gmuhXZ6-LaxQxgrmJnzgP0"",""'TP# look up'!A:C""),3,0),"""")"),"")</f>
        <v/>
      </c>
      <c r="AH3305" s="49" t="str">
        <f t="shared" si="51"/>
        <v/>
      </c>
    </row>
    <row r="3306" spans="8:34" ht="12.75">
      <c r="H3306" s="43"/>
      <c r="AG3306" s="49" t="str">
        <f ca="1">IFERROR(__xludf.DUMMYFUNCTION("IFNA(vlookup(H3306,IMPORTRANGE(""1vUGwO1n0QQGx9kKbO0_M5gmuhXZ6-LaxQxgrmJnzgP0"",""'TP# look up'!A:C""),3,0),"""")"),"")</f>
        <v/>
      </c>
      <c r="AH3306" s="49" t="str">
        <f t="shared" si="51"/>
        <v/>
      </c>
    </row>
    <row r="3307" spans="8:34" ht="12.75">
      <c r="H3307" s="43"/>
      <c r="AG3307" s="49" t="str">
        <f ca="1">IFERROR(__xludf.DUMMYFUNCTION("IFNA(vlookup(H3307,IMPORTRANGE(""1vUGwO1n0QQGx9kKbO0_M5gmuhXZ6-LaxQxgrmJnzgP0"",""'TP# look up'!A:C""),3,0),"""")"),"")</f>
        <v/>
      </c>
      <c r="AH3307" s="49" t="str">
        <f t="shared" si="51"/>
        <v/>
      </c>
    </row>
    <row r="3308" spans="8:34" ht="12.75">
      <c r="H3308" s="43"/>
      <c r="AG3308" s="49" t="str">
        <f ca="1">IFERROR(__xludf.DUMMYFUNCTION("IFNA(vlookup(H3308,IMPORTRANGE(""1vUGwO1n0QQGx9kKbO0_M5gmuhXZ6-LaxQxgrmJnzgP0"",""'TP# look up'!A:C""),3,0),"""")"),"")</f>
        <v/>
      </c>
      <c r="AH3308" s="49" t="str">
        <f t="shared" si="51"/>
        <v/>
      </c>
    </row>
    <row r="3309" spans="8:34" ht="12.75">
      <c r="H3309" s="43"/>
      <c r="AG3309" s="49" t="str">
        <f ca="1">IFERROR(__xludf.DUMMYFUNCTION("IFNA(vlookup(H3309,IMPORTRANGE(""1vUGwO1n0QQGx9kKbO0_M5gmuhXZ6-LaxQxgrmJnzgP0"",""'TP# look up'!A:C""),3,0),"""")"),"")</f>
        <v/>
      </c>
      <c r="AH3309" s="49" t="str">
        <f t="shared" si="51"/>
        <v/>
      </c>
    </row>
    <row r="3310" spans="8:34" ht="12.75">
      <c r="H3310" s="43"/>
      <c r="AG3310" s="49" t="str">
        <f ca="1">IFERROR(__xludf.DUMMYFUNCTION("IFNA(vlookup(H3310,IMPORTRANGE(""1vUGwO1n0QQGx9kKbO0_M5gmuhXZ6-LaxQxgrmJnzgP0"",""'TP# look up'!A:C""),3,0),"""")"),"")</f>
        <v/>
      </c>
      <c r="AH3310" s="49" t="str">
        <f t="shared" si="51"/>
        <v/>
      </c>
    </row>
    <row r="3311" spans="8:34" ht="12.75">
      <c r="H3311" s="43"/>
      <c r="AG3311" s="49" t="str">
        <f ca="1">IFERROR(__xludf.DUMMYFUNCTION("IFNA(vlookup(H3311,IMPORTRANGE(""1vUGwO1n0QQGx9kKbO0_M5gmuhXZ6-LaxQxgrmJnzgP0"",""'TP# look up'!A:C""),3,0),"""")"),"")</f>
        <v/>
      </c>
      <c r="AH3311" s="49" t="str">
        <f t="shared" si="51"/>
        <v/>
      </c>
    </row>
    <row r="3312" spans="8:34" ht="12.75">
      <c r="H3312" s="43"/>
      <c r="AG3312" s="49" t="str">
        <f ca="1">IFERROR(__xludf.DUMMYFUNCTION("IFNA(vlookup(H3312,IMPORTRANGE(""1vUGwO1n0QQGx9kKbO0_M5gmuhXZ6-LaxQxgrmJnzgP0"",""'TP# look up'!A:C""),3,0),"""")"),"")</f>
        <v/>
      </c>
      <c r="AH3312" s="49" t="str">
        <f t="shared" si="51"/>
        <v/>
      </c>
    </row>
    <row r="3313" spans="8:34" ht="12.75">
      <c r="H3313" s="43"/>
      <c r="AG3313" s="49" t="str">
        <f ca="1">IFERROR(__xludf.DUMMYFUNCTION("IFNA(vlookup(H3313,IMPORTRANGE(""1vUGwO1n0QQGx9kKbO0_M5gmuhXZ6-LaxQxgrmJnzgP0"",""'TP# look up'!A:C""),3,0),"""")"),"")</f>
        <v/>
      </c>
      <c r="AH3313" s="49" t="str">
        <f t="shared" si="51"/>
        <v/>
      </c>
    </row>
    <row r="3314" spans="8:34" ht="12.75">
      <c r="H3314" s="43"/>
      <c r="AG3314" s="49" t="str">
        <f ca="1">IFERROR(__xludf.DUMMYFUNCTION("IFNA(vlookup(H3314,IMPORTRANGE(""1vUGwO1n0QQGx9kKbO0_M5gmuhXZ6-LaxQxgrmJnzgP0"",""'TP# look up'!A:C""),3,0),"""")"),"")</f>
        <v/>
      </c>
      <c r="AH3314" s="49" t="str">
        <f t="shared" si="51"/>
        <v/>
      </c>
    </row>
    <row r="3315" spans="8:34" ht="12.75">
      <c r="H3315" s="43"/>
      <c r="AG3315" s="49" t="str">
        <f ca="1">IFERROR(__xludf.DUMMYFUNCTION("IFNA(vlookup(H3315,IMPORTRANGE(""1vUGwO1n0QQGx9kKbO0_M5gmuhXZ6-LaxQxgrmJnzgP0"",""'TP# look up'!A:C""),3,0),"""")"),"")</f>
        <v/>
      </c>
      <c r="AH3315" s="49" t="str">
        <f t="shared" si="51"/>
        <v/>
      </c>
    </row>
    <row r="3316" spans="8:34" ht="12.75">
      <c r="H3316" s="43"/>
      <c r="AG3316" s="49" t="str">
        <f ca="1">IFERROR(__xludf.DUMMYFUNCTION("IFNA(vlookup(H3316,IMPORTRANGE(""1vUGwO1n0QQGx9kKbO0_M5gmuhXZ6-LaxQxgrmJnzgP0"",""'TP# look up'!A:C""),3,0),"""")"),"")</f>
        <v/>
      </c>
      <c r="AH3316" s="49" t="str">
        <f t="shared" si="51"/>
        <v/>
      </c>
    </row>
    <row r="3317" spans="8:34" ht="12.75">
      <c r="H3317" s="43"/>
      <c r="AG3317" s="49" t="str">
        <f ca="1">IFERROR(__xludf.DUMMYFUNCTION("IFNA(vlookup(H3317,IMPORTRANGE(""1vUGwO1n0QQGx9kKbO0_M5gmuhXZ6-LaxQxgrmJnzgP0"",""'TP# look up'!A:C""),3,0),"""")"),"")</f>
        <v/>
      </c>
      <c r="AH3317" s="49" t="str">
        <f t="shared" si="51"/>
        <v/>
      </c>
    </row>
    <row r="3318" spans="8:34" ht="12.75">
      <c r="H3318" s="43"/>
      <c r="AG3318" s="49" t="str">
        <f ca="1">IFERROR(__xludf.DUMMYFUNCTION("IFNA(vlookup(H3318,IMPORTRANGE(""1vUGwO1n0QQGx9kKbO0_M5gmuhXZ6-LaxQxgrmJnzgP0"",""'TP# look up'!A:C""),3,0),"""")"),"")</f>
        <v/>
      </c>
      <c r="AH3318" s="49" t="str">
        <f t="shared" si="51"/>
        <v/>
      </c>
    </row>
    <row r="3319" spans="8:34" ht="12.75">
      <c r="H3319" s="43"/>
      <c r="AG3319" s="49" t="str">
        <f ca="1">IFERROR(__xludf.DUMMYFUNCTION("IFNA(vlookup(H3319,IMPORTRANGE(""1vUGwO1n0QQGx9kKbO0_M5gmuhXZ6-LaxQxgrmJnzgP0"",""'TP# look up'!A:C""),3,0),"""")"),"")</f>
        <v/>
      </c>
      <c r="AH3319" s="49" t="str">
        <f t="shared" si="51"/>
        <v/>
      </c>
    </row>
    <row r="3320" spans="8:34" ht="12.75">
      <c r="H3320" s="43"/>
      <c r="AG3320" s="49" t="str">
        <f ca="1">IFERROR(__xludf.DUMMYFUNCTION("IFNA(vlookup(H3320,IMPORTRANGE(""1vUGwO1n0QQGx9kKbO0_M5gmuhXZ6-LaxQxgrmJnzgP0"",""'TP# look up'!A:C""),3,0),"""")"),"")</f>
        <v/>
      </c>
      <c r="AH3320" s="49" t="str">
        <f t="shared" si="51"/>
        <v/>
      </c>
    </row>
    <row r="3321" spans="8:34" ht="12.75">
      <c r="H3321" s="43"/>
      <c r="AG3321" s="49" t="str">
        <f ca="1">IFERROR(__xludf.DUMMYFUNCTION("IFNA(vlookup(H3321,IMPORTRANGE(""1vUGwO1n0QQGx9kKbO0_M5gmuhXZ6-LaxQxgrmJnzgP0"",""'TP# look up'!A:C""),3,0),"""")"),"")</f>
        <v/>
      </c>
      <c r="AH3321" s="49" t="str">
        <f t="shared" si="51"/>
        <v/>
      </c>
    </row>
    <row r="3322" spans="8:34" ht="12.75">
      <c r="H3322" s="43"/>
      <c r="AG3322" s="49" t="str">
        <f ca="1">IFERROR(__xludf.DUMMYFUNCTION("IFNA(vlookup(H3322,IMPORTRANGE(""1vUGwO1n0QQGx9kKbO0_M5gmuhXZ6-LaxQxgrmJnzgP0"",""'TP# look up'!A:C""),3,0),"""")"),"")</f>
        <v/>
      </c>
      <c r="AH3322" s="49" t="str">
        <f t="shared" si="51"/>
        <v/>
      </c>
    </row>
    <row r="3323" spans="8:34" ht="12.75">
      <c r="H3323" s="43"/>
      <c r="AG3323" s="49" t="str">
        <f ca="1">IFERROR(__xludf.DUMMYFUNCTION("IFNA(vlookup(H3323,IMPORTRANGE(""1vUGwO1n0QQGx9kKbO0_M5gmuhXZ6-LaxQxgrmJnzgP0"",""'TP# look up'!A:C""),3,0),"""")"),"")</f>
        <v/>
      </c>
      <c r="AH3323" s="49" t="str">
        <f t="shared" si="51"/>
        <v/>
      </c>
    </row>
    <row r="3324" spans="8:34" ht="12.75">
      <c r="H3324" s="43"/>
      <c r="AG3324" s="49" t="str">
        <f ca="1">IFERROR(__xludf.DUMMYFUNCTION("IFNA(vlookup(H3324,IMPORTRANGE(""1vUGwO1n0QQGx9kKbO0_M5gmuhXZ6-LaxQxgrmJnzgP0"",""'TP# look up'!A:C""),3,0),"""")"),"")</f>
        <v/>
      </c>
      <c r="AH3324" s="49" t="str">
        <f t="shared" si="51"/>
        <v/>
      </c>
    </row>
    <row r="3325" spans="8:34" ht="12.75">
      <c r="H3325" s="43"/>
      <c r="AG3325" s="49" t="str">
        <f ca="1">IFERROR(__xludf.DUMMYFUNCTION("IFNA(vlookup(H3325,IMPORTRANGE(""1vUGwO1n0QQGx9kKbO0_M5gmuhXZ6-LaxQxgrmJnzgP0"",""'TP# look up'!A:C""),3,0),"""")"),"")</f>
        <v/>
      </c>
      <c r="AH3325" s="49" t="str">
        <f t="shared" si="51"/>
        <v/>
      </c>
    </row>
    <row r="3326" spans="8:34" ht="12.75">
      <c r="H3326" s="43"/>
      <c r="AG3326" s="49" t="str">
        <f ca="1">IFERROR(__xludf.DUMMYFUNCTION("IFNA(vlookup(H3326,IMPORTRANGE(""1vUGwO1n0QQGx9kKbO0_M5gmuhXZ6-LaxQxgrmJnzgP0"",""'TP# look up'!A:C""),3,0),"""")"),"")</f>
        <v/>
      </c>
      <c r="AH3326" s="49" t="str">
        <f t="shared" si="51"/>
        <v/>
      </c>
    </row>
    <row r="3327" spans="8:34" ht="12.75">
      <c r="H3327" s="43"/>
      <c r="AG3327" s="49" t="str">
        <f ca="1">IFERROR(__xludf.DUMMYFUNCTION("IFNA(vlookup(H3327,IMPORTRANGE(""1vUGwO1n0QQGx9kKbO0_M5gmuhXZ6-LaxQxgrmJnzgP0"",""'TP# look up'!A:C""),3,0),"""")"),"")</f>
        <v/>
      </c>
      <c r="AH3327" s="49" t="str">
        <f t="shared" si="51"/>
        <v/>
      </c>
    </row>
    <row r="3328" spans="8:34" ht="12.75">
      <c r="H3328" s="43"/>
      <c r="AG3328" s="49" t="str">
        <f ca="1">IFERROR(__xludf.DUMMYFUNCTION("IFNA(vlookup(H3328,IMPORTRANGE(""1vUGwO1n0QQGx9kKbO0_M5gmuhXZ6-LaxQxgrmJnzgP0"",""'TP# look up'!A:C""),3,0),"""")"),"")</f>
        <v/>
      </c>
      <c r="AH3328" s="49" t="str">
        <f t="shared" si="51"/>
        <v/>
      </c>
    </row>
    <row r="3329" spans="8:34" ht="12.75">
      <c r="H3329" s="43"/>
      <c r="AG3329" s="49" t="str">
        <f ca="1">IFERROR(__xludf.DUMMYFUNCTION("IFNA(vlookup(H3329,IMPORTRANGE(""1vUGwO1n0QQGx9kKbO0_M5gmuhXZ6-LaxQxgrmJnzgP0"",""'TP# look up'!A:C""),3,0),"""")"),"")</f>
        <v/>
      </c>
      <c r="AH3329" s="49" t="str">
        <f t="shared" si="51"/>
        <v/>
      </c>
    </row>
    <row r="3330" spans="8:34" ht="12.75">
      <c r="H3330" s="43"/>
      <c r="AG3330" s="49" t="str">
        <f ca="1">IFERROR(__xludf.DUMMYFUNCTION("IFNA(vlookup(H3330,IMPORTRANGE(""1vUGwO1n0QQGx9kKbO0_M5gmuhXZ6-LaxQxgrmJnzgP0"",""'TP# look up'!A:C""),3,0),"""")"),"")</f>
        <v/>
      </c>
      <c r="AH3330" s="49" t="str">
        <f t="shared" ref="AH3330:AH3393" si="52">LEFT(J3330,2)</f>
        <v/>
      </c>
    </row>
    <row r="3331" spans="8:34" ht="12.75">
      <c r="H3331" s="43"/>
      <c r="AG3331" s="49" t="str">
        <f ca="1">IFERROR(__xludf.DUMMYFUNCTION("IFNA(vlookup(H3331,IMPORTRANGE(""1vUGwO1n0QQGx9kKbO0_M5gmuhXZ6-LaxQxgrmJnzgP0"",""'TP# look up'!A:C""),3,0),"""")"),"")</f>
        <v/>
      </c>
      <c r="AH3331" s="49" t="str">
        <f t="shared" si="52"/>
        <v/>
      </c>
    </row>
    <row r="3332" spans="8:34" ht="12.75">
      <c r="H3332" s="43"/>
      <c r="AG3332" s="49" t="str">
        <f ca="1">IFERROR(__xludf.DUMMYFUNCTION("IFNA(vlookup(H3332,IMPORTRANGE(""1vUGwO1n0QQGx9kKbO0_M5gmuhXZ6-LaxQxgrmJnzgP0"",""'TP# look up'!A:C""),3,0),"""")"),"")</f>
        <v/>
      </c>
      <c r="AH3332" s="49" t="str">
        <f t="shared" si="52"/>
        <v/>
      </c>
    </row>
    <row r="3333" spans="8:34" ht="12.75">
      <c r="H3333" s="43"/>
      <c r="AG3333" s="49" t="str">
        <f ca="1">IFERROR(__xludf.DUMMYFUNCTION("IFNA(vlookup(H3333,IMPORTRANGE(""1vUGwO1n0QQGx9kKbO0_M5gmuhXZ6-LaxQxgrmJnzgP0"",""'TP# look up'!A:C""),3,0),"""")"),"")</f>
        <v/>
      </c>
      <c r="AH3333" s="49" t="str">
        <f t="shared" si="52"/>
        <v/>
      </c>
    </row>
    <row r="3334" spans="8:34" ht="12.75">
      <c r="H3334" s="43"/>
      <c r="AG3334" s="49" t="str">
        <f ca="1">IFERROR(__xludf.DUMMYFUNCTION("IFNA(vlookup(H3334,IMPORTRANGE(""1vUGwO1n0QQGx9kKbO0_M5gmuhXZ6-LaxQxgrmJnzgP0"",""'TP# look up'!A:C""),3,0),"""")"),"")</f>
        <v/>
      </c>
      <c r="AH3334" s="49" t="str">
        <f t="shared" si="52"/>
        <v/>
      </c>
    </row>
    <row r="3335" spans="8:34" ht="12.75">
      <c r="H3335" s="43"/>
      <c r="AG3335" s="49" t="str">
        <f ca="1">IFERROR(__xludf.DUMMYFUNCTION("IFNA(vlookup(H3335,IMPORTRANGE(""1vUGwO1n0QQGx9kKbO0_M5gmuhXZ6-LaxQxgrmJnzgP0"",""'TP# look up'!A:C""),3,0),"""")"),"")</f>
        <v/>
      </c>
      <c r="AH3335" s="49" t="str">
        <f t="shared" si="52"/>
        <v/>
      </c>
    </row>
    <row r="3336" spans="8:34" ht="12.75">
      <c r="H3336" s="43"/>
      <c r="AG3336" s="49" t="str">
        <f ca="1">IFERROR(__xludf.DUMMYFUNCTION("IFNA(vlookup(H3336,IMPORTRANGE(""1vUGwO1n0QQGx9kKbO0_M5gmuhXZ6-LaxQxgrmJnzgP0"",""'TP# look up'!A:C""),3,0),"""")"),"")</f>
        <v/>
      </c>
      <c r="AH3336" s="49" t="str">
        <f t="shared" si="52"/>
        <v/>
      </c>
    </row>
    <row r="3337" spans="8:34" ht="12.75">
      <c r="H3337" s="43"/>
      <c r="AG3337" s="49" t="str">
        <f ca="1">IFERROR(__xludf.DUMMYFUNCTION("IFNA(vlookup(H3337,IMPORTRANGE(""1vUGwO1n0QQGx9kKbO0_M5gmuhXZ6-LaxQxgrmJnzgP0"",""'TP# look up'!A:C""),3,0),"""")"),"")</f>
        <v/>
      </c>
      <c r="AH3337" s="49" t="str">
        <f t="shared" si="52"/>
        <v/>
      </c>
    </row>
    <row r="3338" spans="8:34" ht="12.75">
      <c r="H3338" s="43"/>
      <c r="AG3338" s="49" t="str">
        <f ca="1">IFERROR(__xludf.DUMMYFUNCTION("IFNA(vlookup(H3338,IMPORTRANGE(""1vUGwO1n0QQGx9kKbO0_M5gmuhXZ6-LaxQxgrmJnzgP0"",""'TP# look up'!A:C""),3,0),"""")"),"")</f>
        <v/>
      </c>
      <c r="AH3338" s="49" t="str">
        <f t="shared" si="52"/>
        <v/>
      </c>
    </row>
    <row r="3339" spans="8:34" ht="12.75">
      <c r="H3339" s="43"/>
      <c r="AG3339" s="49" t="str">
        <f ca="1">IFERROR(__xludf.DUMMYFUNCTION("IFNA(vlookup(H3339,IMPORTRANGE(""1vUGwO1n0QQGx9kKbO0_M5gmuhXZ6-LaxQxgrmJnzgP0"",""'TP# look up'!A:C""),3,0),"""")"),"")</f>
        <v/>
      </c>
      <c r="AH3339" s="49" t="str">
        <f t="shared" si="52"/>
        <v/>
      </c>
    </row>
    <row r="3340" spans="8:34" ht="12.75">
      <c r="H3340" s="43"/>
      <c r="AG3340" s="49" t="str">
        <f ca="1">IFERROR(__xludf.DUMMYFUNCTION("IFNA(vlookup(H3340,IMPORTRANGE(""1vUGwO1n0QQGx9kKbO0_M5gmuhXZ6-LaxQxgrmJnzgP0"",""'TP# look up'!A:C""),3,0),"""")"),"")</f>
        <v/>
      </c>
      <c r="AH3340" s="49" t="str">
        <f t="shared" si="52"/>
        <v/>
      </c>
    </row>
    <row r="3341" spans="8:34" ht="12.75">
      <c r="H3341" s="43"/>
      <c r="AG3341" s="49" t="str">
        <f ca="1">IFERROR(__xludf.DUMMYFUNCTION("IFNA(vlookup(H3341,IMPORTRANGE(""1vUGwO1n0QQGx9kKbO0_M5gmuhXZ6-LaxQxgrmJnzgP0"",""'TP# look up'!A:C""),3,0),"""")"),"")</f>
        <v/>
      </c>
      <c r="AH3341" s="49" t="str">
        <f t="shared" si="52"/>
        <v/>
      </c>
    </row>
    <row r="3342" spans="8:34" ht="12.75">
      <c r="H3342" s="43"/>
      <c r="AG3342" s="49" t="str">
        <f ca="1">IFERROR(__xludf.DUMMYFUNCTION("IFNA(vlookup(H3342,IMPORTRANGE(""1vUGwO1n0QQGx9kKbO0_M5gmuhXZ6-LaxQxgrmJnzgP0"",""'TP# look up'!A:C""),3,0),"""")"),"")</f>
        <v/>
      </c>
      <c r="AH3342" s="49" t="str">
        <f t="shared" si="52"/>
        <v/>
      </c>
    </row>
    <row r="3343" spans="8:34" ht="12.75">
      <c r="H3343" s="43"/>
      <c r="AG3343" s="49" t="str">
        <f ca="1">IFERROR(__xludf.DUMMYFUNCTION("IFNA(vlookup(H3343,IMPORTRANGE(""1vUGwO1n0QQGx9kKbO0_M5gmuhXZ6-LaxQxgrmJnzgP0"",""'TP# look up'!A:C""),3,0),"""")"),"")</f>
        <v/>
      </c>
      <c r="AH3343" s="49" t="str">
        <f t="shared" si="52"/>
        <v/>
      </c>
    </row>
    <row r="3344" spans="8:34" ht="12.75">
      <c r="H3344" s="43"/>
      <c r="AG3344" s="49" t="str">
        <f ca="1">IFERROR(__xludf.DUMMYFUNCTION("IFNA(vlookup(H3344,IMPORTRANGE(""1vUGwO1n0QQGx9kKbO0_M5gmuhXZ6-LaxQxgrmJnzgP0"",""'TP# look up'!A:C""),3,0),"""")"),"")</f>
        <v/>
      </c>
      <c r="AH3344" s="49" t="str">
        <f t="shared" si="52"/>
        <v/>
      </c>
    </row>
    <row r="3345" spans="8:34" ht="12.75">
      <c r="H3345" s="43"/>
      <c r="AG3345" s="49" t="str">
        <f ca="1">IFERROR(__xludf.DUMMYFUNCTION("IFNA(vlookup(H3345,IMPORTRANGE(""1vUGwO1n0QQGx9kKbO0_M5gmuhXZ6-LaxQxgrmJnzgP0"",""'TP# look up'!A:C""),3,0),"""")"),"")</f>
        <v/>
      </c>
      <c r="AH3345" s="49" t="str">
        <f t="shared" si="52"/>
        <v/>
      </c>
    </row>
    <row r="3346" spans="8:34" ht="12.75">
      <c r="H3346" s="43"/>
      <c r="AG3346" s="49" t="str">
        <f ca="1">IFERROR(__xludf.DUMMYFUNCTION("IFNA(vlookup(H3346,IMPORTRANGE(""1vUGwO1n0QQGx9kKbO0_M5gmuhXZ6-LaxQxgrmJnzgP0"",""'TP# look up'!A:C""),3,0),"""")"),"")</f>
        <v/>
      </c>
      <c r="AH3346" s="49" t="str">
        <f t="shared" si="52"/>
        <v/>
      </c>
    </row>
    <row r="3347" spans="8:34" ht="12.75">
      <c r="H3347" s="43"/>
      <c r="AG3347" s="49" t="str">
        <f ca="1">IFERROR(__xludf.DUMMYFUNCTION("IFNA(vlookup(H3347,IMPORTRANGE(""1vUGwO1n0QQGx9kKbO0_M5gmuhXZ6-LaxQxgrmJnzgP0"",""'TP# look up'!A:C""),3,0),"""")"),"")</f>
        <v/>
      </c>
      <c r="AH3347" s="49" t="str">
        <f t="shared" si="52"/>
        <v/>
      </c>
    </row>
    <row r="3348" spans="8:34" ht="12.75">
      <c r="H3348" s="43"/>
      <c r="AG3348" s="49" t="str">
        <f ca="1">IFERROR(__xludf.DUMMYFUNCTION("IFNA(vlookup(H3348,IMPORTRANGE(""1vUGwO1n0QQGx9kKbO0_M5gmuhXZ6-LaxQxgrmJnzgP0"",""'TP# look up'!A:C""),3,0),"""")"),"")</f>
        <v/>
      </c>
      <c r="AH3348" s="49" t="str">
        <f t="shared" si="52"/>
        <v/>
      </c>
    </row>
    <row r="3349" spans="8:34" ht="12.75">
      <c r="H3349" s="43"/>
      <c r="AG3349" s="49" t="str">
        <f ca="1">IFERROR(__xludf.DUMMYFUNCTION("IFNA(vlookup(H3349,IMPORTRANGE(""1vUGwO1n0QQGx9kKbO0_M5gmuhXZ6-LaxQxgrmJnzgP0"",""'TP# look up'!A:C""),3,0),"""")"),"")</f>
        <v/>
      </c>
      <c r="AH3349" s="49" t="str">
        <f t="shared" si="52"/>
        <v/>
      </c>
    </row>
    <row r="3350" spans="8:34" ht="12.75">
      <c r="H3350" s="43"/>
      <c r="AG3350" s="49" t="str">
        <f ca="1">IFERROR(__xludf.DUMMYFUNCTION("IFNA(vlookup(H3350,IMPORTRANGE(""1vUGwO1n0QQGx9kKbO0_M5gmuhXZ6-LaxQxgrmJnzgP0"",""'TP# look up'!A:C""),3,0),"""")"),"")</f>
        <v/>
      </c>
      <c r="AH3350" s="49" t="str">
        <f t="shared" si="52"/>
        <v/>
      </c>
    </row>
    <row r="3351" spans="8:34" ht="12.75">
      <c r="H3351" s="43"/>
      <c r="AG3351" s="49" t="str">
        <f ca="1">IFERROR(__xludf.DUMMYFUNCTION("IFNA(vlookup(H3351,IMPORTRANGE(""1vUGwO1n0QQGx9kKbO0_M5gmuhXZ6-LaxQxgrmJnzgP0"",""'TP# look up'!A:C""),3,0),"""")"),"")</f>
        <v/>
      </c>
      <c r="AH3351" s="49" t="str">
        <f t="shared" si="52"/>
        <v/>
      </c>
    </row>
    <row r="3352" spans="8:34" ht="12.75">
      <c r="H3352" s="43"/>
      <c r="AG3352" s="49" t="str">
        <f ca="1">IFERROR(__xludf.DUMMYFUNCTION("IFNA(vlookup(H3352,IMPORTRANGE(""1vUGwO1n0QQGx9kKbO0_M5gmuhXZ6-LaxQxgrmJnzgP0"",""'TP# look up'!A:C""),3,0),"""")"),"")</f>
        <v/>
      </c>
      <c r="AH3352" s="49" t="str">
        <f t="shared" si="52"/>
        <v/>
      </c>
    </row>
    <row r="3353" spans="8:34" ht="12.75">
      <c r="H3353" s="43"/>
      <c r="AG3353" s="49" t="str">
        <f ca="1">IFERROR(__xludf.DUMMYFUNCTION("IFNA(vlookup(H3353,IMPORTRANGE(""1vUGwO1n0QQGx9kKbO0_M5gmuhXZ6-LaxQxgrmJnzgP0"",""'TP# look up'!A:C""),3,0),"""")"),"")</f>
        <v/>
      </c>
      <c r="AH3353" s="49" t="str">
        <f t="shared" si="52"/>
        <v/>
      </c>
    </row>
    <row r="3354" spans="8:34" ht="12.75">
      <c r="H3354" s="43"/>
      <c r="AG3354" s="49" t="str">
        <f ca="1">IFERROR(__xludf.DUMMYFUNCTION("IFNA(vlookup(H3354,IMPORTRANGE(""1vUGwO1n0QQGx9kKbO0_M5gmuhXZ6-LaxQxgrmJnzgP0"",""'TP# look up'!A:C""),3,0),"""")"),"")</f>
        <v/>
      </c>
      <c r="AH3354" s="49" t="str">
        <f t="shared" si="52"/>
        <v/>
      </c>
    </row>
    <row r="3355" spans="8:34" ht="12.75">
      <c r="H3355" s="43"/>
      <c r="AG3355" s="49" t="str">
        <f ca="1">IFERROR(__xludf.DUMMYFUNCTION("IFNA(vlookup(H3355,IMPORTRANGE(""1vUGwO1n0QQGx9kKbO0_M5gmuhXZ6-LaxQxgrmJnzgP0"",""'TP# look up'!A:C""),3,0),"""")"),"")</f>
        <v/>
      </c>
      <c r="AH3355" s="49" t="str">
        <f t="shared" si="52"/>
        <v/>
      </c>
    </row>
    <row r="3356" spans="8:34" ht="12.75">
      <c r="H3356" s="43"/>
      <c r="AG3356" s="49" t="str">
        <f ca="1">IFERROR(__xludf.DUMMYFUNCTION("IFNA(vlookup(H3356,IMPORTRANGE(""1vUGwO1n0QQGx9kKbO0_M5gmuhXZ6-LaxQxgrmJnzgP0"",""'TP# look up'!A:C""),3,0),"""")"),"")</f>
        <v/>
      </c>
      <c r="AH3356" s="49" t="str">
        <f t="shared" si="52"/>
        <v/>
      </c>
    </row>
    <row r="3357" spans="8:34" ht="12.75">
      <c r="H3357" s="43"/>
      <c r="AG3357" s="49" t="str">
        <f ca="1">IFERROR(__xludf.DUMMYFUNCTION("IFNA(vlookup(H3357,IMPORTRANGE(""1vUGwO1n0QQGx9kKbO0_M5gmuhXZ6-LaxQxgrmJnzgP0"",""'TP# look up'!A:C""),3,0),"""")"),"")</f>
        <v/>
      </c>
      <c r="AH3357" s="49" t="str">
        <f t="shared" si="52"/>
        <v/>
      </c>
    </row>
    <row r="3358" spans="8:34" ht="12.75">
      <c r="H3358" s="43"/>
      <c r="AG3358" s="49" t="str">
        <f ca="1">IFERROR(__xludf.DUMMYFUNCTION("IFNA(vlookup(H3358,IMPORTRANGE(""1vUGwO1n0QQGx9kKbO0_M5gmuhXZ6-LaxQxgrmJnzgP0"",""'TP# look up'!A:C""),3,0),"""")"),"")</f>
        <v/>
      </c>
      <c r="AH3358" s="49" t="str">
        <f t="shared" si="52"/>
        <v/>
      </c>
    </row>
    <row r="3359" spans="8:34" ht="12.75">
      <c r="H3359" s="43"/>
      <c r="AG3359" s="49" t="str">
        <f ca="1">IFERROR(__xludf.DUMMYFUNCTION("IFNA(vlookup(H3359,IMPORTRANGE(""1vUGwO1n0QQGx9kKbO0_M5gmuhXZ6-LaxQxgrmJnzgP0"",""'TP# look up'!A:C""),3,0),"""")"),"")</f>
        <v/>
      </c>
      <c r="AH3359" s="49" t="str">
        <f t="shared" si="52"/>
        <v/>
      </c>
    </row>
    <row r="3360" spans="8:34" ht="12.75">
      <c r="H3360" s="43"/>
      <c r="AG3360" s="49" t="str">
        <f ca="1">IFERROR(__xludf.DUMMYFUNCTION("IFNA(vlookup(H3360,IMPORTRANGE(""1vUGwO1n0QQGx9kKbO0_M5gmuhXZ6-LaxQxgrmJnzgP0"",""'TP# look up'!A:C""),3,0),"""")"),"")</f>
        <v/>
      </c>
      <c r="AH3360" s="49" t="str">
        <f t="shared" si="52"/>
        <v/>
      </c>
    </row>
    <row r="3361" spans="8:34" ht="12.75">
      <c r="H3361" s="43"/>
      <c r="AG3361" s="49" t="str">
        <f ca="1">IFERROR(__xludf.DUMMYFUNCTION("IFNA(vlookup(H3361,IMPORTRANGE(""1vUGwO1n0QQGx9kKbO0_M5gmuhXZ6-LaxQxgrmJnzgP0"",""'TP# look up'!A:C""),3,0),"""")"),"")</f>
        <v/>
      </c>
      <c r="AH3361" s="49" t="str">
        <f t="shared" si="52"/>
        <v/>
      </c>
    </row>
    <row r="3362" spans="8:34" ht="12.75">
      <c r="H3362" s="43"/>
      <c r="AG3362" s="49" t="str">
        <f ca="1">IFERROR(__xludf.DUMMYFUNCTION("IFNA(vlookup(H3362,IMPORTRANGE(""1vUGwO1n0QQGx9kKbO0_M5gmuhXZ6-LaxQxgrmJnzgP0"",""'TP# look up'!A:C""),3,0),"""")"),"")</f>
        <v/>
      </c>
      <c r="AH3362" s="49" t="str">
        <f t="shared" si="52"/>
        <v/>
      </c>
    </row>
    <row r="3363" spans="8:34" ht="12.75">
      <c r="H3363" s="43"/>
      <c r="AG3363" s="49" t="str">
        <f ca="1">IFERROR(__xludf.DUMMYFUNCTION("IFNA(vlookup(H3363,IMPORTRANGE(""1vUGwO1n0QQGx9kKbO0_M5gmuhXZ6-LaxQxgrmJnzgP0"",""'TP# look up'!A:C""),3,0),"""")"),"")</f>
        <v/>
      </c>
      <c r="AH3363" s="49" t="str">
        <f t="shared" si="52"/>
        <v/>
      </c>
    </row>
    <row r="3364" spans="8:34" ht="12.75">
      <c r="H3364" s="43"/>
      <c r="AG3364" s="49" t="str">
        <f ca="1">IFERROR(__xludf.DUMMYFUNCTION("IFNA(vlookup(H3364,IMPORTRANGE(""1vUGwO1n0QQGx9kKbO0_M5gmuhXZ6-LaxQxgrmJnzgP0"",""'TP# look up'!A:C""),3,0),"""")"),"")</f>
        <v/>
      </c>
      <c r="AH3364" s="49" t="str">
        <f t="shared" si="52"/>
        <v/>
      </c>
    </row>
    <row r="3365" spans="8:34" ht="12.75">
      <c r="H3365" s="43"/>
      <c r="AG3365" s="49" t="str">
        <f ca="1">IFERROR(__xludf.DUMMYFUNCTION("IFNA(vlookup(H3365,IMPORTRANGE(""1vUGwO1n0QQGx9kKbO0_M5gmuhXZ6-LaxQxgrmJnzgP0"",""'TP# look up'!A:C""),3,0),"""")"),"")</f>
        <v/>
      </c>
      <c r="AH3365" s="49" t="str">
        <f t="shared" si="52"/>
        <v/>
      </c>
    </row>
    <row r="3366" spans="8:34" ht="12.75">
      <c r="H3366" s="43"/>
      <c r="AG3366" s="49" t="str">
        <f ca="1">IFERROR(__xludf.DUMMYFUNCTION("IFNA(vlookup(H3366,IMPORTRANGE(""1vUGwO1n0QQGx9kKbO0_M5gmuhXZ6-LaxQxgrmJnzgP0"",""'TP# look up'!A:C""),3,0),"""")"),"")</f>
        <v/>
      </c>
      <c r="AH3366" s="49" t="str">
        <f t="shared" si="52"/>
        <v/>
      </c>
    </row>
    <row r="3367" spans="8:34" ht="12.75">
      <c r="H3367" s="43"/>
      <c r="AG3367" s="49" t="str">
        <f ca="1">IFERROR(__xludf.DUMMYFUNCTION("IFNA(vlookup(H3367,IMPORTRANGE(""1vUGwO1n0QQGx9kKbO0_M5gmuhXZ6-LaxQxgrmJnzgP0"",""'TP# look up'!A:C""),3,0),"""")"),"")</f>
        <v/>
      </c>
      <c r="AH3367" s="49" t="str">
        <f t="shared" si="52"/>
        <v/>
      </c>
    </row>
    <row r="3368" spans="8:34" ht="12.75">
      <c r="H3368" s="43"/>
      <c r="AG3368" s="49" t="str">
        <f ca="1">IFERROR(__xludf.DUMMYFUNCTION("IFNA(vlookup(H3368,IMPORTRANGE(""1vUGwO1n0QQGx9kKbO0_M5gmuhXZ6-LaxQxgrmJnzgP0"",""'TP# look up'!A:C""),3,0),"""")"),"")</f>
        <v/>
      </c>
      <c r="AH3368" s="49" t="str">
        <f t="shared" si="52"/>
        <v/>
      </c>
    </row>
    <row r="3369" spans="8:34" ht="12.75">
      <c r="H3369" s="43"/>
      <c r="AG3369" s="49" t="str">
        <f ca="1">IFERROR(__xludf.DUMMYFUNCTION("IFNA(vlookup(H3369,IMPORTRANGE(""1vUGwO1n0QQGx9kKbO0_M5gmuhXZ6-LaxQxgrmJnzgP0"",""'TP# look up'!A:C""),3,0),"""")"),"")</f>
        <v/>
      </c>
      <c r="AH3369" s="49" t="str">
        <f t="shared" si="52"/>
        <v/>
      </c>
    </row>
    <row r="3370" spans="8:34" ht="12.75">
      <c r="H3370" s="43"/>
      <c r="AG3370" s="49" t="str">
        <f ca="1">IFERROR(__xludf.DUMMYFUNCTION("IFNA(vlookup(H3370,IMPORTRANGE(""1vUGwO1n0QQGx9kKbO0_M5gmuhXZ6-LaxQxgrmJnzgP0"",""'TP# look up'!A:C""),3,0),"""")"),"")</f>
        <v/>
      </c>
      <c r="AH3370" s="49" t="str">
        <f t="shared" si="52"/>
        <v/>
      </c>
    </row>
    <row r="3371" spans="8:34" ht="12.75">
      <c r="H3371" s="43"/>
      <c r="AG3371" s="49" t="str">
        <f ca="1">IFERROR(__xludf.DUMMYFUNCTION("IFNA(vlookup(H3371,IMPORTRANGE(""1vUGwO1n0QQGx9kKbO0_M5gmuhXZ6-LaxQxgrmJnzgP0"",""'TP# look up'!A:C""),3,0),"""")"),"")</f>
        <v/>
      </c>
      <c r="AH3371" s="49" t="str">
        <f t="shared" si="52"/>
        <v/>
      </c>
    </row>
    <row r="3372" spans="8:34" ht="12.75">
      <c r="H3372" s="43"/>
      <c r="AG3372" s="49" t="str">
        <f ca="1">IFERROR(__xludf.DUMMYFUNCTION("IFNA(vlookup(H3372,IMPORTRANGE(""1vUGwO1n0QQGx9kKbO0_M5gmuhXZ6-LaxQxgrmJnzgP0"",""'TP# look up'!A:C""),3,0),"""")"),"")</f>
        <v/>
      </c>
      <c r="AH3372" s="49" t="str">
        <f t="shared" si="52"/>
        <v/>
      </c>
    </row>
    <row r="3373" spans="8:34" ht="12.75">
      <c r="H3373" s="43"/>
      <c r="AG3373" s="49" t="str">
        <f ca="1">IFERROR(__xludf.DUMMYFUNCTION("IFNA(vlookup(H3373,IMPORTRANGE(""1vUGwO1n0QQGx9kKbO0_M5gmuhXZ6-LaxQxgrmJnzgP0"",""'TP# look up'!A:C""),3,0),"""")"),"")</f>
        <v/>
      </c>
      <c r="AH3373" s="49" t="str">
        <f t="shared" si="52"/>
        <v/>
      </c>
    </row>
    <row r="3374" spans="8:34" ht="12.75">
      <c r="H3374" s="43"/>
      <c r="AG3374" s="49" t="str">
        <f ca="1">IFERROR(__xludf.DUMMYFUNCTION("IFNA(vlookup(H3374,IMPORTRANGE(""1vUGwO1n0QQGx9kKbO0_M5gmuhXZ6-LaxQxgrmJnzgP0"",""'TP# look up'!A:C""),3,0),"""")"),"")</f>
        <v/>
      </c>
      <c r="AH3374" s="49" t="str">
        <f t="shared" si="52"/>
        <v/>
      </c>
    </row>
    <row r="3375" spans="8:34" ht="12.75">
      <c r="H3375" s="43"/>
      <c r="AG3375" s="49" t="str">
        <f ca="1">IFERROR(__xludf.DUMMYFUNCTION("IFNA(vlookup(H3375,IMPORTRANGE(""1vUGwO1n0QQGx9kKbO0_M5gmuhXZ6-LaxQxgrmJnzgP0"",""'TP# look up'!A:C""),3,0),"""")"),"")</f>
        <v/>
      </c>
      <c r="AH3375" s="49" t="str">
        <f t="shared" si="52"/>
        <v/>
      </c>
    </row>
    <row r="3376" spans="8:34" ht="12.75">
      <c r="H3376" s="43"/>
      <c r="AG3376" s="49" t="str">
        <f ca="1">IFERROR(__xludf.DUMMYFUNCTION("IFNA(vlookup(H3376,IMPORTRANGE(""1vUGwO1n0QQGx9kKbO0_M5gmuhXZ6-LaxQxgrmJnzgP0"",""'TP# look up'!A:C""),3,0),"""")"),"")</f>
        <v/>
      </c>
      <c r="AH3376" s="49" t="str">
        <f t="shared" si="52"/>
        <v/>
      </c>
    </row>
    <row r="3377" spans="8:34" ht="12.75">
      <c r="H3377" s="43"/>
      <c r="AG3377" s="49" t="str">
        <f ca="1">IFERROR(__xludf.DUMMYFUNCTION("IFNA(vlookup(H3377,IMPORTRANGE(""1vUGwO1n0QQGx9kKbO0_M5gmuhXZ6-LaxQxgrmJnzgP0"",""'TP# look up'!A:C""),3,0),"""")"),"")</f>
        <v/>
      </c>
      <c r="AH3377" s="49" t="str">
        <f t="shared" si="52"/>
        <v/>
      </c>
    </row>
    <row r="3378" spans="8:34" ht="12.75">
      <c r="H3378" s="43"/>
      <c r="AG3378" s="49" t="str">
        <f ca="1">IFERROR(__xludf.DUMMYFUNCTION("IFNA(vlookup(H3378,IMPORTRANGE(""1vUGwO1n0QQGx9kKbO0_M5gmuhXZ6-LaxQxgrmJnzgP0"",""'TP# look up'!A:C""),3,0),"""")"),"")</f>
        <v/>
      </c>
      <c r="AH3378" s="49" t="str">
        <f t="shared" si="52"/>
        <v/>
      </c>
    </row>
    <row r="3379" spans="8:34" ht="12.75">
      <c r="H3379" s="43"/>
      <c r="AG3379" s="49" t="str">
        <f ca="1">IFERROR(__xludf.DUMMYFUNCTION("IFNA(vlookup(H3379,IMPORTRANGE(""1vUGwO1n0QQGx9kKbO0_M5gmuhXZ6-LaxQxgrmJnzgP0"",""'TP# look up'!A:C""),3,0),"""")"),"")</f>
        <v/>
      </c>
      <c r="AH3379" s="49" t="str">
        <f t="shared" si="52"/>
        <v/>
      </c>
    </row>
    <row r="3380" spans="8:34" ht="12.75">
      <c r="H3380" s="43"/>
      <c r="AG3380" s="49" t="str">
        <f ca="1">IFERROR(__xludf.DUMMYFUNCTION("IFNA(vlookup(H3380,IMPORTRANGE(""1vUGwO1n0QQGx9kKbO0_M5gmuhXZ6-LaxQxgrmJnzgP0"",""'TP# look up'!A:C""),3,0),"""")"),"")</f>
        <v/>
      </c>
      <c r="AH3380" s="49" t="str">
        <f t="shared" si="52"/>
        <v/>
      </c>
    </row>
    <row r="3381" spans="8:34" ht="12.75">
      <c r="H3381" s="43"/>
      <c r="AG3381" s="49" t="str">
        <f ca="1">IFERROR(__xludf.DUMMYFUNCTION("IFNA(vlookup(H3381,IMPORTRANGE(""1vUGwO1n0QQGx9kKbO0_M5gmuhXZ6-LaxQxgrmJnzgP0"",""'TP# look up'!A:C""),3,0),"""")"),"")</f>
        <v/>
      </c>
      <c r="AH3381" s="49" t="str">
        <f t="shared" si="52"/>
        <v/>
      </c>
    </row>
    <row r="3382" spans="8:34" ht="12.75">
      <c r="H3382" s="43"/>
      <c r="AG3382" s="49" t="str">
        <f ca="1">IFERROR(__xludf.DUMMYFUNCTION("IFNA(vlookup(H3382,IMPORTRANGE(""1vUGwO1n0QQGx9kKbO0_M5gmuhXZ6-LaxQxgrmJnzgP0"",""'TP# look up'!A:C""),3,0),"""")"),"")</f>
        <v/>
      </c>
      <c r="AH3382" s="49" t="str">
        <f t="shared" si="52"/>
        <v/>
      </c>
    </row>
    <row r="3383" spans="8:34" ht="12.75">
      <c r="H3383" s="43"/>
      <c r="AG3383" s="49" t="str">
        <f ca="1">IFERROR(__xludf.DUMMYFUNCTION("IFNA(vlookup(H3383,IMPORTRANGE(""1vUGwO1n0QQGx9kKbO0_M5gmuhXZ6-LaxQxgrmJnzgP0"",""'TP# look up'!A:C""),3,0),"""")"),"")</f>
        <v/>
      </c>
      <c r="AH3383" s="49" t="str">
        <f t="shared" si="52"/>
        <v/>
      </c>
    </row>
    <row r="3384" spans="8:34" ht="12.75">
      <c r="H3384" s="43"/>
      <c r="AG3384" s="49" t="str">
        <f ca="1">IFERROR(__xludf.DUMMYFUNCTION("IFNA(vlookup(H3384,IMPORTRANGE(""1vUGwO1n0QQGx9kKbO0_M5gmuhXZ6-LaxQxgrmJnzgP0"",""'TP# look up'!A:C""),3,0),"""")"),"")</f>
        <v/>
      </c>
      <c r="AH3384" s="49" t="str">
        <f t="shared" si="52"/>
        <v/>
      </c>
    </row>
    <row r="3385" spans="8:34" ht="12.75">
      <c r="H3385" s="43"/>
      <c r="AG3385" s="49" t="str">
        <f ca="1">IFERROR(__xludf.DUMMYFUNCTION("IFNA(vlookup(H3385,IMPORTRANGE(""1vUGwO1n0QQGx9kKbO0_M5gmuhXZ6-LaxQxgrmJnzgP0"",""'TP# look up'!A:C""),3,0),"""")"),"")</f>
        <v/>
      </c>
      <c r="AH3385" s="49" t="str">
        <f t="shared" si="52"/>
        <v/>
      </c>
    </row>
    <row r="3386" spans="8:34" ht="12.75">
      <c r="H3386" s="43"/>
      <c r="AG3386" s="49" t="str">
        <f ca="1">IFERROR(__xludf.DUMMYFUNCTION("IFNA(vlookup(H3386,IMPORTRANGE(""1vUGwO1n0QQGx9kKbO0_M5gmuhXZ6-LaxQxgrmJnzgP0"",""'TP# look up'!A:C""),3,0),"""")"),"")</f>
        <v/>
      </c>
      <c r="AH3386" s="49" t="str">
        <f t="shared" si="52"/>
        <v/>
      </c>
    </row>
    <row r="3387" spans="8:34" ht="12.75">
      <c r="H3387" s="43"/>
      <c r="AG3387" s="49" t="str">
        <f ca="1">IFERROR(__xludf.DUMMYFUNCTION("IFNA(vlookup(H3387,IMPORTRANGE(""1vUGwO1n0QQGx9kKbO0_M5gmuhXZ6-LaxQxgrmJnzgP0"",""'TP# look up'!A:C""),3,0),"""")"),"")</f>
        <v/>
      </c>
      <c r="AH3387" s="49" t="str">
        <f t="shared" si="52"/>
        <v/>
      </c>
    </row>
    <row r="3388" spans="8:34" ht="12.75">
      <c r="H3388" s="43"/>
      <c r="AG3388" s="49" t="str">
        <f ca="1">IFERROR(__xludf.DUMMYFUNCTION("IFNA(vlookup(H3388,IMPORTRANGE(""1vUGwO1n0QQGx9kKbO0_M5gmuhXZ6-LaxQxgrmJnzgP0"",""'TP# look up'!A:C""),3,0),"""")"),"")</f>
        <v/>
      </c>
      <c r="AH3388" s="49" t="str">
        <f t="shared" si="52"/>
        <v/>
      </c>
    </row>
    <row r="3389" spans="8:34" ht="12.75">
      <c r="H3389" s="43"/>
      <c r="AG3389" s="49" t="str">
        <f ca="1">IFERROR(__xludf.DUMMYFUNCTION("IFNA(vlookup(H3389,IMPORTRANGE(""1vUGwO1n0QQGx9kKbO0_M5gmuhXZ6-LaxQxgrmJnzgP0"",""'TP# look up'!A:C""),3,0),"""")"),"")</f>
        <v/>
      </c>
      <c r="AH3389" s="49" t="str">
        <f t="shared" si="52"/>
        <v/>
      </c>
    </row>
    <row r="3390" spans="8:34" ht="12.75">
      <c r="H3390" s="43"/>
      <c r="AG3390" s="49" t="str">
        <f ca="1">IFERROR(__xludf.DUMMYFUNCTION("IFNA(vlookup(H3390,IMPORTRANGE(""1vUGwO1n0QQGx9kKbO0_M5gmuhXZ6-LaxQxgrmJnzgP0"",""'TP# look up'!A:C""),3,0),"""")"),"")</f>
        <v/>
      </c>
      <c r="AH3390" s="49" t="str">
        <f t="shared" si="52"/>
        <v/>
      </c>
    </row>
    <row r="3391" spans="8:34" ht="12.75">
      <c r="H3391" s="43"/>
      <c r="AG3391" s="49" t="str">
        <f ca="1">IFERROR(__xludf.DUMMYFUNCTION("IFNA(vlookup(H3391,IMPORTRANGE(""1vUGwO1n0QQGx9kKbO0_M5gmuhXZ6-LaxQxgrmJnzgP0"",""'TP# look up'!A:C""),3,0),"""")"),"")</f>
        <v/>
      </c>
      <c r="AH3391" s="49" t="str">
        <f t="shared" si="52"/>
        <v/>
      </c>
    </row>
    <row r="3392" spans="8:34" ht="12.75">
      <c r="H3392" s="43"/>
      <c r="AG3392" s="49" t="str">
        <f ca="1">IFERROR(__xludf.DUMMYFUNCTION("IFNA(vlookup(H3392,IMPORTRANGE(""1vUGwO1n0QQGx9kKbO0_M5gmuhXZ6-LaxQxgrmJnzgP0"",""'TP# look up'!A:C""),3,0),"""")"),"")</f>
        <v/>
      </c>
      <c r="AH3392" s="49" t="str">
        <f t="shared" si="52"/>
        <v/>
      </c>
    </row>
    <row r="3393" spans="8:34" ht="12.75">
      <c r="H3393" s="43"/>
      <c r="AG3393" s="49" t="str">
        <f ca="1">IFERROR(__xludf.DUMMYFUNCTION("IFNA(vlookup(H3393,IMPORTRANGE(""1vUGwO1n0QQGx9kKbO0_M5gmuhXZ6-LaxQxgrmJnzgP0"",""'TP# look up'!A:C""),3,0),"""")"),"")</f>
        <v/>
      </c>
      <c r="AH3393" s="49" t="str">
        <f t="shared" si="52"/>
        <v/>
      </c>
    </row>
    <row r="3394" spans="8:34" ht="12.75">
      <c r="H3394" s="43"/>
      <c r="AG3394" s="49" t="str">
        <f ca="1">IFERROR(__xludf.DUMMYFUNCTION("IFNA(vlookup(H3394,IMPORTRANGE(""1vUGwO1n0QQGx9kKbO0_M5gmuhXZ6-LaxQxgrmJnzgP0"",""'TP# look up'!A:C""),3,0),"""")"),"")</f>
        <v/>
      </c>
      <c r="AH3394" s="49" t="str">
        <f t="shared" ref="AH3394:AH3457" si="53">LEFT(J3394,2)</f>
        <v/>
      </c>
    </row>
    <row r="3395" spans="8:34" ht="12.75">
      <c r="H3395" s="43"/>
      <c r="AG3395" s="49" t="str">
        <f ca="1">IFERROR(__xludf.DUMMYFUNCTION("IFNA(vlookup(H3395,IMPORTRANGE(""1vUGwO1n0QQGx9kKbO0_M5gmuhXZ6-LaxQxgrmJnzgP0"",""'TP# look up'!A:C""),3,0),"""")"),"")</f>
        <v/>
      </c>
      <c r="AH3395" s="49" t="str">
        <f t="shared" si="53"/>
        <v/>
      </c>
    </row>
    <row r="3396" spans="8:34" ht="12.75">
      <c r="H3396" s="43"/>
      <c r="AG3396" s="49" t="str">
        <f ca="1">IFERROR(__xludf.DUMMYFUNCTION("IFNA(vlookup(H3396,IMPORTRANGE(""1vUGwO1n0QQGx9kKbO0_M5gmuhXZ6-LaxQxgrmJnzgP0"",""'TP# look up'!A:C""),3,0),"""")"),"")</f>
        <v/>
      </c>
      <c r="AH3396" s="49" t="str">
        <f t="shared" si="53"/>
        <v/>
      </c>
    </row>
    <row r="3397" spans="8:34" ht="12.75">
      <c r="H3397" s="43"/>
      <c r="AG3397" s="49" t="str">
        <f ca="1">IFERROR(__xludf.DUMMYFUNCTION("IFNA(vlookup(H3397,IMPORTRANGE(""1vUGwO1n0QQGx9kKbO0_M5gmuhXZ6-LaxQxgrmJnzgP0"",""'TP# look up'!A:C""),3,0),"""")"),"")</f>
        <v/>
      </c>
      <c r="AH3397" s="49" t="str">
        <f t="shared" si="53"/>
        <v/>
      </c>
    </row>
    <row r="3398" spans="8:34" ht="12.75">
      <c r="H3398" s="43"/>
      <c r="AG3398" s="49" t="str">
        <f ca="1">IFERROR(__xludf.DUMMYFUNCTION("IFNA(vlookup(H3398,IMPORTRANGE(""1vUGwO1n0QQGx9kKbO0_M5gmuhXZ6-LaxQxgrmJnzgP0"",""'TP# look up'!A:C""),3,0),"""")"),"")</f>
        <v/>
      </c>
      <c r="AH3398" s="49" t="str">
        <f t="shared" si="53"/>
        <v/>
      </c>
    </row>
    <row r="3399" spans="8:34" ht="12.75">
      <c r="H3399" s="43"/>
      <c r="AG3399" s="49" t="str">
        <f ca="1">IFERROR(__xludf.DUMMYFUNCTION("IFNA(vlookup(H3399,IMPORTRANGE(""1vUGwO1n0QQGx9kKbO0_M5gmuhXZ6-LaxQxgrmJnzgP0"",""'TP# look up'!A:C""),3,0),"""")"),"")</f>
        <v/>
      </c>
      <c r="AH3399" s="49" t="str">
        <f t="shared" si="53"/>
        <v/>
      </c>
    </row>
    <row r="3400" spans="8:34" ht="12.75">
      <c r="H3400" s="43"/>
      <c r="AG3400" s="49" t="str">
        <f ca="1">IFERROR(__xludf.DUMMYFUNCTION("IFNA(vlookup(H3400,IMPORTRANGE(""1vUGwO1n0QQGx9kKbO0_M5gmuhXZ6-LaxQxgrmJnzgP0"",""'TP# look up'!A:C""),3,0),"""")"),"")</f>
        <v/>
      </c>
      <c r="AH3400" s="49" t="str">
        <f t="shared" si="53"/>
        <v/>
      </c>
    </row>
    <row r="3401" spans="8:34" ht="12.75">
      <c r="H3401" s="43"/>
      <c r="AG3401" s="49" t="str">
        <f ca="1">IFERROR(__xludf.DUMMYFUNCTION("IFNA(vlookup(H3401,IMPORTRANGE(""1vUGwO1n0QQGx9kKbO0_M5gmuhXZ6-LaxQxgrmJnzgP0"",""'TP# look up'!A:C""),3,0),"""")"),"")</f>
        <v/>
      </c>
      <c r="AH3401" s="49" t="str">
        <f t="shared" si="53"/>
        <v/>
      </c>
    </row>
    <row r="3402" spans="8:34" ht="12.75">
      <c r="H3402" s="43"/>
      <c r="AG3402" s="49" t="str">
        <f ca="1">IFERROR(__xludf.DUMMYFUNCTION("IFNA(vlookup(H3402,IMPORTRANGE(""1vUGwO1n0QQGx9kKbO0_M5gmuhXZ6-LaxQxgrmJnzgP0"",""'TP# look up'!A:C""),3,0),"""")"),"")</f>
        <v/>
      </c>
      <c r="AH3402" s="49" t="str">
        <f t="shared" si="53"/>
        <v/>
      </c>
    </row>
    <row r="3403" spans="8:34" ht="12.75">
      <c r="H3403" s="43"/>
      <c r="AG3403" s="49" t="str">
        <f ca="1">IFERROR(__xludf.DUMMYFUNCTION("IFNA(vlookup(H3403,IMPORTRANGE(""1vUGwO1n0QQGx9kKbO0_M5gmuhXZ6-LaxQxgrmJnzgP0"",""'TP# look up'!A:C""),3,0),"""")"),"")</f>
        <v/>
      </c>
      <c r="AH3403" s="49" t="str">
        <f t="shared" si="53"/>
        <v/>
      </c>
    </row>
    <row r="3404" spans="8:34" ht="12.75">
      <c r="H3404" s="43"/>
      <c r="AG3404" s="49" t="str">
        <f ca="1">IFERROR(__xludf.DUMMYFUNCTION("IFNA(vlookup(H3404,IMPORTRANGE(""1vUGwO1n0QQGx9kKbO0_M5gmuhXZ6-LaxQxgrmJnzgP0"",""'TP# look up'!A:C""),3,0),"""")"),"")</f>
        <v/>
      </c>
      <c r="AH3404" s="49" t="str">
        <f t="shared" si="53"/>
        <v/>
      </c>
    </row>
    <row r="3405" spans="8:34" ht="12.75">
      <c r="H3405" s="43"/>
      <c r="AG3405" s="49" t="str">
        <f ca="1">IFERROR(__xludf.DUMMYFUNCTION("IFNA(vlookup(H3405,IMPORTRANGE(""1vUGwO1n0QQGx9kKbO0_M5gmuhXZ6-LaxQxgrmJnzgP0"",""'TP# look up'!A:C""),3,0),"""")"),"")</f>
        <v/>
      </c>
      <c r="AH3405" s="49" t="str">
        <f t="shared" si="53"/>
        <v/>
      </c>
    </row>
    <row r="3406" spans="8:34" ht="12.75">
      <c r="H3406" s="43"/>
      <c r="AG3406" s="49" t="str">
        <f ca="1">IFERROR(__xludf.DUMMYFUNCTION("IFNA(vlookup(H3406,IMPORTRANGE(""1vUGwO1n0QQGx9kKbO0_M5gmuhXZ6-LaxQxgrmJnzgP0"",""'TP# look up'!A:C""),3,0),"""")"),"")</f>
        <v/>
      </c>
      <c r="AH3406" s="49" t="str">
        <f t="shared" si="53"/>
        <v/>
      </c>
    </row>
    <row r="3407" spans="8:34" ht="12.75">
      <c r="H3407" s="43"/>
      <c r="AG3407" s="49" t="str">
        <f ca="1">IFERROR(__xludf.DUMMYFUNCTION("IFNA(vlookup(H3407,IMPORTRANGE(""1vUGwO1n0QQGx9kKbO0_M5gmuhXZ6-LaxQxgrmJnzgP0"",""'TP# look up'!A:C""),3,0),"""")"),"")</f>
        <v/>
      </c>
      <c r="AH3407" s="49" t="str">
        <f t="shared" si="53"/>
        <v/>
      </c>
    </row>
    <row r="3408" spans="8:34" ht="12.75">
      <c r="H3408" s="43"/>
      <c r="AG3408" s="49" t="str">
        <f ca="1">IFERROR(__xludf.DUMMYFUNCTION("IFNA(vlookup(H3408,IMPORTRANGE(""1vUGwO1n0QQGx9kKbO0_M5gmuhXZ6-LaxQxgrmJnzgP0"",""'TP# look up'!A:C""),3,0),"""")"),"")</f>
        <v/>
      </c>
      <c r="AH3408" s="49" t="str">
        <f t="shared" si="53"/>
        <v/>
      </c>
    </row>
    <row r="3409" spans="8:34" ht="12.75">
      <c r="H3409" s="43"/>
      <c r="AG3409" s="49" t="str">
        <f ca="1">IFERROR(__xludf.DUMMYFUNCTION("IFNA(vlookup(H3409,IMPORTRANGE(""1vUGwO1n0QQGx9kKbO0_M5gmuhXZ6-LaxQxgrmJnzgP0"",""'TP# look up'!A:C""),3,0),"""")"),"")</f>
        <v/>
      </c>
      <c r="AH3409" s="49" t="str">
        <f t="shared" si="53"/>
        <v/>
      </c>
    </row>
    <row r="3410" spans="8:34" ht="12.75">
      <c r="H3410" s="43"/>
      <c r="AG3410" s="49" t="str">
        <f ca="1">IFERROR(__xludf.DUMMYFUNCTION("IFNA(vlookup(H3410,IMPORTRANGE(""1vUGwO1n0QQGx9kKbO0_M5gmuhXZ6-LaxQxgrmJnzgP0"",""'TP# look up'!A:C""),3,0),"""")"),"")</f>
        <v/>
      </c>
      <c r="AH3410" s="49" t="str">
        <f t="shared" si="53"/>
        <v/>
      </c>
    </row>
    <row r="3411" spans="8:34" ht="12.75">
      <c r="H3411" s="43"/>
      <c r="AG3411" s="49" t="str">
        <f ca="1">IFERROR(__xludf.DUMMYFUNCTION("IFNA(vlookup(H3411,IMPORTRANGE(""1vUGwO1n0QQGx9kKbO0_M5gmuhXZ6-LaxQxgrmJnzgP0"",""'TP# look up'!A:C""),3,0),"""")"),"")</f>
        <v/>
      </c>
      <c r="AH3411" s="49" t="str">
        <f t="shared" si="53"/>
        <v/>
      </c>
    </row>
    <row r="3412" spans="8:34" ht="12.75">
      <c r="H3412" s="43"/>
      <c r="AG3412" s="49" t="str">
        <f ca="1">IFERROR(__xludf.DUMMYFUNCTION("IFNA(vlookup(H3412,IMPORTRANGE(""1vUGwO1n0QQGx9kKbO0_M5gmuhXZ6-LaxQxgrmJnzgP0"",""'TP# look up'!A:C""),3,0),"""")"),"")</f>
        <v/>
      </c>
      <c r="AH3412" s="49" t="str">
        <f t="shared" si="53"/>
        <v/>
      </c>
    </row>
    <row r="3413" spans="8:34" ht="12.75">
      <c r="H3413" s="43"/>
      <c r="AG3413" s="49" t="str">
        <f ca="1">IFERROR(__xludf.DUMMYFUNCTION("IFNA(vlookup(H3413,IMPORTRANGE(""1vUGwO1n0QQGx9kKbO0_M5gmuhXZ6-LaxQxgrmJnzgP0"",""'TP# look up'!A:C""),3,0),"""")"),"")</f>
        <v/>
      </c>
      <c r="AH3413" s="49" t="str">
        <f t="shared" si="53"/>
        <v/>
      </c>
    </row>
    <row r="3414" spans="8:34" ht="12.75">
      <c r="H3414" s="43"/>
      <c r="AG3414" s="49" t="str">
        <f ca="1">IFERROR(__xludf.DUMMYFUNCTION("IFNA(vlookup(H3414,IMPORTRANGE(""1vUGwO1n0QQGx9kKbO0_M5gmuhXZ6-LaxQxgrmJnzgP0"",""'TP# look up'!A:C""),3,0),"""")"),"")</f>
        <v/>
      </c>
      <c r="AH3414" s="49" t="str">
        <f t="shared" si="53"/>
        <v/>
      </c>
    </row>
    <row r="3415" spans="8:34" ht="12.75">
      <c r="H3415" s="43"/>
      <c r="AG3415" s="49" t="str">
        <f ca="1">IFERROR(__xludf.DUMMYFUNCTION("IFNA(vlookup(H3415,IMPORTRANGE(""1vUGwO1n0QQGx9kKbO0_M5gmuhXZ6-LaxQxgrmJnzgP0"",""'TP# look up'!A:C""),3,0),"""")"),"")</f>
        <v/>
      </c>
      <c r="AH3415" s="49" t="str">
        <f t="shared" si="53"/>
        <v/>
      </c>
    </row>
    <row r="3416" spans="8:34" ht="12.75">
      <c r="H3416" s="43"/>
      <c r="AG3416" s="49" t="str">
        <f ca="1">IFERROR(__xludf.DUMMYFUNCTION("IFNA(vlookup(H3416,IMPORTRANGE(""1vUGwO1n0QQGx9kKbO0_M5gmuhXZ6-LaxQxgrmJnzgP0"",""'TP# look up'!A:C""),3,0),"""")"),"")</f>
        <v/>
      </c>
      <c r="AH3416" s="49" t="str">
        <f t="shared" si="53"/>
        <v/>
      </c>
    </row>
    <row r="3417" spans="8:34" ht="12.75">
      <c r="H3417" s="43"/>
      <c r="AG3417" s="49" t="str">
        <f ca="1">IFERROR(__xludf.DUMMYFUNCTION("IFNA(vlookup(H3417,IMPORTRANGE(""1vUGwO1n0QQGx9kKbO0_M5gmuhXZ6-LaxQxgrmJnzgP0"",""'TP# look up'!A:C""),3,0),"""")"),"")</f>
        <v/>
      </c>
      <c r="AH3417" s="49" t="str">
        <f t="shared" si="53"/>
        <v/>
      </c>
    </row>
    <row r="3418" spans="8:34" ht="12.75">
      <c r="H3418" s="43"/>
      <c r="AG3418" s="49" t="str">
        <f ca="1">IFERROR(__xludf.DUMMYFUNCTION("IFNA(vlookup(H3418,IMPORTRANGE(""1vUGwO1n0QQGx9kKbO0_M5gmuhXZ6-LaxQxgrmJnzgP0"",""'TP# look up'!A:C""),3,0),"""")"),"")</f>
        <v/>
      </c>
      <c r="AH3418" s="49" t="str">
        <f t="shared" si="53"/>
        <v/>
      </c>
    </row>
    <row r="3419" spans="8:34" ht="12.75">
      <c r="H3419" s="43"/>
      <c r="AG3419" s="49" t="str">
        <f ca="1">IFERROR(__xludf.DUMMYFUNCTION("IFNA(vlookup(H3419,IMPORTRANGE(""1vUGwO1n0QQGx9kKbO0_M5gmuhXZ6-LaxQxgrmJnzgP0"",""'TP# look up'!A:C""),3,0),"""")"),"")</f>
        <v/>
      </c>
      <c r="AH3419" s="49" t="str">
        <f t="shared" si="53"/>
        <v/>
      </c>
    </row>
    <row r="3420" spans="8:34" ht="12.75">
      <c r="H3420" s="43"/>
      <c r="AG3420" s="49" t="str">
        <f ca="1">IFERROR(__xludf.DUMMYFUNCTION("IFNA(vlookup(H3420,IMPORTRANGE(""1vUGwO1n0QQGx9kKbO0_M5gmuhXZ6-LaxQxgrmJnzgP0"",""'TP# look up'!A:C""),3,0),"""")"),"")</f>
        <v/>
      </c>
      <c r="AH3420" s="49" t="str">
        <f t="shared" si="53"/>
        <v/>
      </c>
    </row>
    <row r="3421" spans="8:34" ht="12.75">
      <c r="H3421" s="43"/>
      <c r="AG3421" s="49" t="str">
        <f ca="1">IFERROR(__xludf.DUMMYFUNCTION("IFNA(vlookup(H3421,IMPORTRANGE(""1vUGwO1n0QQGx9kKbO0_M5gmuhXZ6-LaxQxgrmJnzgP0"",""'TP# look up'!A:C""),3,0),"""")"),"")</f>
        <v/>
      </c>
      <c r="AH3421" s="49" t="str">
        <f t="shared" si="53"/>
        <v/>
      </c>
    </row>
    <row r="3422" spans="8:34" ht="12.75">
      <c r="H3422" s="43"/>
      <c r="AG3422" s="49" t="str">
        <f ca="1">IFERROR(__xludf.DUMMYFUNCTION("IFNA(vlookup(H3422,IMPORTRANGE(""1vUGwO1n0QQGx9kKbO0_M5gmuhXZ6-LaxQxgrmJnzgP0"",""'TP# look up'!A:C""),3,0),"""")"),"")</f>
        <v/>
      </c>
      <c r="AH3422" s="49" t="str">
        <f t="shared" si="53"/>
        <v/>
      </c>
    </row>
    <row r="3423" spans="8:34" ht="12.75">
      <c r="H3423" s="43"/>
      <c r="AG3423" s="49" t="str">
        <f ca="1">IFERROR(__xludf.DUMMYFUNCTION("IFNA(vlookup(H3423,IMPORTRANGE(""1vUGwO1n0QQGx9kKbO0_M5gmuhXZ6-LaxQxgrmJnzgP0"",""'TP# look up'!A:C""),3,0),"""")"),"")</f>
        <v/>
      </c>
      <c r="AH3423" s="49" t="str">
        <f t="shared" si="53"/>
        <v/>
      </c>
    </row>
    <row r="3424" spans="8:34" ht="12.75">
      <c r="H3424" s="43"/>
      <c r="AG3424" s="49" t="str">
        <f ca="1">IFERROR(__xludf.DUMMYFUNCTION("IFNA(vlookup(H3424,IMPORTRANGE(""1vUGwO1n0QQGx9kKbO0_M5gmuhXZ6-LaxQxgrmJnzgP0"",""'TP# look up'!A:C""),3,0),"""")"),"")</f>
        <v/>
      </c>
      <c r="AH3424" s="49" t="str">
        <f t="shared" si="53"/>
        <v/>
      </c>
    </row>
    <row r="3425" spans="8:34" ht="12.75">
      <c r="H3425" s="43"/>
      <c r="AG3425" s="49" t="str">
        <f ca="1">IFERROR(__xludf.DUMMYFUNCTION("IFNA(vlookup(H3425,IMPORTRANGE(""1vUGwO1n0QQGx9kKbO0_M5gmuhXZ6-LaxQxgrmJnzgP0"",""'TP# look up'!A:C""),3,0),"""")"),"")</f>
        <v/>
      </c>
      <c r="AH3425" s="49" t="str">
        <f t="shared" si="53"/>
        <v/>
      </c>
    </row>
    <row r="3426" spans="8:34" ht="12.75">
      <c r="H3426" s="43"/>
      <c r="AG3426" s="49" t="str">
        <f ca="1">IFERROR(__xludf.DUMMYFUNCTION("IFNA(vlookup(H3426,IMPORTRANGE(""1vUGwO1n0QQGx9kKbO0_M5gmuhXZ6-LaxQxgrmJnzgP0"",""'TP# look up'!A:C""),3,0),"""")"),"")</f>
        <v/>
      </c>
      <c r="AH3426" s="49" t="str">
        <f t="shared" si="53"/>
        <v/>
      </c>
    </row>
    <row r="3427" spans="8:34" ht="12.75">
      <c r="H3427" s="43"/>
      <c r="AG3427" s="49" t="str">
        <f ca="1">IFERROR(__xludf.DUMMYFUNCTION("IFNA(vlookup(H3427,IMPORTRANGE(""1vUGwO1n0QQGx9kKbO0_M5gmuhXZ6-LaxQxgrmJnzgP0"",""'TP# look up'!A:C""),3,0),"""")"),"")</f>
        <v/>
      </c>
      <c r="AH3427" s="49" t="str">
        <f t="shared" si="53"/>
        <v/>
      </c>
    </row>
    <row r="3428" spans="8:34" ht="12.75">
      <c r="H3428" s="43"/>
      <c r="AG3428" s="49" t="str">
        <f ca="1">IFERROR(__xludf.DUMMYFUNCTION("IFNA(vlookup(H3428,IMPORTRANGE(""1vUGwO1n0QQGx9kKbO0_M5gmuhXZ6-LaxQxgrmJnzgP0"",""'TP# look up'!A:C""),3,0),"""")"),"")</f>
        <v/>
      </c>
      <c r="AH3428" s="49" t="str">
        <f t="shared" si="53"/>
        <v/>
      </c>
    </row>
    <row r="3429" spans="8:34" ht="12.75">
      <c r="H3429" s="43"/>
      <c r="AG3429" s="49" t="str">
        <f ca="1">IFERROR(__xludf.DUMMYFUNCTION("IFNA(vlookup(H3429,IMPORTRANGE(""1vUGwO1n0QQGx9kKbO0_M5gmuhXZ6-LaxQxgrmJnzgP0"",""'TP# look up'!A:C""),3,0),"""")"),"")</f>
        <v/>
      </c>
      <c r="AH3429" s="49" t="str">
        <f t="shared" si="53"/>
        <v/>
      </c>
    </row>
    <row r="3430" spans="8:34" ht="12.75">
      <c r="H3430" s="43"/>
      <c r="AG3430" s="49" t="str">
        <f ca="1">IFERROR(__xludf.DUMMYFUNCTION("IFNA(vlookup(H3430,IMPORTRANGE(""1vUGwO1n0QQGx9kKbO0_M5gmuhXZ6-LaxQxgrmJnzgP0"",""'TP# look up'!A:C""),3,0),"""")"),"")</f>
        <v/>
      </c>
      <c r="AH3430" s="49" t="str">
        <f t="shared" si="53"/>
        <v/>
      </c>
    </row>
    <row r="3431" spans="8:34" ht="12.75">
      <c r="H3431" s="43"/>
      <c r="AG3431" s="49" t="str">
        <f ca="1">IFERROR(__xludf.DUMMYFUNCTION("IFNA(vlookup(H3431,IMPORTRANGE(""1vUGwO1n0QQGx9kKbO0_M5gmuhXZ6-LaxQxgrmJnzgP0"",""'TP# look up'!A:C""),3,0),"""")"),"")</f>
        <v/>
      </c>
      <c r="AH3431" s="49" t="str">
        <f t="shared" si="53"/>
        <v/>
      </c>
    </row>
    <row r="3432" spans="8:34" ht="12.75">
      <c r="H3432" s="43"/>
      <c r="AG3432" s="49" t="str">
        <f ca="1">IFERROR(__xludf.DUMMYFUNCTION("IFNA(vlookup(H3432,IMPORTRANGE(""1vUGwO1n0QQGx9kKbO0_M5gmuhXZ6-LaxQxgrmJnzgP0"",""'TP# look up'!A:C""),3,0),"""")"),"")</f>
        <v/>
      </c>
      <c r="AH3432" s="49" t="str">
        <f t="shared" si="53"/>
        <v/>
      </c>
    </row>
    <row r="3433" spans="8:34" ht="12.75">
      <c r="H3433" s="43"/>
      <c r="AG3433" s="49" t="str">
        <f ca="1">IFERROR(__xludf.DUMMYFUNCTION("IFNA(vlookup(H3433,IMPORTRANGE(""1vUGwO1n0QQGx9kKbO0_M5gmuhXZ6-LaxQxgrmJnzgP0"",""'TP# look up'!A:C""),3,0),"""")"),"")</f>
        <v/>
      </c>
      <c r="AH3433" s="49" t="str">
        <f t="shared" si="53"/>
        <v/>
      </c>
    </row>
    <row r="3434" spans="8:34" ht="12.75">
      <c r="H3434" s="43"/>
      <c r="AG3434" s="49" t="str">
        <f ca="1">IFERROR(__xludf.DUMMYFUNCTION("IFNA(vlookup(H3434,IMPORTRANGE(""1vUGwO1n0QQGx9kKbO0_M5gmuhXZ6-LaxQxgrmJnzgP0"",""'TP# look up'!A:C""),3,0),"""")"),"")</f>
        <v/>
      </c>
      <c r="AH3434" s="49" t="str">
        <f t="shared" si="53"/>
        <v/>
      </c>
    </row>
    <row r="3435" spans="8:34" ht="12.75">
      <c r="H3435" s="43"/>
      <c r="AG3435" s="49" t="str">
        <f ca="1">IFERROR(__xludf.DUMMYFUNCTION("IFNA(vlookup(H3435,IMPORTRANGE(""1vUGwO1n0QQGx9kKbO0_M5gmuhXZ6-LaxQxgrmJnzgP0"",""'TP# look up'!A:C""),3,0),"""")"),"")</f>
        <v/>
      </c>
      <c r="AH3435" s="49" t="str">
        <f t="shared" si="53"/>
        <v/>
      </c>
    </row>
    <row r="3436" spans="8:34" ht="12.75">
      <c r="H3436" s="43"/>
      <c r="AG3436" s="49" t="str">
        <f ca="1">IFERROR(__xludf.DUMMYFUNCTION("IFNA(vlookup(H3436,IMPORTRANGE(""1vUGwO1n0QQGx9kKbO0_M5gmuhXZ6-LaxQxgrmJnzgP0"",""'TP# look up'!A:C""),3,0),"""")"),"")</f>
        <v/>
      </c>
      <c r="AH3436" s="49" t="str">
        <f t="shared" si="53"/>
        <v/>
      </c>
    </row>
    <row r="3437" spans="8:34" ht="12.75">
      <c r="H3437" s="43"/>
      <c r="AG3437" s="49" t="str">
        <f ca="1">IFERROR(__xludf.DUMMYFUNCTION("IFNA(vlookup(H3437,IMPORTRANGE(""1vUGwO1n0QQGx9kKbO0_M5gmuhXZ6-LaxQxgrmJnzgP0"",""'TP# look up'!A:C""),3,0),"""")"),"")</f>
        <v/>
      </c>
      <c r="AH3437" s="49" t="str">
        <f t="shared" si="53"/>
        <v/>
      </c>
    </row>
    <row r="3438" spans="8:34" ht="12.75">
      <c r="H3438" s="43"/>
      <c r="AG3438" s="49" t="str">
        <f ca="1">IFERROR(__xludf.DUMMYFUNCTION("IFNA(vlookup(H3438,IMPORTRANGE(""1vUGwO1n0QQGx9kKbO0_M5gmuhXZ6-LaxQxgrmJnzgP0"",""'TP# look up'!A:C""),3,0),"""")"),"")</f>
        <v/>
      </c>
      <c r="AH3438" s="49" t="str">
        <f t="shared" si="53"/>
        <v/>
      </c>
    </row>
    <row r="3439" spans="8:34" ht="12.75">
      <c r="H3439" s="43"/>
      <c r="AG3439" s="49" t="str">
        <f ca="1">IFERROR(__xludf.DUMMYFUNCTION("IFNA(vlookup(H3439,IMPORTRANGE(""1vUGwO1n0QQGx9kKbO0_M5gmuhXZ6-LaxQxgrmJnzgP0"",""'TP# look up'!A:C""),3,0),"""")"),"")</f>
        <v/>
      </c>
      <c r="AH3439" s="49" t="str">
        <f t="shared" si="53"/>
        <v/>
      </c>
    </row>
    <row r="3440" spans="8:34" ht="12.75">
      <c r="H3440" s="43"/>
      <c r="AG3440" s="49" t="str">
        <f ca="1">IFERROR(__xludf.DUMMYFUNCTION("IFNA(vlookup(H3440,IMPORTRANGE(""1vUGwO1n0QQGx9kKbO0_M5gmuhXZ6-LaxQxgrmJnzgP0"",""'TP# look up'!A:C""),3,0),"""")"),"")</f>
        <v/>
      </c>
      <c r="AH3440" s="49" t="str">
        <f t="shared" si="53"/>
        <v/>
      </c>
    </row>
    <row r="3441" spans="8:34" ht="12.75">
      <c r="H3441" s="43"/>
      <c r="AG3441" s="49" t="str">
        <f ca="1">IFERROR(__xludf.DUMMYFUNCTION("IFNA(vlookup(H3441,IMPORTRANGE(""1vUGwO1n0QQGx9kKbO0_M5gmuhXZ6-LaxQxgrmJnzgP0"",""'TP# look up'!A:C""),3,0),"""")"),"")</f>
        <v/>
      </c>
      <c r="AH3441" s="49" t="str">
        <f t="shared" si="53"/>
        <v/>
      </c>
    </row>
    <row r="3442" spans="8:34" ht="12.75">
      <c r="H3442" s="43"/>
      <c r="AG3442" s="49" t="str">
        <f ca="1">IFERROR(__xludf.DUMMYFUNCTION("IFNA(vlookup(H3442,IMPORTRANGE(""1vUGwO1n0QQGx9kKbO0_M5gmuhXZ6-LaxQxgrmJnzgP0"",""'TP# look up'!A:C""),3,0),"""")"),"")</f>
        <v/>
      </c>
      <c r="AH3442" s="49" t="str">
        <f t="shared" si="53"/>
        <v/>
      </c>
    </row>
    <row r="3443" spans="8:34" ht="12.75">
      <c r="H3443" s="43"/>
      <c r="AG3443" s="49" t="str">
        <f ca="1">IFERROR(__xludf.DUMMYFUNCTION("IFNA(vlookup(H3443,IMPORTRANGE(""1vUGwO1n0QQGx9kKbO0_M5gmuhXZ6-LaxQxgrmJnzgP0"",""'TP# look up'!A:C""),3,0),"""")"),"")</f>
        <v/>
      </c>
      <c r="AH3443" s="49" t="str">
        <f t="shared" si="53"/>
        <v/>
      </c>
    </row>
    <row r="3444" spans="8:34" ht="12.75">
      <c r="H3444" s="43"/>
      <c r="AG3444" s="49" t="str">
        <f ca="1">IFERROR(__xludf.DUMMYFUNCTION("IFNA(vlookup(H3444,IMPORTRANGE(""1vUGwO1n0QQGx9kKbO0_M5gmuhXZ6-LaxQxgrmJnzgP0"",""'TP# look up'!A:C""),3,0),"""")"),"")</f>
        <v/>
      </c>
      <c r="AH3444" s="49" t="str">
        <f t="shared" si="53"/>
        <v/>
      </c>
    </row>
    <row r="3445" spans="8:34" ht="12.75">
      <c r="H3445" s="43"/>
      <c r="AG3445" s="49" t="str">
        <f ca="1">IFERROR(__xludf.DUMMYFUNCTION("IFNA(vlookup(H3445,IMPORTRANGE(""1vUGwO1n0QQGx9kKbO0_M5gmuhXZ6-LaxQxgrmJnzgP0"",""'TP# look up'!A:C""),3,0),"""")"),"")</f>
        <v/>
      </c>
      <c r="AH3445" s="49" t="str">
        <f t="shared" si="53"/>
        <v/>
      </c>
    </row>
    <row r="3446" spans="8:34" ht="12.75">
      <c r="H3446" s="43"/>
      <c r="AG3446" s="49" t="str">
        <f ca="1">IFERROR(__xludf.DUMMYFUNCTION("IFNA(vlookup(H3446,IMPORTRANGE(""1vUGwO1n0QQGx9kKbO0_M5gmuhXZ6-LaxQxgrmJnzgP0"",""'TP# look up'!A:C""),3,0),"""")"),"")</f>
        <v/>
      </c>
      <c r="AH3446" s="49" t="str">
        <f t="shared" si="53"/>
        <v/>
      </c>
    </row>
    <row r="3447" spans="8:34" ht="12.75">
      <c r="H3447" s="43"/>
      <c r="AG3447" s="49" t="str">
        <f ca="1">IFERROR(__xludf.DUMMYFUNCTION("IFNA(vlookup(H3447,IMPORTRANGE(""1vUGwO1n0QQGx9kKbO0_M5gmuhXZ6-LaxQxgrmJnzgP0"",""'TP# look up'!A:C""),3,0),"""")"),"")</f>
        <v/>
      </c>
      <c r="AH3447" s="49" t="str">
        <f t="shared" si="53"/>
        <v/>
      </c>
    </row>
    <row r="3448" spans="8:34" ht="12.75">
      <c r="H3448" s="43"/>
      <c r="AG3448" s="49" t="str">
        <f ca="1">IFERROR(__xludf.DUMMYFUNCTION("IFNA(vlookup(H3448,IMPORTRANGE(""1vUGwO1n0QQGx9kKbO0_M5gmuhXZ6-LaxQxgrmJnzgP0"",""'TP# look up'!A:C""),3,0),"""")"),"")</f>
        <v/>
      </c>
      <c r="AH3448" s="49" t="str">
        <f t="shared" si="53"/>
        <v/>
      </c>
    </row>
    <row r="3449" spans="8:34" ht="12.75">
      <c r="H3449" s="43"/>
      <c r="AG3449" s="49" t="str">
        <f ca="1">IFERROR(__xludf.DUMMYFUNCTION("IFNA(vlookup(H3449,IMPORTRANGE(""1vUGwO1n0QQGx9kKbO0_M5gmuhXZ6-LaxQxgrmJnzgP0"",""'TP# look up'!A:C""),3,0),"""")"),"")</f>
        <v/>
      </c>
      <c r="AH3449" s="49" t="str">
        <f t="shared" si="53"/>
        <v/>
      </c>
    </row>
    <row r="3450" spans="8:34" ht="12.75">
      <c r="H3450" s="43"/>
      <c r="AG3450" s="49" t="str">
        <f ca="1">IFERROR(__xludf.DUMMYFUNCTION("IFNA(vlookup(H3450,IMPORTRANGE(""1vUGwO1n0QQGx9kKbO0_M5gmuhXZ6-LaxQxgrmJnzgP0"",""'TP# look up'!A:C""),3,0),"""")"),"")</f>
        <v/>
      </c>
      <c r="AH3450" s="49" t="str">
        <f t="shared" si="53"/>
        <v/>
      </c>
    </row>
    <row r="3451" spans="8:34" ht="12.75">
      <c r="H3451" s="43"/>
      <c r="AG3451" s="49" t="str">
        <f ca="1">IFERROR(__xludf.DUMMYFUNCTION("IFNA(vlookup(H3451,IMPORTRANGE(""1vUGwO1n0QQGx9kKbO0_M5gmuhXZ6-LaxQxgrmJnzgP0"",""'TP# look up'!A:C""),3,0),"""")"),"")</f>
        <v/>
      </c>
      <c r="AH3451" s="49" t="str">
        <f t="shared" si="53"/>
        <v/>
      </c>
    </row>
    <row r="3452" spans="8:34" ht="12.75">
      <c r="H3452" s="43"/>
      <c r="AG3452" s="49" t="str">
        <f ca="1">IFERROR(__xludf.DUMMYFUNCTION("IFNA(vlookup(H3452,IMPORTRANGE(""1vUGwO1n0QQGx9kKbO0_M5gmuhXZ6-LaxQxgrmJnzgP0"",""'TP# look up'!A:C""),3,0),"""")"),"")</f>
        <v/>
      </c>
      <c r="AH3452" s="49" t="str">
        <f t="shared" si="53"/>
        <v/>
      </c>
    </row>
    <row r="3453" spans="8:34" ht="12.75">
      <c r="H3453" s="43"/>
      <c r="AG3453" s="49" t="str">
        <f ca="1">IFERROR(__xludf.DUMMYFUNCTION("IFNA(vlookup(H3453,IMPORTRANGE(""1vUGwO1n0QQGx9kKbO0_M5gmuhXZ6-LaxQxgrmJnzgP0"",""'TP# look up'!A:C""),3,0),"""")"),"")</f>
        <v/>
      </c>
      <c r="AH3453" s="49" t="str">
        <f t="shared" si="53"/>
        <v/>
      </c>
    </row>
    <row r="3454" spans="8:34" ht="12.75">
      <c r="H3454" s="43"/>
      <c r="AG3454" s="49" t="str">
        <f ca="1">IFERROR(__xludf.DUMMYFUNCTION("IFNA(vlookup(H3454,IMPORTRANGE(""1vUGwO1n0QQGx9kKbO0_M5gmuhXZ6-LaxQxgrmJnzgP0"",""'TP# look up'!A:C""),3,0),"""")"),"")</f>
        <v/>
      </c>
      <c r="AH3454" s="49" t="str">
        <f t="shared" si="53"/>
        <v/>
      </c>
    </row>
    <row r="3455" spans="8:34" ht="12.75">
      <c r="H3455" s="43"/>
      <c r="AG3455" s="49" t="str">
        <f ca="1">IFERROR(__xludf.DUMMYFUNCTION("IFNA(vlookup(H3455,IMPORTRANGE(""1vUGwO1n0QQGx9kKbO0_M5gmuhXZ6-LaxQxgrmJnzgP0"",""'TP# look up'!A:C""),3,0),"""")"),"")</f>
        <v/>
      </c>
      <c r="AH3455" s="49" t="str">
        <f t="shared" si="53"/>
        <v/>
      </c>
    </row>
    <row r="3456" spans="8:34" ht="12.75">
      <c r="H3456" s="43"/>
      <c r="AG3456" s="49" t="str">
        <f ca="1">IFERROR(__xludf.DUMMYFUNCTION("IFNA(vlookup(H3456,IMPORTRANGE(""1vUGwO1n0QQGx9kKbO0_M5gmuhXZ6-LaxQxgrmJnzgP0"",""'TP# look up'!A:C""),3,0),"""")"),"")</f>
        <v/>
      </c>
      <c r="AH3456" s="49" t="str">
        <f t="shared" si="53"/>
        <v/>
      </c>
    </row>
    <row r="3457" spans="8:34" ht="12.75">
      <c r="H3457" s="43"/>
      <c r="AG3457" s="49" t="str">
        <f ca="1">IFERROR(__xludf.DUMMYFUNCTION("IFNA(vlookup(H3457,IMPORTRANGE(""1vUGwO1n0QQGx9kKbO0_M5gmuhXZ6-LaxQxgrmJnzgP0"",""'TP# look up'!A:C""),3,0),"""")"),"")</f>
        <v/>
      </c>
      <c r="AH3457" s="49" t="str">
        <f t="shared" si="53"/>
        <v/>
      </c>
    </row>
    <row r="3458" spans="8:34" ht="12.75">
      <c r="H3458" s="43"/>
      <c r="AG3458" s="49" t="str">
        <f ca="1">IFERROR(__xludf.DUMMYFUNCTION("IFNA(vlookup(H3458,IMPORTRANGE(""1vUGwO1n0QQGx9kKbO0_M5gmuhXZ6-LaxQxgrmJnzgP0"",""'TP# look up'!A:C""),3,0),"""")"),"")</f>
        <v/>
      </c>
      <c r="AH3458" s="49" t="str">
        <f t="shared" ref="AH3458:AH3521" si="54">LEFT(J3458,2)</f>
        <v/>
      </c>
    </row>
    <row r="3459" spans="8:34" ht="12.75">
      <c r="H3459" s="43"/>
      <c r="AG3459" s="49" t="str">
        <f ca="1">IFERROR(__xludf.DUMMYFUNCTION("IFNA(vlookup(H3459,IMPORTRANGE(""1vUGwO1n0QQGx9kKbO0_M5gmuhXZ6-LaxQxgrmJnzgP0"",""'TP# look up'!A:C""),3,0),"""")"),"")</f>
        <v/>
      </c>
      <c r="AH3459" s="49" t="str">
        <f t="shared" si="54"/>
        <v/>
      </c>
    </row>
    <row r="3460" spans="8:34" ht="12.75">
      <c r="H3460" s="43"/>
      <c r="AG3460" s="49" t="str">
        <f ca="1">IFERROR(__xludf.DUMMYFUNCTION("IFNA(vlookup(H3460,IMPORTRANGE(""1vUGwO1n0QQGx9kKbO0_M5gmuhXZ6-LaxQxgrmJnzgP0"",""'TP# look up'!A:C""),3,0),"""")"),"")</f>
        <v/>
      </c>
      <c r="AH3460" s="49" t="str">
        <f t="shared" si="54"/>
        <v/>
      </c>
    </row>
    <row r="3461" spans="8:34" ht="12.75">
      <c r="H3461" s="43"/>
      <c r="AG3461" s="49" t="str">
        <f ca="1">IFERROR(__xludf.DUMMYFUNCTION("IFNA(vlookup(H3461,IMPORTRANGE(""1vUGwO1n0QQGx9kKbO0_M5gmuhXZ6-LaxQxgrmJnzgP0"",""'TP# look up'!A:C""),3,0),"""")"),"")</f>
        <v/>
      </c>
      <c r="AH3461" s="49" t="str">
        <f t="shared" si="54"/>
        <v/>
      </c>
    </row>
    <row r="3462" spans="8:34" ht="12.75">
      <c r="H3462" s="43"/>
      <c r="AG3462" s="49" t="str">
        <f ca="1">IFERROR(__xludf.DUMMYFUNCTION("IFNA(vlookup(H3462,IMPORTRANGE(""1vUGwO1n0QQGx9kKbO0_M5gmuhXZ6-LaxQxgrmJnzgP0"",""'TP# look up'!A:C""),3,0),"""")"),"")</f>
        <v/>
      </c>
      <c r="AH3462" s="49" t="str">
        <f t="shared" si="54"/>
        <v/>
      </c>
    </row>
    <row r="3463" spans="8:34" ht="12.75">
      <c r="H3463" s="43"/>
      <c r="AG3463" s="49" t="str">
        <f ca="1">IFERROR(__xludf.DUMMYFUNCTION("IFNA(vlookup(H3463,IMPORTRANGE(""1vUGwO1n0QQGx9kKbO0_M5gmuhXZ6-LaxQxgrmJnzgP0"",""'TP# look up'!A:C""),3,0),"""")"),"")</f>
        <v/>
      </c>
      <c r="AH3463" s="49" t="str">
        <f t="shared" si="54"/>
        <v/>
      </c>
    </row>
    <row r="3464" spans="8:34" ht="12.75">
      <c r="H3464" s="43"/>
      <c r="AG3464" s="49" t="str">
        <f ca="1">IFERROR(__xludf.DUMMYFUNCTION("IFNA(vlookup(H3464,IMPORTRANGE(""1vUGwO1n0QQGx9kKbO0_M5gmuhXZ6-LaxQxgrmJnzgP0"",""'TP# look up'!A:C""),3,0),"""")"),"")</f>
        <v/>
      </c>
      <c r="AH3464" s="49" t="str">
        <f t="shared" si="54"/>
        <v/>
      </c>
    </row>
    <row r="3465" spans="8:34" ht="12.75">
      <c r="H3465" s="43"/>
      <c r="AG3465" s="49" t="str">
        <f ca="1">IFERROR(__xludf.DUMMYFUNCTION("IFNA(vlookup(H3465,IMPORTRANGE(""1vUGwO1n0QQGx9kKbO0_M5gmuhXZ6-LaxQxgrmJnzgP0"",""'TP# look up'!A:C""),3,0),"""")"),"")</f>
        <v/>
      </c>
      <c r="AH3465" s="49" t="str">
        <f t="shared" si="54"/>
        <v/>
      </c>
    </row>
    <row r="3466" spans="8:34" ht="12.75">
      <c r="H3466" s="43"/>
      <c r="AG3466" s="49" t="str">
        <f ca="1">IFERROR(__xludf.DUMMYFUNCTION("IFNA(vlookup(H3466,IMPORTRANGE(""1vUGwO1n0QQGx9kKbO0_M5gmuhXZ6-LaxQxgrmJnzgP0"",""'TP# look up'!A:C""),3,0),"""")"),"")</f>
        <v/>
      </c>
      <c r="AH3466" s="49" t="str">
        <f t="shared" si="54"/>
        <v/>
      </c>
    </row>
    <row r="3467" spans="8:34" ht="12.75">
      <c r="H3467" s="43"/>
      <c r="AG3467" s="49" t="str">
        <f ca="1">IFERROR(__xludf.DUMMYFUNCTION("IFNA(vlookup(H3467,IMPORTRANGE(""1vUGwO1n0QQGx9kKbO0_M5gmuhXZ6-LaxQxgrmJnzgP0"",""'TP# look up'!A:C""),3,0),"""")"),"")</f>
        <v/>
      </c>
      <c r="AH3467" s="49" t="str">
        <f t="shared" si="54"/>
        <v/>
      </c>
    </row>
    <row r="3468" spans="8:34" ht="12.75">
      <c r="H3468" s="43"/>
      <c r="AG3468" s="49" t="str">
        <f ca="1">IFERROR(__xludf.DUMMYFUNCTION("IFNA(vlookup(H3468,IMPORTRANGE(""1vUGwO1n0QQGx9kKbO0_M5gmuhXZ6-LaxQxgrmJnzgP0"",""'TP# look up'!A:C""),3,0),"""")"),"")</f>
        <v/>
      </c>
      <c r="AH3468" s="49" t="str">
        <f t="shared" si="54"/>
        <v/>
      </c>
    </row>
    <row r="3469" spans="8:34" ht="12.75">
      <c r="H3469" s="43"/>
      <c r="AG3469" s="49" t="str">
        <f ca="1">IFERROR(__xludf.DUMMYFUNCTION("IFNA(vlookup(H3469,IMPORTRANGE(""1vUGwO1n0QQGx9kKbO0_M5gmuhXZ6-LaxQxgrmJnzgP0"",""'TP# look up'!A:C""),3,0),"""")"),"")</f>
        <v/>
      </c>
      <c r="AH3469" s="49" t="str">
        <f t="shared" si="54"/>
        <v/>
      </c>
    </row>
    <row r="3470" spans="8:34" ht="12.75">
      <c r="H3470" s="43"/>
      <c r="AG3470" s="49" t="str">
        <f ca="1">IFERROR(__xludf.DUMMYFUNCTION("IFNA(vlookup(H3470,IMPORTRANGE(""1vUGwO1n0QQGx9kKbO0_M5gmuhXZ6-LaxQxgrmJnzgP0"",""'TP# look up'!A:C""),3,0),"""")"),"")</f>
        <v/>
      </c>
      <c r="AH3470" s="49" t="str">
        <f t="shared" si="54"/>
        <v/>
      </c>
    </row>
    <row r="3471" spans="8:34" ht="12.75">
      <c r="H3471" s="43"/>
      <c r="AG3471" s="49" t="str">
        <f ca="1">IFERROR(__xludf.DUMMYFUNCTION("IFNA(vlookup(H3471,IMPORTRANGE(""1vUGwO1n0QQGx9kKbO0_M5gmuhXZ6-LaxQxgrmJnzgP0"",""'TP# look up'!A:C""),3,0),"""")"),"")</f>
        <v/>
      </c>
      <c r="AH3471" s="49" t="str">
        <f t="shared" si="54"/>
        <v/>
      </c>
    </row>
    <row r="3472" spans="8:34" ht="12.75">
      <c r="H3472" s="43"/>
      <c r="AG3472" s="49" t="str">
        <f ca="1">IFERROR(__xludf.DUMMYFUNCTION("IFNA(vlookup(H3472,IMPORTRANGE(""1vUGwO1n0QQGx9kKbO0_M5gmuhXZ6-LaxQxgrmJnzgP0"",""'TP# look up'!A:C""),3,0),"""")"),"")</f>
        <v/>
      </c>
      <c r="AH3472" s="49" t="str">
        <f t="shared" si="54"/>
        <v/>
      </c>
    </row>
    <row r="3473" spans="8:34" ht="12.75">
      <c r="H3473" s="43"/>
      <c r="AG3473" s="49" t="str">
        <f ca="1">IFERROR(__xludf.DUMMYFUNCTION("IFNA(vlookup(H3473,IMPORTRANGE(""1vUGwO1n0QQGx9kKbO0_M5gmuhXZ6-LaxQxgrmJnzgP0"",""'TP# look up'!A:C""),3,0),"""")"),"")</f>
        <v/>
      </c>
      <c r="AH3473" s="49" t="str">
        <f t="shared" si="54"/>
        <v/>
      </c>
    </row>
    <row r="3474" spans="8:34" ht="12.75">
      <c r="H3474" s="43"/>
      <c r="AG3474" s="49" t="str">
        <f ca="1">IFERROR(__xludf.DUMMYFUNCTION("IFNA(vlookup(H3474,IMPORTRANGE(""1vUGwO1n0QQGx9kKbO0_M5gmuhXZ6-LaxQxgrmJnzgP0"",""'TP# look up'!A:C""),3,0),"""")"),"")</f>
        <v/>
      </c>
      <c r="AH3474" s="49" t="str">
        <f t="shared" si="54"/>
        <v/>
      </c>
    </row>
    <row r="3475" spans="8:34" ht="12.75">
      <c r="H3475" s="43"/>
      <c r="AG3475" s="49" t="str">
        <f ca="1">IFERROR(__xludf.DUMMYFUNCTION("IFNA(vlookup(H3475,IMPORTRANGE(""1vUGwO1n0QQGx9kKbO0_M5gmuhXZ6-LaxQxgrmJnzgP0"",""'TP# look up'!A:C""),3,0),"""")"),"")</f>
        <v/>
      </c>
      <c r="AH3475" s="49" t="str">
        <f t="shared" si="54"/>
        <v/>
      </c>
    </row>
    <row r="3476" spans="8:34" ht="12.75">
      <c r="H3476" s="43"/>
      <c r="AG3476" s="49" t="str">
        <f ca="1">IFERROR(__xludf.DUMMYFUNCTION("IFNA(vlookup(H3476,IMPORTRANGE(""1vUGwO1n0QQGx9kKbO0_M5gmuhXZ6-LaxQxgrmJnzgP0"",""'TP# look up'!A:C""),3,0),"""")"),"")</f>
        <v/>
      </c>
      <c r="AH3476" s="49" t="str">
        <f t="shared" si="54"/>
        <v/>
      </c>
    </row>
    <row r="3477" spans="8:34" ht="12.75">
      <c r="H3477" s="43"/>
      <c r="AG3477" s="49" t="str">
        <f ca="1">IFERROR(__xludf.DUMMYFUNCTION("IFNA(vlookup(H3477,IMPORTRANGE(""1vUGwO1n0QQGx9kKbO0_M5gmuhXZ6-LaxQxgrmJnzgP0"",""'TP# look up'!A:C""),3,0),"""")"),"")</f>
        <v/>
      </c>
      <c r="AH3477" s="49" t="str">
        <f t="shared" si="54"/>
        <v/>
      </c>
    </row>
    <row r="3478" spans="8:34" ht="12.75">
      <c r="H3478" s="43"/>
      <c r="AG3478" s="49" t="str">
        <f ca="1">IFERROR(__xludf.DUMMYFUNCTION("IFNA(vlookup(H3478,IMPORTRANGE(""1vUGwO1n0QQGx9kKbO0_M5gmuhXZ6-LaxQxgrmJnzgP0"",""'TP# look up'!A:C""),3,0),"""")"),"")</f>
        <v/>
      </c>
      <c r="AH3478" s="49" t="str">
        <f t="shared" si="54"/>
        <v/>
      </c>
    </row>
    <row r="3479" spans="8:34" ht="12.75">
      <c r="H3479" s="43"/>
      <c r="AG3479" s="49" t="str">
        <f ca="1">IFERROR(__xludf.DUMMYFUNCTION("IFNA(vlookup(H3479,IMPORTRANGE(""1vUGwO1n0QQGx9kKbO0_M5gmuhXZ6-LaxQxgrmJnzgP0"",""'TP# look up'!A:C""),3,0),"""")"),"")</f>
        <v/>
      </c>
      <c r="AH3479" s="49" t="str">
        <f t="shared" si="54"/>
        <v/>
      </c>
    </row>
    <row r="3480" spans="8:34" ht="12.75">
      <c r="H3480" s="43"/>
      <c r="AG3480" s="49" t="str">
        <f ca="1">IFERROR(__xludf.DUMMYFUNCTION("IFNA(vlookup(H3480,IMPORTRANGE(""1vUGwO1n0QQGx9kKbO0_M5gmuhXZ6-LaxQxgrmJnzgP0"",""'TP# look up'!A:C""),3,0),"""")"),"")</f>
        <v/>
      </c>
      <c r="AH3480" s="49" t="str">
        <f t="shared" si="54"/>
        <v/>
      </c>
    </row>
    <row r="3481" spans="8:34" ht="12.75">
      <c r="H3481" s="43"/>
      <c r="AG3481" s="49" t="str">
        <f ca="1">IFERROR(__xludf.DUMMYFUNCTION("IFNA(vlookup(H3481,IMPORTRANGE(""1vUGwO1n0QQGx9kKbO0_M5gmuhXZ6-LaxQxgrmJnzgP0"",""'TP# look up'!A:C""),3,0),"""")"),"")</f>
        <v/>
      </c>
      <c r="AH3481" s="49" t="str">
        <f t="shared" si="54"/>
        <v/>
      </c>
    </row>
    <row r="3482" spans="8:34" ht="12.75">
      <c r="H3482" s="43"/>
      <c r="AG3482" s="49" t="str">
        <f ca="1">IFERROR(__xludf.DUMMYFUNCTION("IFNA(vlookup(H3482,IMPORTRANGE(""1vUGwO1n0QQGx9kKbO0_M5gmuhXZ6-LaxQxgrmJnzgP0"",""'TP# look up'!A:C""),3,0),"""")"),"")</f>
        <v/>
      </c>
      <c r="AH3482" s="49" t="str">
        <f t="shared" si="54"/>
        <v/>
      </c>
    </row>
    <row r="3483" spans="8:34" ht="12.75">
      <c r="H3483" s="43"/>
      <c r="AG3483" s="49" t="str">
        <f ca="1">IFERROR(__xludf.DUMMYFUNCTION("IFNA(vlookup(H3483,IMPORTRANGE(""1vUGwO1n0QQGx9kKbO0_M5gmuhXZ6-LaxQxgrmJnzgP0"",""'TP# look up'!A:C""),3,0),"""")"),"")</f>
        <v/>
      </c>
      <c r="AH3483" s="49" t="str">
        <f t="shared" si="54"/>
        <v/>
      </c>
    </row>
    <row r="3484" spans="8:34" ht="12.75">
      <c r="H3484" s="43"/>
      <c r="AG3484" s="49" t="str">
        <f ca="1">IFERROR(__xludf.DUMMYFUNCTION("IFNA(vlookup(H3484,IMPORTRANGE(""1vUGwO1n0QQGx9kKbO0_M5gmuhXZ6-LaxQxgrmJnzgP0"",""'TP# look up'!A:C""),3,0),"""")"),"")</f>
        <v/>
      </c>
      <c r="AH3484" s="49" t="str">
        <f t="shared" si="54"/>
        <v/>
      </c>
    </row>
    <row r="3485" spans="8:34" ht="12.75">
      <c r="H3485" s="43"/>
      <c r="AG3485" s="49" t="str">
        <f ca="1">IFERROR(__xludf.DUMMYFUNCTION("IFNA(vlookup(H3485,IMPORTRANGE(""1vUGwO1n0QQGx9kKbO0_M5gmuhXZ6-LaxQxgrmJnzgP0"",""'TP# look up'!A:C""),3,0),"""")"),"")</f>
        <v/>
      </c>
      <c r="AH3485" s="49" t="str">
        <f t="shared" si="54"/>
        <v/>
      </c>
    </row>
    <row r="3486" spans="8:34" ht="12.75">
      <c r="H3486" s="43"/>
      <c r="AG3486" s="49" t="str">
        <f ca="1">IFERROR(__xludf.DUMMYFUNCTION("IFNA(vlookup(H3486,IMPORTRANGE(""1vUGwO1n0QQGx9kKbO0_M5gmuhXZ6-LaxQxgrmJnzgP0"",""'TP# look up'!A:C""),3,0),"""")"),"")</f>
        <v/>
      </c>
      <c r="AH3486" s="49" t="str">
        <f t="shared" si="54"/>
        <v/>
      </c>
    </row>
    <row r="3487" spans="8:34" ht="12.75">
      <c r="H3487" s="43"/>
      <c r="AG3487" s="49" t="str">
        <f ca="1">IFERROR(__xludf.DUMMYFUNCTION("IFNA(vlookup(H3487,IMPORTRANGE(""1vUGwO1n0QQGx9kKbO0_M5gmuhXZ6-LaxQxgrmJnzgP0"",""'TP# look up'!A:C""),3,0),"""")"),"")</f>
        <v/>
      </c>
      <c r="AH3487" s="49" t="str">
        <f t="shared" si="54"/>
        <v/>
      </c>
    </row>
    <row r="3488" spans="8:34" ht="12.75">
      <c r="H3488" s="43"/>
      <c r="AG3488" s="49" t="str">
        <f ca="1">IFERROR(__xludf.DUMMYFUNCTION("IFNA(vlookup(H3488,IMPORTRANGE(""1vUGwO1n0QQGx9kKbO0_M5gmuhXZ6-LaxQxgrmJnzgP0"",""'TP# look up'!A:C""),3,0),"""")"),"")</f>
        <v/>
      </c>
      <c r="AH3488" s="49" t="str">
        <f t="shared" si="54"/>
        <v/>
      </c>
    </row>
    <row r="3489" spans="8:34" ht="12.75">
      <c r="H3489" s="43"/>
      <c r="AG3489" s="49" t="str">
        <f ca="1">IFERROR(__xludf.DUMMYFUNCTION("IFNA(vlookup(H3489,IMPORTRANGE(""1vUGwO1n0QQGx9kKbO0_M5gmuhXZ6-LaxQxgrmJnzgP0"",""'TP# look up'!A:C""),3,0),"""")"),"")</f>
        <v/>
      </c>
      <c r="AH3489" s="49" t="str">
        <f t="shared" si="54"/>
        <v/>
      </c>
    </row>
    <row r="3490" spans="8:34" ht="12.75">
      <c r="H3490" s="43"/>
      <c r="AG3490" s="49" t="str">
        <f ca="1">IFERROR(__xludf.DUMMYFUNCTION("IFNA(vlookup(H3490,IMPORTRANGE(""1vUGwO1n0QQGx9kKbO0_M5gmuhXZ6-LaxQxgrmJnzgP0"",""'TP# look up'!A:C""),3,0),"""")"),"")</f>
        <v/>
      </c>
      <c r="AH3490" s="49" t="str">
        <f t="shared" si="54"/>
        <v/>
      </c>
    </row>
    <row r="3491" spans="8:34" ht="12.75">
      <c r="H3491" s="43"/>
      <c r="AG3491" s="49" t="str">
        <f ca="1">IFERROR(__xludf.DUMMYFUNCTION("IFNA(vlookup(H3491,IMPORTRANGE(""1vUGwO1n0QQGx9kKbO0_M5gmuhXZ6-LaxQxgrmJnzgP0"",""'TP# look up'!A:C""),3,0),"""")"),"")</f>
        <v/>
      </c>
      <c r="AH3491" s="49" t="str">
        <f t="shared" si="54"/>
        <v/>
      </c>
    </row>
    <row r="3492" spans="8:34" ht="12.75">
      <c r="H3492" s="43"/>
      <c r="AG3492" s="49" t="str">
        <f ca="1">IFERROR(__xludf.DUMMYFUNCTION("IFNA(vlookup(H3492,IMPORTRANGE(""1vUGwO1n0QQGx9kKbO0_M5gmuhXZ6-LaxQxgrmJnzgP0"",""'TP# look up'!A:C""),3,0),"""")"),"")</f>
        <v/>
      </c>
      <c r="AH3492" s="49" t="str">
        <f t="shared" si="54"/>
        <v/>
      </c>
    </row>
    <row r="3493" spans="8:34" ht="12.75">
      <c r="H3493" s="43"/>
      <c r="AG3493" s="49" t="str">
        <f ca="1">IFERROR(__xludf.DUMMYFUNCTION("IFNA(vlookup(H3493,IMPORTRANGE(""1vUGwO1n0QQGx9kKbO0_M5gmuhXZ6-LaxQxgrmJnzgP0"",""'TP# look up'!A:C""),3,0),"""")"),"")</f>
        <v/>
      </c>
      <c r="AH3493" s="49" t="str">
        <f t="shared" si="54"/>
        <v/>
      </c>
    </row>
    <row r="3494" spans="8:34" ht="12.75">
      <c r="H3494" s="43"/>
      <c r="AG3494" s="49" t="str">
        <f ca="1">IFERROR(__xludf.DUMMYFUNCTION("IFNA(vlookup(H3494,IMPORTRANGE(""1vUGwO1n0QQGx9kKbO0_M5gmuhXZ6-LaxQxgrmJnzgP0"",""'TP# look up'!A:C""),3,0),"""")"),"")</f>
        <v/>
      </c>
      <c r="AH3494" s="49" t="str">
        <f t="shared" si="54"/>
        <v/>
      </c>
    </row>
    <row r="3495" spans="8:34" ht="12.75">
      <c r="H3495" s="43"/>
      <c r="AG3495" s="49" t="str">
        <f ca="1">IFERROR(__xludf.DUMMYFUNCTION("IFNA(vlookup(H3495,IMPORTRANGE(""1vUGwO1n0QQGx9kKbO0_M5gmuhXZ6-LaxQxgrmJnzgP0"",""'TP# look up'!A:C""),3,0),"""")"),"")</f>
        <v/>
      </c>
      <c r="AH3495" s="49" t="str">
        <f t="shared" si="54"/>
        <v/>
      </c>
    </row>
    <row r="3496" spans="8:34" ht="12.75">
      <c r="H3496" s="43"/>
      <c r="AG3496" s="49" t="str">
        <f ca="1">IFERROR(__xludf.DUMMYFUNCTION("IFNA(vlookup(H3496,IMPORTRANGE(""1vUGwO1n0QQGx9kKbO0_M5gmuhXZ6-LaxQxgrmJnzgP0"",""'TP# look up'!A:C""),3,0),"""")"),"")</f>
        <v/>
      </c>
      <c r="AH3496" s="49" t="str">
        <f t="shared" si="54"/>
        <v/>
      </c>
    </row>
    <row r="3497" spans="8:34" ht="12.75">
      <c r="H3497" s="43"/>
      <c r="AG3497" s="49" t="str">
        <f ca="1">IFERROR(__xludf.DUMMYFUNCTION("IFNA(vlookup(H3497,IMPORTRANGE(""1vUGwO1n0QQGx9kKbO0_M5gmuhXZ6-LaxQxgrmJnzgP0"",""'TP# look up'!A:C""),3,0),"""")"),"")</f>
        <v/>
      </c>
      <c r="AH3497" s="49" t="str">
        <f t="shared" si="54"/>
        <v/>
      </c>
    </row>
    <row r="3498" spans="8:34" ht="12.75">
      <c r="H3498" s="43"/>
      <c r="AG3498" s="49" t="str">
        <f ca="1">IFERROR(__xludf.DUMMYFUNCTION("IFNA(vlookup(H3498,IMPORTRANGE(""1vUGwO1n0QQGx9kKbO0_M5gmuhXZ6-LaxQxgrmJnzgP0"",""'TP# look up'!A:C""),3,0),"""")"),"")</f>
        <v/>
      </c>
      <c r="AH3498" s="49" t="str">
        <f t="shared" si="54"/>
        <v/>
      </c>
    </row>
    <row r="3499" spans="8:34" ht="12.75">
      <c r="H3499" s="43"/>
      <c r="AG3499" s="49" t="str">
        <f ca="1">IFERROR(__xludf.DUMMYFUNCTION("IFNA(vlookup(H3499,IMPORTRANGE(""1vUGwO1n0QQGx9kKbO0_M5gmuhXZ6-LaxQxgrmJnzgP0"",""'TP# look up'!A:C""),3,0),"""")"),"")</f>
        <v/>
      </c>
      <c r="AH3499" s="49" t="str">
        <f t="shared" si="54"/>
        <v/>
      </c>
    </row>
    <row r="3500" spans="8:34" ht="12.75">
      <c r="H3500" s="43"/>
      <c r="AG3500" s="49" t="str">
        <f ca="1">IFERROR(__xludf.DUMMYFUNCTION("IFNA(vlookup(H3500,IMPORTRANGE(""1vUGwO1n0QQGx9kKbO0_M5gmuhXZ6-LaxQxgrmJnzgP0"",""'TP# look up'!A:C""),3,0),"""")"),"")</f>
        <v/>
      </c>
      <c r="AH3500" s="49" t="str">
        <f t="shared" si="54"/>
        <v/>
      </c>
    </row>
    <row r="3501" spans="8:34" ht="12.75">
      <c r="H3501" s="43"/>
      <c r="AG3501" s="49" t="str">
        <f ca="1">IFERROR(__xludf.DUMMYFUNCTION("IFNA(vlookup(H3501,IMPORTRANGE(""1vUGwO1n0QQGx9kKbO0_M5gmuhXZ6-LaxQxgrmJnzgP0"",""'TP# look up'!A:C""),3,0),"""")"),"")</f>
        <v/>
      </c>
      <c r="AH3501" s="49" t="str">
        <f t="shared" si="54"/>
        <v/>
      </c>
    </row>
    <row r="3502" spans="8:34" ht="12.75">
      <c r="H3502" s="43"/>
      <c r="AG3502" s="49" t="str">
        <f ca="1">IFERROR(__xludf.DUMMYFUNCTION("IFNA(vlookup(H3502,IMPORTRANGE(""1vUGwO1n0QQGx9kKbO0_M5gmuhXZ6-LaxQxgrmJnzgP0"",""'TP# look up'!A:C""),3,0),"""")"),"")</f>
        <v/>
      </c>
      <c r="AH3502" s="49" t="str">
        <f t="shared" si="54"/>
        <v/>
      </c>
    </row>
    <row r="3503" spans="8:34" ht="12.75">
      <c r="H3503" s="43"/>
      <c r="AG3503" s="49" t="str">
        <f ca="1">IFERROR(__xludf.DUMMYFUNCTION("IFNA(vlookup(H3503,IMPORTRANGE(""1vUGwO1n0QQGx9kKbO0_M5gmuhXZ6-LaxQxgrmJnzgP0"",""'TP# look up'!A:C""),3,0),"""")"),"")</f>
        <v/>
      </c>
      <c r="AH3503" s="49" t="str">
        <f t="shared" si="54"/>
        <v/>
      </c>
    </row>
    <row r="3504" spans="8:34" ht="12.75">
      <c r="H3504" s="43"/>
      <c r="AG3504" s="49" t="str">
        <f ca="1">IFERROR(__xludf.DUMMYFUNCTION("IFNA(vlookup(H3504,IMPORTRANGE(""1vUGwO1n0QQGx9kKbO0_M5gmuhXZ6-LaxQxgrmJnzgP0"",""'TP# look up'!A:C""),3,0),"""")"),"")</f>
        <v/>
      </c>
      <c r="AH3504" s="49" t="str">
        <f t="shared" si="54"/>
        <v/>
      </c>
    </row>
    <row r="3505" spans="8:34" ht="12.75">
      <c r="H3505" s="43"/>
      <c r="AG3505" s="49" t="str">
        <f ca="1">IFERROR(__xludf.DUMMYFUNCTION("IFNA(vlookup(H3505,IMPORTRANGE(""1vUGwO1n0QQGx9kKbO0_M5gmuhXZ6-LaxQxgrmJnzgP0"",""'TP# look up'!A:C""),3,0),"""")"),"")</f>
        <v/>
      </c>
      <c r="AH3505" s="49" t="str">
        <f t="shared" si="54"/>
        <v/>
      </c>
    </row>
    <row r="3506" spans="8:34" ht="12.75">
      <c r="H3506" s="43"/>
      <c r="AG3506" s="49" t="str">
        <f ca="1">IFERROR(__xludf.DUMMYFUNCTION("IFNA(vlookup(H3506,IMPORTRANGE(""1vUGwO1n0QQGx9kKbO0_M5gmuhXZ6-LaxQxgrmJnzgP0"",""'TP# look up'!A:C""),3,0),"""")"),"")</f>
        <v/>
      </c>
      <c r="AH3506" s="49" t="str">
        <f t="shared" si="54"/>
        <v/>
      </c>
    </row>
    <row r="3507" spans="8:34" ht="12.75">
      <c r="H3507" s="43"/>
      <c r="AG3507" s="49" t="str">
        <f ca="1">IFERROR(__xludf.DUMMYFUNCTION("IFNA(vlookup(H3507,IMPORTRANGE(""1vUGwO1n0QQGx9kKbO0_M5gmuhXZ6-LaxQxgrmJnzgP0"",""'TP# look up'!A:C""),3,0),"""")"),"")</f>
        <v/>
      </c>
      <c r="AH3507" s="49" t="str">
        <f t="shared" si="54"/>
        <v/>
      </c>
    </row>
    <row r="3508" spans="8:34" ht="12.75">
      <c r="H3508" s="43"/>
      <c r="AG3508" s="49" t="str">
        <f ca="1">IFERROR(__xludf.DUMMYFUNCTION("IFNA(vlookup(H3508,IMPORTRANGE(""1vUGwO1n0QQGx9kKbO0_M5gmuhXZ6-LaxQxgrmJnzgP0"",""'TP# look up'!A:C""),3,0),"""")"),"")</f>
        <v/>
      </c>
      <c r="AH3508" s="49" t="str">
        <f t="shared" si="54"/>
        <v/>
      </c>
    </row>
    <row r="3509" spans="8:34" ht="12.75">
      <c r="H3509" s="43"/>
      <c r="AG3509" s="49" t="str">
        <f ca="1">IFERROR(__xludf.DUMMYFUNCTION("IFNA(vlookup(H3509,IMPORTRANGE(""1vUGwO1n0QQGx9kKbO0_M5gmuhXZ6-LaxQxgrmJnzgP0"",""'TP# look up'!A:C""),3,0),"""")"),"")</f>
        <v/>
      </c>
      <c r="AH3509" s="49" t="str">
        <f t="shared" si="54"/>
        <v/>
      </c>
    </row>
    <row r="3510" spans="8:34" ht="12.75">
      <c r="H3510" s="43"/>
      <c r="AG3510" s="49" t="str">
        <f ca="1">IFERROR(__xludf.DUMMYFUNCTION("IFNA(vlookup(H3510,IMPORTRANGE(""1vUGwO1n0QQGx9kKbO0_M5gmuhXZ6-LaxQxgrmJnzgP0"",""'TP# look up'!A:C""),3,0),"""")"),"")</f>
        <v/>
      </c>
      <c r="AH3510" s="49" t="str">
        <f t="shared" si="54"/>
        <v/>
      </c>
    </row>
    <row r="3511" spans="8:34" ht="12.75">
      <c r="H3511" s="43"/>
      <c r="AG3511" s="49" t="str">
        <f ca="1">IFERROR(__xludf.DUMMYFUNCTION("IFNA(vlookup(H3511,IMPORTRANGE(""1vUGwO1n0QQGx9kKbO0_M5gmuhXZ6-LaxQxgrmJnzgP0"",""'TP# look up'!A:C""),3,0),"""")"),"")</f>
        <v/>
      </c>
      <c r="AH3511" s="49" t="str">
        <f t="shared" si="54"/>
        <v/>
      </c>
    </row>
    <row r="3512" spans="8:34" ht="12.75">
      <c r="H3512" s="43"/>
      <c r="AG3512" s="49" t="str">
        <f ca="1">IFERROR(__xludf.DUMMYFUNCTION("IFNA(vlookup(H3512,IMPORTRANGE(""1vUGwO1n0QQGx9kKbO0_M5gmuhXZ6-LaxQxgrmJnzgP0"",""'TP# look up'!A:C""),3,0),"""")"),"")</f>
        <v/>
      </c>
      <c r="AH3512" s="49" t="str">
        <f t="shared" si="54"/>
        <v/>
      </c>
    </row>
    <row r="3513" spans="8:34" ht="12.75">
      <c r="H3513" s="43"/>
      <c r="AG3513" s="49" t="str">
        <f ca="1">IFERROR(__xludf.DUMMYFUNCTION("IFNA(vlookup(H3513,IMPORTRANGE(""1vUGwO1n0QQGx9kKbO0_M5gmuhXZ6-LaxQxgrmJnzgP0"",""'TP# look up'!A:C""),3,0),"""")"),"")</f>
        <v/>
      </c>
      <c r="AH3513" s="49" t="str">
        <f t="shared" si="54"/>
        <v/>
      </c>
    </row>
    <row r="3514" spans="8:34" ht="12.75">
      <c r="H3514" s="43"/>
      <c r="AG3514" s="49" t="str">
        <f ca="1">IFERROR(__xludf.DUMMYFUNCTION("IFNA(vlookup(H3514,IMPORTRANGE(""1vUGwO1n0QQGx9kKbO0_M5gmuhXZ6-LaxQxgrmJnzgP0"",""'TP# look up'!A:C""),3,0),"""")"),"")</f>
        <v/>
      </c>
      <c r="AH3514" s="49" t="str">
        <f t="shared" si="54"/>
        <v/>
      </c>
    </row>
    <row r="3515" spans="8:34" ht="12.75">
      <c r="H3515" s="43"/>
      <c r="AG3515" s="49" t="str">
        <f ca="1">IFERROR(__xludf.DUMMYFUNCTION("IFNA(vlookup(H3515,IMPORTRANGE(""1vUGwO1n0QQGx9kKbO0_M5gmuhXZ6-LaxQxgrmJnzgP0"",""'TP# look up'!A:C""),3,0),"""")"),"")</f>
        <v/>
      </c>
      <c r="AH3515" s="49" t="str">
        <f t="shared" si="54"/>
        <v/>
      </c>
    </row>
    <row r="3516" spans="8:34" ht="12.75">
      <c r="H3516" s="43"/>
      <c r="AG3516" s="49" t="str">
        <f ca="1">IFERROR(__xludf.DUMMYFUNCTION("IFNA(vlookup(H3516,IMPORTRANGE(""1vUGwO1n0QQGx9kKbO0_M5gmuhXZ6-LaxQxgrmJnzgP0"",""'TP# look up'!A:C""),3,0),"""")"),"")</f>
        <v/>
      </c>
      <c r="AH3516" s="49" t="str">
        <f t="shared" si="54"/>
        <v/>
      </c>
    </row>
    <row r="3517" spans="8:34" ht="12.75">
      <c r="H3517" s="43"/>
      <c r="AG3517" s="49" t="str">
        <f ca="1">IFERROR(__xludf.DUMMYFUNCTION("IFNA(vlookup(H3517,IMPORTRANGE(""1vUGwO1n0QQGx9kKbO0_M5gmuhXZ6-LaxQxgrmJnzgP0"",""'TP# look up'!A:C""),3,0),"""")"),"")</f>
        <v/>
      </c>
      <c r="AH3517" s="49" t="str">
        <f t="shared" si="54"/>
        <v/>
      </c>
    </row>
    <row r="3518" spans="8:34" ht="12.75">
      <c r="H3518" s="43"/>
      <c r="AG3518" s="49" t="str">
        <f ca="1">IFERROR(__xludf.DUMMYFUNCTION("IFNA(vlookup(H3518,IMPORTRANGE(""1vUGwO1n0QQGx9kKbO0_M5gmuhXZ6-LaxQxgrmJnzgP0"",""'TP# look up'!A:C""),3,0),"""")"),"")</f>
        <v/>
      </c>
      <c r="AH3518" s="49" t="str">
        <f t="shared" si="54"/>
        <v/>
      </c>
    </row>
    <row r="3519" spans="8:34" ht="12.75">
      <c r="H3519" s="43"/>
      <c r="AG3519" s="49" t="str">
        <f ca="1">IFERROR(__xludf.DUMMYFUNCTION("IFNA(vlookup(H3519,IMPORTRANGE(""1vUGwO1n0QQGx9kKbO0_M5gmuhXZ6-LaxQxgrmJnzgP0"",""'TP# look up'!A:C""),3,0),"""")"),"")</f>
        <v/>
      </c>
      <c r="AH3519" s="49" t="str">
        <f t="shared" si="54"/>
        <v/>
      </c>
    </row>
    <row r="3520" spans="8:34" ht="12.75">
      <c r="H3520" s="43"/>
      <c r="AG3520" s="49" t="str">
        <f ca="1">IFERROR(__xludf.DUMMYFUNCTION("IFNA(vlookup(H3520,IMPORTRANGE(""1vUGwO1n0QQGx9kKbO0_M5gmuhXZ6-LaxQxgrmJnzgP0"",""'TP# look up'!A:C""),3,0),"""")"),"")</f>
        <v/>
      </c>
      <c r="AH3520" s="49" t="str">
        <f t="shared" si="54"/>
        <v/>
      </c>
    </row>
    <row r="3521" spans="8:34" ht="12.75">
      <c r="H3521" s="43"/>
      <c r="AG3521" s="49" t="str">
        <f ca="1">IFERROR(__xludf.DUMMYFUNCTION("IFNA(vlookup(H3521,IMPORTRANGE(""1vUGwO1n0QQGx9kKbO0_M5gmuhXZ6-LaxQxgrmJnzgP0"",""'TP# look up'!A:C""),3,0),"""")"),"")</f>
        <v/>
      </c>
      <c r="AH3521" s="49" t="str">
        <f t="shared" si="54"/>
        <v/>
      </c>
    </row>
    <row r="3522" spans="8:34" ht="12.75">
      <c r="H3522" s="43"/>
      <c r="AG3522" s="49" t="str">
        <f ca="1">IFERROR(__xludf.DUMMYFUNCTION("IFNA(vlookup(H3522,IMPORTRANGE(""1vUGwO1n0QQGx9kKbO0_M5gmuhXZ6-LaxQxgrmJnzgP0"",""'TP# look up'!A:C""),3,0),"""")"),"")</f>
        <v/>
      </c>
      <c r="AH3522" s="49" t="str">
        <f t="shared" ref="AH3522:AH3585" si="55">LEFT(J3522,2)</f>
        <v/>
      </c>
    </row>
    <row r="3523" spans="8:34" ht="12.75">
      <c r="H3523" s="43"/>
      <c r="AG3523" s="49" t="str">
        <f ca="1">IFERROR(__xludf.DUMMYFUNCTION("IFNA(vlookup(H3523,IMPORTRANGE(""1vUGwO1n0QQGx9kKbO0_M5gmuhXZ6-LaxQxgrmJnzgP0"",""'TP# look up'!A:C""),3,0),"""")"),"")</f>
        <v/>
      </c>
      <c r="AH3523" s="49" t="str">
        <f t="shared" si="55"/>
        <v/>
      </c>
    </row>
    <row r="3524" spans="8:34" ht="12.75">
      <c r="H3524" s="43"/>
      <c r="AG3524" s="49" t="str">
        <f ca="1">IFERROR(__xludf.DUMMYFUNCTION("IFNA(vlookup(H3524,IMPORTRANGE(""1vUGwO1n0QQGx9kKbO0_M5gmuhXZ6-LaxQxgrmJnzgP0"",""'TP# look up'!A:C""),3,0),"""")"),"")</f>
        <v/>
      </c>
      <c r="AH3524" s="49" t="str">
        <f t="shared" si="55"/>
        <v/>
      </c>
    </row>
    <row r="3525" spans="8:34" ht="12.75">
      <c r="H3525" s="43"/>
      <c r="AG3525" s="49" t="str">
        <f ca="1">IFERROR(__xludf.DUMMYFUNCTION("IFNA(vlookup(H3525,IMPORTRANGE(""1vUGwO1n0QQGx9kKbO0_M5gmuhXZ6-LaxQxgrmJnzgP0"",""'TP# look up'!A:C""),3,0),"""")"),"")</f>
        <v/>
      </c>
      <c r="AH3525" s="49" t="str">
        <f t="shared" si="55"/>
        <v/>
      </c>
    </row>
    <row r="3526" spans="8:34" ht="12.75">
      <c r="H3526" s="43"/>
      <c r="AG3526" s="49" t="str">
        <f ca="1">IFERROR(__xludf.DUMMYFUNCTION("IFNA(vlookup(H3526,IMPORTRANGE(""1vUGwO1n0QQGx9kKbO0_M5gmuhXZ6-LaxQxgrmJnzgP0"",""'TP# look up'!A:C""),3,0),"""")"),"")</f>
        <v/>
      </c>
      <c r="AH3526" s="49" t="str">
        <f t="shared" si="55"/>
        <v/>
      </c>
    </row>
    <row r="3527" spans="8:34" ht="12.75">
      <c r="H3527" s="43"/>
      <c r="AG3527" s="49" t="str">
        <f ca="1">IFERROR(__xludf.DUMMYFUNCTION("IFNA(vlookup(H3527,IMPORTRANGE(""1vUGwO1n0QQGx9kKbO0_M5gmuhXZ6-LaxQxgrmJnzgP0"",""'TP# look up'!A:C""),3,0),"""")"),"")</f>
        <v/>
      </c>
      <c r="AH3527" s="49" t="str">
        <f t="shared" si="55"/>
        <v/>
      </c>
    </row>
    <row r="3528" spans="8:34" ht="12.75">
      <c r="H3528" s="43"/>
      <c r="AG3528" s="49" t="str">
        <f ca="1">IFERROR(__xludf.DUMMYFUNCTION("IFNA(vlookup(H3528,IMPORTRANGE(""1vUGwO1n0QQGx9kKbO0_M5gmuhXZ6-LaxQxgrmJnzgP0"",""'TP# look up'!A:C""),3,0),"""")"),"")</f>
        <v/>
      </c>
      <c r="AH3528" s="49" t="str">
        <f t="shared" si="55"/>
        <v/>
      </c>
    </row>
    <row r="3529" spans="8:34" ht="12.75">
      <c r="H3529" s="43"/>
      <c r="AG3529" s="49" t="str">
        <f ca="1">IFERROR(__xludf.DUMMYFUNCTION("IFNA(vlookup(H3529,IMPORTRANGE(""1vUGwO1n0QQGx9kKbO0_M5gmuhXZ6-LaxQxgrmJnzgP0"",""'TP# look up'!A:C""),3,0),"""")"),"")</f>
        <v/>
      </c>
      <c r="AH3529" s="49" t="str">
        <f t="shared" si="55"/>
        <v/>
      </c>
    </row>
    <row r="3530" spans="8:34" ht="12.75">
      <c r="H3530" s="43"/>
      <c r="AG3530" s="49" t="str">
        <f ca="1">IFERROR(__xludf.DUMMYFUNCTION("IFNA(vlookup(H3530,IMPORTRANGE(""1vUGwO1n0QQGx9kKbO0_M5gmuhXZ6-LaxQxgrmJnzgP0"",""'TP# look up'!A:C""),3,0),"""")"),"")</f>
        <v/>
      </c>
      <c r="AH3530" s="49" t="str">
        <f t="shared" si="55"/>
        <v/>
      </c>
    </row>
    <row r="3531" spans="8:34" ht="12.75">
      <c r="H3531" s="43"/>
      <c r="AG3531" s="49" t="str">
        <f ca="1">IFERROR(__xludf.DUMMYFUNCTION("IFNA(vlookup(H3531,IMPORTRANGE(""1vUGwO1n0QQGx9kKbO0_M5gmuhXZ6-LaxQxgrmJnzgP0"",""'TP# look up'!A:C""),3,0),"""")"),"")</f>
        <v/>
      </c>
      <c r="AH3531" s="49" t="str">
        <f t="shared" si="55"/>
        <v/>
      </c>
    </row>
    <row r="3532" spans="8:34" ht="12.75">
      <c r="H3532" s="43"/>
      <c r="AG3532" s="49" t="str">
        <f ca="1">IFERROR(__xludf.DUMMYFUNCTION("IFNA(vlookup(H3532,IMPORTRANGE(""1vUGwO1n0QQGx9kKbO0_M5gmuhXZ6-LaxQxgrmJnzgP0"",""'TP# look up'!A:C""),3,0),"""")"),"")</f>
        <v/>
      </c>
      <c r="AH3532" s="49" t="str">
        <f t="shared" si="55"/>
        <v/>
      </c>
    </row>
    <row r="3533" spans="8:34" ht="12.75">
      <c r="H3533" s="43"/>
      <c r="AG3533" s="49" t="str">
        <f ca="1">IFERROR(__xludf.DUMMYFUNCTION("IFNA(vlookup(H3533,IMPORTRANGE(""1vUGwO1n0QQGx9kKbO0_M5gmuhXZ6-LaxQxgrmJnzgP0"",""'TP# look up'!A:C""),3,0),"""")"),"")</f>
        <v/>
      </c>
      <c r="AH3533" s="49" t="str">
        <f t="shared" si="55"/>
        <v/>
      </c>
    </row>
    <row r="3534" spans="8:34" ht="12.75">
      <c r="H3534" s="43"/>
      <c r="AG3534" s="49" t="str">
        <f ca="1">IFERROR(__xludf.DUMMYFUNCTION("IFNA(vlookup(H3534,IMPORTRANGE(""1vUGwO1n0QQGx9kKbO0_M5gmuhXZ6-LaxQxgrmJnzgP0"",""'TP# look up'!A:C""),3,0),"""")"),"")</f>
        <v/>
      </c>
      <c r="AH3534" s="49" t="str">
        <f t="shared" si="55"/>
        <v/>
      </c>
    </row>
    <row r="3535" spans="8:34" ht="12.75">
      <c r="H3535" s="43"/>
      <c r="AG3535" s="49" t="str">
        <f ca="1">IFERROR(__xludf.DUMMYFUNCTION("IFNA(vlookup(H3535,IMPORTRANGE(""1vUGwO1n0QQGx9kKbO0_M5gmuhXZ6-LaxQxgrmJnzgP0"",""'TP# look up'!A:C""),3,0),"""")"),"")</f>
        <v/>
      </c>
      <c r="AH3535" s="49" t="str">
        <f t="shared" si="55"/>
        <v/>
      </c>
    </row>
    <row r="3536" spans="8:34" ht="12.75">
      <c r="H3536" s="43"/>
      <c r="AG3536" s="49" t="str">
        <f ca="1">IFERROR(__xludf.DUMMYFUNCTION("IFNA(vlookup(H3536,IMPORTRANGE(""1vUGwO1n0QQGx9kKbO0_M5gmuhXZ6-LaxQxgrmJnzgP0"",""'TP# look up'!A:C""),3,0),"""")"),"")</f>
        <v/>
      </c>
      <c r="AH3536" s="49" t="str">
        <f t="shared" si="55"/>
        <v/>
      </c>
    </row>
    <row r="3537" spans="8:34" ht="12.75">
      <c r="H3537" s="43"/>
      <c r="AG3537" s="49" t="str">
        <f ca="1">IFERROR(__xludf.DUMMYFUNCTION("IFNA(vlookup(H3537,IMPORTRANGE(""1vUGwO1n0QQGx9kKbO0_M5gmuhXZ6-LaxQxgrmJnzgP0"",""'TP# look up'!A:C""),3,0),"""")"),"")</f>
        <v/>
      </c>
      <c r="AH3537" s="49" t="str">
        <f t="shared" si="55"/>
        <v/>
      </c>
    </row>
    <row r="3538" spans="8:34" ht="12.75">
      <c r="H3538" s="43"/>
      <c r="AG3538" s="49" t="str">
        <f ca="1">IFERROR(__xludf.DUMMYFUNCTION("IFNA(vlookup(H3538,IMPORTRANGE(""1vUGwO1n0QQGx9kKbO0_M5gmuhXZ6-LaxQxgrmJnzgP0"",""'TP# look up'!A:C""),3,0),"""")"),"")</f>
        <v/>
      </c>
      <c r="AH3538" s="49" t="str">
        <f t="shared" si="55"/>
        <v/>
      </c>
    </row>
    <row r="3539" spans="8:34" ht="12.75">
      <c r="H3539" s="43"/>
      <c r="AG3539" s="49" t="str">
        <f ca="1">IFERROR(__xludf.DUMMYFUNCTION("IFNA(vlookup(H3539,IMPORTRANGE(""1vUGwO1n0QQGx9kKbO0_M5gmuhXZ6-LaxQxgrmJnzgP0"",""'TP# look up'!A:C""),3,0),"""")"),"")</f>
        <v/>
      </c>
      <c r="AH3539" s="49" t="str">
        <f t="shared" si="55"/>
        <v/>
      </c>
    </row>
    <row r="3540" spans="8:34" ht="12.75">
      <c r="H3540" s="43"/>
      <c r="AG3540" s="49" t="str">
        <f ca="1">IFERROR(__xludf.DUMMYFUNCTION("IFNA(vlookup(H3540,IMPORTRANGE(""1vUGwO1n0QQGx9kKbO0_M5gmuhXZ6-LaxQxgrmJnzgP0"",""'TP# look up'!A:C""),3,0),"""")"),"")</f>
        <v/>
      </c>
      <c r="AH3540" s="49" t="str">
        <f t="shared" si="55"/>
        <v/>
      </c>
    </row>
    <row r="3541" spans="8:34" ht="12.75">
      <c r="H3541" s="43"/>
      <c r="AG3541" s="49" t="str">
        <f ca="1">IFERROR(__xludf.DUMMYFUNCTION("IFNA(vlookup(H3541,IMPORTRANGE(""1vUGwO1n0QQGx9kKbO0_M5gmuhXZ6-LaxQxgrmJnzgP0"",""'TP# look up'!A:C""),3,0),"""")"),"")</f>
        <v/>
      </c>
      <c r="AH3541" s="49" t="str">
        <f t="shared" si="55"/>
        <v/>
      </c>
    </row>
    <row r="3542" spans="8:34" ht="12.75">
      <c r="H3542" s="43"/>
      <c r="AG3542" s="49" t="str">
        <f ca="1">IFERROR(__xludf.DUMMYFUNCTION("IFNA(vlookup(H3542,IMPORTRANGE(""1vUGwO1n0QQGx9kKbO0_M5gmuhXZ6-LaxQxgrmJnzgP0"",""'TP# look up'!A:C""),3,0),"""")"),"")</f>
        <v/>
      </c>
      <c r="AH3542" s="49" t="str">
        <f t="shared" si="55"/>
        <v/>
      </c>
    </row>
    <row r="3543" spans="8:34" ht="12.75">
      <c r="H3543" s="43"/>
      <c r="AG3543" s="49" t="str">
        <f ca="1">IFERROR(__xludf.DUMMYFUNCTION("IFNA(vlookup(H3543,IMPORTRANGE(""1vUGwO1n0QQGx9kKbO0_M5gmuhXZ6-LaxQxgrmJnzgP0"",""'TP# look up'!A:C""),3,0),"""")"),"")</f>
        <v/>
      </c>
      <c r="AH3543" s="49" t="str">
        <f t="shared" si="55"/>
        <v/>
      </c>
    </row>
    <row r="3544" spans="8:34" ht="12.75">
      <c r="H3544" s="43"/>
      <c r="AG3544" s="49" t="str">
        <f ca="1">IFERROR(__xludf.DUMMYFUNCTION("IFNA(vlookup(H3544,IMPORTRANGE(""1vUGwO1n0QQGx9kKbO0_M5gmuhXZ6-LaxQxgrmJnzgP0"",""'TP# look up'!A:C""),3,0),"""")"),"")</f>
        <v/>
      </c>
      <c r="AH3544" s="49" t="str">
        <f t="shared" si="55"/>
        <v/>
      </c>
    </row>
    <row r="3545" spans="8:34" ht="12.75">
      <c r="H3545" s="43"/>
      <c r="AG3545" s="49" t="str">
        <f ca="1">IFERROR(__xludf.DUMMYFUNCTION("IFNA(vlookup(H3545,IMPORTRANGE(""1vUGwO1n0QQGx9kKbO0_M5gmuhXZ6-LaxQxgrmJnzgP0"",""'TP# look up'!A:C""),3,0),"""")"),"")</f>
        <v/>
      </c>
      <c r="AH3545" s="49" t="str">
        <f t="shared" si="55"/>
        <v/>
      </c>
    </row>
    <row r="3546" spans="8:34" ht="12.75">
      <c r="H3546" s="43"/>
      <c r="AG3546" s="49" t="str">
        <f ca="1">IFERROR(__xludf.DUMMYFUNCTION("IFNA(vlookup(H3546,IMPORTRANGE(""1vUGwO1n0QQGx9kKbO0_M5gmuhXZ6-LaxQxgrmJnzgP0"",""'TP# look up'!A:C""),3,0),"""")"),"")</f>
        <v/>
      </c>
      <c r="AH3546" s="49" t="str">
        <f t="shared" si="55"/>
        <v/>
      </c>
    </row>
    <row r="3547" spans="8:34" ht="12.75">
      <c r="H3547" s="43"/>
      <c r="AG3547" s="49" t="str">
        <f ca="1">IFERROR(__xludf.DUMMYFUNCTION("IFNA(vlookup(H3547,IMPORTRANGE(""1vUGwO1n0QQGx9kKbO0_M5gmuhXZ6-LaxQxgrmJnzgP0"",""'TP# look up'!A:C""),3,0),"""")"),"")</f>
        <v/>
      </c>
      <c r="AH3547" s="49" t="str">
        <f t="shared" si="55"/>
        <v/>
      </c>
    </row>
    <row r="3548" spans="8:34" ht="12.75">
      <c r="H3548" s="43"/>
      <c r="AG3548" s="49" t="str">
        <f ca="1">IFERROR(__xludf.DUMMYFUNCTION("IFNA(vlookup(H3548,IMPORTRANGE(""1vUGwO1n0QQGx9kKbO0_M5gmuhXZ6-LaxQxgrmJnzgP0"",""'TP# look up'!A:C""),3,0),"""")"),"")</f>
        <v/>
      </c>
      <c r="AH3548" s="49" t="str">
        <f t="shared" si="55"/>
        <v/>
      </c>
    </row>
    <row r="3549" spans="8:34" ht="12.75">
      <c r="H3549" s="43"/>
      <c r="AG3549" s="49" t="str">
        <f ca="1">IFERROR(__xludf.DUMMYFUNCTION("IFNA(vlookup(H3549,IMPORTRANGE(""1vUGwO1n0QQGx9kKbO0_M5gmuhXZ6-LaxQxgrmJnzgP0"",""'TP# look up'!A:C""),3,0),"""")"),"")</f>
        <v/>
      </c>
      <c r="AH3549" s="49" t="str">
        <f t="shared" si="55"/>
        <v/>
      </c>
    </row>
    <row r="3550" spans="8:34" ht="12.75">
      <c r="H3550" s="43"/>
      <c r="AG3550" s="49" t="str">
        <f ca="1">IFERROR(__xludf.DUMMYFUNCTION("IFNA(vlookup(H3550,IMPORTRANGE(""1vUGwO1n0QQGx9kKbO0_M5gmuhXZ6-LaxQxgrmJnzgP0"",""'TP# look up'!A:C""),3,0),"""")"),"")</f>
        <v/>
      </c>
      <c r="AH3550" s="49" t="str">
        <f t="shared" si="55"/>
        <v/>
      </c>
    </row>
    <row r="3551" spans="8:34" ht="12.75">
      <c r="H3551" s="43"/>
      <c r="AG3551" s="49" t="str">
        <f ca="1">IFERROR(__xludf.DUMMYFUNCTION("IFNA(vlookup(H3551,IMPORTRANGE(""1vUGwO1n0QQGx9kKbO0_M5gmuhXZ6-LaxQxgrmJnzgP0"",""'TP# look up'!A:C""),3,0),"""")"),"")</f>
        <v/>
      </c>
      <c r="AH3551" s="49" t="str">
        <f t="shared" si="55"/>
        <v/>
      </c>
    </row>
    <row r="3552" spans="8:34" ht="12.75">
      <c r="H3552" s="43"/>
      <c r="AG3552" s="49" t="str">
        <f ca="1">IFERROR(__xludf.DUMMYFUNCTION("IFNA(vlookup(H3552,IMPORTRANGE(""1vUGwO1n0QQGx9kKbO0_M5gmuhXZ6-LaxQxgrmJnzgP0"",""'TP# look up'!A:C""),3,0),"""")"),"")</f>
        <v/>
      </c>
      <c r="AH3552" s="49" t="str">
        <f t="shared" si="55"/>
        <v/>
      </c>
    </row>
    <row r="3553" spans="8:34" ht="12.75">
      <c r="H3553" s="43"/>
      <c r="AG3553" s="49" t="str">
        <f ca="1">IFERROR(__xludf.DUMMYFUNCTION("IFNA(vlookup(H3553,IMPORTRANGE(""1vUGwO1n0QQGx9kKbO0_M5gmuhXZ6-LaxQxgrmJnzgP0"",""'TP# look up'!A:C""),3,0),"""")"),"")</f>
        <v/>
      </c>
      <c r="AH3553" s="49" t="str">
        <f t="shared" si="55"/>
        <v/>
      </c>
    </row>
    <row r="3554" spans="8:34" ht="12.75">
      <c r="H3554" s="43"/>
      <c r="AG3554" s="49" t="str">
        <f ca="1">IFERROR(__xludf.DUMMYFUNCTION("IFNA(vlookup(H3554,IMPORTRANGE(""1vUGwO1n0QQGx9kKbO0_M5gmuhXZ6-LaxQxgrmJnzgP0"",""'TP# look up'!A:C""),3,0),"""")"),"")</f>
        <v/>
      </c>
      <c r="AH3554" s="49" t="str">
        <f t="shared" si="55"/>
        <v/>
      </c>
    </row>
    <row r="3555" spans="8:34" ht="12.75">
      <c r="H3555" s="43"/>
      <c r="AG3555" s="49" t="str">
        <f ca="1">IFERROR(__xludf.DUMMYFUNCTION("IFNA(vlookup(H3555,IMPORTRANGE(""1vUGwO1n0QQGx9kKbO0_M5gmuhXZ6-LaxQxgrmJnzgP0"",""'TP# look up'!A:C""),3,0),"""")"),"")</f>
        <v/>
      </c>
      <c r="AH3555" s="49" t="str">
        <f t="shared" si="55"/>
        <v/>
      </c>
    </row>
    <row r="3556" spans="8:34" ht="12.75">
      <c r="H3556" s="43"/>
      <c r="AG3556" s="49" t="str">
        <f ca="1">IFERROR(__xludf.DUMMYFUNCTION("IFNA(vlookup(H3556,IMPORTRANGE(""1vUGwO1n0QQGx9kKbO0_M5gmuhXZ6-LaxQxgrmJnzgP0"",""'TP# look up'!A:C""),3,0),"""")"),"")</f>
        <v/>
      </c>
      <c r="AH3556" s="49" t="str">
        <f t="shared" si="55"/>
        <v/>
      </c>
    </row>
    <row r="3557" spans="8:34" ht="12.75">
      <c r="H3557" s="43"/>
      <c r="AG3557" s="49" t="str">
        <f ca="1">IFERROR(__xludf.DUMMYFUNCTION("IFNA(vlookup(H3557,IMPORTRANGE(""1vUGwO1n0QQGx9kKbO0_M5gmuhXZ6-LaxQxgrmJnzgP0"",""'TP# look up'!A:C""),3,0),"""")"),"")</f>
        <v/>
      </c>
      <c r="AH3557" s="49" t="str">
        <f t="shared" si="55"/>
        <v/>
      </c>
    </row>
    <row r="3558" spans="8:34" ht="12.75">
      <c r="H3558" s="43"/>
      <c r="AG3558" s="49" t="str">
        <f ca="1">IFERROR(__xludf.DUMMYFUNCTION("IFNA(vlookup(H3558,IMPORTRANGE(""1vUGwO1n0QQGx9kKbO0_M5gmuhXZ6-LaxQxgrmJnzgP0"",""'TP# look up'!A:C""),3,0),"""")"),"")</f>
        <v/>
      </c>
      <c r="AH3558" s="49" t="str">
        <f t="shared" si="55"/>
        <v/>
      </c>
    </row>
    <row r="3559" spans="8:34" ht="12.75">
      <c r="H3559" s="43"/>
      <c r="AG3559" s="49" t="str">
        <f ca="1">IFERROR(__xludf.DUMMYFUNCTION("IFNA(vlookup(H3559,IMPORTRANGE(""1vUGwO1n0QQGx9kKbO0_M5gmuhXZ6-LaxQxgrmJnzgP0"",""'TP# look up'!A:C""),3,0),"""")"),"")</f>
        <v/>
      </c>
      <c r="AH3559" s="49" t="str">
        <f t="shared" si="55"/>
        <v/>
      </c>
    </row>
    <row r="3560" spans="8:34" ht="12.75">
      <c r="H3560" s="43"/>
      <c r="AG3560" s="49" t="str">
        <f ca="1">IFERROR(__xludf.DUMMYFUNCTION("IFNA(vlookup(H3560,IMPORTRANGE(""1vUGwO1n0QQGx9kKbO0_M5gmuhXZ6-LaxQxgrmJnzgP0"",""'TP# look up'!A:C""),3,0),"""")"),"")</f>
        <v/>
      </c>
      <c r="AH3560" s="49" t="str">
        <f t="shared" si="55"/>
        <v/>
      </c>
    </row>
    <row r="3561" spans="8:34" ht="12.75">
      <c r="H3561" s="43"/>
      <c r="AG3561" s="49" t="str">
        <f ca="1">IFERROR(__xludf.DUMMYFUNCTION("IFNA(vlookup(H3561,IMPORTRANGE(""1vUGwO1n0QQGx9kKbO0_M5gmuhXZ6-LaxQxgrmJnzgP0"",""'TP# look up'!A:C""),3,0),"""")"),"")</f>
        <v/>
      </c>
      <c r="AH3561" s="49" t="str">
        <f t="shared" si="55"/>
        <v/>
      </c>
    </row>
    <row r="3562" spans="8:34" ht="12.75">
      <c r="H3562" s="43"/>
      <c r="AG3562" s="49" t="str">
        <f ca="1">IFERROR(__xludf.DUMMYFUNCTION("IFNA(vlookup(H3562,IMPORTRANGE(""1vUGwO1n0QQGx9kKbO0_M5gmuhXZ6-LaxQxgrmJnzgP0"",""'TP# look up'!A:C""),3,0),"""")"),"")</f>
        <v/>
      </c>
      <c r="AH3562" s="49" t="str">
        <f t="shared" si="55"/>
        <v/>
      </c>
    </row>
    <row r="3563" spans="8:34" ht="12.75">
      <c r="H3563" s="43"/>
      <c r="AG3563" s="49" t="str">
        <f ca="1">IFERROR(__xludf.DUMMYFUNCTION("IFNA(vlookup(H3563,IMPORTRANGE(""1vUGwO1n0QQGx9kKbO0_M5gmuhXZ6-LaxQxgrmJnzgP0"",""'TP# look up'!A:C""),3,0),"""")"),"")</f>
        <v/>
      </c>
      <c r="AH3563" s="49" t="str">
        <f t="shared" si="55"/>
        <v/>
      </c>
    </row>
    <row r="3564" spans="8:34" ht="12.75">
      <c r="H3564" s="43"/>
      <c r="AG3564" s="49" t="str">
        <f ca="1">IFERROR(__xludf.DUMMYFUNCTION("IFNA(vlookup(H3564,IMPORTRANGE(""1vUGwO1n0QQGx9kKbO0_M5gmuhXZ6-LaxQxgrmJnzgP0"",""'TP# look up'!A:C""),3,0),"""")"),"")</f>
        <v/>
      </c>
      <c r="AH3564" s="49" t="str">
        <f t="shared" si="55"/>
        <v/>
      </c>
    </row>
    <row r="3565" spans="8:34" ht="12.75">
      <c r="H3565" s="43"/>
      <c r="AG3565" s="49" t="str">
        <f ca="1">IFERROR(__xludf.DUMMYFUNCTION("IFNA(vlookup(H3565,IMPORTRANGE(""1vUGwO1n0QQGx9kKbO0_M5gmuhXZ6-LaxQxgrmJnzgP0"",""'TP# look up'!A:C""),3,0),"""")"),"")</f>
        <v/>
      </c>
      <c r="AH3565" s="49" t="str">
        <f t="shared" si="55"/>
        <v/>
      </c>
    </row>
    <row r="3566" spans="8:34" ht="12.75">
      <c r="H3566" s="43"/>
      <c r="AG3566" s="49" t="str">
        <f ca="1">IFERROR(__xludf.DUMMYFUNCTION("IFNA(vlookup(H3566,IMPORTRANGE(""1vUGwO1n0QQGx9kKbO0_M5gmuhXZ6-LaxQxgrmJnzgP0"",""'TP# look up'!A:C""),3,0),"""")"),"")</f>
        <v/>
      </c>
      <c r="AH3566" s="49" t="str">
        <f t="shared" si="55"/>
        <v/>
      </c>
    </row>
    <row r="3567" spans="8:34" ht="12.75">
      <c r="H3567" s="43"/>
      <c r="AG3567" s="49" t="str">
        <f ca="1">IFERROR(__xludf.DUMMYFUNCTION("IFNA(vlookup(H3567,IMPORTRANGE(""1vUGwO1n0QQGx9kKbO0_M5gmuhXZ6-LaxQxgrmJnzgP0"",""'TP# look up'!A:C""),3,0),"""")"),"")</f>
        <v/>
      </c>
      <c r="AH3567" s="49" t="str">
        <f t="shared" si="55"/>
        <v/>
      </c>
    </row>
    <row r="3568" spans="8:34" ht="12.75">
      <c r="H3568" s="43"/>
      <c r="AG3568" s="49" t="str">
        <f ca="1">IFERROR(__xludf.DUMMYFUNCTION("IFNA(vlookup(H3568,IMPORTRANGE(""1vUGwO1n0QQGx9kKbO0_M5gmuhXZ6-LaxQxgrmJnzgP0"",""'TP# look up'!A:C""),3,0),"""")"),"")</f>
        <v/>
      </c>
      <c r="AH3568" s="49" t="str">
        <f t="shared" si="55"/>
        <v/>
      </c>
    </row>
    <row r="3569" spans="8:34" ht="12.75">
      <c r="H3569" s="43"/>
      <c r="AG3569" s="49" t="str">
        <f ca="1">IFERROR(__xludf.DUMMYFUNCTION("IFNA(vlookup(H3569,IMPORTRANGE(""1vUGwO1n0QQGx9kKbO0_M5gmuhXZ6-LaxQxgrmJnzgP0"",""'TP# look up'!A:C""),3,0),"""")"),"")</f>
        <v/>
      </c>
      <c r="AH3569" s="49" t="str">
        <f t="shared" si="55"/>
        <v/>
      </c>
    </row>
    <row r="3570" spans="8:34" ht="12.75">
      <c r="H3570" s="43"/>
      <c r="AG3570" s="49" t="str">
        <f ca="1">IFERROR(__xludf.DUMMYFUNCTION("IFNA(vlookup(H3570,IMPORTRANGE(""1vUGwO1n0QQGx9kKbO0_M5gmuhXZ6-LaxQxgrmJnzgP0"",""'TP# look up'!A:C""),3,0),"""")"),"")</f>
        <v/>
      </c>
      <c r="AH3570" s="49" t="str">
        <f t="shared" si="55"/>
        <v/>
      </c>
    </row>
    <row r="3571" spans="8:34" ht="12.75">
      <c r="H3571" s="43"/>
      <c r="AG3571" s="49" t="str">
        <f ca="1">IFERROR(__xludf.DUMMYFUNCTION("IFNA(vlookup(H3571,IMPORTRANGE(""1vUGwO1n0QQGx9kKbO0_M5gmuhXZ6-LaxQxgrmJnzgP0"",""'TP# look up'!A:C""),3,0),"""")"),"")</f>
        <v/>
      </c>
      <c r="AH3571" s="49" t="str">
        <f t="shared" si="55"/>
        <v/>
      </c>
    </row>
    <row r="3572" spans="8:34" ht="12.75">
      <c r="H3572" s="43"/>
      <c r="AG3572" s="49" t="str">
        <f ca="1">IFERROR(__xludf.DUMMYFUNCTION("IFNA(vlookup(H3572,IMPORTRANGE(""1vUGwO1n0QQGx9kKbO0_M5gmuhXZ6-LaxQxgrmJnzgP0"",""'TP# look up'!A:C""),3,0),"""")"),"")</f>
        <v/>
      </c>
      <c r="AH3572" s="49" t="str">
        <f t="shared" si="55"/>
        <v/>
      </c>
    </row>
    <row r="3573" spans="8:34" ht="12.75">
      <c r="H3573" s="43"/>
      <c r="AG3573" s="49" t="str">
        <f ca="1">IFERROR(__xludf.DUMMYFUNCTION("IFNA(vlookup(H3573,IMPORTRANGE(""1vUGwO1n0QQGx9kKbO0_M5gmuhXZ6-LaxQxgrmJnzgP0"",""'TP# look up'!A:C""),3,0),"""")"),"")</f>
        <v/>
      </c>
      <c r="AH3573" s="49" t="str">
        <f t="shared" si="55"/>
        <v/>
      </c>
    </row>
    <row r="3574" spans="8:34" ht="12.75">
      <c r="H3574" s="43"/>
      <c r="AG3574" s="49" t="str">
        <f ca="1">IFERROR(__xludf.DUMMYFUNCTION("IFNA(vlookup(H3574,IMPORTRANGE(""1vUGwO1n0QQGx9kKbO0_M5gmuhXZ6-LaxQxgrmJnzgP0"",""'TP# look up'!A:C""),3,0),"""")"),"")</f>
        <v/>
      </c>
      <c r="AH3574" s="49" t="str">
        <f t="shared" si="55"/>
        <v/>
      </c>
    </row>
    <row r="3575" spans="8:34" ht="12.75">
      <c r="H3575" s="43"/>
      <c r="AG3575" s="49" t="str">
        <f ca="1">IFERROR(__xludf.DUMMYFUNCTION("IFNA(vlookup(H3575,IMPORTRANGE(""1vUGwO1n0QQGx9kKbO0_M5gmuhXZ6-LaxQxgrmJnzgP0"",""'TP# look up'!A:C""),3,0),"""")"),"")</f>
        <v/>
      </c>
      <c r="AH3575" s="49" t="str">
        <f t="shared" si="55"/>
        <v/>
      </c>
    </row>
    <row r="3576" spans="8:34" ht="12.75">
      <c r="H3576" s="43"/>
      <c r="AG3576" s="49" t="str">
        <f ca="1">IFERROR(__xludf.DUMMYFUNCTION("IFNA(vlookup(H3576,IMPORTRANGE(""1vUGwO1n0QQGx9kKbO0_M5gmuhXZ6-LaxQxgrmJnzgP0"",""'TP# look up'!A:C""),3,0),"""")"),"")</f>
        <v/>
      </c>
      <c r="AH3576" s="49" t="str">
        <f t="shared" si="55"/>
        <v/>
      </c>
    </row>
    <row r="3577" spans="8:34" ht="12.75">
      <c r="H3577" s="43"/>
      <c r="AG3577" s="49" t="str">
        <f ca="1">IFERROR(__xludf.DUMMYFUNCTION("IFNA(vlookup(H3577,IMPORTRANGE(""1vUGwO1n0QQGx9kKbO0_M5gmuhXZ6-LaxQxgrmJnzgP0"",""'TP# look up'!A:C""),3,0),"""")"),"")</f>
        <v/>
      </c>
      <c r="AH3577" s="49" t="str">
        <f t="shared" si="55"/>
        <v/>
      </c>
    </row>
    <row r="3578" spans="8:34" ht="12.75">
      <c r="H3578" s="43"/>
      <c r="AG3578" s="49" t="str">
        <f ca="1">IFERROR(__xludf.DUMMYFUNCTION("IFNA(vlookup(H3578,IMPORTRANGE(""1vUGwO1n0QQGx9kKbO0_M5gmuhXZ6-LaxQxgrmJnzgP0"",""'TP# look up'!A:C""),3,0),"""")"),"")</f>
        <v/>
      </c>
      <c r="AH3578" s="49" t="str">
        <f t="shared" si="55"/>
        <v/>
      </c>
    </row>
    <row r="3579" spans="8:34" ht="12.75">
      <c r="H3579" s="43"/>
      <c r="AG3579" s="49" t="str">
        <f ca="1">IFERROR(__xludf.DUMMYFUNCTION("IFNA(vlookup(H3579,IMPORTRANGE(""1vUGwO1n0QQGx9kKbO0_M5gmuhXZ6-LaxQxgrmJnzgP0"",""'TP# look up'!A:C""),3,0),"""")"),"")</f>
        <v/>
      </c>
      <c r="AH3579" s="49" t="str">
        <f t="shared" si="55"/>
        <v/>
      </c>
    </row>
    <row r="3580" spans="8:34" ht="12.75">
      <c r="H3580" s="43"/>
      <c r="AG3580" s="49" t="str">
        <f ca="1">IFERROR(__xludf.DUMMYFUNCTION("IFNA(vlookup(H3580,IMPORTRANGE(""1vUGwO1n0QQGx9kKbO0_M5gmuhXZ6-LaxQxgrmJnzgP0"",""'TP# look up'!A:C""),3,0),"""")"),"")</f>
        <v/>
      </c>
      <c r="AH3580" s="49" t="str">
        <f t="shared" si="55"/>
        <v/>
      </c>
    </row>
    <row r="3581" spans="8:34" ht="12.75">
      <c r="H3581" s="43"/>
      <c r="AG3581" s="49" t="str">
        <f ca="1">IFERROR(__xludf.DUMMYFUNCTION("IFNA(vlookup(H3581,IMPORTRANGE(""1vUGwO1n0QQGx9kKbO0_M5gmuhXZ6-LaxQxgrmJnzgP0"",""'TP# look up'!A:C""),3,0),"""")"),"")</f>
        <v/>
      </c>
      <c r="AH3581" s="49" t="str">
        <f t="shared" si="55"/>
        <v/>
      </c>
    </row>
    <row r="3582" spans="8:34" ht="12.75">
      <c r="H3582" s="43"/>
      <c r="AG3582" s="49" t="str">
        <f ca="1">IFERROR(__xludf.DUMMYFUNCTION("IFNA(vlookup(H3582,IMPORTRANGE(""1vUGwO1n0QQGx9kKbO0_M5gmuhXZ6-LaxQxgrmJnzgP0"",""'TP# look up'!A:C""),3,0),"""")"),"")</f>
        <v/>
      </c>
      <c r="AH3582" s="49" t="str">
        <f t="shared" si="55"/>
        <v/>
      </c>
    </row>
    <row r="3583" spans="8:34" ht="12.75">
      <c r="H3583" s="43"/>
      <c r="AG3583" s="49" t="str">
        <f ca="1">IFERROR(__xludf.DUMMYFUNCTION("IFNA(vlookup(H3583,IMPORTRANGE(""1vUGwO1n0QQGx9kKbO0_M5gmuhXZ6-LaxQxgrmJnzgP0"",""'TP# look up'!A:C""),3,0),"""")"),"")</f>
        <v/>
      </c>
      <c r="AH3583" s="49" t="str">
        <f t="shared" si="55"/>
        <v/>
      </c>
    </row>
    <row r="3584" spans="8:34" ht="12.75">
      <c r="H3584" s="43"/>
      <c r="AG3584" s="49" t="str">
        <f ca="1">IFERROR(__xludf.DUMMYFUNCTION("IFNA(vlookup(H3584,IMPORTRANGE(""1vUGwO1n0QQGx9kKbO0_M5gmuhXZ6-LaxQxgrmJnzgP0"",""'TP# look up'!A:C""),3,0),"""")"),"")</f>
        <v/>
      </c>
      <c r="AH3584" s="49" t="str">
        <f t="shared" si="55"/>
        <v/>
      </c>
    </row>
    <row r="3585" spans="8:34" ht="12.75">
      <c r="H3585" s="43"/>
      <c r="AG3585" s="49" t="str">
        <f ca="1">IFERROR(__xludf.DUMMYFUNCTION("IFNA(vlookup(H3585,IMPORTRANGE(""1vUGwO1n0QQGx9kKbO0_M5gmuhXZ6-LaxQxgrmJnzgP0"",""'TP# look up'!A:C""),3,0),"""")"),"")</f>
        <v/>
      </c>
      <c r="AH3585" s="49" t="str">
        <f t="shared" si="55"/>
        <v/>
      </c>
    </row>
    <row r="3586" spans="8:34" ht="12.75">
      <c r="H3586" s="43"/>
      <c r="AG3586" s="49" t="str">
        <f ca="1">IFERROR(__xludf.DUMMYFUNCTION("IFNA(vlookup(H3586,IMPORTRANGE(""1vUGwO1n0QQGx9kKbO0_M5gmuhXZ6-LaxQxgrmJnzgP0"",""'TP# look up'!A:C""),3,0),"""")"),"")</f>
        <v/>
      </c>
      <c r="AH3586" s="49" t="str">
        <f t="shared" ref="AH3586:AH3649" si="56">LEFT(J3586,2)</f>
        <v/>
      </c>
    </row>
    <row r="3587" spans="8:34" ht="12.75">
      <c r="H3587" s="43"/>
      <c r="AG3587" s="49" t="str">
        <f ca="1">IFERROR(__xludf.DUMMYFUNCTION("IFNA(vlookup(H3587,IMPORTRANGE(""1vUGwO1n0QQGx9kKbO0_M5gmuhXZ6-LaxQxgrmJnzgP0"",""'TP# look up'!A:C""),3,0),"""")"),"")</f>
        <v/>
      </c>
      <c r="AH3587" s="49" t="str">
        <f t="shared" si="56"/>
        <v/>
      </c>
    </row>
    <row r="3588" spans="8:34" ht="12.75">
      <c r="H3588" s="43"/>
      <c r="AG3588" s="49" t="str">
        <f ca="1">IFERROR(__xludf.DUMMYFUNCTION("IFNA(vlookup(H3588,IMPORTRANGE(""1vUGwO1n0QQGx9kKbO0_M5gmuhXZ6-LaxQxgrmJnzgP0"",""'TP# look up'!A:C""),3,0),"""")"),"")</f>
        <v/>
      </c>
      <c r="AH3588" s="49" t="str">
        <f t="shared" si="56"/>
        <v/>
      </c>
    </row>
    <row r="3589" spans="8:34" ht="12.75">
      <c r="H3589" s="43"/>
      <c r="AG3589" s="49" t="str">
        <f ca="1">IFERROR(__xludf.DUMMYFUNCTION("IFNA(vlookup(H3589,IMPORTRANGE(""1vUGwO1n0QQGx9kKbO0_M5gmuhXZ6-LaxQxgrmJnzgP0"",""'TP# look up'!A:C""),3,0),"""")"),"")</f>
        <v/>
      </c>
      <c r="AH3589" s="49" t="str">
        <f t="shared" si="56"/>
        <v/>
      </c>
    </row>
    <row r="3590" spans="8:34" ht="12.75">
      <c r="H3590" s="43"/>
      <c r="AG3590" s="49" t="str">
        <f ca="1">IFERROR(__xludf.DUMMYFUNCTION("IFNA(vlookup(H3590,IMPORTRANGE(""1vUGwO1n0QQGx9kKbO0_M5gmuhXZ6-LaxQxgrmJnzgP0"",""'TP# look up'!A:C""),3,0),"""")"),"")</f>
        <v/>
      </c>
      <c r="AH3590" s="49" t="str">
        <f t="shared" si="56"/>
        <v/>
      </c>
    </row>
    <row r="3591" spans="8:34" ht="12.75">
      <c r="H3591" s="43"/>
      <c r="AG3591" s="49" t="str">
        <f ca="1">IFERROR(__xludf.DUMMYFUNCTION("IFNA(vlookup(H3591,IMPORTRANGE(""1vUGwO1n0QQGx9kKbO0_M5gmuhXZ6-LaxQxgrmJnzgP0"",""'TP# look up'!A:C""),3,0),"""")"),"")</f>
        <v/>
      </c>
      <c r="AH3591" s="49" t="str">
        <f t="shared" si="56"/>
        <v/>
      </c>
    </row>
    <row r="3592" spans="8:34" ht="12.75">
      <c r="H3592" s="43"/>
      <c r="AG3592" s="49" t="str">
        <f ca="1">IFERROR(__xludf.DUMMYFUNCTION("IFNA(vlookup(H3592,IMPORTRANGE(""1vUGwO1n0QQGx9kKbO0_M5gmuhXZ6-LaxQxgrmJnzgP0"",""'TP# look up'!A:C""),3,0),"""")"),"")</f>
        <v/>
      </c>
      <c r="AH3592" s="49" t="str">
        <f t="shared" si="56"/>
        <v/>
      </c>
    </row>
    <row r="3593" spans="8:34" ht="12.75">
      <c r="H3593" s="43"/>
      <c r="AG3593" s="49" t="str">
        <f ca="1">IFERROR(__xludf.DUMMYFUNCTION("IFNA(vlookup(H3593,IMPORTRANGE(""1vUGwO1n0QQGx9kKbO0_M5gmuhXZ6-LaxQxgrmJnzgP0"",""'TP# look up'!A:C""),3,0),"""")"),"")</f>
        <v/>
      </c>
      <c r="AH3593" s="49" t="str">
        <f t="shared" si="56"/>
        <v/>
      </c>
    </row>
    <row r="3594" spans="8:34" ht="12.75">
      <c r="H3594" s="43"/>
      <c r="AG3594" s="49" t="str">
        <f ca="1">IFERROR(__xludf.DUMMYFUNCTION("IFNA(vlookup(H3594,IMPORTRANGE(""1vUGwO1n0QQGx9kKbO0_M5gmuhXZ6-LaxQxgrmJnzgP0"",""'TP# look up'!A:C""),3,0),"""")"),"")</f>
        <v/>
      </c>
      <c r="AH3594" s="49" t="str">
        <f t="shared" si="56"/>
        <v/>
      </c>
    </row>
    <row r="3595" spans="8:34" ht="12.75">
      <c r="H3595" s="43"/>
      <c r="AG3595" s="49" t="str">
        <f ca="1">IFERROR(__xludf.DUMMYFUNCTION("IFNA(vlookup(H3595,IMPORTRANGE(""1vUGwO1n0QQGx9kKbO0_M5gmuhXZ6-LaxQxgrmJnzgP0"",""'TP# look up'!A:C""),3,0),"""")"),"")</f>
        <v/>
      </c>
      <c r="AH3595" s="49" t="str">
        <f t="shared" si="56"/>
        <v/>
      </c>
    </row>
    <row r="3596" spans="8:34" ht="12.75">
      <c r="H3596" s="43"/>
      <c r="AG3596" s="49" t="str">
        <f ca="1">IFERROR(__xludf.DUMMYFUNCTION("IFNA(vlookup(H3596,IMPORTRANGE(""1vUGwO1n0QQGx9kKbO0_M5gmuhXZ6-LaxQxgrmJnzgP0"",""'TP# look up'!A:C""),3,0),"""")"),"")</f>
        <v/>
      </c>
      <c r="AH3596" s="49" t="str">
        <f t="shared" si="56"/>
        <v/>
      </c>
    </row>
    <row r="3597" spans="8:34" ht="12.75">
      <c r="H3597" s="43"/>
      <c r="AG3597" s="49" t="str">
        <f ca="1">IFERROR(__xludf.DUMMYFUNCTION("IFNA(vlookup(H3597,IMPORTRANGE(""1vUGwO1n0QQGx9kKbO0_M5gmuhXZ6-LaxQxgrmJnzgP0"",""'TP# look up'!A:C""),3,0),"""")"),"")</f>
        <v/>
      </c>
      <c r="AH3597" s="49" t="str">
        <f t="shared" si="56"/>
        <v/>
      </c>
    </row>
    <row r="3598" spans="8:34" ht="12.75">
      <c r="H3598" s="43"/>
      <c r="AG3598" s="49" t="str">
        <f ca="1">IFERROR(__xludf.DUMMYFUNCTION("IFNA(vlookup(H3598,IMPORTRANGE(""1vUGwO1n0QQGx9kKbO0_M5gmuhXZ6-LaxQxgrmJnzgP0"",""'TP# look up'!A:C""),3,0),"""")"),"")</f>
        <v/>
      </c>
      <c r="AH3598" s="49" t="str">
        <f t="shared" si="56"/>
        <v/>
      </c>
    </row>
    <row r="3599" spans="8:34" ht="12.75">
      <c r="H3599" s="43"/>
      <c r="AG3599" s="49" t="str">
        <f ca="1">IFERROR(__xludf.DUMMYFUNCTION("IFNA(vlookup(H3599,IMPORTRANGE(""1vUGwO1n0QQGx9kKbO0_M5gmuhXZ6-LaxQxgrmJnzgP0"",""'TP# look up'!A:C""),3,0),"""")"),"")</f>
        <v/>
      </c>
      <c r="AH3599" s="49" t="str">
        <f t="shared" si="56"/>
        <v/>
      </c>
    </row>
    <row r="3600" spans="8:34" ht="12.75">
      <c r="H3600" s="43"/>
      <c r="AG3600" s="49" t="str">
        <f ca="1">IFERROR(__xludf.DUMMYFUNCTION("IFNA(vlookup(H3600,IMPORTRANGE(""1vUGwO1n0QQGx9kKbO0_M5gmuhXZ6-LaxQxgrmJnzgP0"",""'TP# look up'!A:C""),3,0),"""")"),"")</f>
        <v/>
      </c>
      <c r="AH3600" s="49" t="str">
        <f t="shared" si="56"/>
        <v/>
      </c>
    </row>
    <row r="3601" spans="8:34" ht="12.75">
      <c r="H3601" s="43"/>
      <c r="AG3601" s="49" t="str">
        <f ca="1">IFERROR(__xludf.DUMMYFUNCTION("IFNA(vlookup(H3601,IMPORTRANGE(""1vUGwO1n0QQGx9kKbO0_M5gmuhXZ6-LaxQxgrmJnzgP0"",""'TP# look up'!A:C""),3,0),"""")"),"")</f>
        <v/>
      </c>
      <c r="AH3601" s="49" t="str">
        <f t="shared" si="56"/>
        <v/>
      </c>
    </row>
    <row r="3602" spans="8:34" ht="12.75">
      <c r="H3602" s="43"/>
      <c r="AG3602" s="49" t="str">
        <f ca="1">IFERROR(__xludf.DUMMYFUNCTION("IFNA(vlookup(H3602,IMPORTRANGE(""1vUGwO1n0QQGx9kKbO0_M5gmuhXZ6-LaxQxgrmJnzgP0"",""'TP# look up'!A:C""),3,0),"""")"),"")</f>
        <v/>
      </c>
      <c r="AH3602" s="49" t="str">
        <f t="shared" si="56"/>
        <v/>
      </c>
    </row>
    <row r="3603" spans="8:34" ht="12.75">
      <c r="H3603" s="43"/>
      <c r="AG3603" s="49" t="str">
        <f ca="1">IFERROR(__xludf.DUMMYFUNCTION("IFNA(vlookup(H3603,IMPORTRANGE(""1vUGwO1n0QQGx9kKbO0_M5gmuhXZ6-LaxQxgrmJnzgP0"",""'TP# look up'!A:C""),3,0),"""")"),"")</f>
        <v/>
      </c>
      <c r="AH3603" s="49" t="str">
        <f t="shared" si="56"/>
        <v/>
      </c>
    </row>
    <row r="3604" spans="8:34" ht="12.75">
      <c r="H3604" s="43"/>
      <c r="AG3604" s="49" t="str">
        <f ca="1">IFERROR(__xludf.DUMMYFUNCTION("IFNA(vlookup(H3604,IMPORTRANGE(""1vUGwO1n0QQGx9kKbO0_M5gmuhXZ6-LaxQxgrmJnzgP0"",""'TP# look up'!A:C""),3,0),"""")"),"")</f>
        <v/>
      </c>
      <c r="AH3604" s="49" t="str">
        <f t="shared" si="56"/>
        <v/>
      </c>
    </row>
    <row r="3605" spans="8:34" ht="12.75">
      <c r="H3605" s="43"/>
      <c r="AG3605" s="49" t="str">
        <f ca="1">IFERROR(__xludf.DUMMYFUNCTION("IFNA(vlookup(H3605,IMPORTRANGE(""1vUGwO1n0QQGx9kKbO0_M5gmuhXZ6-LaxQxgrmJnzgP0"",""'TP# look up'!A:C""),3,0),"""")"),"")</f>
        <v/>
      </c>
      <c r="AH3605" s="49" t="str">
        <f t="shared" si="56"/>
        <v/>
      </c>
    </row>
    <row r="3606" spans="8:34" ht="12.75">
      <c r="H3606" s="43"/>
      <c r="AG3606" s="49" t="str">
        <f ca="1">IFERROR(__xludf.DUMMYFUNCTION("IFNA(vlookup(H3606,IMPORTRANGE(""1vUGwO1n0QQGx9kKbO0_M5gmuhXZ6-LaxQxgrmJnzgP0"",""'TP# look up'!A:C""),3,0),"""")"),"")</f>
        <v/>
      </c>
      <c r="AH3606" s="49" t="str">
        <f t="shared" si="56"/>
        <v/>
      </c>
    </row>
    <row r="3607" spans="8:34" ht="12.75">
      <c r="H3607" s="43"/>
      <c r="AG3607" s="49" t="str">
        <f ca="1">IFERROR(__xludf.DUMMYFUNCTION("IFNA(vlookup(H3607,IMPORTRANGE(""1vUGwO1n0QQGx9kKbO0_M5gmuhXZ6-LaxQxgrmJnzgP0"",""'TP# look up'!A:C""),3,0),"""")"),"")</f>
        <v/>
      </c>
      <c r="AH3607" s="49" t="str">
        <f t="shared" si="56"/>
        <v/>
      </c>
    </row>
    <row r="3608" spans="8:34" ht="12.75">
      <c r="H3608" s="43"/>
      <c r="AG3608" s="49" t="str">
        <f ca="1">IFERROR(__xludf.DUMMYFUNCTION("IFNA(vlookup(H3608,IMPORTRANGE(""1vUGwO1n0QQGx9kKbO0_M5gmuhXZ6-LaxQxgrmJnzgP0"",""'TP# look up'!A:C""),3,0),"""")"),"")</f>
        <v/>
      </c>
      <c r="AH3608" s="49" t="str">
        <f t="shared" si="56"/>
        <v/>
      </c>
    </row>
    <row r="3609" spans="8:34" ht="12.75">
      <c r="H3609" s="43"/>
      <c r="AG3609" s="49" t="str">
        <f ca="1">IFERROR(__xludf.DUMMYFUNCTION("IFNA(vlookup(H3609,IMPORTRANGE(""1vUGwO1n0QQGx9kKbO0_M5gmuhXZ6-LaxQxgrmJnzgP0"",""'TP# look up'!A:C""),3,0),"""")"),"")</f>
        <v/>
      </c>
      <c r="AH3609" s="49" t="str">
        <f t="shared" si="56"/>
        <v/>
      </c>
    </row>
    <row r="3610" spans="8:34" ht="12.75">
      <c r="H3610" s="43"/>
      <c r="AG3610" s="49" t="str">
        <f ca="1">IFERROR(__xludf.DUMMYFUNCTION("IFNA(vlookup(H3610,IMPORTRANGE(""1vUGwO1n0QQGx9kKbO0_M5gmuhXZ6-LaxQxgrmJnzgP0"",""'TP# look up'!A:C""),3,0),"""")"),"")</f>
        <v/>
      </c>
      <c r="AH3610" s="49" t="str">
        <f t="shared" si="56"/>
        <v/>
      </c>
    </row>
    <row r="3611" spans="8:34" ht="12.75">
      <c r="H3611" s="43"/>
      <c r="AG3611" s="49" t="str">
        <f ca="1">IFERROR(__xludf.DUMMYFUNCTION("IFNA(vlookup(H3611,IMPORTRANGE(""1vUGwO1n0QQGx9kKbO0_M5gmuhXZ6-LaxQxgrmJnzgP0"",""'TP# look up'!A:C""),3,0),"""")"),"")</f>
        <v/>
      </c>
      <c r="AH3611" s="49" t="str">
        <f t="shared" si="56"/>
        <v/>
      </c>
    </row>
    <row r="3612" spans="8:34" ht="12.75">
      <c r="H3612" s="43"/>
      <c r="AG3612" s="49" t="str">
        <f ca="1">IFERROR(__xludf.DUMMYFUNCTION("IFNA(vlookup(H3612,IMPORTRANGE(""1vUGwO1n0QQGx9kKbO0_M5gmuhXZ6-LaxQxgrmJnzgP0"",""'TP# look up'!A:C""),3,0),"""")"),"")</f>
        <v/>
      </c>
      <c r="AH3612" s="49" t="str">
        <f t="shared" si="56"/>
        <v/>
      </c>
    </row>
    <row r="3613" spans="8:34" ht="12.75">
      <c r="H3613" s="43"/>
      <c r="AG3613" s="49" t="str">
        <f ca="1">IFERROR(__xludf.DUMMYFUNCTION("IFNA(vlookup(H3613,IMPORTRANGE(""1vUGwO1n0QQGx9kKbO0_M5gmuhXZ6-LaxQxgrmJnzgP0"",""'TP# look up'!A:C""),3,0),"""")"),"")</f>
        <v/>
      </c>
      <c r="AH3613" s="49" t="str">
        <f t="shared" si="56"/>
        <v/>
      </c>
    </row>
    <row r="3614" spans="8:34" ht="12.75">
      <c r="H3614" s="43"/>
      <c r="AG3614" s="49" t="str">
        <f ca="1">IFERROR(__xludf.DUMMYFUNCTION("IFNA(vlookup(H3614,IMPORTRANGE(""1vUGwO1n0QQGx9kKbO0_M5gmuhXZ6-LaxQxgrmJnzgP0"",""'TP# look up'!A:C""),3,0),"""")"),"")</f>
        <v/>
      </c>
      <c r="AH3614" s="49" t="str">
        <f t="shared" si="56"/>
        <v/>
      </c>
    </row>
    <row r="3615" spans="8:34" ht="12.75">
      <c r="H3615" s="43"/>
      <c r="AG3615" s="49" t="str">
        <f ca="1">IFERROR(__xludf.DUMMYFUNCTION("IFNA(vlookup(H3615,IMPORTRANGE(""1vUGwO1n0QQGx9kKbO0_M5gmuhXZ6-LaxQxgrmJnzgP0"",""'TP# look up'!A:C""),3,0),"""")"),"")</f>
        <v/>
      </c>
      <c r="AH3615" s="49" t="str">
        <f t="shared" si="56"/>
        <v/>
      </c>
    </row>
    <row r="3616" spans="8:34" ht="12.75">
      <c r="H3616" s="43"/>
      <c r="AG3616" s="49" t="str">
        <f ca="1">IFERROR(__xludf.DUMMYFUNCTION("IFNA(vlookup(H3616,IMPORTRANGE(""1vUGwO1n0QQGx9kKbO0_M5gmuhXZ6-LaxQxgrmJnzgP0"",""'TP# look up'!A:C""),3,0),"""")"),"")</f>
        <v/>
      </c>
      <c r="AH3616" s="49" t="str">
        <f t="shared" si="56"/>
        <v/>
      </c>
    </row>
    <row r="3617" spans="8:34" ht="12.75">
      <c r="H3617" s="43"/>
      <c r="AG3617" s="49" t="str">
        <f ca="1">IFERROR(__xludf.DUMMYFUNCTION("IFNA(vlookup(H3617,IMPORTRANGE(""1vUGwO1n0QQGx9kKbO0_M5gmuhXZ6-LaxQxgrmJnzgP0"",""'TP# look up'!A:C""),3,0),"""")"),"")</f>
        <v/>
      </c>
      <c r="AH3617" s="49" t="str">
        <f t="shared" si="56"/>
        <v/>
      </c>
    </row>
    <row r="3618" spans="8:34" ht="12.75">
      <c r="H3618" s="43"/>
      <c r="AG3618" s="49" t="str">
        <f ca="1">IFERROR(__xludf.DUMMYFUNCTION("IFNA(vlookup(H3618,IMPORTRANGE(""1vUGwO1n0QQGx9kKbO0_M5gmuhXZ6-LaxQxgrmJnzgP0"",""'TP# look up'!A:C""),3,0),"""")"),"")</f>
        <v/>
      </c>
      <c r="AH3618" s="49" t="str">
        <f t="shared" si="56"/>
        <v/>
      </c>
    </row>
    <row r="3619" spans="8:34" ht="12.75">
      <c r="H3619" s="43"/>
      <c r="AG3619" s="49" t="str">
        <f ca="1">IFERROR(__xludf.DUMMYFUNCTION("IFNA(vlookup(H3619,IMPORTRANGE(""1vUGwO1n0QQGx9kKbO0_M5gmuhXZ6-LaxQxgrmJnzgP0"",""'TP# look up'!A:C""),3,0),"""")"),"")</f>
        <v/>
      </c>
      <c r="AH3619" s="49" t="str">
        <f t="shared" si="56"/>
        <v/>
      </c>
    </row>
    <row r="3620" spans="8:34" ht="12.75">
      <c r="H3620" s="43"/>
      <c r="AG3620" s="49" t="str">
        <f ca="1">IFERROR(__xludf.DUMMYFUNCTION("IFNA(vlookup(H3620,IMPORTRANGE(""1vUGwO1n0QQGx9kKbO0_M5gmuhXZ6-LaxQxgrmJnzgP0"",""'TP# look up'!A:C""),3,0),"""")"),"")</f>
        <v/>
      </c>
      <c r="AH3620" s="49" t="str">
        <f t="shared" si="56"/>
        <v/>
      </c>
    </row>
    <row r="3621" spans="8:34" ht="12.75">
      <c r="H3621" s="43"/>
      <c r="AG3621" s="49" t="str">
        <f ca="1">IFERROR(__xludf.DUMMYFUNCTION("IFNA(vlookup(H3621,IMPORTRANGE(""1vUGwO1n0QQGx9kKbO0_M5gmuhXZ6-LaxQxgrmJnzgP0"",""'TP# look up'!A:C""),3,0),"""")"),"")</f>
        <v/>
      </c>
      <c r="AH3621" s="49" t="str">
        <f t="shared" si="56"/>
        <v/>
      </c>
    </row>
    <row r="3622" spans="8:34" ht="12.75">
      <c r="H3622" s="43"/>
      <c r="AG3622" s="49" t="str">
        <f ca="1">IFERROR(__xludf.DUMMYFUNCTION("IFNA(vlookup(H3622,IMPORTRANGE(""1vUGwO1n0QQGx9kKbO0_M5gmuhXZ6-LaxQxgrmJnzgP0"",""'TP# look up'!A:C""),3,0),"""")"),"")</f>
        <v/>
      </c>
      <c r="AH3622" s="49" t="str">
        <f t="shared" si="56"/>
        <v/>
      </c>
    </row>
    <row r="3623" spans="8:34" ht="12.75">
      <c r="H3623" s="43"/>
      <c r="AG3623" s="49" t="str">
        <f ca="1">IFERROR(__xludf.DUMMYFUNCTION("IFNA(vlookup(H3623,IMPORTRANGE(""1vUGwO1n0QQGx9kKbO0_M5gmuhXZ6-LaxQxgrmJnzgP0"",""'TP# look up'!A:C""),3,0),"""")"),"")</f>
        <v/>
      </c>
      <c r="AH3623" s="49" t="str">
        <f t="shared" si="56"/>
        <v/>
      </c>
    </row>
    <row r="3624" spans="8:34" ht="12.75">
      <c r="H3624" s="43"/>
      <c r="AG3624" s="49" t="str">
        <f ca="1">IFERROR(__xludf.DUMMYFUNCTION("IFNA(vlookup(H3624,IMPORTRANGE(""1vUGwO1n0QQGx9kKbO0_M5gmuhXZ6-LaxQxgrmJnzgP0"",""'TP# look up'!A:C""),3,0),"""")"),"")</f>
        <v/>
      </c>
      <c r="AH3624" s="49" t="str">
        <f t="shared" si="56"/>
        <v/>
      </c>
    </row>
    <row r="3625" spans="8:34" ht="12.75">
      <c r="H3625" s="43"/>
      <c r="AG3625" s="49" t="str">
        <f ca="1">IFERROR(__xludf.DUMMYFUNCTION("IFNA(vlookup(H3625,IMPORTRANGE(""1vUGwO1n0QQGx9kKbO0_M5gmuhXZ6-LaxQxgrmJnzgP0"",""'TP# look up'!A:C""),3,0),"""")"),"")</f>
        <v/>
      </c>
      <c r="AH3625" s="49" t="str">
        <f t="shared" si="56"/>
        <v/>
      </c>
    </row>
    <row r="3626" spans="8:34" ht="12.75">
      <c r="H3626" s="43"/>
      <c r="AG3626" s="49" t="str">
        <f ca="1">IFERROR(__xludf.DUMMYFUNCTION("IFNA(vlookup(H3626,IMPORTRANGE(""1vUGwO1n0QQGx9kKbO0_M5gmuhXZ6-LaxQxgrmJnzgP0"",""'TP# look up'!A:C""),3,0),"""")"),"")</f>
        <v/>
      </c>
      <c r="AH3626" s="49" t="str">
        <f t="shared" si="56"/>
        <v/>
      </c>
    </row>
    <row r="3627" spans="8:34" ht="12.75">
      <c r="H3627" s="43"/>
      <c r="AG3627" s="49" t="str">
        <f ca="1">IFERROR(__xludf.DUMMYFUNCTION("IFNA(vlookup(H3627,IMPORTRANGE(""1vUGwO1n0QQGx9kKbO0_M5gmuhXZ6-LaxQxgrmJnzgP0"",""'TP# look up'!A:C""),3,0),"""")"),"")</f>
        <v/>
      </c>
      <c r="AH3627" s="49" t="str">
        <f t="shared" si="56"/>
        <v/>
      </c>
    </row>
    <row r="3628" spans="8:34" ht="12.75">
      <c r="H3628" s="43"/>
      <c r="AG3628" s="49" t="str">
        <f ca="1">IFERROR(__xludf.DUMMYFUNCTION("IFNA(vlookup(H3628,IMPORTRANGE(""1vUGwO1n0QQGx9kKbO0_M5gmuhXZ6-LaxQxgrmJnzgP0"",""'TP# look up'!A:C""),3,0),"""")"),"")</f>
        <v/>
      </c>
      <c r="AH3628" s="49" t="str">
        <f t="shared" si="56"/>
        <v/>
      </c>
    </row>
    <row r="3629" spans="8:34" ht="12.75">
      <c r="H3629" s="43"/>
      <c r="AG3629" s="49" t="str">
        <f ca="1">IFERROR(__xludf.DUMMYFUNCTION("IFNA(vlookup(H3629,IMPORTRANGE(""1vUGwO1n0QQGx9kKbO0_M5gmuhXZ6-LaxQxgrmJnzgP0"",""'TP# look up'!A:C""),3,0),"""")"),"")</f>
        <v/>
      </c>
      <c r="AH3629" s="49" t="str">
        <f t="shared" si="56"/>
        <v/>
      </c>
    </row>
    <row r="3630" spans="8:34" ht="12.75">
      <c r="H3630" s="43"/>
      <c r="AG3630" s="49" t="str">
        <f ca="1">IFERROR(__xludf.DUMMYFUNCTION("IFNA(vlookup(H3630,IMPORTRANGE(""1vUGwO1n0QQGx9kKbO0_M5gmuhXZ6-LaxQxgrmJnzgP0"",""'TP# look up'!A:C""),3,0),"""")"),"")</f>
        <v/>
      </c>
      <c r="AH3630" s="49" t="str">
        <f t="shared" si="56"/>
        <v/>
      </c>
    </row>
    <row r="3631" spans="8:34" ht="12.75">
      <c r="H3631" s="43"/>
      <c r="AG3631" s="49" t="str">
        <f ca="1">IFERROR(__xludf.DUMMYFUNCTION("IFNA(vlookup(H3631,IMPORTRANGE(""1vUGwO1n0QQGx9kKbO0_M5gmuhXZ6-LaxQxgrmJnzgP0"",""'TP# look up'!A:C""),3,0),"""")"),"")</f>
        <v/>
      </c>
      <c r="AH3631" s="49" t="str">
        <f t="shared" si="56"/>
        <v/>
      </c>
    </row>
    <row r="3632" spans="8:34" ht="12.75">
      <c r="H3632" s="43"/>
      <c r="AG3632" s="49" t="str">
        <f ca="1">IFERROR(__xludf.DUMMYFUNCTION("IFNA(vlookup(H3632,IMPORTRANGE(""1vUGwO1n0QQGx9kKbO0_M5gmuhXZ6-LaxQxgrmJnzgP0"",""'TP# look up'!A:C""),3,0),"""")"),"")</f>
        <v/>
      </c>
      <c r="AH3632" s="49" t="str">
        <f t="shared" si="56"/>
        <v/>
      </c>
    </row>
    <row r="3633" spans="8:34" ht="12.75">
      <c r="H3633" s="43"/>
      <c r="AG3633" s="49" t="str">
        <f ca="1">IFERROR(__xludf.DUMMYFUNCTION("IFNA(vlookup(H3633,IMPORTRANGE(""1vUGwO1n0QQGx9kKbO0_M5gmuhXZ6-LaxQxgrmJnzgP0"",""'TP# look up'!A:C""),3,0),"""")"),"")</f>
        <v/>
      </c>
      <c r="AH3633" s="49" t="str">
        <f t="shared" si="56"/>
        <v/>
      </c>
    </row>
    <row r="3634" spans="8:34" ht="12.75">
      <c r="H3634" s="43"/>
      <c r="AG3634" s="49" t="str">
        <f ca="1">IFERROR(__xludf.DUMMYFUNCTION("IFNA(vlookup(H3634,IMPORTRANGE(""1vUGwO1n0QQGx9kKbO0_M5gmuhXZ6-LaxQxgrmJnzgP0"",""'TP# look up'!A:C""),3,0),"""")"),"")</f>
        <v/>
      </c>
      <c r="AH3634" s="49" t="str">
        <f t="shared" si="56"/>
        <v/>
      </c>
    </row>
    <row r="3635" spans="8:34" ht="12.75">
      <c r="H3635" s="43"/>
      <c r="AG3635" s="49" t="str">
        <f ca="1">IFERROR(__xludf.DUMMYFUNCTION("IFNA(vlookup(H3635,IMPORTRANGE(""1vUGwO1n0QQGx9kKbO0_M5gmuhXZ6-LaxQxgrmJnzgP0"",""'TP# look up'!A:C""),3,0),"""")"),"")</f>
        <v/>
      </c>
      <c r="AH3635" s="49" t="str">
        <f t="shared" si="56"/>
        <v/>
      </c>
    </row>
    <row r="3636" spans="8:34" ht="12.75">
      <c r="H3636" s="43"/>
      <c r="AG3636" s="49" t="str">
        <f ca="1">IFERROR(__xludf.DUMMYFUNCTION("IFNA(vlookup(H3636,IMPORTRANGE(""1vUGwO1n0QQGx9kKbO0_M5gmuhXZ6-LaxQxgrmJnzgP0"",""'TP# look up'!A:C""),3,0),"""")"),"")</f>
        <v/>
      </c>
      <c r="AH3636" s="49" t="str">
        <f t="shared" si="56"/>
        <v/>
      </c>
    </row>
    <row r="3637" spans="8:34" ht="12.75">
      <c r="H3637" s="43"/>
      <c r="AG3637" s="49" t="str">
        <f ca="1">IFERROR(__xludf.DUMMYFUNCTION("IFNA(vlookup(H3637,IMPORTRANGE(""1vUGwO1n0QQGx9kKbO0_M5gmuhXZ6-LaxQxgrmJnzgP0"",""'TP# look up'!A:C""),3,0),"""")"),"")</f>
        <v/>
      </c>
      <c r="AH3637" s="49" t="str">
        <f t="shared" si="56"/>
        <v/>
      </c>
    </row>
    <row r="3638" spans="8:34" ht="12.75">
      <c r="H3638" s="43"/>
      <c r="AG3638" s="49" t="str">
        <f ca="1">IFERROR(__xludf.DUMMYFUNCTION("IFNA(vlookup(H3638,IMPORTRANGE(""1vUGwO1n0QQGx9kKbO0_M5gmuhXZ6-LaxQxgrmJnzgP0"",""'TP# look up'!A:C""),3,0),"""")"),"")</f>
        <v/>
      </c>
      <c r="AH3638" s="49" t="str">
        <f t="shared" si="56"/>
        <v/>
      </c>
    </row>
    <row r="3639" spans="8:34" ht="12.75">
      <c r="H3639" s="43"/>
      <c r="AG3639" s="49" t="str">
        <f ca="1">IFERROR(__xludf.DUMMYFUNCTION("IFNA(vlookup(H3639,IMPORTRANGE(""1vUGwO1n0QQGx9kKbO0_M5gmuhXZ6-LaxQxgrmJnzgP0"",""'TP# look up'!A:C""),3,0),"""")"),"")</f>
        <v/>
      </c>
      <c r="AH3639" s="49" t="str">
        <f t="shared" si="56"/>
        <v/>
      </c>
    </row>
    <row r="3640" spans="8:34" ht="12.75">
      <c r="H3640" s="43"/>
      <c r="AG3640" s="49" t="str">
        <f ca="1">IFERROR(__xludf.DUMMYFUNCTION("IFNA(vlookup(H3640,IMPORTRANGE(""1vUGwO1n0QQGx9kKbO0_M5gmuhXZ6-LaxQxgrmJnzgP0"",""'TP# look up'!A:C""),3,0),"""")"),"")</f>
        <v/>
      </c>
      <c r="AH3640" s="49" t="str">
        <f t="shared" si="56"/>
        <v/>
      </c>
    </row>
    <row r="3641" spans="8:34" ht="12.75">
      <c r="H3641" s="43"/>
      <c r="AG3641" s="49" t="str">
        <f ca="1">IFERROR(__xludf.DUMMYFUNCTION("IFNA(vlookup(H3641,IMPORTRANGE(""1vUGwO1n0QQGx9kKbO0_M5gmuhXZ6-LaxQxgrmJnzgP0"",""'TP# look up'!A:C""),3,0),"""")"),"")</f>
        <v/>
      </c>
      <c r="AH3641" s="49" t="str">
        <f t="shared" si="56"/>
        <v/>
      </c>
    </row>
    <row r="3642" spans="8:34" ht="12.75">
      <c r="H3642" s="43"/>
      <c r="AG3642" s="49" t="str">
        <f ca="1">IFERROR(__xludf.DUMMYFUNCTION("IFNA(vlookup(H3642,IMPORTRANGE(""1vUGwO1n0QQGx9kKbO0_M5gmuhXZ6-LaxQxgrmJnzgP0"",""'TP# look up'!A:C""),3,0),"""")"),"")</f>
        <v/>
      </c>
      <c r="AH3642" s="49" t="str">
        <f t="shared" si="56"/>
        <v/>
      </c>
    </row>
    <row r="3643" spans="8:34" ht="12.75">
      <c r="H3643" s="43"/>
      <c r="AG3643" s="49" t="str">
        <f ca="1">IFERROR(__xludf.DUMMYFUNCTION("IFNA(vlookup(H3643,IMPORTRANGE(""1vUGwO1n0QQGx9kKbO0_M5gmuhXZ6-LaxQxgrmJnzgP0"",""'TP# look up'!A:C""),3,0),"""")"),"")</f>
        <v/>
      </c>
      <c r="AH3643" s="49" t="str">
        <f t="shared" si="56"/>
        <v/>
      </c>
    </row>
    <row r="3644" spans="8:34" ht="12.75">
      <c r="H3644" s="43"/>
      <c r="AG3644" s="49" t="str">
        <f ca="1">IFERROR(__xludf.DUMMYFUNCTION("IFNA(vlookup(H3644,IMPORTRANGE(""1vUGwO1n0QQGx9kKbO0_M5gmuhXZ6-LaxQxgrmJnzgP0"",""'TP# look up'!A:C""),3,0),"""")"),"")</f>
        <v/>
      </c>
      <c r="AH3644" s="49" t="str">
        <f t="shared" si="56"/>
        <v/>
      </c>
    </row>
    <row r="3645" spans="8:34" ht="12.75">
      <c r="H3645" s="43"/>
      <c r="AG3645" s="49" t="str">
        <f ca="1">IFERROR(__xludf.DUMMYFUNCTION("IFNA(vlookup(H3645,IMPORTRANGE(""1vUGwO1n0QQGx9kKbO0_M5gmuhXZ6-LaxQxgrmJnzgP0"",""'TP# look up'!A:C""),3,0),"""")"),"")</f>
        <v/>
      </c>
      <c r="AH3645" s="49" t="str">
        <f t="shared" si="56"/>
        <v/>
      </c>
    </row>
    <row r="3646" spans="8:34" ht="12.75">
      <c r="H3646" s="43"/>
      <c r="AG3646" s="49" t="str">
        <f ca="1">IFERROR(__xludf.DUMMYFUNCTION("IFNA(vlookup(H3646,IMPORTRANGE(""1vUGwO1n0QQGx9kKbO0_M5gmuhXZ6-LaxQxgrmJnzgP0"",""'TP# look up'!A:C""),3,0),"""")"),"")</f>
        <v/>
      </c>
      <c r="AH3646" s="49" t="str">
        <f t="shared" si="56"/>
        <v/>
      </c>
    </row>
    <row r="3647" spans="8:34" ht="12.75">
      <c r="H3647" s="43"/>
      <c r="AG3647" s="49" t="str">
        <f ca="1">IFERROR(__xludf.DUMMYFUNCTION("IFNA(vlookup(H3647,IMPORTRANGE(""1vUGwO1n0QQGx9kKbO0_M5gmuhXZ6-LaxQxgrmJnzgP0"",""'TP# look up'!A:C""),3,0),"""")"),"")</f>
        <v/>
      </c>
      <c r="AH3647" s="49" t="str">
        <f t="shared" si="56"/>
        <v/>
      </c>
    </row>
    <row r="3648" spans="8:34" ht="12.75">
      <c r="H3648" s="43"/>
      <c r="AG3648" s="49" t="str">
        <f ca="1">IFERROR(__xludf.DUMMYFUNCTION("IFNA(vlookup(H3648,IMPORTRANGE(""1vUGwO1n0QQGx9kKbO0_M5gmuhXZ6-LaxQxgrmJnzgP0"",""'TP# look up'!A:C""),3,0),"""")"),"")</f>
        <v/>
      </c>
      <c r="AH3648" s="49" t="str">
        <f t="shared" si="56"/>
        <v/>
      </c>
    </row>
    <row r="3649" spans="8:34" ht="12.75">
      <c r="H3649" s="43"/>
      <c r="AG3649" s="49" t="str">
        <f ca="1">IFERROR(__xludf.DUMMYFUNCTION("IFNA(vlookup(H3649,IMPORTRANGE(""1vUGwO1n0QQGx9kKbO0_M5gmuhXZ6-LaxQxgrmJnzgP0"",""'TP# look up'!A:C""),3,0),"""")"),"")</f>
        <v/>
      </c>
      <c r="AH3649" s="49" t="str">
        <f t="shared" si="56"/>
        <v/>
      </c>
    </row>
    <row r="3650" spans="8:34" ht="12.75">
      <c r="H3650" s="43"/>
      <c r="AG3650" s="49" t="str">
        <f ca="1">IFERROR(__xludf.DUMMYFUNCTION("IFNA(vlookup(H3650,IMPORTRANGE(""1vUGwO1n0QQGx9kKbO0_M5gmuhXZ6-LaxQxgrmJnzgP0"",""'TP# look up'!A:C""),3,0),"""")"),"")</f>
        <v/>
      </c>
      <c r="AH3650" s="49" t="str">
        <f t="shared" ref="AH3650:AH3713" si="57">LEFT(J3650,2)</f>
        <v/>
      </c>
    </row>
    <row r="3651" spans="8:34" ht="12.75">
      <c r="H3651" s="43"/>
      <c r="AG3651" s="49" t="str">
        <f ca="1">IFERROR(__xludf.DUMMYFUNCTION("IFNA(vlookup(H3651,IMPORTRANGE(""1vUGwO1n0QQGx9kKbO0_M5gmuhXZ6-LaxQxgrmJnzgP0"",""'TP# look up'!A:C""),3,0),"""")"),"")</f>
        <v/>
      </c>
      <c r="AH3651" s="49" t="str">
        <f t="shared" si="57"/>
        <v/>
      </c>
    </row>
    <row r="3652" spans="8:34" ht="12.75">
      <c r="H3652" s="43"/>
      <c r="AG3652" s="49" t="str">
        <f ca="1">IFERROR(__xludf.DUMMYFUNCTION("IFNA(vlookup(H3652,IMPORTRANGE(""1vUGwO1n0QQGx9kKbO0_M5gmuhXZ6-LaxQxgrmJnzgP0"",""'TP# look up'!A:C""),3,0),"""")"),"")</f>
        <v/>
      </c>
      <c r="AH3652" s="49" t="str">
        <f t="shared" si="57"/>
        <v/>
      </c>
    </row>
    <row r="3653" spans="8:34" ht="12.75">
      <c r="H3653" s="43"/>
      <c r="AG3653" s="49" t="str">
        <f ca="1">IFERROR(__xludf.DUMMYFUNCTION("IFNA(vlookup(H3653,IMPORTRANGE(""1vUGwO1n0QQGx9kKbO0_M5gmuhXZ6-LaxQxgrmJnzgP0"",""'TP# look up'!A:C""),3,0),"""")"),"")</f>
        <v/>
      </c>
      <c r="AH3653" s="49" t="str">
        <f t="shared" si="57"/>
        <v/>
      </c>
    </row>
    <row r="3654" spans="8:34" ht="12.75">
      <c r="H3654" s="43"/>
      <c r="AG3654" s="49" t="str">
        <f ca="1">IFERROR(__xludf.DUMMYFUNCTION("IFNA(vlookup(H3654,IMPORTRANGE(""1vUGwO1n0QQGx9kKbO0_M5gmuhXZ6-LaxQxgrmJnzgP0"",""'TP# look up'!A:C""),3,0),"""")"),"")</f>
        <v/>
      </c>
      <c r="AH3654" s="49" t="str">
        <f t="shared" si="57"/>
        <v/>
      </c>
    </row>
    <row r="3655" spans="8:34" ht="12.75">
      <c r="H3655" s="43"/>
      <c r="AG3655" s="49" t="str">
        <f ca="1">IFERROR(__xludf.DUMMYFUNCTION("IFNA(vlookup(H3655,IMPORTRANGE(""1vUGwO1n0QQGx9kKbO0_M5gmuhXZ6-LaxQxgrmJnzgP0"",""'TP# look up'!A:C""),3,0),"""")"),"")</f>
        <v/>
      </c>
      <c r="AH3655" s="49" t="str">
        <f t="shared" si="57"/>
        <v/>
      </c>
    </row>
    <row r="3656" spans="8:34" ht="12.75">
      <c r="H3656" s="43"/>
      <c r="AG3656" s="49" t="str">
        <f ca="1">IFERROR(__xludf.DUMMYFUNCTION("IFNA(vlookup(H3656,IMPORTRANGE(""1vUGwO1n0QQGx9kKbO0_M5gmuhXZ6-LaxQxgrmJnzgP0"",""'TP# look up'!A:C""),3,0),"""")"),"")</f>
        <v/>
      </c>
      <c r="AH3656" s="49" t="str">
        <f t="shared" si="57"/>
        <v/>
      </c>
    </row>
    <row r="3657" spans="8:34" ht="12.75">
      <c r="H3657" s="43"/>
      <c r="AG3657" s="49" t="str">
        <f ca="1">IFERROR(__xludf.DUMMYFUNCTION("IFNA(vlookup(H3657,IMPORTRANGE(""1vUGwO1n0QQGx9kKbO0_M5gmuhXZ6-LaxQxgrmJnzgP0"",""'TP# look up'!A:C""),3,0),"""")"),"")</f>
        <v/>
      </c>
      <c r="AH3657" s="49" t="str">
        <f t="shared" si="57"/>
        <v/>
      </c>
    </row>
    <row r="3658" spans="8:34" ht="12.75">
      <c r="H3658" s="43"/>
      <c r="AG3658" s="49" t="str">
        <f ca="1">IFERROR(__xludf.DUMMYFUNCTION("IFNA(vlookup(H3658,IMPORTRANGE(""1vUGwO1n0QQGx9kKbO0_M5gmuhXZ6-LaxQxgrmJnzgP0"",""'TP# look up'!A:C""),3,0),"""")"),"")</f>
        <v/>
      </c>
      <c r="AH3658" s="49" t="str">
        <f t="shared" si="57"/>
        <v/>
      </c>
    </row>
    <row r="3659" spans="8:34" ht="12.75">
      <c r="H3659" s="43"/>
      <c r="AG3659" s="49" t="str">
        <f ca="1">IFERROR(__xludf.DUMMYFUNCTION("IFNA(vlookup(H3659,IMPORTRANGE(""1vUGwO1n0QQGx9kKbO0_M5gmuhXZ6-LaxQxgrmJnzgP0"",""'TP# look up'!A:C""),3,0),"""")"),"")</f>
        <v/>
      </c>
      <c r="AH3659" s="49" t="str">
        <f t="shared" si="57"/>
        <v/>
      </c>
    </row>
    <row r="3660" spans="8:34" ht="12.75">
      <c r="H3660" s="43"/>
      <c r="AG3660" s="49" t="str">
        <f ca="1">IFERROR(__xludf.DUMMYFUNCTION("IFNA(vlookup(H3660,IMPORTRANGE(""1vUGwO1n0QQGx9kKbO0_M5gmuhXZ6-LaxQxgrmJnzgP0"",""'TP# look up'!A:C""),3,0),"""")"),"")</f>
        <v/>
      </c>
      <c r="AH3660" s="49" t="str">
        <f t="shared" si="57"/>
        <v/>
      </c>
    </row>
    <row r="3661" spans="8:34" ht="12.75">
      <c r="H3661" s="43"/>
      <c r="AG3661" s="49" t="str">
        <f ca="1">IFERROR(__xludf.DUMMYFUNCTION("IFNA(vlookup(H3661,IMPORTRANGE(""1vUGwO1n0QQGx9kKbO0_M5gmuhXZ6-LaxQxgrmJnzgP0"",""'TP# look up'!A:C""),3,0),"""")"),"")</f>
        <v/>
      </c>
      <c r="AH3661" s="49" t="str">
        <f t="shared" si="57"/>
        <v/>
      </c>
    </row>
    <row r="3662" spans="8:34" ht="12.75">
      <c r="H3662" s="43"/>
      <c r="AG3662" s="49" t="str">
        <f ca="1">IFERROR(__xludf.DUMMYFUNCTION("IFNA(vlookup(H3662,IMPORTRANGE(""1vUGwO1n0QQGx9kKbO0_M5gmuhXZ6-LaxQxgrmJnzgP0"",""'TP# look up'!A:C""),3,0),"""")"),"")</f>
        <v/>
      </c>
      <c r="AH3662" s="49" t="str">
        <f t="shared" si="57"/>
        <v/>
      </c>
    </row>
    <row r="3663" spans="8:34" ht="12.75">
      <c r="H3663" s="43"/>
      <c r="AG3663" s="49" t="str">
        <f ca="1">IFERROR(__xludf.DUMMYFUNCTION("IFNA(vlookup(H3663,IMPORTRANGE(""1vUGwO1n0QQGx9kKbO0_M5gmuhXZ6-LaxQxgrmJnzgP0"",""'TP# look up'!A:C""),3,0),"""")"),"")</f>
        <v/>
      </c>
      <c r="AH3663" s="49" t="str">
        <f t="shared" si="57"/>
        <v/>
      </c>
    </row>
    <row r="3664" spans="8:34" ht="12.75">
      <c r="H3664" s="43"/>
      <c r="AG3664" s="49" t="str">
        <f ca="1">IFERROR(__xludf.DUMMYFUNCTION("IFNA(vlookup(H3664,IMPORTRANGE(""1vUGwO1n0QQGx9kKbO0_M5gmuhXZ6-LaxQxgrmJnzgP0"",""'TP# look up'!A:C""),3,0),"""")"),"")</f>
        <v/>
      </c>
      <c r="AH3664" s="49" t="str">
        <f t="shared" si="57"/>
        <v/>
      </c>
    </row>
    <row r="3665" spans="8:34" ht="12.75">
      <c r="H3665" s="43"/>
      <c r="AG3665" s="49" t="str">
        <f ca="1">IFERROR(__xludf.DUMMYFUNCTION("IFNA(vlookup(H3665,IMPORTRANGE(""1vUGwO1n0QQGx9kKbO0_M5gmuhXZ6-LaxQxgrmJnzgP0"",""'TP# look up'!A:C""),3,0),"""")"),"")</f>
        <v/>
      </c>
      <c r="AH3665" s="49" t="str">
        <f t="shared" si="57"/>
        <v/>
      </c>
    </row>
    <row r="3666" spans="8:34" ht="12.75">
      <c r="H3666" s="43"/>
      <c r="AG3666" s="49" t="str">
        <f ca="1">IFERROR(__xludf.DUMMYFUNCTION("IFNA(vlookup(H3666,IMPORTRANGE(""1vUGwO1n0QQGx9kKbO0_M5gmuhXZ6-LaxQxgrmJnzgP0"",""'TP# look up'!A:C""),3,0),"""")"),"")</f>
        <v/>
      </c>
      <c r="AH3666" s="49" t="str">
        <f t="shared" si="57"/>
        <v/>
      </c>
    </row>
    <row r="3667" spans="8:34" ht="12.75">
      <c r="H3667" s="43"/>
      <c r="AG3667" s="49" t="str">
        <f ca="1">IFERROR(__xludf.DUMMYFUNCTION("IFNA(vlookup(H3667,IMPORTRANGE(""1vUGwO1n0QQGx9kKbO0_M5gmuhXZ6-LaxQxgrmJnzgP0"",""'TP# look up'!A:C""),3,0),"""")"),"")</f>
        <v/>
      </c>
      <c r="AH3667" s="49" t="str">
        <f t="shared" si="57"/>
        <v/>
      </c>
    </row>
    <row r="3668" spans="8:34" ht="12.75">
      <c r="H3668" s="43"/>
      <c r="AG3668" s="49" t="str">
        <f ca="1">IFERROR(__xludf.DUMMYFUNCTION("IFNA(vlookup(H3668,IMPORTRANGE(""1vUGwO1n0QQGx9kKbO0_M5gmuhXZ6-LaxQxgrmJnzgP0"",""'TP# look up'!A:C""),3,0),"""")"),"")</f>
        <v/>
      </c>
      <c r="AH3668" s="49" t="str">
        <f t="shared" si="57"/>
        <v/>
      </c>
    </row>
    <row r="3669" spans="8:34" ht="12.75">
      <c r="H3669" s="43"/>
      <c r="AG3669" s="49" t="str">
        <f ca="1">IFERROR(__xludf.DUMMYFUNCTION("IFNA(vlookup(H3669,IMPORTRANGE(""1vUGwO1n0QQGx9kKbO0_M5gmuhXZ6-LaxQxgrmJnzgP0"",""'TP# look up'!A:C""),3,0),"""")"),"")</f>
        <v/>
      </c>
      <c r="AH3669" s="49" t="str">
        <f t="shared" si="57"/>
        <v/>
      </c>
    </row>
    <row r="3670" spans="8:34" ht="12.75">
      <c r="H3670" s="43"/>
      <c r="AG3670" s="49" t="str">
        <f ca="1">IFERROR(__xludf.DUMMYFUNCTION("IFNA(vlookup(H3670,IMPORTRANGE(""1vUGwO1n0QQGx9kKbO0_M5gmuhXZ6-LaxQxgrmJnzgP0"",""'TP# look up'!A:C""),3,0),"""")"),"")</f>
        <v/>
      </c>
      <c r="AH3670" s="49" t="str">
        <f t="shared" si="57"/>
        <v/>
      </c>
    </row>
    <row r="3671" spans="8:34" ht="12.75">
      <c r="H3671" s="43"/>
      <c r="AG3671" s="49" t="str">
        <f ca="1">IFERROR(__xludf.DUMMYFUNCTION("IFNA(vlookup(H3671,IMPORTRANGE(""1vUGwO1n0QQGx9kKbO0_M5gmuhXZ6-LaxQxgrmJnzgP0"",""'TP# look up'!A:C""),3,0),"""")"),"")</f>
        <v/>
      </c>
      <c r="AH3671" s="49" t="str">
        <f t="shared" si="57"/>
        <v/>
      </c>
    </row>
    <row r="3672" spans="8:34" ht="12.75">
      <c r="H3672" s="43"/>
      <c r="AG3672" s="49" t="str">
        <f ca="1">IFERROR(__xludf.DUMMYFUNCTION("IFNA(vlookup(H3672,IMPORTRANGE(""1vUGwO1n0QQGx9kKbO0_M5gmuhXZ6-LaxQxgrmJnzgP0"",""'TP# look up'!A:C""),3,0),"""")"),"")</f>
        <v/>
      </c>
      <c r="AH3672" s="49" t="str">
        <f t="shared" si="57"/>
        <v/>
      </c>
    </row>
    <row r="3673" spans="8:34" ht="12.75">
      <c r="H3673" s="43"/>
      <c r="AG3673" s="49" t="str">
        <f ca="1">IFERROR(__xludf.DUMMYFUNCTION("IFNA(vlookup(H3673,IMPORTRANGE(""1vUGwO1n0QQGx9kKbO0_M5gmuhXZ6-LaxQxgrmJnzgP0"",""'TP# look up'!A:C""),3,0),"""")"),"")</f>
        <v/>
      </c>
      <c r="AH3673" s="49" t="str">
        <f t="shared" si="57"/>
        <v/>
      </c>
    </row>
    <row r="3674" spans="8:34" ht="12.75">
      <c r="H3674" s="43"/>
      <c r="AG3674" s="49" t="str">
        <f ca="1">IFERROR(__xludf.DUMMYFUNCTION("IFNA(vlookup(H3674,IMPORTRANGE(""1vUGwO1n0QQGx9kKbO0_M5gmuhXZ6-LaxQxgrmJnzgP0"",""'TP# look up'!A:C""),3,0),"""")"),"")</f>
        <v/>
      </c>
      <c r="AH3674" s="49" t="str">
        <f t="shared" si="57"/>
        <v/>
      </c>
    </row>
    <row r="3675" spans="8:34" ht="12.75">
      <c r="H3675" s="43"/>
      <c r="AG3675" s="49" t="str">
        <f ca="1">IFERROR(__xludf.DUMMYFUNCTION("IFNA(vlookup(H3675,IMPORTRANGE(""1vUGwO1n0QQGx9kKbO0_M5gmuhXZ6-LaxQxgrmJnzgP0"",""'TP# look up'!A:C""),3,0),"""")"),"")</f>
        <v/>
      </c>
      <c r="AH3675" s="49" t="str">
        <f t="shared" si="57"/>
        <v/>
      </c>
    </row>
    <row r="3676" spans="8:34" ht="12.75">
      <c r="H3676" s="43"/>
      <c r="AG3676" s="49" t="str">
        <f ca="1">IFERROR(__xludf.DUMMYFUNCTION("IFNA(vlookup(H3676,IMPORTRANGE(""1vUGwO1n0QQGx9kKbO0_M5gmuhXZ6-LaxQxgrmJnzgP0"",""'TP# look up'!A:C""),3,0),"""")"),"")</f>
        <v/>
      </c>
      <c r="AH3676" s="49" t="str">
        <f t="shared" si="57"/>
        <v/>
      </c>
    </row>
    <row r="3677" spans="8:34" ht="12.75">
      <c r="H3677" s="43"/>
      <c r="AG3677" s="49" t="str">
        <f ca="1">IFERROR(__xludf.DUMMYFUNCTION("IFNA(vlookup(H3677,IMPORTRANGE(""1vUGwO1n0QQGx9kKbO0_M5gmuhXZ6-LaxQxgrmJnzgP0"",""'TP# look up'!A:C""),3,0),"""")"),"")</f>
        <v/>
      </c>
      <c r="AH3677" s="49" t="str">
        <f t="shared" si="57"/>
        <v/>
      </c>
    </row>
    <row r="3678" spans="8:34" ht="12.75">
      <c r="H3678" s="43"/>
      <c r="AG3678" s="49" t="str">
        <f ca="1">IFERROR(__xludf.DUMMYFUNCTION("IFNA(vlookup(H3678,IMPORTRANGE(""1vUGwO1n0QQGx9kKbO0_M5gmuhXZ6-LaxQxgrmJnzgP0"",""'TP# look up'!A:C""),3,0),"""")"),"")</f>
        <v/>
      </c>
      <c r="AH3678" s="49" t="str">
        <f t="shared" si="57"/>
        <v/>
      </c>
    </row>
    <row r="3679" spans="8:34" ht="12.75">
      <c r="H3679" s="43"/>
      <c r="AG3679" s="49" t="str">
        <f ca="1">IFERROR(__xludf.DUMMYFUNCTION("IFNA(vlookup(H3679,IMPORTRANGE(""1vUGwO1n0QQGx9kKbO0_M5gmuhXZ6-LaxQxgrmJnzgP0"",""'TP# look up'!A:C""),3,0),"""")"),"")</f>
        <v/>
      </c>
      <c r="AH3679" s="49" t="str">
        <f t="shared" si="57"/>
        <v/>
      </c>
    </row>
    <row r="3680" spans="8:34" ht="12.75">
      <c r="H3680" s="43"/>
      <c r="AG3680" s="49" t="str">
        <f ca="1">IFERROR(__xludf.DUMMYFUNCTION("IFNA(vlookup(H3680,IMPORTRANGE(""1vUGwO1n0QQGx9kKbO0_M5gmuhXZ6-LaxQxgrmJnzgP0"",""'TP# look up'!A:C""),3,0),"""")"),"")</f>
        <v/>
      </c>
      <c r="AH3680" s="49" t="str">
        <f t="shared" si="57"/>
        <v/>
      </c>
    </row>
    <row r="3681" spans="8:34" ht="12.75">
      <c r="H3681" s="43"/>
      <c r="AG3681" s="49" t="str">
        <f ca="1">IFERROR(__xludf.DUMMYFUNCTION("IFNA(vlookup(H3681,IMPORTRANGE(""1vUGwO1n0QQGx9kKbO0_M5gmuhXZ6-LaxQxgrmJnzgP0"",""'TP# look up'!A:C""),3,0),"""")"),"")</f>
        <v/>
      </c>
      <c r="AH3681" s="49" t="str">
        <f t="shared" si="57"/>
        <v/>
      </c>
    </row>
    <row r="3682" spans="8:34" ht="12.75">
      <c r="H3682" s="43"/>
      <c r="AG3682" s="49" t="str">
        <f ca="1">IFERROR(__xludf.DUMMYFUNCTION("IFNA(vlookup(H3682,IMPORTRANGE(""1vUGwO1n0QQGx9kKbO0_M5gmuhXZ6-LaxQxgrmJnzgP0"",""'TP# look up'!A:C""),3,0),"""")"),"")</f>
        <v/>
      </c>
      <c r="AH3682" s="49" t="str">
        <f t="shared" si="57"/>
        <v/>
      </c>
    </row>
    <row r="3683" spans="8:34" ht="12.75">
      <c r="H3683" s="43"/>
      <c r="AG3683" s="49" t="str">
        <f ca="1">IFERROR(__xludf.DUMMYFUNCTION("IFNA(vlookup(H3683,IMPORTRANGE(""1vUGwO1n0QQGx9kKbO0_M5gmuhXZ6-LaxQxgrmJnzgP0"",""'TP# look up'!A:C""),3,0),"""")"),"")</f>
        <v/>
      </c>
      <c r="AH3683" s="49" t="str">
        <f t="shared" si="57"/>
        <v/>
      </c>
    </row>
    <row r="3684" spans="8:34" ht="12.75">
      <c r="H3684" s="43"/>
      <c r="AG3684" s="49" t="str">
        <f ca="1">IFERROR(__xludf.DUMMYFUNCTION("IFNA(vlookup(H3684,IMPORTRANGE(""1vUGwO1n0QQGx9kKbO0_M5gmuhXZ6-LaxQxgrmJnzgP0"",""'TP# look up'!A:C""),3,0),"""")"),"")</f>
        <v/>
      </c>
      <c r="AH3684" s="49" t="str">
        <f t="shared" si="57"/>
        <v/>
      </c>
    </row>
    <row r="3685" spans="8:34" ht="12.75">
      <c r="H3685" s="43"/>
      <c r="AG3685" s="49" t="str">
        <f ca="1">IFERROR(__xludf.DUMMYFUNCTION("IFNA(vlookup(H3685,IMPORTRANGE(""1vUGwO1n0QQGx9kKbO0_M5gmuhXZ6-LaxQxgrmJnzgP0"",""'TP# look up'!A:C""),3,0),"""")"),"")</f>
        <v/>
      </c>
      <c r="AH3685" s="49" t="str">
        <f t="shared" si="57"/>
        <v/>
      </c>
    </row>
    <row r="3686" spans="8:34" ht="12.75">
      <c r="H3686" s="43"/>
      <c r="AG3686" s="49" t="str">
        <f ca="1">IFERROR(__xludf.DUMMYFUNCTION("IFNA(vlookup(H3686,IMPORTRANGE(""1vUGwO1n0QQGx9kKbO0_M5gmuhXZ6-LaxQxgrmJnzgP0"",""'TP# look up'!A:C""),3,0),"""")"),"")</f>
        <v/>
      </c>
      <c r="AH3686" s="49" t="str">
        <f t="shared" si="57"/>
        <v/>
      </c>
    </row>
    <row r="3687" spans="8:34" ht="12.75">
      <c r="H3687" s="43"/>
      <c r="AG3687" s="49" t="str">
        <f ca="1">IFERROR(__xludf.DUMMYFUNCTION("IFNA(vlookup(H3687,IMPORTRANGE(""1vUGwO1n0QQGx9kKbO0_M5gmuhXZ6-LaxQxgrmJnzgP0"",""'TP# look up'!A:C""),3,0),"""")"),"")</f>
        <v/>
      </c>
      <c r="AH3687" s="49" t="str">
        <f t="shared" si="57"/>
        <v/>
      </c>
    </row>
    <row r="3688" spans="8:34" ht="12.75">
      <c r="H3688" s="43"/>
      <c r="AG3688" s="49" t="str">
        <f ca="1">IFERROR(__xludf.DUMMYFUNCTION("IFNA(vlookup(H3688,IMPORTRANGE(""1vUGwO1n0QQGx9kKbO0_M5gmuhXZ6-LaxQxgrmJnzgP0"",""'TP# look up'!A:C""),3,0),"""")"),"")</f>
        <v/>
      </c>
      <c r="AH3688" s="49" t="str">
        <f t="shared" si="57"/>
        <v/>
      </c>
    </row>
    <row r="3689" spans="8:34" ht="12.75">
      <c r="H3689" s="43"/>
      <c r="AG3689" s="49" t="str">
        <f ca="1">IFERROR(__xludf.DUMMYFUNCTION("IFNA(vlookup(H3689,IMPORTRANGE(""1vUGwO1n0QQGx9kKbO0_M5gmuhXZ6-LaxQxgrmJnzgP0"",""'TP# look up'!A:C""),3,0),"""")"),"")</f>
        <v/>
      </c>
      <c r="AH3689" s="49" t="str">
        <f t="shared" si="57"/>
        <v/>
      </c>
    </row>
    <row r="3690" spans="8:34" ht="12.75">
      <c r="H3690" s="43"/>
      <c r="AG3690" s="49" t="str">
        <f ca="1">IFERROR(__xludf.DUMMYFUNCTION("IFNA(vlookup(H3690,IMPORTRANGE(""1vUGwO1n0QQGx9kKbO0_M5gmuhXZ6-LaxQxgrmJnzgP0"",""'TP# look up'!A:C""),3,0),"""")"),"")</f>
        <v/>
      </c>
      <c r="AH3690" s="49" t="str">
        <f t="shared" si="57"/>
        <v/>
      </c>
    </row>
    <row r="3691" spans="8:34" ht="12.75">
      <c r="H3691" s="43"/>
      <c r="AG3691" s="49" t="str">
        <f ca="1">IFERROR(__xludf.DUMMYFUNCTION("IFNA(vlookup(H3691,IMPORTRANGE(""1vUGwO1n0QQGx9kKbO0_M5gmuhXZ6-LaxQxgrmJnzgP0"",""'TP# look up'!A:C""),3,0),"""")"),"")</f>
        <v/>
      </c>
      <c r="AH3691" s="49" t="str">
        <f t="shared" si="57"/>
        <v/>
      </c>
    </row>
    <row r="3692" spans="8:34" ht="12.75">
      <c r="H3692" s="43"/>
      <c r="AG3692" s="49" t="str">
        <f ca="1">IFERROR(__xludf.DUMMYFUNCTION("IFNA(vlookup(H3692,IMPORTRANGE(""1vUGwO1n0QQGx9kKbO0_M5gmuhXZ6-LaxQxgrmJnzgP0"",""'TP# look up'!A:C""),3,0),"""")"),"")</f>
        <v/>
      </c>
      <c r="AH3692" s="49" t="str">
        <f t="shared" si="57"/>
        <v/>
      </c>
    </row>
    <row r="3693" spans="8:34" ht="12.75">
      <c r="H3693" s="43"/>
      <c r="AG3693" s="49" t="str">
        <f ca="1">IFERROR(__xludf.DUMMYFUNCTION("IFNA(vlookup(H3693,IMPORTRANGE(""1vUGwO1n0QQGx9kKbO0_M5gmuhXZ6-LaxQxgrmJnzgP0"",""'TP# look up'!A:C""),3,0),"""")"),"")</f>
        <v/>
      </c>
      <c r="AH3693" s="49" t="str">
        <f t="shared" si="57"/>
        <v/>
      </c>
    </row>
    <row r="3694" spans="8:34" ht="12.75">
      <c r="H3694" s="43"/>
      <c r="AG3694" s="49" t="str">
        <f ca="1">IFERROR(__xludf.DUMMYFUNCTION("IFNA(vlookup(H3694,IMPORTRANGE(""1vUGwO1n0QQGx9kKbO0_M5gmuhXZ6-LaxQxgrmJnzgP0"",""'TP# look up'!A:C""),3,0),"""")"),"")</f>
        <v/>
      </c>
      <c r="AH3694" s="49" t="str">
        <f t="shared" si="57"/>
        <v/>
      </c>
    </row>
    <row r="3695" spans="8:34" ht="12.75">
      <c r="H3695" s="43"/>
      <c r="AG3695" s="49" t="str">
        <f ca="1">IFERROR(__xludf.DUMMYFUNCTION("IFNA(vlookup(H3695,IMPORTRANGE(""1vUGwO1n0QQGx9kKbO0_M5gmuhXZ6-LaxQxgrmJnzgP0"",""'TP# look up'!A:C""),3,0),"""")"),"")</f>
        <v/>
      </c>
      <c r="AH3695" s="49" t="str">
        <f t="shared" si="57"/>
        <v/>
      </c>
    </row>
    <row r="3696" spans="8:34" ht="12.75">
      <c r="H3696" s="43"/>
      <c r="AG3696" s="49" t="str">
        <f ca="1">IFERROR(__xludf.DUMMYFUNCTION("IFNA(vlookup(H3696,IMPORTRANGE(""1vUGwO1n0QQGx9kKbO0_M5gmuhXZ6-LaxQxgrmJnzgP0"",""'TP# look up'!A:C""),3,0),"""")"),"")</f>
        <v/>
      </c>
      <c r="AH3696" s="49" t="str">
        <f t="shared" si="57"/>
        <v/>
      </c>
    </row>
    <row r="3697" spans="8:34" ht="12.75">
      <c r="H3697" s="43"/>
      <c r="AG3697" s="49" t="str">
        <f ca="1">IFERROR(__xludf.DUMMYFUNCTION("IFNA(vlookup(H3697,IMPORTRANGE(""1vUGwO1n0QQGx9kKbO0_M5gmuhXZ6-LaxQxgrmJnzgP0"",""'TP# look up'!A:C""),3,0),"""")"),"")</f>
        <v/>
      </c>
      <c r="AH3697" s="49" t="str">
        <f t="shared" si="57"/>
        <v/>
      </c>
    </row>
    <row r="3698" spans="8:34" ht="12.75">
      <c r="H3698" s="43"/>
      <c r="AG3698" s="49" t="str">
        <f ca="1">IFERROR(__xludf.DUMMYFUNCTION("IFNA(vlookup(H3698,IMPORTRANGE(""1vUGwO1n0QQGx9kKbO0_M5gmuhXZ6-LaxQxgrmJnzgP0"",""'TP# look up'!A:C""),3,0),"""")"),"")</f>
        <v/>
      </c>
      <c r="AH3698" s="49" t="str">
        <f t="shared" si="57"/>
        <v/>
      </c>
    </row>
    <row r="3699" spans="8:34" ht="12.75">
      <c r="H3699" s="43"/>
      <c r="AG3699" s="49" t="str">
        <f ca="1">IFERROR(__xludf.DUMMYFUNCTION("IFNA(vlookup(H3699,IMPORTRANGE(""1vUGwO1n0QQGx9kKbO0_M5gmuhXZ6-LaxQxgrmJnzgP0"",""'TP# look up'!A:C""),3,0),"""")"),"")</f>
        <v/>
      </c>
      <c r="AH3699" s="49" t="str">
        <f t="shared" si="57"/>
        <v/>
      </c>
    </row>
    <row r="3700" spans="8:34" ht="12.75">
      <c r="H3700" s="43"/>
      <c r="AG3700" s="49" t="str">
        <f ca="1">IFERROR(__xludf.DUMMYFUNCTION("IFNA(vlookup(H3700,IMPORTRANGE(""1vUGwO1n0QQGx9kKbO0_M5gmuhXZ6-LaxQxgrmJnzgP0"",""'TP# look up'!A:C""),3,0),"""")"),"")</f>
        <v/>
      </c>
      <c r="AH3700" s="49" t="str">
        <f t="shared" si="57"/>
        <v/>
      </c>
    </row>
    <row r="3701" spans="8:34" ht="12.75">
      <c r="H3701" s="43"/>
      <c r="AG3701" s="49" t="str">
        <f ca="1">IFERROR(__xludf.DUMMYFUNCTION("IFNA(vlookup(H3701,IMPORTRANGE(""1vUGwO1n0QQGx9kKbO0_M5gmuhXZ6-LaxQxgrmJnzgP0"",""'TP# look up'!A:C""),3,0),"""")"),"")</f>
        <v/>
      </c>
      <c r="AH3701" s="49" t="str">
        <f t="shared" si="57"/>
        <v/>
      </c>
    </row>
    <row r="3702" spans="8:34" ht="12.75">
      <c r="H3702" s="43"/>
      <c r="AG3702" s="49" t="str">
        <f ca="1">IFERROR(__xludf.DUMMYFUNCTION("IFNA(vlookup(H3702,IMPORTRANGE(""1vUGwO1n0QQGx9kKbO0_M5gmuhXZ6-LaxQxgrmJnzgP0"",""'TP# look up'!A:C""),3,0),"""")"),"")</f>
        <v/>
      </c>
      <c r="AH3702" s="49" t="str">
        <f t="shared" si="57"/>
        <v/>
      </c>
    </row>
    <row r="3703" spans="8:34" ht="12.75">
      <c r="H3703" s="43"/>
      <c r="AG3703" s="49" t="str">
        <f ca="1">IFERROR(__xludf.DUMMYFUNCTION("IFNA(vlookup(H3703,IMPORTRANGE(""1vUGwO1n0QQGx9kKbO0_M5gmuhXZ6-LaxQxgrmJnzgP0"",""'TP# look up'!A:C""),3,0),"""")"),"")</f>
        <v/>
      </c>
      <c r="AH3703" s="49" t="str">
        <f t="shared" si="57"/>
        <v/>
      </c>
    </row>
    <row r="3704" spans="8:34" ht="12.75">
      <c r="H3704" s="43"/>
      <c r="AG3704" s="49" t="str">
        <f ca="1">IFERROR(__xludf.DUMMYFUNCTION("IFNA(vlookup(H3704,IMPORTRANGE(""1vUGwO1n0QQGx9kKbO0_M5gmuhXZ6-LaxQxgrmJnzgP0"",""'TP# look up'!A:C""),3,0),"""")"),"")</f>
        <v/>
      </c>
      <c r="AH3704" s="49" t="str">
        <f t="shared" si="57"/>
        <v/>
      </c>
    </row>
    <row r="3705" spans="8:34" ht="12.75">
      <c r="H3705" s="43"/>
      <c r="AG3705" s="49" t="str">
        <f ca="1">IFERROR(__xludf.DUMMYFUNCTION("IFNA(vlookup(H3705,IMPORTRANGE(""1vUGwO1n0QQGx9kKbO0_M5gmuhXZ6-LaxQxgrmJnzgP0"",""'TP# look up'!A:C""),3,0),"""")"),"")</f>
        <v/>
      </c>
      <c r="AH3705" s="49" t="str">
        <f t="shared" si="57"/>
        <v/>
      </c>
    </row>
    <row r="3706" spans="8:34" ht="12.75">
      <c r="H3706" s="43"/>
      <c r="AG3706" s="49" t="str">
        <f ca="1">IFERROR(__xludf.DUMMYFUNCTION("IFNA(vlookup(H3706,IMPORTRANGE(""1vUGwO1n0QQGx9kKbO0_M5gmuhXZ6-LaxQxgrmJnzgP0"",""'TP# look up'!A:C""),3,0),"""")"),"")</f>
        <v/>
      </c>
      <c r="AH3706" s="49" t="str">
        <f t="shared" si="57"/>
        <v/>
      </c>
    </row>
    <row r="3707" spans="8:34" ht="12.75">
      <c r="H3707" s="43"/>
      <c r="AG3707" s="49" t="str">
        <f ca="1">IFERROR(__xludf.DUMMYFUNCTION("IFNA(vlookup(H3707,IMPORTRANGE(""1vUGwO1n0QQGx9kKbO0_M5gmuhXZ6-LaxQxgrmJnzgP0"",""'TP# look up'!A:C""),3,0),"""")"),"")</f>
        <v/>
      </c>
      <c r="AH3707" s="49" t="str">
        <f t="shared" si="57"/>
        <v/>
      </c>
    </row>
    <row r="3708" spans="8:34" ht="12.75">
      <c r="H3708" s="43"/>
      <c r="AG3708" s="49" t="str">
        <f ca="1">IFERROR(__xludf.DUMMYFUNCTION("IFNA(vlookup(H3708,IMPORTRANGE(""1vUGwO1n0QQGx9kKbO0_M5gmuhXZ6-LaxQxgrmJnzgP0"",""'TP# look up'!A:C""),3,0),"""")"),"")</f>
        <v/>
      </c>
      <c r="AH3708" s="49" t="str">
        <f t="shared" si="57"/>
        <v/>
      </c>
    </row>
    <row r="3709" spans="8:34" ht="12.75">
      <c r="H3709" s="43"/>
      <c r="AG3709" s="49" t="str">
        <f ca="1">IFERROR(__xludf.DUMMYFUNCTION("IFNA(vlookup(H3709,IMPORTRANGE(""1vUGwO1n0QQGx9kKbO0_M5gmuhXZ6-LaxQxgrmJnzgP0"",""'TP# look up'!A:C""),3,0),"""")"),"")</f>
        <v/>
      </c>
      <c r="AH3709" s="49" t="str">
        <f t="shared" si="57"/>
        <v/>
      </c>
    </row>
    <row r="3710" spans="8:34" ht="12.75">
      <c r="H3710" s="43"/>
      <c r="AG3710" s="49" t="str">
        <f ca="1">IFERROR(__xludf.DUMMYFUNCTION("IFNA(vlookup(H3710,IMPORTRANGE(""1vUGwO1n0QQGx9kKbO0_M5gmuhXZ6-LaxQxgrmJnzgP0"",""'TP# look up'!A:C""),3,0),"""")"),"")</f>
        <v/>
      </c>
      <c r="AH3710" s="49" t="str">
        <f t="shared" si="57"/>
        <v/>
      </c>
    </row>
    <row r="3711" spans="8:34" ht="12.75">
      <c r="H3711" s="43"/>
      <c r="AG3711" s="49" t="str">
        <f ca="1">IFERROR(__xludf.DUMMYFUNCTION("IFNA(vlookup(H3711,IMPORTRANGE(""1vUGwO1n0QQGx9kKbO0_M5gmuhXZ6-LaxQxgrmJnzgP0"",""'TP# look up'!A:C""),3,0),"""")"),"")</f>
        <v/>
      </c>
      <c r="AH3711" s="49" t="str">
        <f t="shared" si="57"/>
        <v/>
      </c>
    </row>
    <row r="3712" spans="8:34" ht="12.75">
      <c r="H3712" s="43"/>
      <c r="AG3712" s="49" t="str">
        <f ca="1">IFERROR(__xludf.DUMMYFUNCTION("IFNA(vlookup(H3712,IMPORTRANGE(""1vUGwO1n0QQGx9kKbO0_M5gmuhXZ6-LaxQxgrmJnzgP0"",""'TP# look up'!A:C""),3,0),"""")"),"")</f>
        <v/>
      </c>
      <c r="AH3712" s="49" t="str">
        <f t="shared" si="57"/>
        <v/>
      </c>
    </row>
    <row r="3713" spans="8:34" ht="12.75">
      <c r="H3713" s="43"/>
      <c r="AG3713" s="49" t="str">
        <f ca="1">IFERROR(__xludf.DUMMYFUNCTION("IFNA(vlookup(H3713,IMPORTRANGE(""1vUGwO1n0QQGx9kKbO0_M5gmuhXZ6-LaxQxgrmJnzgP0"",""'TP# look up'!A:C""),3,0),"""")"),"")</f>
        <v/>
      </c>
      <c r="AH3713" s="49" t="str">
        <f t="shared" si="57"/>
        <v/>
      </c>
    </row>
    <row r="3714" spans="8:34" ht="12.75">
      <c r="H3714" s="43"/>
      <c r="AG3714" s="49" t="str">
        <f ca="1">IFERROR(__xludf.DUMMYFUNCTION("IFNA(vlookup(H3714,IMPORTRANGE(""1vUGwO1n0QQGx9kKbO0_M5gmuhXZ6-LaxQxgrmJnzgP0"",""'TP# look up'!A:C""),3,0),"""")"),"")</f>
        <v/>
      </c>
      <c r="AH3714" s="49" t="str">
        <f t="shared" ref="AH3714:AH3777" si="58">LEFT(J3714,2)</f>
        <v/>
      </c>
    </row>
    <row r="3715" spans="8:34" ht="12.75">
      <c r="H3715" s="43"/>
      <c r="AG3715" s="49" t="str">
        <f ca="1">IFERROR(__xludf.DUMMYFUNCTION("IFNA(vlookup(H3715,IMPORTRANGE(""1vUGwO1n0QQGx9kKbO0_M5gmuhXZ6-LaxQxgrmJnzgP0"",""'TP# look up'!A:C""),3,0),"""")"),"")</f>
        <v/>
      </c>
      <c r="AH3715" s="49" t="str">
        <f t="shared" si="58"/>
        <v/>
      </c>
    </row>
    <row r="3716" spans="8:34" ht="12.75">
      <c r="H3716" s="43"/>
      <c r="AG3716" s="49" t="str">
        <f ca="1">IFERROR(__xludf.DUMMYFUNCTION("IFNA(vlookup(H3716,IMPORTRANGE(""1vUGwO1n0QQGx9kKbO0_M5gmuhXZ6-LaxQxgrmJnzgP0"",""'TP# look up'!A:C""),3,0),"""")"),"")</f>
        <v/>
      </c>
      <c r="AH3716" s="49" t="str">
        <f t="shared" si="58"/>
        <v/>
      </c>
    </row>
    <row r="3717" spans="8:34" ht="12.75">
      <c r="H3717" s="43"/>
      <c r="AG3717" s="49" t="str">
        <f ca="1">IFERROR(__xludf.DUMMYFUNCTION("IFNA(vlookup(H3717,IMPORTRANGE(""1vUGwO1n0QQGx9kKbO0_M5gmuhXZ6-LaxQxgrmJnzgP0"",""'TP# look up'!A:C""),3,0),"""")"),"")</f>
        <v/>
      </c>
      <c r="AH3717" s="49" t="str">
        <f t="shared" si="58"/>
        <v/>
      </c>
    </row>
    <row r="3718" spans="8:34" ht="12.75">
      <c r="H3718" s="43"/>
      <c r="AG3718" s="49" t="str">
        <f ca="1">IFERROR(__xludf.DUMMYFUNCTION("IFNA(vlookup(H3718,IMPORTRANGE(""1vUGwO1n0QQGx9kKbO0_M5gmuhXZ6-LaxQxgrmJnzgP0"",""'TP# look up'!A:C""),3,0),"""")"),"")</f>
        <v/>
      </c>
      <c r="AH3718" s="49" t="str">
        <f t="shared" si="58"/>
        <v/>
      </c>
    </row>
    <row r="3719" spans="8:34" ht="12.75">
      <c r="H3719" s="43"/>
      <c r="AG3719" s="49" t="str">
        <f ca="1">IFERROR(__xludf.DUMMYFUNCTION("IFNA(vlookup(H3719,IMPORTRANGE(""1vUGwO1n0QQGx9kKbO0_M5gmuhXZ6-LaxQxgrmJnzgP0"",""'TP# look up'!A:C""),3,0),"""")"),"")</f>
        <v/>
      </c>
      <c r="AH3719" s="49" t="str">
        <f t="shared" si="58"/>
        <v/>
      </c>
    </row>
    <row r="3720" spans="8:34" ht="12.75">
      <c r="H3720" s="43"/>
      <c r="AG3720" s="49" t="str">
        <f ca="1">IFERROR(__xludf.DUMMYFUNCTION("IFNA(vlookup(H3720,IMPORTRANGE(""1vUGwO1n0QQGx9kKbO0_M5gmuhXZ6-LaxQxgrmJnzgP0"",""'TP# look up'!A:C""),3,0),"""")"),"")</f>
        <v/>
      </c>
      <c r="AH3720" s="49" t="str">
        <f t="shared" si="58"/>
        <v/>
      </c>
    </row>
    <row r="3721" spans="8:34" ht="12.75">
      <c r="H3721" s="43"/>
      <c r="AG3721" s="49" t="str">
        <f ca="1">IFERROR(__xludf.DUMMYFUNCTION("IFNA(vlookup(H3721,IMPORTRANGE(""1vUGwO1n0QQGx9kKbO0_M5gmuhXZ6-LaxQxgrmJnzgP0"",""'TP# look up'!A:C""),3,0),"""")"),"")</f>
        <v/>
      </c>
      <c r="AH3721" s="49" t="str">
        <f t="shared" si="58"/>
        <v/>
      </c>
    </row>
    <row r="3722" spans="8:34" ht="12.75">
      <c r="H3722" s="43"/>
      <c r="AG3722" s="49" t="str">
        <f ca="1">IFERROR(__xludf.DUMMYFUNCTION("IFNA(vlookup(H3722,IMPORTRANGE(""1vUGwO1n0QQGx9kKbO0_M5gmuhXZ6-LaxQxgrmJnzgP0"",""'TP# look up'!A:C""),3,0),"""")"),"")</f>
        <v/>
      </c>
      <c r="AH3722" s="49" t="str">
        <f t="shared" si="58"/>
        <v/>
      </c>
    </row>
    <row r="3723" spans="8:34" ht="12.75">
      <c r="H3723" s="43"/>
      <c r="AG3723" s="49" t="str">
        <f ca="1">IFERROR(__xludf.DUMMYFUNCTION("IFNA(vlookup(H3723,IMPORTRANGE(""1vUGwO1n0QQGx9kKbO0_M5gmuhXZ6-LaxQxgrmJnzgP0"",""'TP# look up'!A:C""),3,0),"""")"),"")</f>
        <v/>
      </c>
      <c r="AH3723" s="49" t="str">
        <f t="shared" si="58"/>
        <v/>
      </c>
    </row>
    <row r="3724" spans="8:34" ht="12.75">
      <c r="H3724" s="43"/>
      <c r="AG3724" s="49" t="str">
        <f ca="1">IFERROR(__xludf.DUMMYFUNCTION("IFNA(vlookup(H3724,IMPORTRANGE(""1vUGwO1n0QQGx9kKbO0_M5gmuhXZ6-LaxQxgrmJnzgP0"",""'TP# look up'!A:C""),3,0),"""")"),"")</f>
        <v/>
      </c>
      <c r="AH3724" s="49" t="str">
        <f t="shared" si="58"/>
        <v/>
      </c>
    </row>
    <row r="3725" spans="8:34" ht="12.75">
      <c r="H3725" s="43"/>
      <c r="AG3725" s="49" t="str">
        <f ca="1">IFERROR(__xludf.DUMMYFUNCTION("IFNA(vlookup(H3725,IMPORTRANGE(""1vUGwO1n0QQGx9kKbO0_M5gmuhXZ6-LaxQxgrmJnzgP0"",""'TP# look up'!A:C""),3,0),"""")"),"")</f>
        <v/>
      </c>
      <c r="AH3725" s="49" t="str">
        <f t="shared" si="58"/>
        <v/>
      </c>
    </row>
    <row r="3726" spans="8:34" ht="12.75">
      <c r="H3726" s="43"/>
      <c r="AG3726" s="49" t="str">
        <f ca="1">IFERROR(__xludf.DUMMYFUNCTION("IFNA(vlookup(H3726,IMPORTRANGE(""1vUGwO1n0QQGx9kKbO0_M5gmuhXZ6-LaxQxgrmJnzgP0"",""'TP# look up'!A:C""),3,0),"""")"),"")</f>
        <v/>
      </c>
      <c r="AH3726" s="49" t="str">
        <f t="shared" si="58"/>
        <v/>
      </c>
    </row>
    <row r="3727" spans="8:34" ht="12.75">
      <c r="H3727" s="43"/>
      <c r="AG3727" s="49" t="str">
        <f ca="1">IFERROR(__xludf.DUMMYFUNCTION("IFNA(vlookup(H3727,IMPORTRANGE(""1vUGwO1n0QQGx9kKbO0_M5gmuhXZ6-LaxQxgrmJnzgP0"",""'TP# look up'!A:C""),3,0),"""")"),"")</f>
        <v/>
      </c>
      <c r="AH3727" s="49" t="str">
        <f t="shared" si="58"/>
        <v/>
      </c>
    </row>
    <row r="3728" spans="8:34" ht="12.75">
      <c r="H3728" s="43"/>
      <c r="AG3728" s="49" t="str">
        <f ca="1">IFERROR(__xludf.DUMMYFUNCTION("IFNA(vlookup(H3728,IMPORTRANGE(""1vUGwO1n0QQGx9kKbO0_M5gmuhXZ6-LaxQxgrmJnzgP0"",""'TP# look up'!A:C""),3,0),"""")"),"")</f>
        <v/>
      </c>
      <c r="AH3728" s="49" t="str">
        <f t="shared" si="58"/>
        <v/>
      </c>
    </row>
    <row r="3729" spans="8:34" ht="12.75">
      <c r="H3729" s="43"/>
      <c r="AG3729" s="49" t="str">
        <f ca="1">IFERROR(__xludf.DUMMYFUNCTION("IFNA(vlookup(H3729,IMPORTRANGE(""1vUGwO1n0QQGx9kKbO0_M5gmuhXZ6-LaxQxgrmJnzgP0"",""'TP# look up'!A:C""),3,0),"""")"),"")</f>
        <v/>
      </c>
      <c r="AH3729" s="49" t="str">
        <f t="shared" si="58"/>
        <v/>
      </c>
    </row>
    <row r="3730" spans="8:34" ht="12.75">
      <c r="H3730" s="43"/>
      <c r="AG3730" s="49" t="str">
        <f ca="1">IFERROR(__xludf.DUMMYFUNCTION("IFNA(vlookup(H3730,IMPORTRANGE(""1vUGwO1n0QQGx9kKbO0_M5gmuhXZ6-LaxQxgrmJnzgP0"",""'TP# look up'!A:C""),3,0),"""")"),"")</f>
        <v/>
      </c>
      <c r="AH3730" s="49" t="str">
        <f t="shared" si="58"/>
        <v/>
      </c>
    </row>
    <row r="3731" spans="8:34" ht="12.75">
      <c r="H3731" s="43"/>
      <c r="AG3731" s="49" t="str">
        <f ca="1">IFERROR(__xludf.DUMMYFUNCTION("IFNA(vlookup(H3731,IMPORTRANGE(""1vUGwO1n0QQGx9kKbO0_M5gmuhXZ6-LaxQxgrmJnzgP0"",""'TP# look up'!A:C""),3,0),"""")"),"")</f>
        <v/>
      </c>
      <c r="AH3731" s="49" t="str">
        <f t="shared" si="58"/>
        <v/>
      </c>
    </row>
    <row r="3732" spans="8:34" ht="12.75">
      <c r="H3732" s="43"/>
      <c r="AG3732" s="49" t="str">
        <f ca="1">IFERROR(__xludf.DUMMYFUNCTION("IFNA(vlookup(H3732,IMPORTRANGE(""1vUGwO1n0QQGx9kKbO0_M5gmuhXZ6-LaxQxgrmJnzgP0"",""'TP# look up'!A:C""),3,0),"""")"),"")</f>
        <v/>
      </c>
      <c r="AH3732" s="49" t="str">
        <f t="shared" si="58"/>
        <v/>
      </c>
    </row>
    <row r="3733" spans="8:34" ht="12.75">
      <c r="H3733" s="43"/>
      <c r="AG3733" s="49" t="str">
        <f ca="1">IFERROR(__xludf.DUMMYFUNCTION("IFNA(vlookup(H3733,IMPORTRANGE(""1vUGwO1n0QQGx9kKbO0_M5gmuhXZ6-LaxQxgrmJnzgP0"",""'TP# look up'!A:C""),3,0),"""")"),"")</f>
        <v/>
      </c>
      <c r="AH3733" s="49" t="str">
        <f t="shared" si="58"/>
        <v/>
      </c>
    </row>
    <row r="3734" spans="8:34" ht="12.75">
      <c r="H3734" s="43"/>
      <c r="AG3734" s="49" t="str">
        <f ca="1">IFERROR(__xludf.DUMMYFUNCTION("IFNA(vlookup(H3734,IMPORTRANGE(""1vUGwO1n0QQGx9kKbO0_M5gmuhXZ6-LaxQxgrmJnzgP0"",""'TP# look up'!A:C""),3,0),"""")"),"")</f>
        <v/>
      </c>
      <c r="AH3734" s="49" t="str">
        <f t="shared" si="58"/>
        <v/>
      </c>
    </row>
    <row r="3735" spans="8:34" ht="12.75">
      <c r="H3735" s="43"/>
      <c r="AG3735" s="49" t="str">
        <f ca="1">IFERROR(__xludf.DUMMYFUNCTION("IFNA(vlookup(H3735,IMPORTRANGE(""1vUGwO1n0QQGx9kKbO0_M5gmuhXZ6-LaxQxgrmJnzgP0"",""'TP# look up'!A:C""),3,0),"""")"),"")</f>
        <v/>
      </c>
      <c r="AH3735" s="49" t="str">
        <f t="shared" si="58"/>
        <v/>
      </c>
    </row>
    <row r="3736" spans="8:34" ht="12.75">
      <c r="H3736" s="43"/>
      <c r="AG3736" s="49" t="str">
        <f ca="1">IFERROR(__xludf.DUMMYFUNCTION("IFNA(vlookup(H3736,IMPORTRANGE(""1vUGwO1n0QQGx9kKbO0_M5gmuhXZ6-LaxQxgrmJnzgP0"",""'TP# look up'!A:C""),3,0),"""")"),"")</f>
        <v/>
      </c>
      <c r="AH3736" s="49" t="str">
        <f t="shared" si="58"/>
        <v/>
      </c>
    </row>
    <row r="3737" spans="8:34" ht="12.75">
      <c r="H3737" s="43"/>
      <c r="AG3737" s="49" t="str">
        <f ca="1">IFERROR(__xludf.DUMMYFUNCTION("IFNA(vlookup(H3737,IMPORTRANGE(""1vUGwO1n0QQGx9kKbO0_M5gmuhXZ6-LaxQxgrmJnzgP0"",""'TP# look up'!A:C""),3,0),"""")"),"")</f>
        <v/>
      </c>
      <c r="AH3737" s="49" t="str">
        <f t="shared" si="58"/>
        <v/>
      </c>
    </row>
    <row r="3738" spans="8:34" ht="12.75">
      <c r="H3738" s="43"/>
      <c r="AG3738" s="49" t="str">
        <f ca="1">IFERROR(__xludf.DUMMYFUNCTION("IFNA(vlookup(H3738,IMPORTRANGE(""1vUGwO1n0QQGx9kKbO0_M5gmuhXZ6-LaxQxgrmJnzgP0"",""'TP# look up'!A:C""),3,0),"""")"),"")</f>
        <v/>
      </c>
      <c r="AH3738" s="49" t="str">
        <f t="shared" si="58"/>
        <v/>
      </c>
    </row>
    <row r="3739" spans="8:34" ht="12.75">
      <c r="H3739" s="43"/>
      <c r="AG3739" s="49" t="str">
        <f ca="1">IFERROR(__xludf.DUMMYFUNCTION("IFNA(vlookup(H3739,IMPORTRANGE(""1vUGwO1n0QQGx9kKbO0_M5gmuhXZ6-LaxQxgrmJnzgP0"",""'TP# look up'!A:C""),3,0),"""")"),"")</f>
        <v/>
      </c>
      <c r="AH3739" s="49" t="str">
        <f t="shared" si="58"/>
        <v/>
      </c>
    </row>
    <row r="3740" spans="8:34" ht="12.75">
      <c r="H3740" s="43"/>
      <c r="AG3740" s="49" t="str">
        <f ca="1">IFERROR(__xludf.DUMMYFUNCTION("IFNA(vlookup(H3740,IMPORTRANGE(""1vUGwO1n0QQGx9kKbO0_M5gmuhXZ6-LaxQxgrmJnzgP0"",""'TP# look up'!A:C""),3,0),"""")"),"")</f>
        <v/>
      </c>
      <c r="AH3740" s="49" t="str">
        <f t="shared" si="58"/>
        <v/>
      </c>
    </row>
    <row r="3741" spans="8:34" ht="12.75">
      <c r="H3741" s="43"/>
      <c r="AG3741" s="49" t="str">
        <f ca="1">IFERROR(__xludf.DUMMYFUNCTION("IFNA(vlookup(H3741,IMPORTRANGE(""1vUGwO1n0QQGx9kKbO0_M5gmuhXZ6-LaxQxgrmJnzgP0"",""'TP# look up'!A:C""),3,0),"""")"),"")</f>
        <v/>
      </c>
      <c r="AH3741" s="49" t="str">
        <f t="shared" si="58"/>
        <v/>
      </c>
    </row>
    <row r="3742" spans="8:34" ht="12.75">
      <c r="H3742" s="43"/>
      <c r="AG3742" s="49" t="str">
        <f ca="1">IFERROR(__xludf.DUMMYFUNCTION("IFNA(vlookup(H3742,IMPORTRANGE(""1vUGwO1n0QQGx9kKbO0_M5gmuhXZ6-LaxQxgrmJnzgP0"",""'TP# look up'!A:C""),3,0),"""")"),"")</f>
        <v/>
      </c>
      <c r="AH3742" s="49" t="str">
        <f t="shared" si="58"/>
        <v/>
      </c>
    </row>
    <row r="3743" spans="8:34" ht="12.75">
      <c r="H3743" s="43"/>
      <c r="AG3743" s="49" t="str">
        <f ca="1">IFERROR(__xludf.DUMMYFUNCTION("IFNA(vlookup(H3743,IMPORTRANGE(""1vUGwO1n0QQGx9kKbO0_M5gmuhXZ6-LaxQxgrmJnzgP0"",""'TP# look up'!A:C""),3,0),"""")"),"")</f>
        <v/>
      </c>
      <c r="AH3743" s="49" t="str">
        <f t="shared" si="58"/>
        <v/>
      </c>
    </row>
    <row r="3744" spans="8:34" ht="12.75">
      <c r="H3744" s="43"/>
      <c r="AG3744" s="49" t="str">
        <f ca="1">IFERROR(__xludf.DUMMYFUNCTION("IFNA(vlookup(H3744,IMPORTRANGE(""1vUGwO1n0QQGx9kKbO0_M5gmuhXZ6-LaxQxgrmJnzgP0"",""'TP# look up'!A:C""),3,0),"""")"),"")</f>
        <v/>
      </c>
      <c r="AH3744" s="49" t="str">
        <f t="shared" si="58"/>
        <v/>
      </c>
    </row>
    <row r="3745" spans="8:34" ht="12.75">
      <c r="H3745" s="43"/>
      <c r="AG3745" s="49" t="str">
        <f ca="1">IFERROR(__xludf.DUMMYFUNCTION("IFNA(vlookup(H3745,IMPORTRANGE(""1vUGwO1n0QQGx9kKbO0_M5gmuhXZ6-LaxQxgrmJnzgP0"",""'TP# look up'!A:C""),3,0),"""")"),"")</f>
        <v/>
      </c>
      <c r="AH3745" s="49" t="str">
        <f t="shared" si="58"/>
        <v/>
      </c>
    </row>
    <row r="3746" spans="8:34" ht="12.75">
      <c r="H3746" s="43"/>
      <c r="AG3746" s="49" t="str">
        <f ca="1">IFERROR(__xludf.DUMMYFUNCTION("IFNA(vlookup(H3746,IMPORTRANGE(""1vUGwO1n0QQGx9kKbO0_M5gmuhXZ6-LaxQxgrmJnzgP0"",""'TP# look up'!A:C""),3,0),"""")"),"")</f>
        <v/>
      </c>
      <c r="AH3746" s="49" t="str">
        <f t="shared" si="58"/>
        <v/>
      </c>
    </row>
    <row r="3747" spans="8:34" ht="12.75">
      <c r="H3747" s="43"/>
      <c r="AG3747" s="49" t="str">
        <f ca="1">IFERROR(__xludf.DUMMYFUNCTION("IFNA(vlookup(H3747,IMPORTRANGE(""1vUGwO1n0QQGx9kKbO0_M5gmuhXZ6-LaxQxgrmJnzgP0"",""'TP# look up'!A:C""),3,0),"""")"),"")</f>
        <v/>
      </c>
      <c r="AH3747" s="49" t="str">
        <f t="shared" si="58"/>
        <v/>
      </c>
    </row>
    <row r="3748" spans="8:34" ht="12.75">
      <c r="H3748" s="43"/>
      <c r="AG3748" s="49" t="str">
        <f ca="1">IFERROR(__xludf.DUMMYFUNCTION("IFNA(vlookup(H3748,IMPORTRANGE(""1vUGwO1n0QQGx9kKbO0_M5gmuhXZ6-LaxQxgrmJnzgP0"",""'TP# look up'!A:C""),3,0),"""")"),"")</f>
        <v/>
      </c>
      <c r="AH3748" s="49" t="str">
        <f t="shared" si="58"/>
        <v/>
      </c>
    </row>
    <row r="3749" spans="8:34" ht="12.75">
      <c r="H3749" s="43"/>
      <c r="AG3749" s="49" t="str">
        <f ca="1">IFERROR(__xludf.DUMMYFUNCTION("IFNA(vlookup(H3749,IMPORTRANGE(""1vUGwO1n0QQGx9kKbO0_M5gmuhXZ6-LaxQxgrmJnzgP0"",""'TP# look up'!A:C""),3,0),"""")"),"")</f>
        <v/>
      </c>
      <c r="AH3749" s="49" t="str">
        <f t="shared" si="58"/>
        <v/>
      </c>
    </row>
    <row r="3750" spans="8:34" ht="12.75">
      <c r="H3750" s="43"/>
      <c r="AG3750" s="49" t="str">
        <f ca="1">IFERROR(__xludf.DUMMYFUNCTION("IFNA(vlookup(H3750,IMPORTRANGE(""1vUGwO1n0QQGx9kKbO0_M5gmuhXZ6-LaxQxgrmJnzgP0"",""'TP# look up'!A:C""),3,0),"""")"),"")</f>
        <v/>
      </c>
      <c r="AH3750" s="49" t="str">
        <f t="shared" si="58"/>
        <v/>
      </c>
    </row>
    <row r="3751" spans="8:34" ht="12.75">
      <c r="H3751" s="43"/>
      <c r="AG3751" s="49" t="str">
        <f ca="1">IFERROR(__xludf.DUMMYFUNCTION("IFNA(vlookup(H3751,IMPORTRANGE(""1vUGwO1n0QQGx9kKbO0_M5gmuhXZ6-LaxQxgrmJnzgP0"",""'TP# look up'!A:C""),3,0),"""")"),"")</f>
        <v/>
      </c>
      <c r="AH3751" s="49" t="str">
        <f t="shared" si="58"/>
        <v/>
      </c>
    </row>
    <row r="3752" spans="8:34" ht="12.75">
      <c r="H3752" s="43"/>
      <c r="AG3752" s="49" t="str">
        <f ca="1">IFERROR(__xludf.DUMMYFUNCTION("IFNA(vlookup(H3752,IMPORTRANGE(""1vUGwO1n0QQGx9kKbO0_M5gmuhXZ6-LaxQxgrmJnzgP0"",""'TP# look up'!A:C""),3,0),"""")"),"")</f>
        <v/>
      </c>
      <c r="AH3752" s="49" t="str">
        <f t="shared" si="58"/>
        <v/>
      </c>
    </row>
    <row r="3753" spans="8:34" ht="12.75">
      <c r="H3753" s="43"/>
      <c r="AG3753" s="49" t="str">
        <f ca="1">IFERROR(__xludf.DUMMYFUNCTION("IFNA(vlookup(H3753,IMPORTRANGE(""1vUGwO1n0QQGx9kKbO0_M5gmuhXZ6-LaxQxgrmJnzgP0"",""'TP# look up'!A:C""),3,0),"""")"),"")</f>
        <v/>
      </c>
      <c r="AH3753" s="49" t="str">
        <f t="shared" si="58"/>
        <v/>
      </c>
    </row>
    <row r="3754" spans="8:34" ht="12.75">
      <c r="H3754" s="43"/>
      <c r="AG3754" s="49" t="str">
        <f ca="1">IFERROR(__xludf.DUMMYFUNCTION("IFNA(vlookup(H3754,IMPORTRANGE(""1vUGwO1n0QQGx9kKbO0_M5gmuhXZ6-LaxQxgrmJnzgP0"",""'TP# look up'!A:C""),3,0),"""")"),"")</f>
        <v/>
      </c>
      <c r="AH3754" s="49" t="str">
        <f t="shared" si="58"/>
        <v/>
      </c>
    </row>
    <row r="3755" spans="8:34" ht="12.75">
      <c r="H3755" s="43"/>
      <c r="AG3755" s="49" t="str">
        <f ca="1">IFERROR(__xludf.DUMMYFUNCTION("IFNA(vlookup(H3755,IMPORTRANGE(""1vUGwO1n0QQGx9kKbO0_M5gmuhXZ6-LaxQxgrmJnzgP0"",""'TP# look up'!A:C""),3,0),"""")"),"")</f>
        <v/>
      </c>
      <c r="AH3755" s="49" t="str">
        <f t="shared" si="58"/>
        <v/>
      </c>
    </row>
    <row r="3756" spans="8:34" ht="12.75">
      <c r="H3756" s="43"/>
      <c r="AG3756" s="49" t="str">
        <f ca="1">IFERROR(__xludf.DUMMYFUNCTION("IFNA(vlookup(H3756,IMPORTRANGE(""1vUGwO1n0QQGx9kKbO0_M5gmuhXZ6-LaxQxgrmJnzgP0"",""'TP# look up'!A:C""),3,0),"""")"),"")</f>
        <v/>
      </c>
      <c r="AH3756" s="49" t="str">
        <f t="shared" si="58"/>
        <v/>
      </c>
    </row>
    <row r="3757" spans="8:34" ht="12.75">
      <c r="H3757" s="43"/>
      <c r="AG3757" s="49" t="str">
        <f ca="1">IFERROR(__xludf.DUMMYFUNCTION("IFNA(vlookup(H3757,IMPORTRANGE(""1vUGwO1n0QQGx9kKbO0_M5gmuhXZ6-LaxQxgrmJnzgP0"",""'TP# look up'!A:C""),3,0),"""")"),"")</f>
        <v/>
      </c>
      <c r="AH3757" s="49" t="str">
        <f t="shared" si="58"/>
        <v/>
      </c>
    </row>
    <row r="3758" spans="8:34" ht="12.75">
      <c r="H3758" s="43"/>
      <c r="AG3758" s="49" t="str">
        <f ca="1">IFERROR(__xludf.DUMMYFUNCTION("IFNA(vlookup(H3758,IMPORTRANGE(""1vUGwO1n0QQGx9kKbO0_M5gmuhXZ6-LaxQxgrmJnzgP0"",""'TP# look up'!A:C""),3,0),"""")"),"")</f>
        <v/>
      </c>
      <c r="AH3758" s="49" t="str">
        <f t="shared" si="58"/>
        <v/>
      </c>
    </row>
    <row r="3759" spans="8:34" ht="12.75">
      <c r="H3759" s="43"/>
      <c r="AG3759" s="49" t="str">
        <f ca="1">IFERROR(__xludf.DUMMYFUNCTION("IFNA(vlookup(H3759,IMPORTRANGE(""1vUGwO1n0QQGx9kKbO0_M5gmuhXZ6-LaxQxgrmJnzgP0"",""'TP# look up'!A:C""),3,0),"""")"),"")</f>
        <v/>
      </c>
      <c r="AH3759" s="49" t="str">
        <f t="shared" si="58"/>
        <v/>
      </c>
    </row>
    <row r="3760" spans="8:34" ht="12.75">
      <c r="H3760" s="43"/>
      <c r="AG3760" s="49" t="str">
        <f ca="1">IFERROR(__xludf.DUMMYFUNCTION("IFNA(vlookup(H3760,IMPORTRANGE(""1vUGwO1n0QQGx9kKbO0_M5gmuhXZ6-LaxQxgrmJnzgP0"",""'TP# look up'!A:C""),3,0),"""")"),"")</f>
        <v/>
      </c>
      <c r="AH3760" s="49" t="str">
        <f t="shared" si="58"/>
        <v/>
      </c>
    </row>
    <row r="3761" spans="8:34" ht="12.75">
      <c r="H3761" s="43"/>
      <c r="AG3761" s="49" t="str">
        <f ca="1">IFERROR(__xludf.DUMMYFUNCTION("IFNA(vlookup(H3761,IMPORTRANGE(""1vUGwO1n0QQGx9kKbO0_M5gmuhXZ6-LaxQxgrmJnzgP0"",""'TP# look up'!A:C""),3,0),"""")"),"")</f>
        <v/>
      </c>
      <c r="AH3761" s="49" t="str">
        <f t="shared" si="58"/>
        <v/>
      </c>
    </row>
    <row r="3762" spans="8:34" ht="12.75">
      <c r="H3762" s="43"/>
      <c r="AG3762" s="49" t="str">
        <f ca="1">IFERROR(__xludf.DUMMYFUNCTION("IFNA(vlookup(H3762,IMPORTRANGE(""1vUGwO1n0QQGx9kKbO0_M5gmuhXZ6-LaxQxgrmJnzgP0"",""'TP# look up'!A:C""),3,0),"""")"),"")</f>
        <v/>
      </c>
      <c r="AH3762" s="49" t="str">
        <f t="shared" si="58"/>
        <v/>
      </c>
    </row>
    <row r="3763" spans="8:34" ht="12.75">
      <c r="H3763" s="43"/>
      <c r="AG3763" s="49" t="str">
        <f ca="1">IFERROR(__xludf.DUMMYFUNCTION("IFNA(vlookup(H3763,IMPORTRANGE(""1vUGwO1n0QQGx9kKbO0_M5gmuhXZ6-LaxQxgrmJnzgP0"",""'TP# look up'!A:C""),3,0),"""")"),"")</f>
        <v/>
      </c>
      <c r="AH3763" s="49" t="str">
        <f t="shared" si="58"/>
        <v/>
      </c>
    </row>
    <row r="3764" spans="8:34" ht="12.75">
      <c r="H3764" s="43"/>
      <c r="AG3764" s="49" t="str">
        <f ca="1">IFERROR(__xludf.DUMMYFUNCTION("IFNA(vlookup(H3764,IMPORTRANGE(""1vUGwO1n0QQGx9kKbO0_M5gmuhXZ6-LaxQxgrmJnzgP0"",""'TP# look up'!A:C""),3,0),"""")"),"")</f>
        <v/>
      </c>
      <c r="AH3764" s="49" t="str">
        <f t="shared" si="58"/>
        <v/>
      </c>
    </row>
    <row r="3765" spans="8:34" ht="12.75">
      <c r="H3765" s="43"/>
      <c r="AG3765" s="49" t="str">
        <f ca="1">IFERROR(__xludf.DUMMYFUNCTION("IFNA(vlookup(H3765,IMPORTRANGE(""1vUGwO1n0QQGx9kKbO0_M5gmuhXZ6-LaxQxgrmJnzgP0"",""'TP# look up'!A:C""),3,0),"""")"),"")</f>
        <v/>
      </c>
      <c r="AH3765" s="49" t="str">
        <f t="shared" si="58"/>
        <v/>
      </c>
    </row>
    <row r="3766" spans="8:34" ht="12.75">
      <c r="H3766" s="43"/>
      <c r="AG3766" s="49" t="str">
        <f ca="1">IFERROR(__xludf.DUMMYFUNCTION("IFNA(vlookup(H3766,IMPORTRANGE(""1vUGwO1n0QQGx9kKbO0_M5gmuhXZ6-LaxQxgrmJnzgP0"",""'TP# look up'!A:C""),3,0),"""")"),"")</f>
        <v/>
      </c>
      <c r="AH3766" s="49" t="str">
        <f t="shared" si="58"/>
        <v/>
      </c>
    </row>
    <row r="3767" spans="8:34" ht="12.75">
      <c r="H3767" s="43"/>
      <c r="AG3767" s="49" t="str">
        <f ca="1">IFERROR(__xludf.DUMMYFUNCTION("IFNA(vlookup(H3767,IMPORTRANGE(""1vUGwO1n0QQGx9kKbO0_M5gmuhXZ6-LaxQxgrmJnzgP0"",""'TP# look up'!A:C""),3,0),"""")"),"")</f>
        <v/>
      </c>
      <c r="AH3767" s="49" t="str">
        <f t="shared" si="58"/>
        <v/>
      </c>
    </row>
    <row r="3768" spans="8:34" ht="12.75">
      <c r="H3768" s="43"/>
      <c r="AG3768" s="49" t="str">
        <f ca="1">IFERROR(__xludf.DUMMYFUNCTION("IFNA(vlookup(H3768,IMPORTRANGE(""1vUGwO1n0QQGx9kKbO0_M5gmuhXZ6-LaxQxgrmJnzgP0"",""'TP# look up'!A:C""),3,0),"""")"),"")</f>
        <v/>
      </c>
      <c r="AH3768" s="49" t="str">
        <f t="shared" si="58"/>
        <v/>
      </c>
    </row>
    <row r="3769" spans="8:34" ht="12.75">
      <c r="H3769" s="43"/>
      <c r="AG3769" s="49" t="str">
        <f ca="1">IFERROR(__xludf.DUMMYFUNCTION("IFNA(vlookup(H3769,IMPORTRANGE(""1vUGwO1n0QQGx9kKbO0_M5gmuhXZ6-LaxQxgrmJnzgP0"",""'TP# look up'!A:C""),3,0),"""")"),"")</f>
        <v/>
      </c>
      <c r="AH3769" s="49" t="str">
        <f t="shared" si="58"/>
        <v/>
      </c>
    </row>
    <row r="3770" spans="8:34" ht="12.75">
      <c r="H3770" s="43"/>
      <c r="AG3770" s="49" t="str">
        <f ca="1">IFERROR(__xludf.DUMMYFUNCTION("IFNA(vlookup(H3770,IMPORTRANGE(""1vUGwO1n0QQGx9kKbO0_M5gmuhXZ6-LaxQxgrmJnzgP0"",""'TP# look up'!A:C""),3,0),"""")"),"")</f>
        <v/>
      </c>
      <c r="AH3770" s="49" t="str">
        <f t="shared" si="58"/>
        <v/>
      </c>
    </row>
    <row r="3771" spans="8:34" ht="12.75">
      <c r="H3771" s="43"/>
      <c r="AG3771" s="49" t="str">
        <f ca="1">IFERROR(__xludf.DUMMYFUNCTION("IFNA(vlookup(H3771,IMPORTRANGE(""1vUGwO1n0QQGx9kKbO0_M5gmuhXZ6-LaxQxgrmJnzgP0"",""'TP# look up'!A:C""),3,0),"""")"),"")</f>
        <v/>
      </c>
      <c r="AH3771" s="49" t="str">
        <f t="shared" si="58"/>
        <v/>
      </c>
    </row>
    <row r="3772" spans="8:34" ht="12.75">
      <c r="H3772" s="43"/>
      <c r="AG3772" s="49" t="str">
        <f ca="1">IFERROR(__xludf.DUMMYFUNCTION("IFNA(vlookup(H3772,IMPORTRANGE(""1vUGwO1n0QQGx9kKbO0_M5gmuhXZ6-LaxQxgrmJnzgP0"",""'TP# look up'!A:C""),3,0),"""")"),"")</f>
        <v/>
      </c>
      <c r="AH3772" s="49" t="str">
        <f t="shared" si="58"/>
        <v/>
      </c>
    </row>
    <row r="3773" spans="8:34" ht="12.75">
      <c r="H3773" s="43"/>
      <c r="AG3773" s="49" t="str">
        <f ca="1">IFERROR(__xludf.DUMMYFUNCTION("IFNA(vlookup(H3773,IMPORTRANGE(""1vUGwO1n0QQGx9kKbO0_M5gmuhXZ6-LaxQxgrmJnzgP0"",""'TP# look up'!A:C""),3,0),"""")"),"")</f>
        <v/>
      </c>
      <c r="AH3773" s="49" t="str">
        <f t="shared" si="58"/>
        <v/>
      </c>
    </row>
    <row r="3774" spans="8:34" ht="12.75">
      <c r="H3774" s="43"/>
      <c r="AG3774" s="49" t="str">
        <f ca="1">IFERROR(__xludf.DUMMYFUNCTION("IFNA(vlookup(H3774,IMPORTRANGE(""1vUGwO1n0QQGx9kKbO0_M5gmuhXZ6-LaxQxgrmJnzgP0"",""'TP# look up'!A:C""),3,0),"""")"),"")</f>
        <v/>
      </c>
      <c r="AH3774" s="49" t="str">
        <f t="shared" si="58"/>
        <v/>
      </c>
    </row>
    <row r="3775" spans="8:34" ht="12.75">
      <c r="H3775" s="43"/>
      <c r="AG3775" s="49" t="str">
        <f ca="1">IFERROR(__xludf.DUMMYFUNCTION("IFNA(vlookup(H3775,IMPORTRANGE(""1vUGwO1n0QQGx9kKbO0_M5gmuhXZ6-LaxQxgrmJnzgP0"",""'TP# look up'!A:C""),3,0),"""")"),"")</f>
        <v/>
      </c>
      <c r="AH3775" s="49" t="str">
        <f t="shared" si="58"/>
        <v/>
      </c>
    </row>
    <row r="3776" spans="8:34" ht="12.75">
      <c r="H3776" s="43"/>
      <c r="AG3776" s="49" t="str">
        <f ca="1">IFERROR(__xludf.DUMMYFUNCTION("IFNA(vlookup(H3776,IMPORTRANGE(""1vUGwO1n0QQGx9kKbO0_M5gmuhXZ6-LaxQxgrmJnzgP0"",""'TP# look up'!A:C""),3,0),"""")"),"")</f>
        <v/>
      </c>
      <c r="AH3776" s="49" t="str">
        <f t="shared" si="58"/>
        <v/>
      </c>
    </row>
    <row r="3777" spans="8:34" ht="12.75">
      <c r="H3777" s="43"/>
      <c r="AG3777" s="49" t="str">
        <f ca="1">IFERROR(__xludf.DUMMYFUNCTION("IFNA(vlookup(H3777,IMPORTRANGE(""1vUGwO1n0QQGx9kKbO0_M5gmuhXZ6-LaxQxgrmJnzgP0"",""'TP# look up'!A:C""),3,0),"""")"),"")</f>
        <v/>
      </c>
      <c r="AH3777" s="49" t="str">
        <f t="shared" si="58"/>
        <v/>
      </c>
    </row>
    <row r="3778" spans="8:34" ht="12.75">
      <c r="H3778" s="43"/>
      <c r="AG3778" s="49" t="str">
        <f ca="1">IFERROR(__xludf.DUMMYFUNCTION("IFNA(vlookup(H3778,IMPORTRANGE(""1vUGwO1n0QQGx9kKbO0_M5gmuhXZ6-LaxQxgrmJnzgP0"",""'TP# look up'!A:C""),3,0),"""")"),"")</f>
        <v/>
      </c>
      <c r="AH3778" s="49" t="str">
        <f t="shared" ref="AH3778:AH3841" si="59">LEFT(J3778,2)</f>
        <v/>
      </c>
    </row>
    <row r="3779" spans="8:34" ht="12.75">
      <c r="H3779" s="43"/>
      <c r="AG3779" s="49" t="str">
        <f ca="1">IFERROR(__xludf.DUMMYFUNCTION("IFNA(vlookup(H3779,IMPORTRANGE(""1vUGwO1n0QQGx9kKbO0_M5gmuhXZ6-LaxQxgrmJnzgP0"",""'TP# look up'!A:C""),3,0),"""")"),"")</f>
        <v/>
      </c>
      <c r="AH3779" s="49" t="str">
        <f t="shared" si="59"/>
        <v/>
      </c>
    </row>
    <row r="3780" spans="8:34" ht="12.75">
      <c r="H3780" s="43"/>
      <c r="AG3780" s="49" t="str">
        <f ca="1">IFERROR(__xludf.DUMMYFUNCTION("IFNA(vlookup(H3780,IMPORTRANGE(""1vUGwO1n0QQGx9kKbO0_M5gmuhXZ6-LaxQxgrmJnzgP0"",""'TP# look up'!A:C""),3,0),"""")"),"")</f>
        <v/>
      </c>
      <c r="AH3780" s="49" t="str">
        <f t="shared" si="59"/>
        <v/>
      </c>
    </row>
    <row r="3781" spans="8:34" ht="12.75">
      <c r="H3781" s="43"/>
      <c r="AG3781" s="49" t="str">
        <f ca="1">IFERROR(__xludf.DUMMYFUNCTION("IFNA(vlookup(H3781,IMPORTRANGE(""1vUGwO1n0QQGx9kKbO0_M5gmuhXZ6-LaxQxgrmJnzgP0"",""'TP# look up'!A:C""),3,0),"""")"),"")</f>
        <v/>
      </c>
      <c r="AH3781" s="49" t="str">
        <f t="shared" si="59"/>
        <v/>
      </c>
    </row>
    <row r="3782" spans="8:34" ht="12.75">
      <c r="H3782" s="43"/>
      <c r="AG3782" s="49" t="str">
        <f ca="1">IFERROR(__xludf.DUMMYFUNCTION("IFNA(vlookup(H3782,IMPORTRANGE(""1vUGwO1n0QQGx9kKbO0_M5gmuhXZ6-LaxQxgrmJnzgP0"",""'TP# look up'!A:C""),3,0),"""")"),"")</f>
        <v/>
      </c>
      <c r="AH3782" s="49" t="str">
        <f t="shared" si="59"/>
        <v/>
      </c>
    </row>
    <row r="3783" spans="8:34" ht="12.75">
      <c r="H3783" s="43"/>
      <c r="AG3783" s="49" t="str">
        <f ca="1">IFERROR(__xludf.DUMMYFUNCTION("IFNA(vlookup(H3783,IMPORTRANGE(""1vUGwO1n0QQGx9kKbO0_M5gmuhXZ6-LaxQxgrmJnzgP0"",""'TP# look up'!A:C""),3,0),"""")"),"")</f>
        <v/>
      </c>
      <c r="AH3783" s="49" t="str">
        <f t="shared" si="59"/>
        <v/>
      </c>
    </row>
    <row r="3784" spans="8:34" ht="12.75">
      <c r="H3784" s="43"/>
      <c r="AG3784" s="49" t="str">
        <f ca="1">IFERROR(__xludf.DUMMYFUNCTION("IFNA(vlookup(H3784,IMPORTRANGE(""1vUGwO1n0QQGx9kKbO0_M5gmuhXZ6-LaxQxgrmJnzgP0"",""'TP# look up'!A:C""),3,0),"""")"),"")</f>
        <v/>
      </c>
      <c r="AH3784" s="49" t="str">
        <f t="shared" si="59"/>
        <v/>
      </c>
    </row>
    <row r="3785" spans="8:34" ht="12.75">
      <c r="H3785" s="43"/>
      <c r="AG3785" s="49" t="str">
        <f ca="1">IFERROR(__xludf.DUMMYFUNCTION("IFNA(vlookup(H3785,IMPORTRANGE(""1vUGwO1n0QQGx9kKbO0_M5gmuhXZ6-LaxQxgrmJnzgP0"",""'TP# look up'!A:C""),3,0),"""")"),"")</f>
        <v/>
      </c>
      <c r="AH3785" s="49" t="str">
        <f t="shared" si="59"/>
        <v/>
      </c>
    </row>
    <row r="3786" spans="8:34" ht="12.75">
      <c r="H3786" s="43"/>
      <c r="AG3786" s="49" t="str">
        <f ca="1">IFERROR(__xludf.DUMMYFUNCTION("IFNA(vlookup(H3786,IMPORTRANGE(""1vUGwO1n0QQGx9kKbO0_M5gmuhXZ6-LaxQxgrmJnzgP0"",""'TP# look up'!A:C""),3,0),"""")"),"")</f>
        <v/>
      </c>
      <c r="AH3786" s="49" t="str">
        <f t="shared" si="59"/>
        <v/>
      </c>
    </row>
    <row r="3787" spans="8:34" ht="12.75">
      <c r="H3787" s="43"/>
      <c r="AG3787" s="49" t="str">
        <f ca="1">IFERROR(__xludf.DUMMYFUNCTION("IFNA(vlookup(H3787,IMPORTRANGE(""1vUGwO1n0QQGx9kKbO0_M5gmuhXZ6-LaxQxgrmJnzgP0"",""'TP# look up'!A:C""),3,0),"""")"),"")</f>
        <v/>
      </c>
      <c r="AH3787" s="49" t="str">
        <f t="shared" si="59"/>
        <v/>
      </c>
    </row>
    <row r="3788" spans="8:34" ht="12.75">
      <c r="H3788" s="43"/>
      <c r="AG3788" s="49" t="str">
        <f ca="1">IFERROR(__xludf.DUMMYFUNCTION("IFNA(vlookup(H3788,IMPORTRANGE(""1vUGwO1n0QQGx9kKbO0_M5gmuhXZ6-LaxQxgrmJnzgP0"",""'TP# look up'!A:C""),3,0),"""")"),"")</f>
        <v/>
      </c>
      <c r="AH3788" s="49" t="str">
        <f t="shared" si="59"/>
        <v/>
      </c>
    </row>
    <row r="3789" spans="8:34" ht="12.75">
      <c r="H3789" s="43"/>
      <c r="AG3789" s="49" t="str">
        <f ca="1">IFERROR(__xludf.DUMMYFUNCTION("IFNA(vlookup(H3789,IMPORTRANGE(""1vUGwO1n0QQGx9kKbO0_M5gmuhXZ6-LaxQxgrmJnzgP0"",""'TP# look up'!A:C""),3,0),"""")"),"")</f>
        <v/>
      </c>
      <c r="AH3789" s="49" t="str">
        <f t="shared" si="59"/>
        <v/>
      </c>
    </row>
    <row r="3790" spans="8:34" ht="12.75">
      <c r="H3790" s="43"/>
      <c r="AG3790" s="49" t="str">
        <f ca="1">IFERROR(__xludf.DUMMYFUNCTION("IFNA(vlookup(H3790,IMPORTRANGE(""1vUGwO1n0QQGx9kKbO0_M5gmuhXZ6-LaxQxgrmJnzgP0"",""'TP# look up'!A:C""),3,0),"""")"),"")</f>
        <v/>
      </c>
      <c r="AH3790" s="49" t="str">
        <f t="shared" si="59"/>
        <v/>
      </c>
    </row>
    <row r="3791" spans="8:34" ht="12.75">
      <c r="H3791" s="43"/>
      <c r="AG3791" s="49" t="str">
        <f ca="1">IFERROR(__xludf.DUMMYFUNCTION("IFNA(vlookup(H3791,IMPORTRANGE(""1vUGwO1n0QQGx9kKbO0_M5gmuhXZ6-LaxQxgrmJnzgP0"",""'TP# look up'!A:C""),3,0),"""")"),"")</f>
        <v/>
      </c>
      <c r="AH3791" s="49" t="str">
        <f t="shared" si="59"/>
        <v/>
      </c>
    </row>
    <row r="3792" spans="8:34" ht="12.75">
      <c r="H3792" s="43"/>
      <c r="AG3792" s="49" t="str">
        <f ca="1">IFERROR(__xludf.DUMMYFUNCTION("IFNA(vlookup(H3792,IMPORTRANGE(""1vUGwO1n0QQGx9kKbO0_M5gmuhXZ6-LaxQxgrmJnzgP0"",""'TP# look up'!A:C""),3,0),"""")"),"")</f>
        <v/>
      </c>
      <c r="AH3792" s="49" t="str">
        <f t="shared" si="59"/>
        <v/>
      </c>
    </row>
    <row r="3793" spans="8:34" ht="12.75">
      <c r="H3793" s="43"/>
      <c r="AG3793" s="49" t="str">
        <f ca="1">IFERROR(__xludf.DUMMYFUNCTION("IFNA(vlookup(H3793,IMPORTRANGE(""1vUGwO1n0QQGx9kKbO0_M5gmuhXZ6-LaxQxgrmJnzgP0"",""'TP# look up'!A:C""),3,0),"""")"),"")</f>
        <v/>
      </c>
      <c r="AH3793" s="49" t="str">
        <f t="shared" si="59"/>
        <v/>
      </c>
    </row>
    <row r="3794" spans="8:34" ht="12.75">
      <c r="H3794" s="43"/>
      <c r="AG3794" s="49" t="str">
        <f ca="1">IFERROR(__xludf.DUMMYFUNCTION("IFNA(vlookup(H3794,IMPORTRANGE(""1vUGwO1n0QQGx9kKbO0_M5gmuhXZ6-LaxQxgrmJnzgP0"",""'TP# look up'!A:C""),3,0),"""")"),"")</f>
        <v/>
      </c>
      <c r="AH3794" s="49" t="str">
        <f t="shared" si="59"/>
        <v/>
      </c>
    </row>
    <row r="3795" spans="8:34" ht="12.75">
      <c r="H3795" s="43"/>
      <c r="AG3795" s="49" t="str">
        <f ca="1">IFERROR(__xludf.DUMMYFUNCTION("IFNA(vlookup(H3795,IMPORTRANGE(""1vUGwO1n0QQGx9kKbO0_M5gmuhXZ6-LaxQxgrmJnzgP0"",""'TP# look up'!A:C""),3,0),"""")"),"")</f>
        <v/>
      </c>
      <c r="AH3795" s="49" t="str">
        <f t="shared" si="59"/>
        <v/>
      </c>
    </row>
    <row r="3796" spans="8:34" ht="12.75">
      <c r="H3796" s="43"/>
      <c r="AG3796" s="49" t="str">
        <f ca="1">IFERROR(__xludf.DUMMYFUNCTION("IFNA(vlookup(H3796,IMPORTRANGE(""1vUGwO1n0QQGx9kKbO0_M5gmuhXZ6-LaxQxgrmJnzgP0"",""'TP# look up'!A:C""),3,0),"""")"),"")</f>
        <v/>
      </c>
      <c r="AH3796" s="49" t="str">
        <f t="shared" si="59"/>
        <v/>
      </c>
    </row>
    <row r="3797" spans="8:34" ht="12.75">
      <c r="H3797" s="43"/>
      <c r="AG3797" s="49" t="str">
        <f ca="1">IFERROR(__xludf.DUMMYFUNCTION("IFNA(vlookup(H3797,IMPORTRANGE(""1vUGwO1n0QQGx9kKbO0_M5gmuhXZ6-LaxQxgrmJnzgP0"",""'TP# look up'!A:C""),3,0),"""")"),"")</f>
        <v/>
      </c>
      <c r="AH3797" s="49" t="str">
        <f t="shared" si="59"/>
        <v/>
      </c>
    </row>
    <row r="3798" spans="8:34" ht="12.75">
      <c r="H3798" s="43"/>
      <c r="AG3798" s="49" t="str">
        <f ca="1">IFERROR(__xludf.DUMMYFUNCTION("IFNA(vlookup(H3798,IMPORTRANGE(""1vUGwO1n0QQGx9kKbO0_M5gmuhXZ6-LaxQxgrmJnzgP0"",""'TP# look up'!A:C""),3,0),"""")"),"")</f>
        <v/>
      </c>
      <c r="AH3798" s="49" t="str">
        <f t="shared" si="59"/>
        <v/>
      </c>
    </row>
    <row r="3799" spans="8:34" ht="12.75">
      <c r="H3799" s="43"/>
      <c r="AG3799" s="49" t="str">
        <f ca="1">IFERROR(__xludf.DUMMYFUNCTION("IFNA(vlookup(H3799,IMPORTRANGE(""1vUGwO1n0QQGx9kKbO0_M5gmuhXZ6-LaxQxgrmJnzgP0"",""'TP# look up'!A:C""),3,0),"""")"),"")</f>
        <v/>
      </c>
      <c r="AH3799" s="49" t="str">
        <f t="shared" si="59"/>
        <v/>
      </c>
    </row>
    <row r="3800" spans="8:34" ht="12.75">
      <c r="H3800" s="43"/>
      <c r="AG3800" s="49" t="str">
        <f ca="1">IFERROR(__xludf.DUMMYFUNCTION("IFNA(vlookup(H3800,IMPORTRANGE(""1vUGwO1n0QQGx9kKbO0_M5gmuhXZ6-LaxQxgrmJnzgP0"",""'TP# look up'!A:C""),3,0),"""")"),"")</f>
        <v/>
      </c>
      <c r="AH3800" s="49" t="str">
        <f t="shared" si="59"/>
        <v/>
      </c>
    </row>
    <row r="3801" spans="8:34" ht="12.75">
      <c r="H3801" s="43"/>
      <c r="AG3801" s="49" t="str">
        <f ca="1">IFERROR(__xludf.DUMMYFUNCTION("IFNA(vlookup(H3801,IMPORTRANGE(""1vUGwO1n0QQGx9kKbO0_M5gmuhXZ6-LaxQxgrmJnzgP0"",""'TP# look up'!A:C""),3,0),"""")"),"")</f>
        <v/>
      </c>
      <c r="AH3801" s="49" t="str">
        <f t="shared" si="59"/>
        <v/>
      </c>
    </row>
    <row r="3802" spans="8:34" ht="12.75">
      <c r="H3802" s="43"/>
      <c r="AG3802" s="49" t="str">
        <f ca="1">IFERROR(__xludf.DUMMYFUNCTION("IFNA(vlookup(H3802,IMPORTRANGE(""1vUGwO1n0QQGx9kKbO0_M5gmuhXZ6-LaxQxgrmJnzgP0"",""'TP# look up'!A:C""),3,0),"""")"),"")</f>
        <v/>
      </c>
      <c r="AH3802" s="49" t="str">
        <f t="shared" si="59"/>
        <v/>
      </c>
    </row>
    <row r="3803" spans="8:34" ht="12.75">
      <c r="H3803" s="43"/>
      <c r="AG3803" s="49" t="str">
        <f ca="1">IFERROR(__xludf.DUMMYFUNCTION("IFNA(vlookup(H3803,IMPORTRANGE(""1vUGwO1n0QQGx9kKbO0_M5gmuhXZ6-LaxQxgrmJnzgP0"",""'TP# look up'!A:C""),3,0),"""")"),"")</f>
        <v/>
      </c>
      <c r="AH3803" s="49" t="str">
        <f t="shared" si="59"/>
        <v/>
      </c>
    </row>
    <row r="3804" spans="8:34" ht="12.75">
      <c r="H3804" s="43"/>
      <c r="AG3804" s="49" t="str">
        <f ca="1">IFERROR(__xludf.DUMMYFUNCTION("IFNA(vlookup(H3804,IMPORTRANGE(""1vUGwO1n0QQGx9kKbO0_M5gmuhXZ6-LaxQxgrmJnzgP0"",""'TP# look up'!A:C""),3,0),"""")"),"")</f>
        <v/>
      </c>
      <c r="AH3804" s="49" t="str">
        <f t="shared" si="59"/>
        <v/>
      </c>
    </row>
    <row r="3805" spans="8:34" ht="12.75">
      <c r="H3805" s="43"/>
      <c r="AG3805" s="49" t="str">
        <f ca="1">IFERROR(__xludf.DUMMYFUNCTION("IFNA(vlookup(H3805,IMPORTRANGE(""1vUGwO1n0QQGx9kKbO0_M5gmuhXZ6-LaxQxgrmJnzgP0"",""'TP# look up'!A:C""),3,0),"""")"),"")</f>
        <v/>
      </c>
      <c r="AH3805" s="49" t="str">
        <f t="shared" si="59"/>
        <v/>
      </c>
    </row>
    <row r="3806" spans="8:34" ht="12.75">
      <c r="H3806" s="43"/>
      <c r="AG3806" s="49" t="str">
        <f ca="1">IFERROR(__xludf.DUMMYFUNCTION("IFNA(vlookup(H3806,IMPORTRANGE(""1vUGwO1n0QQGx9kKbO0_M5gmuhXZ6-LaxQxgrmJnzgP0"",""'TP# look up'!A:C""),3,0),"""")"),"")</f>
        <v/>
      </c>
      <c r="AH3806" s="49" t="str">
        <f t="shared" si="59"/>
        <v/>
      </c>
    </row>
    <row r="3807" spans="8:34" ht="12.75">
      <c r="H3807" s="43"/>
      <c r="AG3807" s="49" t="str">
        <f ca="1">IFERROR(__xludf.DUMMYFUNCTION("IFNA(vlookup(H3807,IMPORTRANGE(""1vUGwO1n0QQGx9kKbO0_M5gmuhXZ6-LaxQxgrmJnzgP0"",""'TP# look up'!A:C""),3,0),"""")"),"")</f>
        <v/>
      </c>
      <c r="AH3807" s="49" t="str">
        <f t="shared" si="59"/>
        <v/>
      </c>
    </row>
    <row r="3808" spans="8:34" ht="12.75">
      <c r="H3808" s="43"/>
      <c r="AG3808" s="49" t="str">
        <f ca="1">IFERROR(__xludf.DUMMYFUNCTION("IFNA(vlookup(H3808,IMPORTRANGE(""1vUGwO1n0QQGx9kKbO0_M5gmuhXZ6-LaxQxgrmJnzgP0"",""'TP# look up'!A:C""),3,0),"""")"),"")</f>
        <v/>
      </c>
      <c r="AH3808" s="49" t="str">
        <f t="shared" si="59"/>
        <v/>
      </c>
    </row>
    <row r="3809" spans="8:34" ht="12.75">
      <c r="H3809" s="43"/>
      <c r="AG3809" s="49" t="str">
        <f ca="1">IFERROR(__xludf.DUMMYFUNCTION("IFNA(vlookup(H3809,IMPORTRANGE(""1vUGwO1n0QQGx9kKbO0_M5gmuhXZ6-LaxQxgrmJnzgP0"",""'TP# look up'!A:C""),3,0),"""")"),"")</f>
        <v/>
      </c>
      <c r="AH3809" s="49" t="str">
        <f t="shared" si="59"/>
        <v/>
      </c>
    </row>
    <row r="3810" spans="8:34" ht="12.75">
      <c r="H3810" s="43"/>
      <c r="AG3810" s="49" t="str">
        <f ca="1">IFERROR(__xludf.DUMMYFUNCTION("IFNA(vlookup(H3810,IMPORTRANGE(""1vUGwO1n0QQGx9kKbO0_M5gmuhXZ6-LaxQxgrmJnzgP0"",""'TP# look up'!A:C""),3,0),"""")"),"")</f>
        <v/>
      </c>
      <c r="AH3810" s="49" t="str">
        <f t="shared" si="59"/>
        <v/>
      </c>
    </row>
    <row r="3811" spans="8:34" ht="12.75">
      <c r="H3811" s="43"/>
      <c r="AG3811" s="49" t="str">
        <f ca="1">IFERROR(__xludf.DUMMYFUNCTION("IFNA(vlookup(H3811,IMPORTRANGE(""1vUGwO1n0QQGx9kKbO0_M5gmuhXZ6-LaxQxgrmJnzgP0"",""'TP# look up'!A:C""),3,0),"""")"),"")</f>
        <v/>
      </c>
      <c r="AH3811" s="49" t="str">
        <f t="shared" si="59"/>
        <v/>
      </c>
    </row>
    <row r="3812" spans="8:34" ht="12.75">
      <c r="H3812" s="43"/>
      <c r="AG3812" s="49" t="str">
        <f ca="1">IFERROR(__xludf.DUMMYFUNCTION("IFNA(vlookup(H3812,IMPORTRANGE(""1vUGwO1n0QQGx9kKbO0_M5gmuhXZ6-LaxQxgrmJnzgP0"",""'TP# look up'!A:C""),3,0),"""")"),"")</f>
        <v/>
      </c>
      <c r="AH3812" s="49" t="str">
        <f t="shared" si="59"/>
        <v/>
      </c>
    </row>
    <row r="3813" spans="8:34" ht="12.75">
      <c r="H3813" s="43"/>
      <c r="AG3813" s="49" t="str">
        <f ca="1">IFERROR(__xludf.DUMMYFUNCTION("IFNA(vlookup(H3813,IMPORTRANGE(""1vUGwO1n0QQGx9kKbO0_M5gmuhXZ6-LaxQxgrmJnzgP0"",""'TP# look up'!A:C""),3,0),"""")"),"")</f>
        <v/>
      </c>
      <c r="AH3813" s="49" t="str">
        <f t="shared" si="59"/>
        <v/>
      </c>
    </row>
    <row r="3814" spans="8:34" ht="12.75">
      <c r="H3814" s="43"/>
      <c r="AG3814" s="49" t="str">
        <f ca="1">IFERROR(__xludf.DUMMYFUNCTION("IFNA(vlookup(H3814,IMPORTRANGE(""1vUGwO1n0QQGx9kKbO0_M5gmuhXZ6-LaxQxgrmJnzgP0"",""'TP# look up'!A:C""),3,0),"""")"),"")</f>
        <v/>
      </c>
      <c r="AH3814" s="49" t="str">
        <f t="shared" si="59"/>
        <v/>
      </c>
    </row>
    <row r="3815" spans="8:34" ht="12.75">
      <c r="H3815" s="43"/>
      <c r="AG3815" s="49" t="str">
        <f ca="1">IFERROR(__xludf.DUMMYFUNCTION("IFNA(vlookup(H3815,IMPORTRANGE(""1vUGwO1n0QQGx9kKbO0_M5gmuhXZ6-LaxQxgrmJnzgP0"",""'TP# look up'!A:C""),3,0),"""")"),"")</f>
        <v/>
      </c>
      <c r="AH3815" s="49" t="str">
        <f t="shared" si="59"/>
        <v/>
      </c>
    </row>
    <row r="3816" spans="8:34" ht="12.75">
      <c r="H3816" s="43"/>
      <c r="AG3816" s="49" t="str">
        <f ca="1">IFERROR(__xludf.DUMMYFUNCTION("IFNA(vlookup(H3816,IMPORTRANGE(""1vUGwO1n0QQGx9kKbO0_M5gmuhXZ6-LaxQxgrmJnzgP0"",""'TP# look up'!A:C""),3,0),"""")"),"")</f>
        <v/>
      </c>
      <c r="AH3816" s="49" t="str">
        <f t="shared" si="59"/>
        <v/>
      </c>
    </row>
    <row r="3817" spans="8:34" ht="12.75">
      <c r="H3817" s="43"/>
      <c r="AG3817" s="49" t="str">
        <f ca="1">IFERROR(__xludf.DUMMYFUNCTION("IFNA(vlookup(H3817,IMPORTRANGE(""1vUGwO1n0QQGx9kKbO0_M5gmuhXZ6-LaxQxgrmJnzgP0"",""'TP# look up'!A:C""),3,0),"""")"),"")</f>
        <v/>
      </c>
      <c r="AH3817" s="49" t="str">
        <f t="shared" si="59"/>
        <v/>
      </c>
    </row>
    <row r="3818" spans="8:34" ht="12.75">
      <c r="H3818" s="43"/>
      <c r="AG3818" s="49" t="str">
        <f ca="1">IFERROR(__xludf.DUMMYFUNCTION("IFNA(vlookup(H3818,IMPORTRANGE(""1vUGwO1n0QQGx9kKbO0_M5gmuhXZ6-LaxQxgrmJnzgP0"",""'TP# look up'!A:C""),3,0),"""")"),"")</f>
        <v/>
      </c>
      <c r="AH3818" s="49" t="str">
        <f t="shared" si="59"/>
        <v/>
      </c>
    </row>
    <row r="3819" spans="8:34" ht="12.75">
      <c r="H3819" s="43"/>
      <c r="AG3819" s="49" t="str">
        <f ca="1">IFERROR(__xludf.DUMMYFUNCTION("IFNA(vlookup(H3819,IMPORTRANGE(""1vUGwO1n0QQGx9kKbO0_M5gmuhXZ6-LaxQxgrmJnzgP0"",""'TP# look up'!A:C""),3,0),"""")"),"")</f>
        <v/>
      </c>
      <c r="AH3819" s="49" t="str">
        <f t="shared" si="59"/>
        <v/>
      </c>
    </row>
    <row r="3820" spans="8:34" ht="12.75">
      <c r="H3820" s="43"/>
      <c r="AG3820" s="49" t="str">
        <f ca="1">IFERROR(__xludf.DUMMYFUNCTION("IFNA(vlookup(H3820,IMPORTRANGE(""1vUGwO1n0QQGx9kKbO0_M5gmuhXZ6-LaxQxgrmJnzgP0"",""'TP# look up'!A:C""),3,0),"""")"),"")</f>
        <v/>
      </c>
      <c r="AH3820" s="49" t="str">
        <f t="shared" si="59"/>
        <v/>
      </c>
    </row>
    <row r="3821" spans="8:34" ht="12.75">
      <c r="H3821" s="43"/>
      <c r="AG3821" s="49" t="str">
        <f ca="1">IFERROR(__xludf.DUMMYFUNCTION("IFNA(vlookup(H3821,IMPORTRANGE(""1vUGwO1n0QQGx9kKbO0_M5gmuhXZ6-LaxQxgrmJnzgP0"",""'TP# look up'!A:C""),3,0),"""")"),"")</f>
        <v/>
      </c>
      <c r="AH3821" s="49" t="str">
        <f t="shared" si="59"/>
        <v/>
      </c>
    </row>
    <row r="3822" spans="8:34" ht="12.75">
      <c r="H3822" s="43"/>
      <c r="AG3822" s="49" t="str">
        <f ca="1">IFERROR(__xludf.DUMMYFUNCTION("IFNA(vlookup(H3822,IMPORTRANGE(""1vUGwO1n0QQGx9kKbO0_M5gmuhXZ6-LaxQxgrmJnzgP0"",""'TP# look up'!A:C""),3,0),"""")"),"")</f>
        <v/>
      </c>
      <c r="AH3822" s="49" t="str">
        <f t="shared" si="59"/>
        <v/>
      </c>
    </row>
    <row r="3823" spans="8:34" ht="12.75">
      <c r="H3823" s="43"/>
      <c r="AG3823" s="49" t="str">
        <f ca="1">IFERROR(__xludf.DUMMYFUNCTION("IFNA(vlookup(H3823,IMPORTRANGE(""1vUGwO1n0QQGx9kKbO0_M5gmuhXZ6-LaxQxgrmJnzgP0"",""'TP# look up'!A:C""),3,0),"""")"),"")</f>
        <v/>
      </c>
      <c r="AH3823" s="49" t="str">
        <f t="shared" si="59"/>
        <v/>
      </c>
    </row>
    <row r="3824" spans="8:34" ht="12.75">
      <c r="H3824" s="43"/>
      <c r="AG3824" s="49" t="str">
        <f ca="1">IFERROR(__xludf.DUMMYFUNCTION("IFNA(vlookup(H3824,IMPORTRANGE(""1vUGwO1n0QQGx9kKbO0_M5gmuhXZ6-LaxQxgrmJnzgP0"",""'TP# look up'!A:C""),3,0),"""")"),"")</f>
        <v/>
      </c>
      <c r="AH3824" s="49" t="str">
        <f t="shared" si="59"/>
        <v/>
      </c>
    </row>
    <row r="3825" spans="8:34" ht="12.75">
      <c r="H3825" s="43"/>
      <c r="AG3825" s="49" t="str">
        <f ca="1">IFERROR(__xludf.DUMMYFUNCTION("IFNA(vlookup(H3825,IMPORTRANGE(""1vUGwO1n0QQGx9kKbO0_M5gmuhXZ6-LaxQxgrmJnzgP0"",""'TP# look up'!A:C""),3,0),"""")"),"")</f>
        <v/>
      </c>
      <c r="AH3825" s="49" t="str">
        <f t="shared" si="59"/>
        <v/>
      </c>
    </row>
    <row r="3826" spans="8:34" ht="12.75">
      <c r="H3826" s="43"/>
      <c r="AG3826" s="49" t="str">
        <f ca="1">IFERROR(__xludf.DUMMYFUNCTION("IFNA(vlookup(H3826,IMPORTRANGE(""1vUGwO1n0QQGx9kKbO0_M5gmuhXZ6-LaxQxgrmJnzgP0"",""'TP# look up'!A:C""),3,0),"""")"),"")</f>
        <v/>
      </c>
      <c r="AH3826" s="49" t="str">
        <f t="shared" si="59"/>
        <v/>
      </c>
    </row>
    <row r="3827" spans="8:34" ht="12.75">
      <c r="H3827" s="43"/>
      <c r="AG3827" s="49" t="str">
        <f ca="1">IFERROR(__xludf.DUMMYFUNCTION("IFNA(vlookup(H3827,IMPORTRANGE(""1vUGwO1n0QQGx9kKbO0_M5gmuhXZ6-LaxQxgrmJnzgP0"",""'TP# look up'!A:C""),3,0),"""")"),"")</f>
        <v/>
      </c>
      <c r="AH3827" s="49" t="str">
        <f t="shared" si="59"/>
        <v/>
      </c>
    </row>
    <row r="3828" spans="8:34" ht="12.75">
      <c r="H3828" s="43"/>
      <c r="AG3828" s="49" t="str">
        <f ca="1">IFERROR(__xludf.DUMMYFUNCTION("IFNA(vlookup(H3828,IMPORTRANGE(""1vUGwO1n0QQGx9kKbO0_M5gmuhXZ6-LaxQxgrmJnzgP0"",""'TP# look up'!A:C""),3,0),"""")"),"")</f>
        <v/>
      </c>
      <c r="AH3828" s="49" t="str">
        <f t="shared" si="59"/>
        <v/>
      </c>
    </row>
    <row r="3829" spans="8:34" ht="12.75">
      <c r="H3829" s="43"/>
      <c r="AG3829" s="49" t="str">
        <f ca="1">IFERROR(__xludf.DUMMYFUNCTION("IFNA(vlookup(H3829,IMPORTRANGE(""1vUGwO1n0QQGx9kKbO0_M5gmuhXZ6-LaxQxgrmJnzgP0"",""'TP# look up'!A:C""),3,0),"""")"),"")</f>
        <v/>
      </c>
      <c r="AH3829" s="49" t="str">
        <f t="shared" si="59"/>
        <v/>
      </c>
    </row>
    <row r="3830" spans="8:34" ht="12.75">
      <c r="H3830" s="43"/>
      <c r="AG3830" s="49" t="str">
        <f ca="1">IFERROR(__xludf.DUMMYFUNCTION("IFNA(vlookup(H3830,IMPORTRANGE(""1vUGwO1n0QQGx9kKbO0_M5gmuhXZ6-LaxQxgrmJnzgP0"",""'TP# look up'!A:C""),3,0),"""")"),"")</f>
        <v/>
      </c>
      <c r="AH3830" s="49" t="str">
        <f t="shared" si="59"/>
        <v/>
      </c>
    </row>
    <row r="3831" spans="8:34" ht="12.75">
      <c r="H3831" s="43"/>
      <c r="AG3831" s="49" t="str">
        <f ca="1">IFERROR(__xludf.DUMMYFUNCTION("IFNA(vlookup(H3831,IMPORTRANGE(""1vUGwO1n0QQGx9kKbO0_M5gmuhXZ6-LaxQxgrmJnzgP0"",""'TP# look up'!A:C""),3,0),"""")"),"")</f>
        <v/>
      </c>
      <c r="AH3831" s="49" t="str">
        <f t="shared" si="59"/>
        <v/>
      </c>
    </row>
    <row r="3832" spans="8:34" ht="12.75">
      <c r="H3832" s="43"/>
      <c r="AG3832" s="49" t="str">
        <f ca="1">IFERROR(__xludf.DUMMYFUNCTION("IFNA(vlookup(H3832,IMPORTRANGE(""1vUGwO1n0QQGx9kKbO0_M5gmuhXZ6-LaxQxgrmJnzgP0"",""'TP# look up'!A:C""),3,0),"""")"),"")</f>
        <v/>
      </c>
      <c r="AH3832" s="49" t="str">
        <f t="shared" si="59"/>
        <v/>
      </c>
    </row>
    <row r="3833" spans="8:34" ht="12.75">
      <c r="H3833" s="43"/>
      <c r="AG3833" s="49" t="str">
        <f ca="1">IFERROR(__xludf.DUMMYFUNCTION("IFNA(vlookup(H3833,IMPORTRANGE(""1vUGwO1n0QQGx9kKbO0_M5gmuhXZ6-LaxQxgrmJnzgP0"",""'TP# look up'!A:C""),3,0),"""")"),"")</f>
        <v/>
      </c>
      <c r="AH3833" s="49" t="str">
        <f t="shared" si="59"/>
        <v/>
      </c>
    </row>
    <row r="3834" spans="8:34" ht="12.75">
      <c r="H3834" s="43"/>
      <c r="AG3834" s="49" t="str">
        <f ca="1">IFERROR(__xludf.DUMMYFUNCTION("IFNA(vlookup(H3834,IMPORTRANGE(""1vUGwO1n0QQGx9kKbO0_M5gmuhXZ6-LaxQxgrmJnzgP0"",""'TP# look up'!A:C""),3,0),"""")"),"")</f>
        <v/>
      </c>
      <c r="AH3834" s="49" t="str">
        <f t="shared" si="59"/>
        <v/>
      </c>
    </row>
    <row r="3835" spans="8:34" ht="12.75">
      <c r="H3835" s="43"/>
      <c r="AG3835" s="49" t="str">
        <f ca="1">IFERROR(__xludf.DUMMYFUNCTION("IFNA(vlookup(H3835,IMPORTRANGE(""1vUGwO1n0QQGx9kKbO0_M5gmuhXZ6-LaxQxgrmJnzgP0"",""'TP# look up'!A:C""),3,0),"""")"),"")</f>
        <v/>
      </c>
      <c r="AH3835" s="49" t="str">
        <f t="shared" si="59"/>
        <v/>
      </c>
    </row>
    <row r="3836" spans="8:34" ht="12.75">
      <c r="H3836" s="43"/>
      <c r="AG3836" s="49" t="str">
        <f ca="1">IFERROR(__xludf.DUMMYFUNCTION("IFNA(vlookup(H3836,IMPORTRANGE(""1vUGwO1n0QQGx9kKbO0_M5gmuhXZ6-LaxQxgrmJnzgP0"",""'TP# look up'!A:C""),3,0),"""")"),"")</f>
        <v/>
      </c>
      <c r="AH3836" s="49" t="str">
        <f t="shared" si="59"/>
        <v/>
      </c>
    </row>
    <row r="3837" spans="8:34" ht="12.75">
      <c r="H3837" s="43"/>
      <c r="AG3837" s="49" t="str">
        <f ca="1">IFERROR(__xludf.DUMMYFUNCTION("IFNA(vlookup(H3837,IMPORTRANGE(""1vUGwO1n0QQGx9kKbO0_M5gmuhXZ6-LaxQxgrmJnzgP0"",""'TP# look up'!A:C""),3,0),"""")"),"")</f>
        <v/>
      </c>
      <c r="AH3837" s="49" t="str">
        <f t="shared" si="59"/>
        <v/>
      </c>
    </row>
    <row r="3838" spans="8:34" ht="12.75">
      <c r="H3838" s="43"/>
      <c r="AG3838" s="49" t="str">
        <f ca="1">IFERROR(__xludf.DUMMYFUNCTION("IFNA(vlookup(H3838,IMPORTRANGE(""1vUGwO1n0QQGx9kKbO0_M5gmuhXZ6-LaxQxgrmJnzgP0"",""'TP# look up'!A:C""),3,0),"""")"),"")</f>
        <v/>
      </c>
      <c r="AH3838" s="49" t="str">
        <f t="shared" si="59"/>
        <v/>
      </c>
    </row>
    <row r="3839" spans="8:34" ht="12.75">
      <c r="H3839" s="43"/>
      <c r="AG3839" s="49" t="str">
        <f ca="1">IFERROR(__xludf.DUMMYFUNCTION("IFNA(vlookup(H3839,IMPORTRANGE(""1vUGwO1n0QQGx9kKbO0_M5gmuhXZ6-LaxQxgrmJnzgP0"",""'TP# look up'!A:C""),3,0),"""")"),"")</f>
        <v/>
      </c>
      <c r="AH3839" s="49" t="str">
        <f t="shared" si="59"/>
        <v/>
      </c>
    </row>
    <row r="3840" spans="8:34" ht="12.75">
      <c r="H3840" s="43"/>
      <c r="AG3840" s="49" t="str">
        <f ca="1">IFERROR(__xludf.DUMMYFUNCTION("IFNA(vlookup(H3840,IMPORTRANGE(""1vUGwO1n0QQGx9kKbO0_M5gmuhXZ6-LaxQxgrmJnzgP0"",""'TP# look up'!A:C""),3,0),"""")"),"")</f>
        <v/>
      </c>
      <c r="AH3840" s="49" t="str">
        <f t="shared" si="59"/>
        <v/>
      </c>
    </row>
    <row r="3841" spans="8:34" ht="12.75">
      <c r="H3841" s="43"/>
      <c r="AG3841" s="49" t="str">
        <f ca="1">IFERROR(__xludf.DUMMYFUNCTION("IFNA(vlookup(H3841,IMPORTRANGE(""1vUGwO1n0QQGx9kKbO0_M5gmuhXZ6-LaxQxgrmJnzgP0"",""'TP# look up'!A:C""),3,0),"""")"),"")</f>
        <v/>
      </c>
      <c r="AH3841" s="49" t="str">
        <f t="shared" si="59"/>
        <v/>
      </c>
    </row>
    <row r="3842" spans="8:34" ht="12.75">
      <c r="H3842" s="43"/>
      <c r="AG3842" s="49" t="str">
        <f ca="1">IFERROR(__xludf.DUMMYFUNCTION("IFNA(vlookup(H3842,IMPORTRANGE(""1vUGwO1n0QQGx9kKbO0_M5gmuhXZ6-LaxQxgrmJnzgP0"",""'TP# look up'!A:C""),3,0),"""")"),"")</f>
        <v/>
      </c>
      <c r="AH3842" s="49" t="str">
        <f t="shared" ref="AH3842:AH3905" si="60">LEFT(J3842,2)</f>
        <v/>
      </c>
    </row>
    <row r="3843" spans="8:34" ht="12.75">
      <c r="H3843" s="43"/>
      <c r="AG3843" s="49" t="str">
        <f ca="1">IFERROR(__xludf.DUMMYFUNCTION("IFNA(vlookup(H3843,IMPORTRANGE(""1vUGwO1n0QQGx9kKbO0_M5gmuhXZ6-LaxQxgrmJnzgP0"",""'TP# look up'!A:C""),3,0),"""")"),"")</f>
        <v/>
      </c>
      <c r="AH3843" s="49" t="str">
        <f t="shared" si="60"/>
        <v/>
      </c>
    </row>
    <row r="3844" spans="8:34" ht="12.75">
      <c r="H3844" s="43"/>
      <c r="AG3844" s="49" t="str">
        <f ca="1">IFERROR(__xludf.DUMMYFUNCTION("IFNA(vlookup(H3844,IMPORTRANGE(""1vUGwO1n0QQGx9kKbO0_M5gmuhXZ6-LaxQxgrmJnzgP0"",""'TP# look up'!A:C""),3,0),"""")"),"")</f>
        <v/>
      </c>
      <c r="AH3844" s="49" t="str">
        <f t="shared" si="60"/>
        <v/>
      </c>
    </row>
    <row r="3845" spans="8:34" ht="12.75">
      <c r="H3845" s="43"/>
      <c r="AG3845" s="49" t="str">
        <f ca="1">IFERROR(__xludf.DUMMYFUNCTION("IFNA(vlookup(H3845,IMPORTRANGE(""1vUGwO1n0QQGx9kKbO0_M5gmuhXZ6-LaxQxgrmJnzgP0"",""'TP# look up'!A:C""),3,0),"""")"),"")</f>
        <v/>
      </c>
      <c r="AH3845" s="49" t="str">
        <f t="shared" si="60"/>
        <v/>
      </c>
    </row>
    <row r="3846" spans="8:34" ht="12.75">
      <c r="H3846" s="43"/>
      <c r="AG3846" s="49" t="str">
        <f ca="1">IFERROR(__xludf.DUMMYFUNCTION("IFNA(vlookup(H3846,IMPORTRANGE(""1vUGwO1n0QQGx9kKbO0_M5gmuhXZ6-LaxQxgrmJnzgP0"",""'TP# look up'!A:C""),3,0),"""")"),"")</f>
        <v/>
      </c>
      <c r="AH3846" s="49" t="str">
        <f t="shared" si="60"/>
        <v/>
      </c>
    </row>
    <row r="3847" spans="8:34" ht="12.75">
      <c r="H3847" s="43"/>
      <c r="AG3847" s="49" t="str">
        <f ca="1">IFERROR(__xludf.DUMMYFUNCTION("IFNA(vlookup(H3847,IMPORTRANGE(""1vUGwO1n0QQGx9kKbO0_M5gmuhXZ6-LaxQxgrmJnzgP0"",""'TP# look up'!A:C""),3,0),"""")"),"")</f>
        <v/>
      </c>
      <c r="AH3847" s="49" t="str">
        <f t="shared" si="60"/>
        <v/>
      </c>
    </row>
    <row r="3848" spans="8:34" ht="12.75">
      <c r="H3848" s="43"/>
      <c r="AG3848" s="49" t="str">
        <f ca="1">IFERROR(__xludf.DUMMYFUNCTION("IFNA(vlookup(H3848,IMPORTRANGE(""1vUGwO1n0QQGx9kKbO0_M5gmuhXZ6-LaxQxgrmJnzgP0"",""'TP# look up'!A:C""),3,0),"""")"),"")</f>
        <v/>
      </c>
      <c r="AH3848" s="49" t="str">
        <f t="shared" si="60"/>
        <v/>
      </c>
    </row>
    <row r="3849" spans="8:34" ht="12.75">
      <c r="H3849" s="43"/>
      <c r="AG3849" s="49" t="str">
        <f ca="1">IFERROR(__xludf.DUMMYFUNCTION("IFNA(vlookup(H3849,IMPORTRANGE(""1vUGwO1n0QQGx9kKbO0_M5gmuhXZ6-LaxQxgrmJnzgP0"",""'TP# look up'!A:C""),3,0),"""")"),"")</f>
        <v/>
      </c>
      <c r="AH3849" s="49" t="str">
        <f t="shared" si="60"/>
        <v/>
      </c>
    </row>
    <row r="3850" spans="8:34" ht="12.75">
      <c r="H3850" s="43"/>
      <c r="AG3850" s="49" t="str">
        <f ca="1">IFERROR(__xludf.DUMMYFUNCTION("IFNA(vlookup(H3850,IMPORTRANGE(""1vUGwO1n0QQGx9kKbO0_M5gmuhXZ6-LaxQxgrmJnzgP0"",""'TP# look up'!A:C""),3,0),"""")"),"")</f>
        <v/>
      </c>
      <c r="AH3850" s="49" t="str">
        <f t="shared" si="60"/>
        <v/>
      </c>
    </row>
    <row r="3851" spans="8:34" ht="12.75">
      <c r="H3851" s="43"/>
      <c r="AG3851" s="49" t="str">
        <f ca="1">IFERROR(__xludf.DUMMYFUNCTION("IFNA(vlookup(H3851,IMPORTRANGE(""1vUGwO1n0QQGx9kKbO0_M5gmuhXZ6-LaxQxgrmJnzgP0"",""'TP# look up'!A:C""),3,0),"""")"),"")</f>
        <v/>
      </c>
      <c r="AH3851" s="49" t="str">
        <f t="shared" si="60"/>
        <v/>
      </c>
    </row>
    <row r="3852" spans="8:34" ht="12.75">
      <c r="H3852" s="43"/>
      <c r="AG3852" s="49" t="str">
        <f ca="1">IFERROR(__xludf.DUMMYFUNCTION("IFNA(vlookup(H3852,IMPORTRANGE(""1vUGwO1n0QQGx9kKbO0_M5gmuhXZ6-LaxQxgrmJnzgP0"",""'TP# look up'!A:C""),3,0),"""")"),"")</f>
        <v/>
      </c>
      <c r="AH3852" s="49" t="str">
        <f t="shared" si="60"/>
        <v/>
      </c>
    </row>
    <row r="3853" spans="8:34" ht="12.75">
      <c r="H3853" s="43"/>
      <c r="AG3853" s="49" t="str">
        <f ca="1">IFERROR(__xludf.DUMMYFUNCTION("IFNA(vlookup(H3853,IMPORTRANGE(""1vUGwO1n0QQGx9kKbO0_M5gmuhXZ6-LaxQxgrmJnzgP0"",""'TP# look up'!A:C""),3,0),"""")"),"")</f>
        <v/>
      </c>
      <c r="AH3853" s="49" t="str">
        <f t="shared" si="60"/>
        <v/>
      </c>
    </row>
    <row r="3854" spans="8:34" ht="12.75">
      <c r="H3854" s="43"/>
      <c r="AG3854" s="49" t="str">
        <f ca="1">IFERROR(__xludf.DUMMYFUNCTION("IFNA(vlookup(H3854,IMPORTRANGE(""1vUGwO1n0QQGx9kKbO0_M5gmuhXZ6-LaxQxgrmJnzgP0"",""'TP# look up'!A:C""),3,0),"""")"),"")</f>
        <v/>
      </c>
      <c r="AH3854" s="49" t="str">
        <f t="shared" si="60"/>
        <v/>
      </c>
    </row>
    <row r="3855" spans="8:34" ht="12.75">
      <c r="H3855" s="43"/>
      <c r="AG3855" s="49" t="str">
        <f ca="1">IFERROR(__xludf.DUMMYFUNCTION("IFNA(vlookup(H3855,IMPORTRANGE(""1vUGwO1n0QQGx9kKbO0_M5gmuhXZ6-LaxQxgrmJnzgP0"",""'TP# look up'!A:C""),3,0),"""")"),"")</f>
        <v/>
      </c>
      <c r="AH3855" s="49" t="str">
        <f t="shared" si="60"/>
        <v/>
      </c>
    </row>
    <row r="3856" spans="8:34" ht="12.75">
      <c r="H3856" s="43"/>
      <c r="AG3856" s="49" t="str">
        <f ca="1">IFERROR(__xludf.DUMMYFUNCTION("IFNA(vlookup(H3856,IMPORTRANGE(""1vUGwO1n0QQGx9kKbO0_M5gmuhXZ6-LaxQxgrmJnzgP0"",""'TP# look up'!A:C""),3,0),"""")"),"")</f>
        <v/>
      </c>
      <c r="AH3856" s="49" t="str">
        <f t="shared" si="60"/>
        <v/>
      </c>
    </row>
    <row r="3857" spans="8:34" ht="12.75">
      <c r="H3857" s="43"/>
      <c r="AG3857" s="49" t="str">
        <f ca="1">IFERROR(__xludf.DUMMYFUNCTION("IFNA(vlookup(H3857,IMPORTRANGE(""1vUGwO1n0QQGx9kKbO0_M5gmuhXZ6-LaxQxgrmJnzgP0"",""'TP# look up'!A:C""),3,0),"""")"),"")</f>
        <v/>
      </c>
      <c r="AH3857" s="49" t="str">
        <f t="shared" si="60"/>
        <v/>
      </c>
    </row>
    <row r="3858" spans="8:34" ht="12.75">
      <c r="H3858" s="43"/>
      <c r="AG3858" s="49" t="str">
        <f ca="1">IFERROR(__xludf.DUMMYFUNCTION("IFNA(vlookup(H3858,IMPORTRANGE(""1vUGwO1n0QQGx9kKbO0_M5gmuhXZ6-LaxQxgrmJnzgP0"",""'TP# look up'!A:C""),3,0),"""")"),"")</f>
        <v/>
      </c>
      <c r="AH3858" s="49" t="str">
        <f t="shared" si="60"/>
        <v/>
      </c>
    </row>
    <row r="3859" spans="8:34" ht="12.75">
      <c r="H3859" s="43"/>
      <c r="AG3859" s="49" t="str">
        <f ca="1">IFERROR(__xludf.DUMMYFUNCTION("IFNA(vlookup(H3859,IMPORTRANGE(""1vUGwO1n0QQGx9kKbO0_M5gmuhXZ6-LaxQxgrmJnzgP0"",""'TP# look up'!A:C""),3,0),"""")"),"")</f>
        <v/>
      </c>
      <c r="AH3859" s="49" t="str">
        <f t="shared" si="60"/>
        <v/>
      </c>
    </row>
    <row r="3860" spans="8:34" ht="12.75">
      <c r="H3860" s="43"/>
      <c r="AG3860" s="49" t="str">
        <f ca="1">IFERROR(__xludf.DUMMYFUNCTION("IFNA(vlookup(H3860,IMPORTRANGE(""1vUGwO1n0QQGx9kKbO0_M5gmuhXZ6-LaxQxgrmJnzgP0"",""'TP# look up'!A:C""),3,0),"""")"),"")</f>
        <v/>
      </c>
      <c r="AH3860" s="49" t="str">
        <f t="shared" si="60"/>
        <v/>
      </c>
    </row>
    <row r="3861" spans="8:34" ht="12.75">
      <c r="H3861" s="43"/>
      <c r="AG3861" s="49" t="str">
        <f ca="1">IFERROR(__xludf.DUMMYFUNCTION("IFNA(vlookup(H3861,IMPORTRANGE(""1vUGwO1n0QQGx9kKbO0_M5gmuhXZ6-LaxQxgrmJnzgP0"",""'TP# look up'!A:C""),3,0),"""")"),"")</f>
        <v/>
      </c>
      <c r="AH3861" s="49" t="str">
        <f t="shared" si="60"/>
        <v/>
      </c>
    </row>
    <row r="3862" spans="8:34" ht="12.75">
      <c r="H3862" s="43"/>
      <c r="AG3862" s="49" t="str">
        <f ca="1">IFERROR(__xludf.DUMMYFUNCTION("IFNA(vlookup(H3862,IMPORTRANGE(""1vUGwO1n0QQGx9kKbO0_M5gmuhXZ6-LaxQxgrmJnzgP0"",""'TP# look up'!A:C""),3,0),"""")"),"")</f>
        <v/>
      </c>
      <c r="AH3862" s="49" t="str">
        <f t="shared" si="60"/>
        <v/>
      </c>
    </row>
    <row r="3863" spans="8:34" ht="12.75">
      <c r="H3863" s="43"/>
      <c r="AG3863" s="49" t="str">
        <f ca="1">IFERROR(__xludf.DUMMYFUNCTION("IFNA(vlookup(H3863,IMPORTRANGE(""1vUGwO1n0QQGx9kKbO0_M5gmuhXZ6-LaxQxgrmJnzgP0"",""'TP# look up'!A:C""),3,0),"""")"),"")</f>
        <v/>
      </c>
      <c r="AH3863" s="49" t="str">
        <f t="shared" si="60"/>
        <v/>
      </c>
    </row>
    <row r="3864" spans="8:34" ht="12.75">
      <c r="H3864" s="43"/>
      <c r="AG3864" s="49" t="str">
        <f ca="1">IFERROR(__xludf.DUMMYFUNCTION("IFNA(vlookup(H3864,IMPORTRANGE(""1vUGwO1n0QQGx9kKbO0_M5gmuhXZ6-LaxQxgrmJnzgP0"",""'TP# look up'!A:C""),3,0),"""")"),"")</f>
        <v/>
      </c>
      <c r="AH3864" s="49" t="str">
        <f t="shared" si="60"/>
        <v/>
      </c>
    </row>
    <row r="3865" spans="8:34" ht="12.75">
      <c r="H3865" s="43"/>
      <c r="AG3865" s="49" t="str">
        <f ca="1">IFERROR(__xludf.DUMMYFUNCTION("IFNA(vlookup(H3865,IMPORTRANGE(""1vUGwO1n0QQGx9kKbO0_M5gmuhXZ6-LaxQxgrmJnzgP0"",""'TP# look up'!A:C""),3,0),"""")"),"")</f>
        <v/>
      </c>
      <c r="AH3865" s="49" t="str">
        <f t="shared" si="60"/>
        <v/>
      </c>
    </row>
    <row r="3866" spans="8:34" ht="12.75">
      <c r="H3866" s="43"/>
      <c r="AG3866" s="49" t="str">
        <f ca="1">IFERROR(__xludf.DUMMYFUNCTION("IFNA(vlookup(H3866,IMPORTRANGE(""1vUGwO1n0QQGx9kKbO0_M5gmuhXZ6-LaxQxgrmJnzgP0"",""'TP# look up'!A:C""),3,0),"""")"),"")</f>
        <v/>
      </c>
      <c r="AH3866" s="49" t="str">
        <f t="shared" si="60"/>
        <v/>
      </c>
    </row>
    <row r="3867" spans="8:34" ht="12.75">
      <c r="H3867" s="43"/>
      <c r="AG3867" s="49" t="str">
        <f ca="1">IFERROR(__xludf.DUMMYFUNCTION("IFNA(vlookup(H3867,IMPORTRANGE(""1vUGwO1n0QQGx9kKbO0_M5gmuhXZ6-LaxQxgrmJnzgP0"",""'TP# look up'!A:C""),3,0),"""")"),"")</f>
        <v/>
      </c>
      <c r="AH3867" s="49" t="str">
        <f t="shared" si="60"/>
        <v/>
      </c>
    </row>
    <row r="3868" spans="8:34" ht="12.75">
      <c r="H3868" s="43"/>
      <c r="AG3868" s="49" t="str">
        <f ca="1">IFERROR(__xludf.DUMMYFUNCTION("IFNA(vlookup(H3868,IMPORTRANGE(""1vUGwO1n0QQGx9kKbO0_M5gmuhXZ6-LaxQxgrmJnzgP0"",""'TP# look up'!A:C""),3,0),"""")"),"")</f>
        <v/>
      </c>
      <c r="AH3868" s="49" t="str">
        <f t="shared" si="60"/>
        <v/>
      </c>
    </row>
    <row r="3869" spans="8:34" ht="12.75">
      <c r="H3869" s="43"/>
      <c r="AG3869" s="49" t="str">
        <f ca="1">IFERROR(__xludf.DUMMYFUNCTION("IFNA(vlookup(H3869,IMPORTRANGE(""1vUGwO1n0QQGx9kKbO0_M5gmuhXZ6-LaxQxgrmJnzgP0"",""'TP# look up'!A:C""),3,0),"""")"),"")</f>
        <v/>
      </c>
      <c r="AH3869" s="49" t="str">
        <f t="shared" si="60"/>
        <v/>
      </c>
    </row>
    <row r="3870" spans="8:34" ht="12.75">
      <c r="H3870" s="43"/>
      <c r="AG3870" s="49" t="str">
        <f ca="1">IFERROR(__xludf.DUMMYFUNCTION("IFNA(vlookup(H3870,IMPORTRANGE(""1vUGwO1n0QQGx9kKbO0_M5gmuhXZ6-LaxQxgrmJnzgP0"",""'TP# look up'!A:C""),3,0),"""")"),"")</f>
        <v/>
      </c>
      <c r="AH3870" s="49" t="str">
        <f t="shared" si="60"/>
        <v/>
      </c>
    </row>
    <row r="3871" spans="8:34" ht="12.75">
      <c r="H3871" s="43"/>
      <c r="AG3871" s="49" t="str">
        <f ca="1">IFERROR(__xludf.DUMMYFUNCTION("IFNA(vlookup(H3871,IMPORTRANGE(""1vUGwO1n0QQGx9kKbO0_M5gmuhXZ6-LaxQxgrmJnzgP0"",""'TP# look up'!A:C""),3,0),"""")"),"")</f>
        <v/>
      </c>
      <c r="AH3871" s="49" t="str">
        <f t="shared" si="60"/>
        <v/>
      </c>
    </row>
    <row r="3872" spans="8:34" ht="12.75">
      <c r="H3872" s="43"/>
      <c r="AG3872" s="49" t="str">
        <f ca="1">IFERROR(__xludf.DUMMYFUNCTION("IFNA(vlookup(H3872,IMPORTRANGE(""1vUGwO1n0QQGx9kKbO0_M5gmuhXZ6-LaxQxgrmJnzgP0"",""'TP# look up'!A:C""),3,0),"""")"),"")</f>
        <v/>
      </c>
      <c r="AH3872" s="49" t="str">
        <f t="shared" si="60"/>
        <v/>
      </c>
    </row>
    <row r="3873" spans="8:34" ht="12.75">
      <c r="H3873" s="43"/>
      <c r="AG3873" s="49" t="str">
        <f ca="1">IFERROR(__xludf.DUMMYFUNCTION("IFNA(vlookup(H3873,IMPORTRANGE(""1vUGwO1n0QQGx9kKbO0_M5gmuhXZ6-LaxQxgrmJnzgP0"",""'TP# look up'!A:C""),3,0),"""")"),"")</f>
        <v/>
      </c>
      <c r="AH3873" s="49" t="str">
        <f t="shared" si="60"/>
        <v/>
      </c>
    </row>
    <row r="3874" spans="8:34" ht="12.75">
      <c r="H3874" s="43"/>
      <c r="AG3874" s="49" t="str">
        <f ca="1">IFERROR(__xludf.DUMMYFUNCTION("IFNA(vlookup(H3874,IMPORTRANGE(""1vUGwO1n0QQGx9kKbO0_M5gmuhXZ6-LaxQxgrmJnzgP0"",""'TP# look up'!A:C""),3,0),"""")"),"")</f>
        <v/>
      </c>
      <c r="AH3874" s="49" t="str">
        <f t="shared" si="60"/>
        <v/>
      </c>
    </row>
    <row r="3875" spans="8:34" ht="12.75">
      <c r="H3875" s="43"/>
      <c r="AG3875" s="49" t="str">
        <f ca="1">IFERROR(__xludf.DUMMYFUNCTION("IFNA(vlookup(H3875,IMPORTRANGE(""1vUGwO1n0QQGx9kKbO0_M5gmuhXZ6-LaxQxgrmJnzgP0"",""'TP# look up'!A:C""),3,0),"""")"),"")</f>
        <v/>
      </c>
      <c r="AH3875" s="49" t="str">
        <f t="shared" si="60"/>
        <v/>
      </c>
    </row>
    <row r="3876" spans="8:34" ht="12.75">
      <c r="H3876" s="43"/>
      <c r="AG3876" s="49" t="str">
        <f ca="1">IFERROR(__xludf.DUMMYFUNCTION("IFNA(vlookup(H3876,IMPORTRANGE(""1vUGwO1n0QQGx9kKbO0_M5gmuhXZ6-LaxQxgrmJnzgP0"",""'TP# look up'!A:C""),3,0),"""")"),"")</f>
        <v/>
      </c>
      <c r="AH3876" s="49" t="str">
        <f t="shared" si="60"/>
        <v/>
      </c>
    </row>
    <row r="3877" spans="8:34" ht="12.75">
      <c r="H3877" s="43"/>
      <c r="AG3877" s="49" t="str">
        <f ca="1">IFERROR(__xludf.DUMMYFUNCTION("IFNA(vlookup(H3877,IMPORTRANGE(""1vUGwO1n0QQGx9kKbO0_M5gmuhXZ6-LaxQxgrmJnzgP0"",""'TP# look up'!A:C""),3,0),"""")"),"")</f>
        <v/>
      </c>
      <c r="AH3877" s="49" t="str">
        <f t="shared" si="60"/>
        <v/>
      </c>
    </row>
    <row r="3878" spans="8:34" ht="12.75">
      <c r="H3878" s="43"/>
      <c r="AG3878" s="49" t="str">
        <f ca="1">IFERROR(__xludf.DUMMYFUNCTION("IFNA(vlookup(H3878,IMPORTRANGE(""1vUGwO1n0QQGx9kKbO0_M5gmuhXZ6-LaxQxgrmJnzgP0"",""'TP# look up'!A:C""),3,0),"""")"),"")</f>
        <v/>
      </c>
      <c r="AH3878" s="49" t="str">
        <f t="shared" si="60"/>
        <v/>
      </c>
    </row>
    <row r="3879" spans="8:34" ht="12.75">
      <c r="H3879" s="43"/>
      <c r="AG3879" s="49" t="str">
        <f ca="1">IFERROR(__xludf.DUMMYFUNCTION("IFNA(vlookup(H3879,IMPORTRANGE(""1vUGwO1n0QQGx9kKbO0_M5gmuhXZ6-LaxQxgrmJnzgP0"",""'TP# look up'!A:C""),3,0),"""")"),"")</f>
        <v/>
      </c>
      <c r="AH3879" s="49" t="str">
        <f t="shared" si="60"/>
        <v/>
      </c>
    </row>
    <row r="3880" spans="8:34" ht="12.75">
      <c r="H3880" s="43"/>
      <c r="AG3880" s="49" t="str">
        <f ca="1">IFERROR(__xludf.DUMMYFUNCTION("IFNA(vlookup(H3880,IMPORTRANGE(""1vUGwO1n0QQGx9kKbO0_M5gmuhXZ6-LaxQxgrmJnzgP0"",""'TP# look up'!A:C""),3,0),"""")"),"")</f>
        <v/>
      </c>
      <c r="AH3880" s="49" t="str">
        <f t="shared" si="60"/>
        <v/>
      </c>
    </row>
    <row r="3881" spans="8:34" ht="12.75">
      <c r="H3881" s="43"/>
      <c r="AG3881" s="49" t="str">
        <f ca="1">IFERROR(__xludf.DUMMYFUNCTION("IFNA(vlookup(H3881,IMPORTRANGE(""1vUGwO1n0QQGx9kKbO0_M5gmuhXZ6-LaxQxgrmJnzgP0"",""'TP# look up'!A:C""),3,0),"""")"),"")</f>
        <v/>
      </c>
      <c r="AH3881" s="49" t="str">
        <f t="shared" si="60"/>
        <v/>
      </c>
    </row>
    <row r="3882" spans="8:34" ht="12.75">
      <c r="H3882" s="43"/>
      <c r="AG3882" s="49" t="str">
        <f ca="1">IFERROR(__xludf.DUMMYFUNCTION("IFNA(vlookup(H3882,IMPORTRANGE(""1vUGwO1n0QQGx9kKbO0_M5gmuhXZ6-LaxQxgrmJnzgP0"",""'TP# look up'!A:C""),3,0),"""")"),"")</f>
        <v/>
      </c>
      <c r="AH3882" s="49" t="str">
        <f t="shared" si="60"/>
        <v/>
      </c>
    </row>
    <row r="3883" spans="8:34" ht="12.75">
      <c r="H3883" s="43"/>
      <c r="AG3883" s="49" t="str">
        <f ca="1">IFERROR(__xludf.DUMMYFUNCTION("IFNA(vlookup(H3883,IMPORTRANGE(""1vUGwO1n0QQGx9kKbO0_M5gmuhXZ6-LaxQxgrmJnzgP0"",""'TP# look up'!A:C""),3,0),"""")"),"")</f>
        <v/>
      </c>
      <c r="AH3883" s="49" t="str">
        <f t="shared" si="60"/>
        <v/>
      </c>
    </row>
    <row r="3884" spans="8:34" ht="12.75">
      <c r="H3884" s="43"/>
      <c r="AG3884" s="49" t="str">
        <f ca="1">IFERROR(__xludf.DUMMYFUNCTION("IFNA(vlookup(H3884,IMPORTRANGE(""1vUGwO1n0QQGx9kKbO0_M5gmuhXZ6-LaxQxgrmJnzgP0"",""'TP# look up'!A:C""),3,0),"""")"),"")</f>
        <v/>
      </c>
      <c r="AH3884" s="49" t="str">
        <f t="shared" si="60"/>
        <v/>
      </c>
    </row>
    <row r="3885" spans="8:34" ht="12.75">
      <c r="H3885" s="43"/>
      <c r="AG3885" s="49" t="str">
        <f ca="1">IFERROR(__xludf.DUMMYFUNCTION("IFNA(vlookup(H3885,IMPORTRANGE(""1vUGwO1n0QQGx9kKbO0_M5gmuhXZ6-LaxQxgrmJnzgP0"",""'TP# look up'!A:C""),3,0),"""")"),"")</f>
        <v/>
      </c>
      <c r="AH3885" s="49" t="str">
        <f t="shared" si="60"/>
        <v/>
      </c>
    </row>
    <row r="3886" spans="8:34" ht="12.75">
      <c r="H3886" s="43"/>
      <c r="AG3886" s="49" t="str">
        <f ca="1">IFERROR(__xludf.DUMMYFUNCTION("IFNA(vlookup(H3886,IMPORTRANGE(""1vUGwO1n0QQGx9kKbO0_M5gmuhXZ6-LaxQxgrmJnzgP0"",""'TP# look up'!A:C""),3,0),"""")"),"")</f>
        <v/>
      </c>
      <c r="AH3886" s="49" t="str">
        <f t="shared" si="60"/>
        <v/>
      </c>
    </row>
    <row r="3887" spans="8:34" ht="12.75">
      <c r="H3887" s="43"/>
      <c r="AG3887" s="49" t="str">
        <f ca="1">IFERROR(__xludf.DUMMYFUNCTION("IFNA(vlookup(H3887,IMPORTRANGE(""1vUGwO1n0QQGx9kKbO0_M5gmuhXZ6-LaxQxgrmJnzgP0"",""'TP# look up'!A:C""),3,0),"""")"),"")</f>
        <v/>
      </c>
      <c r="AH3887" s="49" t="str">
        <f t="shared" si="60"/>
        <v/>
      </c>
    </row>
    <row r="3888" spans="8:34" ht="12.75">
      <c r="H3888" s="43"/>
      <c r="AG3888" s="49" t="str">
        <f ca="1">IFERROR(__xludf.DUMMYFUNCTION("IFNA(vlookup(H3888,IMPORTRANGE(""1vUGwO1n0QQGx9kKbO0_M5gmuhXZ6-LaxQxgrmJnzgP0"",""'TP# look up'!A:C""),3,0),"""")"),"")</f>
        <v/>
      </c>
      <c r="AH3888" s="49" t="str">
        <f t="shared" si="60"/>
        <v/>
      </c>
    </row>
    <row r="3889" spans="8:34" ht="12.75">
      <c r="H3889" s="43"/>
      <c r="AG3889" s="49" t="str">
        <f ca="1">IFERROR(__xludf.DUMMYFUNCTION("IFNA(vlookup(H3889,IMPORTRANGE(""1vUGwO1n0QQGx9kKbO0_M5gmuhXZ6-LaxQxgrmJnzgP0"",""'TP# look up'!A:C""),3,0),"""")"),"")</f>
        <v/>
      </c>
      <c r="AH3889" s="49" t="str">
        <f t="shared" si="60"/>
        <v/>
      </c>
    </row>
    <row r="3890" spans="8:34" ht="12.75">
      <c r="H3890" s="43"/>
      <c r="AG3890" s="49" t="str">
        <f ca="1">IFERROR(__xludf.DUMMYFUNCTION("IFNA(vlookup(H3890,IMPORTRANGE(""1vUGwO1n0QQGx9kKbO0_M5gmuhXZ6-LaxQxgrmJnzgP0"",""'TP# look up'!A:C""),3,0),"""")"),"")</f>
        <v/>
      </c>
      <c r="AH3890" s="49" t="str">
        <f t="shared" si="60"/>
        <v/>
      </c>
    </row>
    <row r="3891" spans="8:34" ht="12.75">
      <c r="H3891" s="43"/>
      <c r="AG3891" s="49" t="str">
        <f ca="1">IFERROR(__xludf.DUMMYFUNCTION("IFNA(vlookup(H3891,IMPORTRANGE(""1vUGwO1n0QQGx9kKbO0_M5gmuhXZ6-LaxQxgrmJnzgP0"",""'TP# look up'!A:C""),3,0),"""")"),"")</f>
        <v/>
      </c>
      <c r="AH3891" s="49" t="str">
        <f t="shared" si="60"/>
        <v/>
      </c>
    </row>
    <row r="3892" spans="8:34" ht="12.75">
      <c r="H3892" s="43"/>
      <c r="AG3892" s="49" t="str">
        <f ca="1">IFERROR(__xludf.DUMMYFUNCTION("IFNA(vlookup(H3892,IMPORTRANGE(""1vUGwO1n0QQGx9kKbO0_M5gmuhXZ6-LaxQxgrmJnzgP0"",""'TP# look up'!A:C""),3,0),"""")"),"")</f>
        <v/>
      </c>
      <c r="AH3892" s="49" t="str">
        <f t="shared" si="60"/>
        <v/>
      </c>
    </row>
    <row r="3893" spans="8:34" ht="12.75">
      <c r="H3893" s="43"/>
      <c r="AG3893" s="49" t="str">
        <f ca="1">IFERROR(__xludf.DUMMYFUNCTION("IFNA(vlookup(H3893,IMPORTRANGE(""1vUGwO1n0QQGx9kKbO0_M5gmuhXZ6-LaxQxgrmJnzgP0"",""'TP# look up'!A:C""),3,0),"""")"),"")</f>
        <v/>
      </c>
      <c r="AH3893" s="49" t="str">
        <f t="shared" si="60"/>
        <v/>
      </c>
    </row>
    <row r="3894" spans="8:34" ht="12.75">
      <c r="H3894" s="43"/>
      <c r="AG3894" s="49" t="str">
        <f ca="1">IFERROR(__xludf.DUMMYFUNCTION("IFNA(vlookup(H3894,IMPORTRANGE(""1vUGwO1n0QQGx9kKbO0_M5gmuhXZ6-LaxQxgrmJnzgP0"",""'TP# look up'!A:C""),3,0),"""")"),"")</f>
        <v/>
      </c>
      <c r="AH3894" s="49" t="str">
        <f t="shared" si="60"/>
        <v/>
      </c>
    </row>
    <row r="3895" spans="8:34" ht="12.75">
      <c r="H3895" s="43"/>
      <c r="AG3895" s="49" t="str">
        <f ca="1">IFERROR(__xludf.DUMMYFUNCTION("IFNA(vlookup(H3895,IMPORTRANGE(""1vUGwO1n0QQGx9kKbO0_M5gmuhXZ6-LaxQxgrmJnzgP0"",""'TP# look up'!A:C""),3,0),"""")"),"")</f>
        <v/>
      </c>
      <c r="AH3895" s="49" t="str">
        <f t="shared" si="60"/>
        <v/>
      </c>
    </row>
    <row r="3896" spans="8:34" ht="12.75">
      <c r="H3896" s="43"/>
      <c r="AG3896" s="49" t="str">
        <f ca="1">IFERROR(__xludf.DUMMYFUNCTION("IFNA(vlookup(H3896,IMPORTRANGE(""1vUGwO1n0QQGx9kKbO0_M5gmuhXZ6-LaxQxgrmJnzgP0"",""'TP# look up'!A:C""),3,0),"""")"),"")</f>
        <v/>
      </c>
      <c r="AH3896" s="49" t="str">
        <f t="shared" si="60"/>
        <v/>
      </c>
    </row>
    <row r="3897" spans="8:34" ht="12.75">
      <c r="H3897" s="43"/>
      <c r="AG3897" s="49" t="str">
        <f ca="1">IFERROR(__xludf.DUMMYFUNCTION("IFNA(vlookup(H3897,IMPORTRANGE(""1vUGwO1n0QQGx9kKbO0_M5gmuhXZ6-LaxQxgrmJnzgP0"",""'TP# look up'!A:C""),3,0),"""")"),"")</f>
        <v/>
      </c>
      <c r="AH3897" s="49" t="str">
        <f t="shared" si="60"/>
        <v/>
      </c>
    </row>
    <row r="3898" spans="8:34" ht="12.75">
      <c r="H3898" s="43"/>
      <c r="AG3898" s="49" t="str">
        <f ca="1">IFERROR(__xludf.DUMMYFUNCTION("IFNA(vlookup(H3898,IMPORTRANGE(""1vUGwO1n0QQGx9kKbO0_M5gmuhXZ6-LaxQxgrmJnzgP0"",""'TP# look up'!A:C""),3,0),"""")"),"")</f>
        <v/>
      </c>
      <c r="AH3898" s="49" t="str">
        <f t="shared" si="60"/>
        <v/>
      </c>
    </row>
    <row r="3899" spans="8:34" ht="12.75">
      <c r="H3899" s="43"/>
      <c r="AG3899" s="49" t="str">
        <f ca="1">IFERROR(__xludf.DUMMYFUNCTION("IFNA(vlookup(H3899,IMPORTRANGE(""1vUGwO1n0QQGx9kKbO0_M5gmuhXZ6-LaxQxgrmJnzgP0"",""'TP# look up'!A:C""),3,0),"""")"),"")</f>
        <v/>
      </c>
      <c r="AH3899" s="49" t="str">
        <f t="shared" si="60"/>
        <v/>
      </c>
    </row>
    <row r="3900" spans="8:34" ht="12.75">
      <c r="H3900" s="43"/>
      <c r="AG3900" s="49" t="str">
        <f ca="1">IFERROR(__xludf.DUMMYFUNCTION("IFNA(vlookup(H3900,IMPORTRANGE(""1vUGwO1n0QQGx9kKbO0_M5gmuhXZ6-LaxQxgrmJnzgP0"",""'TP# look up'!A:C""),3,0),"""")"),"")</f>
        <v/>
      </c>
      <c r="AH3900" s="49" t="str">
        <f t="shared" si="60"/>
        <v/>
      </c>
    </row>
    <row r="3901" spans="8:34" ht="12.75">
      <c r="H3901" s="43"/>
      <c r="AG3901" s="49" t="str">
        <f ca="1">IFERROR(__xludf.DUMMYFUNCTION("IFNA(vlookup(H3901,IMPORTRANGE(""1vUGwO1n0QQGx9kKbO0_M5gmuhXZ6-LaxQxgrmJnzgP0"",""'TP# look up'!A:C""),3,0),"""")"),"")</f>
        <v/>
      </c>
      <c r="AH3901" s="49" t="str">
        <f t="shared" si="60"/>
        <v/>
      </c>
    </row>
    <row r="3902" spans="8:34" ht="12.75">
      <c r="H3902" s="43"/>
      <c r="AG3902" s="49" t="str">
        <f ca="1">IFERROR(__xludf.DUMMYFUNCTION("IFNA(vlookup(H3902,IMPORTRANGE(""1vUGwO1n0QQGx9kKbO0_M5gmuhXZ6-LaxQxgrmJnzgP0"",""'TP# look up'!A:C""),3,0),"""")"),"")</f>
        <v/>
      </c>
      <c r="AH3902" s="49" t="str">
        <f t="shared" si="60"/>
        <v/>
      </c>
    </row>
    <row r="3903" spans="8:34" ht="12.75">
      <c r="H3903" s="43"/>
      <c r="AG3903" s="49" t="str">
        <f ca="1">IFERROR(__xludf.DUMMYFUNCTION("IFNA(vlookup(H3903,IMPORTRANGE(""1vUGwO1n0QQGx9kKbO0_M5gmuhXZ6-LaxQxgrmJnzgP0"",""'TP# look up'!A:C""),3,0),"""")"),"")</f>
        <v/>
      </c>
      <c r="AH3903" s="49" t="str">
        <f t="shared" si="60"/>
        <v/>
      </c>
    </row>
    <row r="3904" spans="8:34" ht="12.75">
      <c r="H3904" s="43"/>
      <c r="AG3904" s="49" t="str">
        <f ca="1">IFERROR(__xludf.DUMMYFUNCTION("IFNA(vlookup(H3904,IMPORTRANGE(""1vUGwO1n0QQGx9kKbO0_M5gmuhXZ6-LaxQxgrmJnzgP0"",""'TP# look up'!A:C""),3,0),"""")"),"")</f>
        <v/>
      </c>
      <c r="AH3904" s="49" t="str">
        <f t="shared" si="60"/>
        <v/>
      </c>
    </row>
    <row r="3905" spans="8:34" ht="12.75">
      <c r="H3905" s="43"/>
      <c r="AG3905" s="49" t="str">
        <f ca="1">IFERROR(__xludf.DUMMYFUNCTION("IFNA(vlookup(H3905,IMPORTRANGE(""1vUGwO1n0QQGx9kKbO0_M5gmuhXZ6-LaxQxgrmJnzgP0"",""'TP# look up'!A:C""),3,0),"""")"),"")</f>
        <v/>
      </c>
      <c r="AH3905" s="49" t="str">
        <f t="shared" si="60"/>
        <v/>
      </c>
    </row>
    <row r="3906" spans="8:34" ht="12.75">
      <c r="H3906" s="43"/>
      <c r="AG3906" s="49" t="str">
        <f ca="1">IFERROR(__xludf.DUMMYFUNCTION("IFNA(vlookup(H3906,IMPORTRANGE(""1vUGwO1n0QQGx9kKbO0_M5gmuhXZ6-LaxQxgrmJnzgP0"",""'TP# look up'!A:C""),3,0),"""")"),"")</f>
        <v/>
      </c>
      <c r="AH3906" s="49" t="str">
        <f t="shared" ref="AH3906:AH3969" si="61">LEFT(J3906,2)</f>
        <v/>
      </c>
    </row>
    <row r="3907" spans="8:34" ht="12.75">
      <c r="H3907" s="43"/>
      <c r="AG3907" s="49" t="str">
        <f ca="1">IFERROR(__xludf.DUMMYFUNCTION("IFNA(vlookup(H3907,IMPORTRANGE(""1vUGwO1n0QQGx9kKbO0_M5gmuhXZ6-LaxQxgrmJnzgP0"",""'TP# look up'!A:C""),3,0),"""")"),"")</f>
        <v/>
      </c>
      <c r="AH3907" s="49" t="str">
        <f t="shared" si="61"/>
        <v/>
      </c>
    </row>
    <row r="3908" spans="8:34" ht="12.75">
      <c r="H3908" s="43"/>
      <c r="AG3908" s="49" t="str">
        <f ca="1">IFERROR(__xludf.DUMMYFUNCTION("IFNA(vlookup(H3908,IMPORTRANGE(""1vUGwO1n0QQGx9kKbO0_M5gmuhXZ6-LaxQxgrmJnzgP0"",""'TP# look up'!A:C""),3,0),"""")"),"")</f>
        <v/>
      </c>
      <c r="AH3908" s="49" t="str">
        <f t="shared" si="61"/>
        <v/>
      </c>
    </row>
    <row r="3909" spans="8:34" ht="12.75">
      <c r="H3909" s="43"/>
      <c r="AG3909" s="49" t="str">
        <f ca="1">IFERROR(__xludf.DUMMYFUNCTION("IFNA(vlookup(H3909,IMPORTRANGE(""1vUGwO1n0QQGx9kKbO0_M5gmuhXZ6-LaxQxgrmJnzgP0"",""'TP# look up'!A:C""),3,0),"""")"),"")</f>
        <v/>
      </c>
      <c r="AH3909" s="49" t="str">
        <f t="shared" si="61"/>
        <v/>
      </c>
    </row>
    <row r="3910" spans="8:34" ht="12.75">
      <c r="H3910" s="43"/>
      <c r="AG3910" s="49" t="str">
        <f ca="1">IFERROR(__xludf.DUMMYFUNCTION("IFNA(vlookup(H3910,IMPORTRANGE(""1vUGwO1n0QQGx9kKbO0_M5gmuhXZ6-LaxQxgrmJnzgP0"",""'TP# look up'!A:C""),3,0),"""")"),"")</f>
        <v/>
      </c>
      <c r="AH3910" s="49" t="str">
        <f t="shared" si="61"/>
        <v/>
      </c>
    </row>
    <row r="3911" spans="8:34" ht="12.75">
      <c r="H3911" s="43"/>
      <c r="AG3911" s="49" t="str">
        <f ca="1">IFERROR(__xludf.DUMMYFUNCTION("IFNA(vlookup(H3911,IMPORTRANGE(""1vUGwO1n0QQGx9kKbO0_M5gmuhXZ6-LaxQxgrmJnzgP0"",""'TP# look up'!A:C""),3,0),"""")"),"")</f>
        <v/>
      </c>
      <c r="AH3911" s="49" t="str">
        <f t="shared" si="61"/>
        <v/>
      </c>
    </row>
    <row r="3912" spans="8:34" ht="12.75">
      <c r="H3912" s="43"/>
      <c r="AG3912" s="49" t="str">
        <f ca="1">IFERROR(__xludf.DUMMYFUNCTION("IFNA(vlookup(H3912,IMPORTRANGE(""1vUGwO1n0QQGx9kKbO0_M5gmuhXZ6-LaxQxgrmJnzgP0"",""'TP# look up'!A:C""),3,0),"""")"),"")</f>
        <v/>
      </c>
      <c r="AH3912" s="49" t="str">
        <f t="shared" si="61"/>
        <v/>
      </c>
    </row>
    <row r="3913" spans="8:34" ht="12.75">
      <c r="H3913" s="43"/>
      <c r="AG3913" s="49" t="str">
        <f ca="1">IFERROR(__xludf.DUMMYFUNCTION("IFNA(vlookup(H3913,IMPORTRANGE(""1vUGwO1n0QQGx9kKbO0_M5gmuhXZ6-LaxQxgrmJnzgP0"",""'TP# look up'!A:C""),3,0),"""")"),"")</f>
        <v/>
      </c>
      <c r="AH3913" s="49" t="str">
        <f t="shared" si="61"/>
        <v/>
      </c>
    </row>
    <row r="3914" spans="8:34" ht="12.75">
      <c r="H3914" s="43"/>
      <c r="AG3914" s="49" t="str">
        <f ca="1">IFERROR(__xludf.DUMMYFUNCTION("IFNA(vlookup(H3914,IMPORTRANGE(""1vUGwO1n0QQGx9kKbO0_M5gmuhXZ6-LaxQxgrmJnzgP0"",""'TP# look up'!A:C""),3,0),"""")"),"")</f>
        <v/>
      </c>
      <c r="AH3914" s="49" t="str">
        <f t="shared" si="61"/>
        <v/>
      </c>
    </row>
    <row r="3915" spans="8:34" ht="12.75">
      <c r="H3915" s="43"/>
      <c r="AG3915" s="49" t="str">
        <f ca="1">IFERROR(__xludf.DUMMYFUNCTION("IFNA(vlookup(H3915,IMPORTRANGE(""1vUGwO1n0QQGx9kKbO0_M5gmuhXZ6-LaxQxgrmJnzgP0"",""'TP# look up'!A:C""),3,0),"""")"),"")</f>
        <v/>
      </c>
      <c r="AH3915" s="49" t="str">
        <f t="shared" si="61"/>
        <v/>
      </c>
    </row>
    <row r="3916" spans="8:34" ht="12.75">
      <c r="H3916" s="43"/>
      <c r="AG3916" s="49" t="str">
        <f ca="1">IFERROR(__xludf.DUMMYFUNCTION("IFNA(vlookup(H3916,IMPORTRANGE(""1vUGwO1n0QQGx9kKbO0_M5gmuhXZ6-LaxQxgrmJnzgP0"",""'TP# look up'!A:C""),3,0),"""")"),"")</f>
        <v/>
      </c>
      <c r="AH3916" s="49" t="str">
        <f t="shared" si="61"/>
        <v/>
      </c>
    </row>
    <row r="3917" spans="8:34" ht="12.75">
      <c r="H3917" s="43"/>
      <c r="AG3917" s="49" t="str">
        <f ca="1">IFERROR(__xludf.DUMMYFUNCTION("IFNA(vlookup(H3917,IMPORTRANGE(""1vUGwO1n0QQGx9kKbO0_M5gmuhXZ6-LaxQxgrmJnzgP0"",""'TP# look up'!A:C""),3,0),"""")"),"")</f>
        <v/>
      </c>
      <c r="AH3917" s="49" t="str">
        <f t="shared" si="61"/>
        <v/>
      </c>
    </row>
    <row r="3918" spans="8:34" ht="12.75">
      <c r="H3918" s="43"/>
      <c r="AG3918" s="49" t="str">
        <f ca="1">IFERROR(__xludf.DUMMYFUNCTION("IFNA(vlookup(H3918,IMPORTRANGE(""1vUGwO1n0QQGx9kKbO0_M5gmuhXZ6-LaxQxgrmJnzgP0"",""'TP# look up'!A:C""),3,0),"""")"),"")</f>
        <v/>
      </c>
      <c r="AH3918" s="49" t="str">
        <f t="shared" si="61"/>
        <v/>
      </c>
    </row>
    <row r="3919" spans="8:34" ht="12.75">
      <c r="H3919" s="43"/>
      <c r="AG3919" s="49" t="str">
        <f ca="1">IFERROR(__xludf.DUMMYFUNCTION("IFNA(vlookup(H3919,IMPORTRANGE(""1vUGwO1n0QQGx9kKbO0_M5gmuhXZ6-LaxQxgrmJnzgP0"",""'TP# look up'!A:C""),3,0),"""")"),"")</f>
        <v/>
      </c>
      <c r="AH3919" s="49" t="str">
        <f t="shared" si="61"/>
        <v/>
      </c>
    </row>
    <row r="3920" spans="8:34" ht="12.75">
      <c r="H3920" s="43"/>
      <c r="AG3920" s="49" t="str">
        <f ca="1">IFERROR(__xludf.DUMMYFUNCTION("IFNA(vlookup(H3920,IMPORTRANGE(""1vUGwO1n0QQGx9kKbO0_M5gmuhXZ6-LaxQxgrmJnzgP0"",""'TP# look up'!A:C""),3,0),"""")"),"")</f>
        <v/>
      </c>
      <c r="AH3920" s="49" t="str">
        <f t="shared" si="61"/>
        <v/>
      </c>
    </row>
    <row r="3921" spans="8:34" ht="12.75">
      <c r="H3921" s="43"/>
      <c r="AG3921" s="49" t="str">
        <f ca="1">IFERROR(__xludf.DUMMYFUNCTION("IFNA(vlookup(H3921,IMPORTRANGE(""1vUGwO1n0QQGx9kKbO0_M5gmuhXZ6-LaxQxgrmJnzgP0"",""'TP# look up'!A:C""),3,0),"""")"),"")</f>
        <v/>
      </c>
      <c r="AH3921" s="49" t="str">
        <f t="shared" si="61"/>
        <v/>
      </c>
    </row>
    <row r="3922" spans="8:34" ht="12.75">
      <c r="H3922" s="43"/>
      <c r="AG3922" s="49" t="str">
        <f ca="1">IFERROR(__xludf.DUMMYFUNCTION("IFNA(vlookup(H3922,IMPORTRANGE(""1vUGwO1n0QQGx9kKbO0_M5gmuhXZ6-LaxQxgrmJnzgP0"",""'TP# look up'!A:C""),3,0),"""")"),"")</f>
        <v/>
      </c>
      <c r="AH3922" s="49" t="str">
        <f t="shared" si="61"/>
        <v/>
      </c>
    </row>
    <row r="3923" spans="8:34" ht="12.75">
      <c r="H3923" s="43"/>
      <c r="AG3923" s="49" t="str">
        <f ca="1">IFERROR(__xludf.DUMMYFUNCTION("IFNA(vlookup(H3923,IMPORTRANGE(""1vUGwO1n0QQGx9kKbO0_M5gmuhXZ6-LaxQxgrmJnzgP0"",""'TP# look up'!A:C""),3,0),"""")"),"")</f>
        <v/>
      </c>
      <c r="AH3923" s="49" t="str">
        <f t="shared" si="61"/>
        <v/>
      </c>
    </row>
    <row r="3924" spans="8:34" ht="12.75">
      <c r="H3924" s="43"/>
      <c r="AG3924" s="49" t="str">
        <f ca="1">IFERROR(__xludf.DUMMYFUNCTION("IFNA(vlookup(H3924,IMPORTRANGE(""1vUGwO1n0QQGx9kKbO0_M5gmuhXZ6-LaxQxgrmJnzgP0"",""'TP# look up'!A:C""),3,0),"""")"),"")</f>
        <v/>
      </c>
      <c r="AH3924" s="49" t="str">
        <f t="shared" si="61"/>
        <v/>
      </c>
    </row>
    <row r="3925" spans="8:34" ht="12.75">
      <c r="H3925" s="43"/>
      <c r="AG3925" s="49" t="str">
        <f ca="1">IFERROR(__xludf.DUMMYFUNCTION("IFNA(vlookup(H3925,IMPORTRANGE(""1vUGwO1n0QQGx9kKbO0_M5gmuhXZ6-LaxQxgrmJnzgP0"",""'TP# look up'!A:C""),3,0),"""")"),"")</f>
        <v/>
      </c>
      <c r="AH3925" s="49" t="str">
        <f t="shared" si="61"/>
        <v/>
      </c>
    </row>
    <row r="3926" spans="8:34" ht="12.75">
      <c r="H3926" s="43"/>
      <c r="AG3926" s="49" t="str">
        <f ca="1">IFERROR(__xludf.DUMMYFUNCTION("IFNA(vlookup(H3926,IMPORTRANGE(""1vUGwO1n0QQGx9kKbO0_M5gmuhXZ6-LaxQxgrmJnzgP0"",""'TP# look up'!A:C""),3,0),"""")"),"")</f>
        <v/>
      </c>
      <c r="AH3926" s="49" t="str">
        <f t="shared" si="61"/>
        <v/>
      </c>
    </row>
    <row r="3927" spans="8:34" ht="12.75">
      <c r="H3927" s="43"/>
      <c r="AG3927" s="49" t="str">
        <f ca="1">IFERROR(__xludf.DUMMYFUNCTION("IFNA(vlookup(H3927,IMPORTRANGE(""1vUGwO1n0QQGx9kKbO0_M5gmuhXZ6-LaxQxgrmJnzgP0"",""'TP# look up'!A:C""),3,0),"""")"),"")</f>
        <v/>
      </c>
      <c r="AH3927" s="49" t="str">
        <f t="shared" si="61"/>
        <v/>
      </c>
    </row>
    <row r="3928" spans="8:34" ht="12.75">
      <c r="H3928" s="43"/>
      <c r="AG3928" s="49" t="str">
        <f ca="1">IFERROR(__xludf.DUMMYFUNCTION("IFNA(vlookup(H3928,IMPORTRANGE(""1vUGwO1n0QQGx9kKbO0_M5gmuhXZ6-LaxQxgrmJnzgP0"",""'TP# look up'!A:C""),3,0),"""")"),"")</f>
        <v/>
      </c>
      <c r="AH3928" s="49" t="str">
        <f t="shared" si="61"/>
        <v/>
      </c>
    </row>
    <row r="3929" spans="8:34" ht="12.75">
      <c r="H3929" s="43"/>
      <c r="AG3929" s="49" t="str">
        <f ca="1">IFERROR(__xludf.DUMMYFUNCTION("IFNA(vlookup(H3929,IMPORTRANGE(""1vUGwO1n0QQGx9kKbO0_M5gmuhXZ6-LaxQxgrmJnzgP0"",""'TP# look up'!A:C""),3,0),"""")"),"")</f>
        <v/>
      </c>
      <c r="AH3929" s="49" t="str">
        <f t="shared" si="61"/>
        <v/>
      </c>
    </row>
    <row r="3930" spans="8:34" ht="12.75">
      <c r="H3930" s="43"/>
      <c r="AG3930" s="49" t="str">
        <f ca="1">IFERROR(__xludf.DUMMYFUNCTION("IFNA(vlookup(H3930,IMPORTRANGE(""1vUGwO1n0QQGx9kKbO0_M5gmuhXZ6-LaxQxgrmJnzgP0"",""'TP# look up'!A:C""),3,0),"""")"),"")</f>
        <v/>
      </c>
      <c r="AH3930" s="49" t="str">
        <f t="shared" si="61"/>
        <v/>
      </c>
    </row>
    <row r="3931" spans="8:34" ht="12.75">
      <c r="H3931" s="43"/>
      <c r="AG3931" s="49" t="str">
        <f ca="1">IFERROR(__xludf.DUMMYFUNCTION("IFNA(vlookup(H3931,IMPORTRANGE(""1vUGwO1n0QQGx9kKbO0_M5gmuhXZ6-LaxQxgrmJnzgP0"",""'TP# look up'!A:C""),3,0),"""")"),"")</f>
        <v/>
      </c>
      <c r="AH3931" s="49" t="str">
        <f t="shared" si="61"/>
        <v/>
      </c>
    </row>
    <row r="3932" spans="8:34" ht="12.75">
      <c r="H3932" s="43"/>
      <c r="AG3932" s="49" t="str">
        <f ca="1">IFERROR(__xludf.DUMMYFUNCTION("IFNA(vlookup(H3932,IMPORTRANGE(""1vUGwO1n0QQGx9kKbO0_M5gmuhXZ6-LaxQxgrmJnzgP0"",""'TP# look up'!A:C""),3,0),"""")"),"")</f>
        <v/>
      </c>
      <c r="AH3932" s="49" t="str">
        <f t="shared" si="61"/>
        <v/>
      </c>
    </row>
    <row r="3933" spans="8:34" ht="12.75">
      <c r="H3933" s="43"/>
      <c r="AG3933" s="49" t="str">
        <f ca="1">IFERROR(__xludf.DUMMYFUNCTION("IFNA(vlookup(H3933,IMPORTRANGE(""1vUGwO1n0QQGx9kKbO0_M5gmuhXZ6-LaxQxgrmJnzgP0"",""'TP# look up'!A:C""),3,0),"""")"),"")</f>
        <v/>
      </c>
      <c r="AH3933" s="49" t="str">
        <f t="shared" si="61"/>
        <v/>
      </c>
    </row>
    <row r="3934" spans="8:34" ht="12.75">
      <c r="H3934" s="43"/>
      <c r="AG3934" s="49" t="str">
        <f ca="1">IFERROR(__xludf.DUMMYFUNCTION("IFNA(vlookup(H3934,IMPORTRANGE(""1vUGwO1n0QQGx9kKbO0_M5gmuhXZ6-LaxQxgrmJnzgP0"",""'TP# look up'!A:C""),3,0),"""")"),"")</f>
        <v/>
      </c>
      <c r="AH3934" s="49" t="str">
        <f t="shared" si="61"/>
        <v/>
      </c>
    </row>
    <row r="3935" spans="8:34" ht="12.75">
      <c r="H3935" s="43"/>
      <c r="AG3935" s="49" t="str">
        <f ca="1">IFERROR(__xludf.DUMMYFUNCTION("IFNA(vlookup(H3935,IMPORTRANGE(""1vUGwO1n0QQGx9kKbO0_M5gmuhXZ6-LaxQxgrmJnzgP0"",""'TP# look up'!A:C""),3,0),"""")"),"")</f>
        <v/>
      </c>
      <c r="AH3935" s="49" t="str">
        <f t="shared" si="61"/>
        <v/>
      </c>
    </row>
    <row r="3936" spans="8:34" ht="12.75">
      <c r="H3936" s="43"/>
      <c r="AG3936" s="49" t="str">
        <f ca="1">IFERROR(__xludf.DUMMYFUNCTION("IFNA(vlookup(H3936,IMPORTRANGE(""1vUGwO1n0QQGx9kKbO0_M5gmuhXZ6-LaxQxgrmJnzgP0"",""'TP# look up'!A:C""),3,0),"""")"),"")</f>
        <v/>
      </c>
      <c r="AH3936" s="49" t="str">
        <f t="shared" si="61"/>
        <v/>
      </c>
    </row>
    <row r="3937" spans="8:34" ht="12.75">
      <c r="H3937" s="43"/>
      <c r="AG3937" s="49" t="str">
        <f ca="1">IFERROR(__xludf.DUMMYFUNCTION("IFNA(vlookup(H3937,IMPORTRANGE(""1vUGwO1n0QQGx9kKbO0_M5gmuhXZ6-LaxQxgrmJnzgP0"",""'TP# look up'!A:C""),3,0),"""")"),"")</f>
        <v/>
      </c>
      <c r="AH3937" s="49" t="str">
        <f t="shared" si="61"/>
        <v/>
      </c>
    </row>
    <row r="3938" spans="8:34" ht="12.75">
      <c r="H3938" s="43"/>
      <c r="AG3938" s="49" t="str">
        <f ca="1">IFERROR(__xludf.DUMMYFUNCTION("IFNA(vlookup(H3938,IMPORTRANGE(""1vUGwO1n0QQGx9kKbO0_M5gmuhXZ6-LaxQxgrmJnzgP0"",""'TP# look up'!A:C""),3,0),"""")"),"")</f>
        <v/>
      </c>
      <c r="AH3938" s="49" t="str">
        <f t="shared" si="61"/>
        <v/>
      </c>
    </row>
    <row r="3939" spans="8:34" ht="12.75">
      <c r="H3939" s="43"/>
      <c r="AG3939" s="49" t="str">
        <f ca="1">IFERROR(__xludf.DUMMYFUNCTION("IFNA(vlookup(H3939,IMPORTRANGE(""1vUGwO1n0QQGx9kKbO0_M5gmuhXZ6-LaxQxgrmJnzgP0"",""'TP# look up'!A:C""),3,0),"""")"),"")</f>
        <v/>
      </c>
      <c r="AH3939" s="49" t="str">
        <f t="shared" si="61"/>
        <v/>
      </c>
    </row>
    <row r="3940" spans="8:34" ht="12.75">
      <c r="H3940" s="43"/>
      <c r="AG3940" s="49" t="str">
        <f ca="1">IFERROR(__xludf.DUMMYFUNCTION("IFNA(vlookup(H3940,IMPORTRANGE(""1vUGwO1n0QQGx9kKbO0_M5gmuhXZ6-LaxQxgrmJnzgP0"",""'TP# look up'!A:C""),3,0),"""")"),"")</f>
        <v/>
      </c>
      <c r="AH3940" s="49" t="str">
        <f t="shared" si="61"/>
        <v/>
      </c>
    </row>
    <row r="3941" spans="8:34" ht="12.75">
      <c r="H3941" s="43"/>
      <c r="AG3941" s="49" t="str">
        <f ca="1">IFERROR(__xludf.DUMMYFUNCTION("IFNA(vlookup(H3941,IMPORTRANGE(""1vUGwO1n0QQGx9kKbO0_M5gmuhXZ6-LaxQxgrmJnzgP0"",""'TP# look up'!A:C""),3,0),"""")"),"")</f>
        <v/>
      </c>
      <c r="AH3941" s="49" t="str">
        <f t="shared" si="61"/>
        <v/>
      </c>
    </row>
    <row r="3942" spans="8:34" ht="12.75">
      <c r="H3942" s="43"/>
      <c r="AG3942" s="49" t="str">
        <f ca="1">IFERROR(__xludf.DUMMYFUNCTION("IFNA(vlookup(H3942,IMPORTRANGE(""1vUGwO1n0QQGx9kKbO0_M5gmuhXZ6-LaxQxgrmJnzgP0"",""'TP# look up'!A:C""),3,0),"""")"),"")</f>
        <v/>
      </c>
      <c r="AH3942" s="49" t="str">
        <f t="shared" si="61"/>
        <v/>
      </c>
    </row>
    <row r="3943" spans="8:34" ht="12.75">
      <c r="H3943" s="43"/>
      <c r="AG3943" s="49" t="str">
        <f ca="1">IFERROR(__xludf.DUMMYFUNCTION("IFNA(vlookup(H3943,IMPORTRANGE(""1vUGwO1n0QQGx9kKbO0_M5gmuhXZ6-LaxQxgrmJnzgP0"",""'TP# look up'!A:C""),3,0),"""")"),"")</f>
        <v/>
      </c>
      <c r="AH3943" s="49" t="str">
        <f t="shared" si="61"/>
        <v/>
      </c>
    </row>
    <row r="3944" spans="8:34" ht="12.75">
      <c r="H3944" s="43"/>
      <c r="AG3944" s="49" t="str">
        <f ca="1">IFERROR(__xludf.DUMMYFUNCTION("IFNA(vlookup(H3944,IMPORTRANGE(""1vUGwO1n0QQGx9kKbO0_M5gmuhXZ6-LaxQxgrmJnzgP0"",""'TP# look up'!A:C""),3,0),"""")"),"")</f>
        <v/>
      </c>
      <c r="AH3944" s="49" t="str">
        <f t="shared" si="61"/>
        <v/>
      </c>
    </row>
    <row r="3945" spans="8:34" ht="12.75">
      <c r="H3945" s="43"/>
      <c r="AG3945" s="49" t="str">
        <f ca="1">IFERROR(__xludf.DUMMYFUNCTION("IFNA(vlookup(H3945,IMPORTRANGE(""1vUGwO1n0QQGx9kKbO0_M5gmuhXZ6-LaxQxgrmJnzgP0"",""'TP# look up'!A:C""),3,0),"""")"),"")</f>
        <v/>
      </c>
      <c r="AH3945" s="49" t="str">
        <f t="shared" si="61"/>
        <v/>
      </c>
    </row>
    <row r="3946" spans="8:34" ht="12.75">
      <c r="H3946" s="43"/>
      <c r="AG3946" s="49" t="str">
        <f ca="1">IFERROR(__xludf.DUMMYFUNCTION("IFNA(vlookup(H3946,IMPORTRANGE(""1vUGwO1n0QQGx9kKbO0_M5gmuhXZ6-LaxQxgrmJnzgP0"",""'TP# look up'!A:C""),3,0),"""")"),"")</f>
        <v/>
      </c>
      <c r="AH3946" s="49" t="str">
        <f t="shared" si="61"/>
        <v/>
      </c>
    </row>
    <row r="3947" spans="8:34" ht="12.75">
      <c r="H3947" s="43"/>
      <c r="AG3947" s="49" t="str">
        <f ca="1">IFERROR(__xludf.DUMMYFUNCTION("IFNA(vlookup(H3947,IMPORTRANGE(""1vUGwO1n0QQGx9kKbO0_M5gmuhXZ6-LaxQxgrmJnzgP0"",""'TP# look up'!A:C""),3,0),"""")"),"")</f>
        <v/>
      </c>
      <c r="AH3947" s="49" t="str">
        <f t="shared" si="61"/>
        <v/>
      </c>
    </row>
    <row r="3948" spans="8:34" ht="12.75">
      <c r="H3948" s="43"/>
      <c r="AG3948" s="49" t="str">
        <f ca="1">IFERROR(__xludf.DUMMYFUNCTION("IFNA(vlookup(H3948,IMPORTRANGE(""1vUGwO1n0QQGx9kKbO0_M5gmuhXZ6-LaxQxgrmJnzgP0"",""'TP# look up'!A:C""),3,0),"""")"),"")</f>
        <v/>
      </c>
      <c r="AH3948" s="49" t="str">
        <f t="shared" si="61"/>
        <v/>
      </c>
    </row>
    <row r="3949" spans="8:34" ht="12.75">
      <c r="H3949" s="43"/>
      <c r="AG3949" s="49" t="str">
        <f ca="1">IFERROR(__xludf.DUMMYFUNCTION("IFNA(vlookup(H3949,IMPORTRANGE(""1vUGwO1n0QQGx9kKbO0_M5gmuhXZ6-LaxQxgrmJnzgP0"",""'TP# look up'!A:C""),3,0),"""")"),"")</f>
        <v/>
      </c>
      <c r="AH3949" s="49" t="str">
        <f t="shared" si="61"/>
        <v/>
      </c>
    </row>
    <row r="3950" spans="8:34" ht="12.75">
      <c r="H3950" s="43"/>
      <c r="AG3950" s="49" t="str">
        <f ca="1">IFERROR(__xludf.DUMMYFUNCTION("IFNA(vlookup(H3950,IMPORTRANGE(""1vUGwO1n0QQGx9kKbO0_M5gmuhXZ6-LaxQxgrmJnzgP0"",""'TP# look up'!A:C""),3,0),"""")"),"")</f>
        <v/>
      </c>
      <c r="AH3950" s="49" t="str">
        <f t="shared" si="61"/>
        <v/>
      </c>
    </row>
    <row r="3951" spans="8:34" ht="12.75">
      <c r="H3951" s="43"/>
      <c r="AG3951" s="49" t="str">
        <f ca="1">IFERROR(__xludf.DUMMYFUNCTION("IFNA(vlookup(H3951,IMPORTRANGE(""1vUGwO1n0QQGx9kKbO0_M5gmuhXZ6-LaxQxgrmJnzgP0"",""'TP# look up'!A:C""),3,0),"""")"),"")</f>
        <v/>
      </c>
      <c r="AH3951" s="49" t="str">
        <f t="shared" si="61"/>
        <v/>
      </c>
    </row>
    <row r="3952" spans="8:34" ht="12.75">
      <c r="H3952" s="43"/>
      <c r="AG3952" s="49" t="str">
        <f ca="1">IFERROR(__xludf.DUMMYFUNCTION("IFNA(vlookup(H3952,IMPORTRANGE(""1vUGwO1n0QQGx9kKbO0_M5gmuhXZ6-LaxQxgrmJnzgP0"",""'TP# look up'!A:C""),3,0),"""")"),"")</f>
        <v/>
      </c>
      <c r="AH3952" s="49" t="str">
        <f t="shared" si="61"/>
        <v/>
      </c>
    </row>
    <row r="3953" spans="8:34" ht="12.75">
      <c r="H3953" s="43"/>
      <c r="AG3953" s="49" t="str">
        <f ca="1">IFERROR(__xludf.DUMMYFUNCTION("IFNA(vlookup(H3953,IMPORTRANGE(""1vUGwO1n0QQGx9kKbO0_M5gmuhXZ6-LaxQxgrmJnzgP0"",""'TP# look up'!A:C""),3,0),"""")"),"")</f>
        <v/>
      </c>
      <c r="AH3953" s="49" t="str">
        <f t="shared" si="61"/>
        <v/>
      </c>
    </row>
    <row r="3954" spans="8:34" ht="12.75">
      <c r="H3954" s="43"/>
      <c r="AG3954" s="49" t="str">
        <f ca="1">IFERROR(__xludf.DUMMYFUNCTION("IFNA(vlookup(H3954,IMPORTRANGE(""1vUGwO1n0QQGx9kKbO0_M5gmuhXZ6-LaxQxgrmJnzgP0"",""'TP# look up'!A:C""),3,0),"""")"),"")</f>
        <v/>
      </c>
      <c r="AH3954" s="49" t="str">
        <f t="shared" si="61"/>
        <v/>
      </c>
    </row>
    <row r="3955" spans="8:34" ht="12.75">
      <c r="H3955" s="43"/>
      <c r="AG3955" s="49" t="str">
        <f ca="1">IFERROR(__xludf.DUMMYFUNCTION("IFNA(vlookup(H3955,IMPORTRANGE(""1vUGwO1n0QQGx9kKbO0_M5gmuhXZ6-LaxQxgrmJnzgP0"",""'TP# look up'!A:C""),3,0),"""")"),"")</f>
        <v/>
      </c>
      <c r="AH3955" s="49" t="str">
        <f t="shared" si="61"/>
        <v/>
      </c>
    </row>
    <row r="3956" spans="8:34" ht="12.75">
      <c r="H3956" s="43"/>
      <c r="AG3956" s="49" t="str">
        <f ca="1">IFERROR(__xludf.DUMMYFUNCTION("IFNA(vlookup(H3956,IMPORTRANGE(""1vUGwO1n0QQGx9kKbO0_M5gmuhXZ6-LaxQxgrmJnzgP0"",""'TP# look up'!A:C""),3,0),"""")"),"")</f>
        <v/>
      </c>
      <c r="AH3956" s="49" t="str">
        <f t="shared" si="61"/>
        <v/>
      </c>
    </row>
    <row r="3957" spans="8:34" ht="12.75">
      <c r="H3957" s="43"/>
      <c r="AG3957" s="49" t="str">
        <f ca="1">IFERROR(__xludf.DUMMYFUNCTION("IFNA(vlookup(H3957,IMPORTRANGE(""1vUGwO1n0QQGx9kKbO0_M5gmuhXZ6-LaxQxgrmJnzgP0"",""'TP# look up'!A:C""),3,0),"""")"),"")</f>
        <v/>
      </c>
      <c r="AH3957" s="49" t="str">
        <f t="shared" si="61"/>
        <v/>
      </c>
    </row>
    <row r="3958" spans="8:34" ht="12.75">
      <c r="H3958" s="43"/>
      <c r="AG3958" s="49" t="str">
        <f ca="1">IFERROR(__xludf.DUMMYFUNCTION("IFNA(vlookup(H3958,IMPORTRANGE(""1vUGwO1n0QQGx9kKbO0_M5gmuhXZ6-LaxQxgrmJnzgP0"",""'TP# look up'!A:C""),3,0),"""")"),"")</f>
        <v/>
      </c>
      <c r="AH3958" s="49" t="str">
        <f t="shared" si="61"/>
        <v/>
      </c>
    </row>
    <row r="3959" spans="8:34" ht="12.75">
      <c r="H3959" s="43"/>
      <c r="AG3959" s="49" t="str">
        <f ca="1">IFERROR(__xludf.DUMMYFUNCTION("IFNA(vlookup(H3959,IMPORTRANGE(""1vUGwO1n0QQGx9kKbO0_M5gmuhXZ6-LaxQxgrmJnzgP0"",""'TP# look up'!A:C""),3,0),"""")"),"")</f>
        <v/>
      </c>
      <c r="AH3959" s="49" t="str">
        <f t="shared" si="61"/>
        <v/>
      </c>
    </row>
    <row r="3960" spans="8:34" ht="12.75">
      <c r="H3960" s="43"/>
      <c r="AG3960" s="49" t="str">
        <f ca="1">IFERROR(__xludf.DUMMYFUNCTION("IFNA(vlookup(H3960,IMPORTRANGE(""1vUGwO1n0QQGx9kKbO0_M5gmuhXZ6-LaxQxgrmJnzgP0"",""'TP# look up'!A:C""),3,0),"""")"),"")</f>
        <v/>
      </c>
      <c r="AH3960" s="49" t="str">
        <f t="shared" si="61"/>
        <v/>
      </c>
    </row>
    <row r="3961" spans="8:34" ht="12.75">
      <c r="H3961" s="43"/>
      <c r="AG3961" s="49" t="str">
        <f ca="1">IFERROR(__xludf.DUMMYFUNCTION("IFNA(vlookup(H3961,IMPORTRANGE(""1vUGwO1n0QQGx9kKbO0_M5gmuhXZ6-LaxQxgrmJnzgP0"",""'TP# look up'!A:C""),3,0),"""")"),"")</f>
        <v/>
      </c>
      <c r="AH3961" s="49" t="str">
        <f t="shared" si="61"/>
        <v/>
      </c>
    </row>
    <row r="3962" spans="8:34" ht="12.75">
      <c r="H3962" s="43"/>
      <c r="AG3962" s="49" t="str">
        <f ca="1">IFERROR(__xludf.DUMMYFUNCTION("IFNA(vlookup(H3962,IMPORTRANGE(""1vUGwO1n0QQGx9kKbO0_M5gmuhXZ6-LaxQxgrmJnzgP0"",""'TP# look up'!A:C""),3,0),"""")"),"")</f>
        <v/>
      </c>
      <c r="AH3962" s="49" t="str">
        <f t="shared" si="61"/>
        <v/>
      </c>
    </row>
    <row r="3963" spans="8:34" ht="12.75">
      <c r="H3963" s="43"/>
      <c r="AG3963" s="49" t="str">
        <f ca="1">IFERROR(__xludf.DUMMYFUNCTION("IFNA(vlookup(H3963,IMPORTRANGE(""1vUGwO1n0QQGx9kKbO0_M5gmuhXZ6-LaxQxgrmJnzgP0"",""'TP# look up'!A:C""),3,0),"""")"),"")</f>
        <v/>
      </c>
      <c r="AH3963" s="49" t="str">
        <f t="shared" si="61"/>
        <v/>
      </c>
    </row>
    <row r="3964" spans="8:34" ht="12.75">
      <c r="H3964" s="43"/>
      <c r="AG3964" s="49" t="str">
        <f ca="1">IFERROR(__xludf.DUMMYFUNCTION("IFNA(vlookup(H3964,IMPORTRANGE(""1vUGwO1n0QQGx9kKbO0_M5gmuhXZ6-LaxQxgrmJnzgP0"",""'TP# look up'!A:C""),3,0),"""")"),"")</f>
        <v/>
      </c>
      <c r="AH3964" s="49" t="str">
        <f t="shared" si="61"/>
        <v/>
      </c>
    </row>
    <row r="3965" spans="8:34" ht="12.75">
      <c r="H3965" s="43"/>
      <c r="AG3965" s="49" t="str">
        <f ca="1">IFERROR(__xludf.DUMMYFUNCTION("IFNA(vlookup(H3965,IMPORTRANGE(""1vUGwO1n0QQGx9kKbO0_M5gmuhXZ6-LaxQxgrmJnzgP0"",""'TP# look up'!A:C""),3,0),"""")"),"")</f>
        <v/>
      </c>
      <c r="AH3965" s="49" t="str">
        <f t="shared" si="61"/>
        <v/>
      </c>
    </row>
    <row r="3966" spans="8:34" ht="12.75">
      <c r="H3966" s="43"/>
      <c r="AG3966" s="49" t="str">
        <f ca="1">IFERROR(__xludf.DUMMYFUNCTION("IFNA(vlookup(H3966,IMPORTRANGE(""1vUGwO1n0QQGx9kKbO0_M5gmuhXZ6-LaxQxgrmJnzgP0"",""'TP# look up'!A:C""),3,0),"""")"),"")</f>
        <v/>
      </c>
      <c r="AH3966" s="49" t="str">
        <f t="shared" si="61"/>
        <v/>
      </c>
    </row>
    <row r="3967" spans="8:34" ht="12.75">
      <c r="H3967" s="43"/>
      <c r="AG3967" s="49" t="str">
        <f ca="1">IFERROR(__xludf.DUMMYFUNCTION("IFNA(vlookup(H3967,IMPORTRANGE(""1vUGwO1n0QQGx9kKbO0_M5gmuhXZ6-LaxQxgrmJnzgP0"",""'TP# look up'!A:C""),3,0),"""")"),"")</f>
        <v/>
      </c>
      <c r="AH3967" s="49" t="str">
        <f t="shared" si="61"/>
        <v/>
      </c>
    </row>
    <row r="3968" spans="8:34" ht="12.75">
      <c r="H3968" s="43"/>
      <c r="AG3968" s="49" t="str">
        <f ca="1">IFERROR(__xludf.DUMMYFUNCTION("IFNA(vlookup(H3968,IMPORTRANGE(""1vUGwO1n0QQGx9kKbO0_M5gmuhXZ6-LaxQxgrmJnzgP0"",""'TP# look up'!A:C""),3,0),"""")"),"")</f>
        <v/>
      </c>
      <c r="AH3968" s="49" t="str">
        <f t="shared" si="61"/>
        <v/>
      </c>
    </row>
    <row r="3969" spans="8:34" ht="12.75">
      <c r="H3969" s="43"/>
      <c r="AG3969" s="49" t="str">
        <f ca="1">IFERROR(__xludf.DUMMYFUNCTION("IFNA(vlookup(H3969,IMPORTRANGE(""1vUGwO1n0QQGx9kKbO0_M5gmuhXZ6-LaxQxgrmJnzgP0"",""'TP# look up'!A:C""),3,0),"""")"),"")</f>
        <v/>
      </c>
      <c r="AH3969" s="49" t="str">
        <f t="shared" si="61"/>
        <v/>
      </c>
    </row>
    <row r="3970" spans="8:34" ht="12.75">
      <c r="H3970" s="43"/>
      <c r="AG3970" s="49" t="str">
        <f ca="1">IFERROR(__xludf.DUMMYFUNCTION("IFNA(vlookup(H3970,IMPORTRANGE(""1vUGwO1n0QQGx9kKbO0_M5gmuhXZ6-LaxQxgrmJnzgP0"",""'TP# look up'!A:C""),3,0),"""")"),"")</f>
        <v/>
      </c>
      <c r="AH3970" s="49" t="str">
        <f t="shared" ref="AH3970:AH4033" si="62">LEFT(J3970,2)</f>
        <v/>
      </c>
    </row>
    <row r="3971" spans="8:34" ht="12.75">
      <c r="H3971" s="43"/>
      <c r="AG3971" s="49" t="str">
        <f ca="1">IFERROR(__xludf.DUMMYFUNCTION("IFNA(vlookup(H3971,IMPORTRANGE(""1vUGwO1n0QQGx9kKbO0_M5gmuhXZ6-LaxQxgrmJnzgP0"",""'TP# look up'!A:C""),3,0),"""")"),"")</f>
        <v/>
      </c>
      <c r="AH3971" s="49" t="str">
        <f t="shared" si="62"/>
        <v/>
      </c>
    </row>
    <row r="3972" spans="8:34" ht="12.75">
      <c r="H3972" s="43"/>
      <c r="AG3972" s="49" t="str">
        <f ca="1">IFERROR(__xludf.DUMMYFUNCTION("IFNA(vlookup(H3972,IMPORTRANGE(""1vUGwO1n0QQGx9kKbO0_M5gmuhXZ6-LaxQxgrmJnzgP0"",""'TP# look up'!A:C""),3,0),"""")"),"")</f>
        <v/>
      </c>
      <c r="AH3972" s="49" t="str">
        <f t="shared" si="62"/>
        <v/>
      </c>
    </row>
    <row r="3973" spans="8:34" ht="12.75">
      <c r="H3973" s="43"/>
      <c r="AG3973" s="49" t="str">
        <f ca="1">IFERROR(__xludf.DUMMYFUNCTION("IFNA(vlookup(H3973,IMPORTRANGE(""1vUGwO1n0QQGx9kKbO0_M5gmuhXZ6-LaxQxgrmJnzgP0"",""'TP# look up'!A:C""),3,0),"""")"),"")</f>
        <v/>
      </c>
      <c r="AH3973" s="49" t="str">
        <f t="shared" si="62"/>
        <v/>
      </c>
    </row>
    <row r="3974" spans="8:34" ht="12.75">
      <c r="H3974" s="43"/>
      <c r="AG3974" s="49" t="str">
        <f ca="1">IFERROR(__xludf.DUMMYFUNCTION("IFNA(vlookup(H3974,IMPORTRANGE(""1vUGwO1n0QQGx9kKbO0_M5gmuhXZ6-LaxQxgrmJnzgP0"",""'TP# look up'!A:C""),3,0),"""")"),"")</f>
        <v/>
      </c>
      <c r="AH3974" s="49" t="str">
        <f t="shared" si="62"/>
        <v/>
      </c>
    </row>
    <row r="3975" spans="8:34" ht="12.75">
      <c r="H3975" s="43"/>
      <c r="AG3975" s="49" t="str">
        <f ca="1">IFERROR(__xludf.DUMMYFUNCTION("IFNA(vlookup(H3975,IMPORTRANGE(""1vUGwO1n0QQGx9kKbO0_M5gmuhXZ6-LaxQxgrmJnzgP0"",""'TP# look up'!A:C""),3,0),"""")"),"")</f>
        <v/>
      </c>
      <c r="AH3975" s="49" t="str">
        <f t="shared" si="62"/>
        <v/>
      </c>
    </row>
    <row r="3976" spans="8:34" ht="12.75">
      <c r="H3976" s="43"/>
      <c r="AG3976" s="49" t="str">
        <f ca="1">IFERROR(__xludf.DUMMYFUNCTION("IFNA(vlookup(H3976,IMPORTRANGE(""1vUGwO1n0QQGx9kKbO0_M5gmuhXZ6-LaxQxgrmJnzgP0"",""'TP# look up'!A:C""),3,0),"""")"),"")</f>
        <v/>
      </c>
      <c r="AH3976" s="49" t="str">
        <f t="shared" si="62"/>
        <v/>
      </c>
    </row>
    <row r="3977" spans="8:34" ht="12.75">
      <c r="H3977" s="43"/>
      <c r="AG3977" s="49" t="str">
        <f ca="1">IFERROR(__xludf.DUMMYFUNCTION("IFNA(vlookup(H3977,IMPORTRANGE(""1vUGwO1n0QQGx9kKbO0_M5gmuhXZ6-LaxQxgrmJnzgP0"",""'TP# look up'!A:C""),3,0),"""")"),"")</f>
        <v/>
      </c>
      <c r="AH3977" s="49" t="str">
        <f t="shared" si="62"/>
        <v/>
      </c>
    </row>
    <row r="3978" spans="8:34" ht="12.75">
      <c r="H3978" s="43"/>
      <c r="AG3978" s="49" t="str">
        <f ca="1">IFERROR(__xludf.DUMMYFUNCTION("IFNA(vlookup(H3978,IMPORTRANGE(""1vUGwO1n0QQGx9kKbO0_M5gmuhXZ6-LaxQxgrmJnzgP0"",""'TP# look up'!A:C""),3,0),"""")"),"")</f>
        <v/>
      </c>
      <c r="AH3978" s="49" t="str">
        <f t="shared" si="62"/>
        <v/>
      </c>
    </row>
    <row r="3979" spans="8:34" ht="12.75">
      <c r="H3979" s="43"/>
      <c r="AG3979" s="49" t="str">
        <f ca="1">IFERROR(__xludf.DUMMYFUNCTION("IFNA(vlookup(H3979,IMPORTRANGE(""1vUGwO1n0QQGx9kKbO0_M5gmuhXZ6-LaxQxgrmJnzgP0"",""'TP# look up'!A:C""),3,0),"""")"),"")</f>
        <v/>
      </c>
      <c r="AH3979" s="49" t="str">
        <f t="shared" si="62"/>
        <v/>
      </c>
    </row>
    <row r="3980" spans="8:34" ht="12.75">
      <c r="H3980" s="43"/>
      <c r="AG3980" s="49" t="str">
        <f ca="1">IFERROR(__xludf.DUMMYFUNCTION("IFNA(vlookup(H3980,IMPORTRANGE(""1vUGwO1n0QQGx9kKbO0_M5gmuhXZ6-LaxQxgrmJnzgP0"",""'TP# look up'!A:C""),3,0),"""")"),"")</f>
        <v/>
      </c>
      <c r="AH3980" s="49" t="str">
        <f t="shared" si="62"/>
        <v/>
      </c>
    </row>
    <row r="3981" spans="8:34" ht="12.75">
      <c r="H3981" s="43"/>
      <c r="AG3981" s="49" t="str">
        <f ca="1">IFERROR(__xludf.DUMMYFUNCTION("IFNA(vlookup(H3981,IMPORTRANGE(""1vUGwO1n0QQGx9kKbO0_M5gmuhXZ6-LaxQxgrmJnzgP0"",""'TP# look up'!A:C""),3,0),"""")"),"")</f>
        <v/>
      </c>
      <c r="AH3981" s="49" t="str">
        <f t="shared" si="62"/>
        <v/>
      </c>
    </row>
    <row r="3982" spans="8:34" ht="12.75">
      <c r="H3982" s="43"/>
      <c r="AG3982" s="49" t="str">
        <f ca="1">IFERROR(__xludf.DUMMYFUNCTION("IFNA(vlookup(H3982,IMPORTRANGE(""1vUGwO1n0QQGx9kKbO0_M5gmuhXZ6-LaxQxgrmJnzgP0"",""'TP# look up'!A:C""),3,0),"""")"),"")</f>
        <v/>
      </c>
      <c r="AH3982" s="49" t="str">
        <f t="shared" si="62"/>
        <v/>
      </c>
    </row>
    <row r="3983" spans="8:34" ht="12.75">
      <c r="H3983" s="43"/>
      <c r="AG3983" s="49" t="str">
        <f ca="1">IFERROR(__xludf.DUMMYFUNCTION("IFNA(vlookup(H3983,IMPORTRANGE(""1vUGwO1n0QQGx9kKbO0_M5gmuhXZ6-LaxQxgrmJnzgP0"",""'TP# look up'!A:C""),3,0),"""")"),"")</f>
        <v/>
      </c>
      <c r="AH3983" s="49" t="str">
        <f t="shared" si="62"/>
        <v/>
      </c>
    </row>
    <row r="3984" spans="8:34" ht="12.75">
      <c r="H3984" s="43"/>
      <c r="AG3984" s="49" t="str">
        <f ca="1">IFERROR(__xludf.DUMMYFUNCTION("IFNA(vlookup(H3984,IMPORTRANGE(""1vUGwO1n0QQGx9kKbO0_M5gmuhXZ6-LaxQxgrmJnzgP0"",""'TP# look up'!A:C""),3,0),"""")"),"")</f>
        <v/>
      </c>
      <c r="AH3984" s="49" t="str">
        <f t="shared" si="62"/>
        <v/>
      </c>
    </row>
    <row r="3985" spans="8:34" ht="12.75">
      <c r="H3985" s="43"/>
      <c r="AG3985" s="49" t="str">
        <f ca="1">IFERROR(__xludf.DUMMYFUNCTION("IFNA(vlookup(H3985,IMPORTRANGE(""1vUGwO1n0QQGx9kKbO0_M5gmuhXZ6-LaxQxgrmJnzgP0"",""'TP# look up'!A:C""),3,0),"""")"),"")</f>
        <v/>
      </c>
      <c r="AH3985" s="49" t="str">
        <f t="shared" si="62"/>
        <v/>
      </c>
    </row>
    <row r="3986" spans="8:34" ht="12.75">
      <c r="H3986" s="43"/>
      <c r="AG3986" s="49" t="str">
        <f ca="1">IFERROR(__xludf.DUMMYFUNCTION("IFNA(vlookup(H3986,IMPORTRANGE(""1vUGwO1n0QQGx9kKbO0_M5gmuhXZ6-LaxQxgrmJnzgP0"",""'TP# look up'!A:C""),3,0),"""")"),"")</f>
        <v/>
      </c>
      <c r="AH3986" s="49" t="str">
        <f t="shared" si="62"/>
        <v/>
      </c>
    </row>
    <row r="3987" spans="8:34" ht="12.75">
      <c r="H3987" s="43"/>
      <c r="AG3987" s="49" t="str">
        <f ca="1">IFERROR(__xludf.DUMMYFUNCTION("IFNA(vlookup(H3987,IMPORTRANGE(""1vUGwO1n0QQGx9kKbO0_M5gmuhXZ6-LaxQxgrmJnzgP0"",""'TP# look up'!A:C""),3,0),"""")"),"")</f>
        <v/>
      </c>
      <c r="AH3987" s="49" t="str">
        <f t="shared" si="62"/>
        <v/>
      </c>
    </row>
    <row r="3988" spans="8:34" ht="12.75">
      <c r="H3988" s="43"/>
      <c r="AG3988" s="49" t="str">
        <f ca="1">IFERROR(__xludf.DUMMYFUNCTION("IFNA(vlookup(H3988,IMPORTRANGE(""1vUGwO1n0QQGx9kKbO0_M5gmuhXZ6-LaxQxgrmJnzgP0"",""'TP# look up'!A:C""),3,0),"""")"),"")</f>
        <v/>
      </c>
      <c r="AH3988" s="49" t="str">
        <f t="shared" si="62"/>
        <v/>
      </c>
    </row>
    <row r="3989" spans="8:34" ht="12.75">
      <c r="H3989" s="43"/>
      <c r="AG3989" s="49" t="str">
        <f ca="1">IFERROR(__xludf.DUMMYFUNCTION("IFNA(vlookup(H3989,IMPORTRANGE(""1vUGwO1n0QQGx9kKbO0_M5gmuhXZ6-LaxQxgrmJnzgP0"",""'TP# look up'!A:C""),3,0),"""")"),"")</f>
        <v/>
      </c>
      <c r="AH3989" s="49" t="str">
        <f t="shared" si="62"/>
        <v/>
      </c>
    </row>
    <row r="3990" spans="8:34" ht="12.75">
      <c r="H3990" s="43"/>
      <c r="AG3990" s="49" t="str">
        <f ca="1">IFERROR(__xludf.DUMMYFUNCTION("IFNA(vlookup(H3990,IMPORTRANGE(""1vUGwO1n0QQGx9kKbO0_M5gmuhXZ6-LaxQxgrmJnzgP0"",""'TP# look up'!A:C""),3,0),"""")"),"")</f>
        <v/>
      </c>
      <c r="AH3990" s="49" t="str">
        <f t="shared" si="62"/>
        <v/>
      </c>
    </row>
    <row r="3991" spans="8:34" ht="12.75">
      <c r="H3991" s="43"/>
      <c r="AG3991" s="49" t="str">
        <f ca="1">IFERROR(__xludf.DUMMYFUNCTION("IFNA(vlookup(H3991,IMPORTRANGE(""1vUGwO1n0QQGx9kKbO0_M5gmuhXZ6-LaxQxgrmJnzgP0"",""'TP# look up'!A:C""),3,0),"""")"),"")</f>
        <v/>
      </c>
      <c r="AH3991" s="49" t="str">
        <f t="shared" si="62"/>
        <v/>
      </c>
    </row>
    <row r="3992" spans="8:34" ht="12.75">
      <c r="H3992" s="43"/>
      <c r="AG3992" s="49" t="str">
        <f ca="1">IFERROR(__xludf.DUMMYFUNCTION("IFNA(vlookup(H3992,IMPORTRANGE(""1vUGwO1n0QQGx9kKbO0_M5gmuhXZ6-LaxQxgrmJnzgP0"",""'TP# look up'!A:C""),3,0),"""")"),"")</f>
        <v/>
      </c>
      <c r="AH3992" s="49" t="str">
        <f t="shared" si="62"/>
        <v/>
      </c>
    </row>
    <row r="3993" spans="8:34" ht="12.75">
      <c r="H3993" s="43"/>
      <c r="AG3993" s="49" t="str">
        <f ca="1">IFERROR(__xludf.DUMMYFUNCTION("IFNA(vlookup(H3993,IMPORTRANGE(""1vUGwO1n0QQGx9kKbO0_M5gmuhXZ6-LaxQxgrmJnzgP0"",""'TP# look up'!A:C""),3,0),"""")"),"")</f>
        <v/>
      </c>
      <c r="AH3993" s="49" t="str">
        <f t="shared" si="62"/>
        <v/>
      </c>
    </row>
    <row r="3994" spans="8:34" ht="12.75">
      <c r="H3994" s="43"/>
      <c r="AG3994" s="49" t="str">
        <f ca="1">IFERROR(__xludf.DUMMYFUNCTION("IFNA(vlookup(H3994,IMPORTRANGE(""1vUGwO1n0QQGx9kKbO0_M5gmuhXZ6-LaxQxgrmJnzgP0"",""'TP# look up'!A:C""),3,0),"""")"),"")</f>
        <v/>
      </c>
      <c r="AH3994" s="49" t="str">
        <f t="shared" si="62"/>
        <v/>
      </c>
    </row>
    <row r="3995" spans="8:34" ht="12.75">
      <c r="H3995" s="43"/>
      <c r="AG3995" s="49" t="str">
        <f ca="1">IFERROR(__xludf.DUMMYFUNCTION("IFNA(vlookup(H3995,IMPORTRANGE(""1vUGwO1n0QQGx9kKbO0_M5gmuhXZ6-LaxQxgrmJnzgP0"",""'TP# look up'!A:C""),3,0),"""")"),"")</f>
        <v/>
      </c>
      <c r="AH3995" s="49" t="str">
        <f t="shared" si="62"/>
        <v/>
      </c>
    </row>
    <row r="3996" spans="8:34" ht="12.75">
      <c r="H3996" s="43"/>
      <c r="AG3996" s="49" t="str">
        <f ca="1">IFERROR(__xludf.DUMMYFUNCTION("IFNA(vlookup(H3996,IMPORTRANGE(""1vUGwO1n0QQGx9kKbO0_M5gmuhXZ6-LaxQxgrmJnzgP0"",""'TP# look up'!A:C""),3,0),"""")"),"")</f>
        <v/>
      </c>
      <c r="AH3996" s="49" t="str">
        <f t="shared" si="62"/>
        <v/>
      </c>
    </row>
    <row r="3997" spans="8:34" ht="12.75">
      <c r="H3997" s="43"/>
      <c r="AG3997" s="49" t="str">
        <f ca="1">IFERROR(__xludf.DUMMYFUNCTION("IFNA(vlookup(H3997,IMPORTRANGE(""1vUGwO1n0QQGx9kKbO0_M5gmuhXZ6-LaxQxgrmJnzgP0"",""'TP# look up'!A:C""),3,0),"""")"),"")</f>
        <v/>
      </c>
      <c r="AH3997" s="49" t="str">
        <f t="shared" si="62"/>
        <v/>
      </c>
    </row>
    <row r="3998" spans="8:34" ht="12.75">
      <c r="H3998" s="43"/>
      <c r="AG3998" s="49" t="str">
        <f ca="1">IFERROR(__xludf.DUMMYFUNCTION("IFNA(vlookup(H3998,IMPORTRANGE(""1vUGwO1n0QQGx9kKbO0_M5gmuhXZ6-LaxQxgrmJnzgP0"",""'TP# look up'!A:C""),3,0),"""")"),"")</f>
        <v/>
      </c>
      <c r="AH3998" s="49" t="str">
        <f t="shared" si="62"/>
        <v/>
      </c>
    </row>
    <row r="3999" spans="8:34" ht="12.75">
      <c r="H3999" s="43"/>
      <c r="AG3999" s="49" t="str">
        <f ca="1">IFERROR(__xludf.DUMMYFUNCTION("IFNA(vlookup(H3999,IMPORTRANGE(""1vUGwO1n0QQGx9kKbO0_M5gmuhXZ6-LaxQxgrmJnzgP0"",""'TP# look up'!A:C""),3,0),"""")"),"")</f>
        <v/>
      </c>
      <c r="AH3999" s="49" t="str">
        <f t="shared" si="62"/>
        <v/>
      </c>
    </row>
    <row r="4000" spans="8:34" ht="12.75">
      <c r="H4000" s="43"/>
      <c r="AG4000" s="49" t="str">
        <f ca="1">IFERROR(__xludf.DUMMYFUNCTION("IFNA(vlookup(H4000,IMPORTRANGE(""1vUGwO1n0QQGx9kKbO0_M5gmuhXZ6-LaxQxgrmJnzgP0"",""'TP# look up'!A:C""),3,0),"""")"),"")</f>
        <v/>
      </c>
      <c r="AH4000" s="49" t="str">
        <f t="shared" si="62"/>
        <v/>
      </c>
    </row>
    <row r="4001" spans="8:34" ht="12.75">
      <c r="H4001" s="43"/>
      <c r="AG4001" s="49" t="str">
        <f ca="1">IFERROR(__xludf.DUMMYFUNCTION("IFNA(vlookup(H4001,IMPORTRANGE(""1vUGwO1n0QQGx9kKbO0_M5gmuhXZ6-LaxQxgrmJnzgP0"",""'TP# look up'!A:C""),3,0),"""")"),"")</f>
        <v/>
      </c>
      <c r="AH4001" s="49" t="str">
        <f t="shared" si="62"/>
        <v/>
      </c>
    </row>
    <row r="4002" spans="8:34" ht="12.75">
      <c r="H4002" s="43"/>
      <c r="AG4002" s="49" t="str">
        <f ca="1">IFERROR(__xludf.DUMMYFUNCTION("IFNA(vlookup(H4002,IMPORTRANGE(""1vUGwO1n0QQGx9kKbO0_M5gmuhXZ6-LaxQxgrmJnzgP0"",""'TP# look up'!A:C""),3,0),"""")"),"")</f>
        <v/>
      </c>
      <c r="AH4002" s="49" t="str">
        <f t="shared" si="62"/>
        <v/>
      </c>
    </row>
    <row r="4003" spans="8:34" ht="12.75">
      <c r="H4003" s="43"/>
      <c r="AG4003" s="49" t="str">
        <f ca="1">IFERROR(__xludf.DUMMYFUNCTION("IFNA(vlookup(H4003,IMPORTRANGE(""1vUGwO1n0QQGx9kKbO0_M5gmuhXZ6-LaxQxgrmJnzgP0"",""'TP# look up'!A:C""),3,0),"""")"),"")</f>
        <v/>
      </c>
      <c r="AH4003" s="49" t="str">
        <f t="shared" si="62"/>
        <v/>
      </c>
    </row>
    <row r="4004" spans="8:34" ht="12.75">
      <c r="H4004" s="43"/>
      <c r="AG4004" s="49" t="str">
        <f ca="1">IFERROR(__xludf.DUMMYFUNCTION("IFNA(vlookup(H4004,IMPORTRANGE(""1vUGwO1n0QQGx9kKbO0_M5gmuhXZ6-LaxQxgrmJnzgP0"",""'TP# look up'!A:C""),3,0),"""")"),"")</f>
        <v/>
      </c>
      <c r="AH4004" s="49" t="str">
        <f t="shared" si="62"/>
        <v/>
      </c>
    </row>
    <row r="4005" spans="8:34" ht="12.75">
      <c r="H4005" s="43"/>
      <c r="AG4005" s="49" t="str">
        <f ca="1">IFERROR(__xludf.DUMMYFUNCTION("IFNA(vlookup(H4005,IMPORTRANGE(""1vUGwO1n0QQGx9kKbO0_M5gmuhXZ6-LaxQxgrmJnzgP0"",""'TP# look up'!A:C""),3,0),"""")"),"")</f>
        <v/>
      </c>
      <c r="AH4005" s="49" t="str">
        <f t="shared" si="62"/>
        <v/>
      </c>
    </row>
    <row r="4006" spans="8:34" ht="12.75">
      <c r="H4006" s="43"/>
      <c r="AG4006" s="49" t="str">
        <f ca="1">IFERROR(__xludf.DUMMYFUNCTION("IFNA(vlookup(H4006,IMPORTRANGE(""1vUGwO1n0QQGx9kKbO0_M5gmuhXZ6-LaxQxgrmJnzgP0"",""'TP# look up'!A:C""),3,0),"""")"),"")</f>
        <v/>
      </c>
      <c r="AH4006" s="49" t="str">
        <f t="shared" si="62"/>
        <v/>
      </c>
    </row>
    <row r="4007" spans="8:34" ht="12.75">
      <c r="H4007" s="43"/>
      <c r="AG4007" s="49" t="str">
        <f ca="1">IFERROR(__xludf.DUMMYFUNCTION("IFNA(vlookup(H4007,IMPORTRANGE(""1vUGwO1n0QQGx9kKbO0_M5gmuhXZ6-LaxQxgrmJnzgP0"",""'TP# look up'!A:C""),3,0),"""")"),"")</f>
        <v/>
      </c>
      <c r="AH4007" s="49" t="str">
        <f t="shared" si="62"/>
        <v/>
      </c>
    </row>
    <row r="4008" spans="8:34" ht="12.75">
      <c r="H4008" s="43"/>
      <c r="AG4008" s="49" t="str">
        <f ca="1">IFERROR(__xludf.DUMMYFUNCTION("IFNA(vlookup(H4008,IMPORTRANGE(""1vUGwO1n0QQGx9kKbO0_M5gmuhXZ6-LaxQxgrmJnzgP0"",""'TP# look up'!A:C""),3,0),"""")"),"")</f>
        <v/>
      </c>
      <c r="AH4008" s="49" t="str">
        <f t="shared" si="62"/>
        <v/>
      </c>
    </row>
    <row r="4009" spans="8:34" ht="12.75">
      <c r="H4009" s="43"/>
      <c r="AG4009" s="49" t="str">
        <f ca="1">IFERROR(__xludf.DUMMYFUNCTION("IFNA(vlookup(H4009,IMPORTRANGE(""1vUGwO1n0QQGx9kKbO0_M5gmuhXZ6-LaxQxgrmJnzgP0"",""'TP# look up'!A:C""),3,0),"""")"),"")</f>
        <v/>
      </c>
      <c r="AH4009" s="49" t="str">
        <f t="shared" si="62"/>
        <v/>
      </c>
    </row>
    <row r="4010" spans="8:34" ht="12.75">
      <c r="H4010" s="43"/>
      <c r="AG4010" s="49" t="str">
        <f ca="1">IFERROR(__xludf.DUMMYFUNCTION("IFNA(vlookup(H4010,IMPORTRANGE(""1vUGwO1n0QQGx9kKbO0_M5gmuhXZ6-LaxQxgrmJnzgP0"",""'TP# look up'!A:C""),3,0),"""")"),"")</f>
        <v/>
      </c>
      <c r="AH4010" s="49" t="str">
        <f t="shared" si="62"/>
        <v/>
      </c>
    </row>
    <row r="4011" spans="8:34" ht="12.75">
      <c r="H4011" s="43"/>
      <c r="AG4011" s="49" t="str">
        <f ca="1">IFERROR(__xludf.DUMMYFUNCTION("IFNA(vlookup(H4011,IMPORTRANGE(""1vUGwO1n0QQGx9kKbO0_M5gmuhXZ6-LaxQxgrmJnzgP0"",""'TP# look up'!A:C""),3,0),"""")"),"")</f>
        <v/>
      </c>
      <c r="AH4011" s="49" t="str">
        <f t="shared" si="62"/>
        <v/>
      </c>
    </row>
    <row r="4012" spans="8:34" ht="12.75">
      <c r="H4012" s="43"/>
      <c r="AG4012" s="49" t="str">
        <f ca="1">IFERROR(__xludf.DUMMYFUNCTION("IFNA(vlookup(H4012,IMPORTRANGE(""1vUGwO1n0QQGx9kKbO0_M5gmuhXZ6-LaxQxgrmJnzgP0"",""'TP# look up'!A:C""),3,0),"""")"),"")</f>
        <v/>
      </c>
      <c r="AH4012" s="49" t="str">
        <f t="shared" si="62"/>
        <v/>
      </c>
    </row>
    <row r="4013" spans="8:34" ht="12.75">
      <c r="H4013" s="43"/>
      <c r="AG4013" s="49" t="str">
        <f ca="1">IFERROR(__xludf.DUMMYFUNCTION("IFNA(vlookup(H4013,IMPORTRANGE(""1vUGwO1n0QQGx9kKbO0_M5gmuhXZ6-LaxQxgrmJnzgP0"",""'TP# look up'!A:C""),3,0),"""")"),"")</f>
        <v/>
      </c>
      <c r="AH4013" s="49" t="str">
        <f t="shared" si="62"/>
        <v/>
      </c>
    </row>
    <row r="4014" spans="8:34" ht="12.75">
      <c r="H4014" s="43"/>
      <c r="AG4014" s="49" t="str">
        <f ca="1">IFERROR(__xludf.DUMMYFUNCTION("IFNA(vlookup(H4014,IMPORTRANGE(""1vUGwO1n0QQGx9kKbO0_M5gmuhXZ6-LaxQxgrmJnzgP0"",""'TP# look up'!A:C""),3,0),"""")"),"")</f>
        <v/>
      </c>
      <c r="AH4014" s="49" t="str">
        <f t="shared" si="62"/>
        <v/>
      </c>
    </row>
    <row r="4015" spans="8:34" ht="12.75">
      <c r="H4015" s="43"/>
      <c r="AG4015" s="49" t="str">
        <f ca="1">IFERROR(__xludf.DUMMYFUNCTION("IFNA(vlookup(H4015,IMPORTRANGE(""1vUGwO1n0QQGx9kKbO0_M5gmuhXZ6-LaxQxgrmJnzgP0"",""'TP# look up'!A:C""),3,0),"""")"),"")</f>
        <v/>
      </c>
      <c r="AH4015" s="49" t="str">
        <f t="shared" si="62"/>
        <v/>
      </c>
    </row>
    <row r="4016" spans="8:34" ht="12.75">
      <c r="H4016" s="43"/>
      <c r="AG4016" s="49" t="str">
        <f ca="1">IFERROR(__xludf.DUMMYFUNCTION("IFNA(vlookup(H4016,IMPORTRANGE(""1vUGwO1n0QQGx9kKbO0_M5gmuhXZ6-LaxQxgrmJnzgP0"",""'TP# look up'!A:C""),3,0),"""")"),"")</f>
        <v/>
      </c>
      <c r="AH4016" s="49" t="str">
        <f t="shared" si="62"/>
        <v/>
      </c>
    </row>
    <row r="4017" spans="8:34" ht="12.75">
      <c r="H4017" s="43"/>
      <c r="AG4017" s="49" t="str">
        <f ca="1">IFERROR(__xludf.DUMMYFUNCTION("IFNA(vlookup(H4017,IMPORTRANGE(""1vUGwO1n0QQGx9kKbO0_M5gmuhXZ6-LaxQxgrmJnzgP0"",""'TP# look up'!A:C""),3,0),"""")"),"")</f>
        <v/>
      </c>
      <c r="AH4017" s="49" t="str">
        <f t="shared" si="62"/>
        <v/>
      </c>
    </row>
    <row r="4018" spans="8:34" ht="12.75">
      <c r="H4018" s="43"/>
      <c r="AG4018" s="49" t="str">
        <f ca="1">IFERROR(__xludf.DUMMYFUNCTION("IFNA(vlookup(H4018,IMPORTRANGE(""1vUGwO1n0QQGx9kKbO0_M5gmuhXZ6-LaxQxgrmJnzgP0"",""'TP# look up'!A:C""),3,0),"""")"),"")</f>
        <v/>
      </c>
      <c r="AH4018" s="49" t="str">
        <f t="shared" si="62"/>
        <v/>
      </c>
    </row>
    <row r="4019" spans="8:34" ht="12.75">
      <c r="H4019" s="43"/>
      <c r="AG4019" s="49" t="str">
        <f ca="1">IFERROR(__xludf.DUMMYFUNCTION("IFNA(vlookup(H4019,IMPORTRANGE(""1vUGwO1n0QQGx9kKbO0_M5gmuhXZ6-LaxQxgrmJnzgP0"",""'TP# look up'!A:C""),3,0),"""")"),"")</f>
        <v/>
      </c>
      <c r="AH4019" s="49" t="str">
        <f t="shared" si="62"/>
        <v/>
      </c>
    </row>
    <row r="4020" spans="8:34" ht="12.75">
      <c r="H4020" s="43"/>
      <c r="AG4020" s="49" t="str">
        <f ca="1">IFERROR(__xludf.DUMMYFUNCTION("IFNA(vlookup(H4020,IMPORTRANGE(""1vUGwO1n0QQGx9kKbO0_M5gmuhXZ6-LaxQxgrmJnzgP0"",""'TP# look up'!A:C""),3,0),"""")"),"")</f>
        <v/>
      </c>
      <c r="AH4020" s="49" t="str">
        <f t="shared" si="62"/>
        <v/>
      </c>
    </row>
    <row r="4021" spans="8:34" ht="12.75">
      <c r="H4021" s="43"/>
      <c r="AG4021" s="49" t="str">
        <f ca="1">IFERROR(__xludf.DUMMYFUNCTION("IFNA(vlookup(H4021,IMPORTRANGE(""1vUGwO1n0QQGx9kKbO0_M5gmuhXZ6-LaxQxgrmJnzgP0"",""'TP# look up'!A:C""),3,0),"""")"),"")</f>
        <v/>
      </c>
      <c r="AH4021" s="49" t="str">
        <f t="shared" si="62"/>
        <v/>
      </c>
    </row>
    <row r="4022" spans="8:34" ht="12.75">
      <c r="H4022" s="43"/>
      <c r="AG4022" s="49" t="str">
        <f ca="1">IFERROR(__xludf.DUMMYFUNCTION("IFNA(vlookup(H4022,IMPORTRANGE(""1vUGwO1n0QQGx9kKbO0_M5gmuhXZ6-LaxQxgrmJnzgP0"",""'TP# look up'!A:C""),3,0),"""")"),"")</f>
        <v/>
      </c>
      <c r="AH4022" s="49" t="str">
        <f t="shared" si="62"/>
        <v/>
      </c>
    </row>
    <row r="4023" spans="8:34" ht="12.75">
      <c r="H4023" s="43"/>
      <c r="AG4023" s="49" t="str">
        <f ca="1">IFERROR(__xludf.DUMMYFUNCTION("IFNA(vlookup(H4023,IMPORTRANGE(""1vUGwO1n0QQGx9kKbO0_M5gmuhXZ6-LaxQxgrmJnzgP0"",""'TP# look up'!A:C""),3,0),"""")"),"")</f>
        <v/>
      </c>
      <c r="AH4023" s="49" t="str">
        <f t="shared" si="62"/>
        <v/>
      </c>
    </row>
    <row r="4024" spans="8:34" ht="12.75">
      <c r="H4024" s="43"/>
      <c r="AG4024" s="49" t="str">
        <f ca="1">IFERROR(__xludf.DUMMYFUNCTION("IFNA(vlookup(H4024,IMPORTRANGE(""1vUGwO1n0QQGx9kKbO0_M5gmuhXZ6-LaxQxgrmJnzgP0"",""'TP# look up'!A:C""),3,0),"""")"),"")</f>
        <v/>
      </c>
      <c r="AH4024" s="49" t="str">
        <f t="shared" si="62"/>
        <v/>
      </c>
    </row>
    <row r="4025" spans="8:34" ht="12.75">
      <c r="H4025" s="43"/>
      <c r="AG4025" s="49" t="str">
        <f ca="1">IFERROR(__xludf.DUMMYFUNCTION("IFNA(vlookup(H4025,IMPORTRANGE(""1vUGwO1n0QQGx9kKbO0_M5gmuhXZ6-LaxQxgrmJnzgP0"",""'TP# look up'!A:C""),3,0),"""")"),"")</f>
        <v/>
      </c>
      <c r="AH4025" s="49" t="str">
        <f t="shared" si="62"/>
        <v/>
      </c>
    </row>
    <row r="4026" spans="8:34" ht="12.75">
      <c r="H4026" s="43"/>
      <c r="AG4026" s="49" t="str">
        <f ca="1">IFERROR(__xludf.DUMMYFUNCTION("IFNA(vlookup(H4026,IMPORTRANGE(""1vUGwO1n0QQGx9kKbO0_M5gmuhXZ6-LaxQxgrmJnzgP0"",""'TP# look up'!A:C""),3,0),"""")"),"")</f>
        <v/>
      </c>
      <c r="AH4026" s="49" t="str">
        <f t="shared" si="62"/>
        <v/>
      </c>
    </row>
    <row r="4027" spans="8:34" ht="12.75">
      <c r="H4027" s="43"/>
      <c r="AG4027" s="49" t="str">
        <f ca="1">IFERROR(__xludf.DUMMYFUNCTION("IFNA(vlookup(H4027,IMPORTRANGE(""1vUGwO1n0QQGx9kKbO0_M5gmuhXZ6-LaxQxgrmJnzgP0"",""'TP# look up'!A:C""),3,0),"""")"),"")</f>
        <v/>
      </c>
      <c r="AH4027" s="49" t="str">
        <f t="shared" si="62"/>
        <v/>
      </c>
    </row>
    <row r="4028" spans="8:34" ht="12.75">
      <c r="H4028" s="43"/>
      <c r="AG4028" s="49" t="str">
        <f ca="1">IFERROR(__xludf.DUMMYFUNCTION("IFNA(vlookup(H4028,IMPORTRANGE(""1vUGwO1n0QQGx9kKbO0_M5gmuhXZ6-LaxQxgrmJnzgP0"",""'TP# look up'!A:C""),3,0),"""")"),"")</f>
        <v/>
      </c>
      <c r="AH4028" s="49" t="str">
        <f t="shared" si="62"/>
        <v/>
      </c>
    </row>
    <row r="4029" spans="8:34" ht="12.75">
      <c r="H4029" s="43"/>
      <c r="AG4029" s="49" t="str">
        <f ca="1">IFERROR(__xludf.DUMMYFUNCTION("IFNA(vlookup(H4029,IMPORTRANGE(""1vUGwO1n0QQGx9kKbO0_M5gmuhXZ6-LaxQxgrmJnzgP0"",""'TP# look up'!A:C""),3,0),"""")"),"")</f>
        <v/>
      </c>
      <c r="AH4029" s="49" t="str">
        <f t="shared" si="62"/>
        <v/>
      </c>
    </row>
    <row r="4030" spans="8:34" ht="12.75">
      <c r="H4030" s="43"/>
      <c r="AG4030" s="49" t="str">
        <f ca="1">IFERROR(__xludf.DUMMYFUNCTION("IFNA(vlookup(H4030,IMPORTRANGE(""1vUGwO1n0QQGx9kKbO0_M5gmuhXZ6-LaxQxgrmJnzgP0"",""'TP# look up'!A:C""),3,0),"""")"),"")</f>
        <v/>
      </c>
      <c r="AH4030" s="49" t="str">
        <f t="shared" si="62"/>
        <v/>
      </c>
    </row>
    <row r="4031" spans="8:34" ht="12.75">
      <c r="H4031" s="43"/>
      <c r="AG4031" s="49" t="str">
        <f ca="1">IFERROR(__xludf.DUMMYFUNCTION("IFNA(vlookup(H4031,IMPORTRANGE(""1vUGwO1n0QQGx9kKbO0_M5gmuhXZ6-LaxQxgrmJnzgP0"",""'TP# look up'!A:C""),3,0),"""")"),"")</f>
        <v/>
      </c>
      <c r="AH4031" s="49" t="str">
        <f t="shared" si="62"/>
        <v/>
      </c>
    </row>
    <row r="4032" spans="8:34" ht="12.75">
      <c r="H4032" s="43"/>
      <c r="AG4032" s="49" t="str">
        <f ca="1">IFERROR(__xludf.DUMMYFUNCTION("IFNA(vlookup(H4032,IMPORTRANGE(""1vUGwO1n0QQGx9kKbO0_M5gmuhXZ6-LaxQxgrmJnzgP0"",""'TP# look up'!A:C""),3,0),"""")"),"")</f>
        <v/>
      </c>
      <c r="AH4032" s="49" t="str">
        <f t="shared" si="62"/>
        <v/>
      </c>
    </row>
    <row r="4033" spans="8:34" ht="12.75">
      <c r="H4033" s="43"/>
      <c r="AG4033" s="49" t="str">
        <f ca="1">IFERROR(__xludf.DUMMYFUNCTION("IFNA(vlookup(H4033,IMPORTRANGE(""1vUGwO1n0QQGx9kKbO0_M5gmuhXZ6-LaxQxgrmJnzgP0"",""'TP# look up'!A:C""),3,0),"""")"),"")</f>
        <v/>
      </c>
      <c r="AH4033" s="49" t="str">
        <f t="shared" si="62"/>
        <v/>
      </c>
    </row>
    <row r="4034" spans="8:34" ht="12.75">
      <c r="H4034" s="43"/>
      <c r="AG4034" s="49" t="str">
        <f ca="1">IFERROR(__xludf.DUMMYFUNCTION("IFNA(vlookup(H4034,IMPORTRANGE(""1vUGwO1n0QQGx9kKbO0_M5gmuhXZ6-LaxQxgrmJnzgP0"",""'TP# look up'!A:C""),3,0),"""")"),"")</f>
        <v/>
      </c>
      <c r="AH4034" s="49" t="str">
        <f t="shared" ref="AH4034:AH4097" si="63">LEFT(J4034,2)</f>
        <v/>
      </c>
    </row>
    <row r="4035" spans="8:34" ht="12.75">
      <c r="H4035" s="43"/>
      <c r="AG4035" s="49" t="str">
        <f ca="1">IFERROR(__xludf.DUMMYFUNCTION("IFNA(vlookup(H4035,IMPORTRANGE(""1vUGwO1n0QQGx9kKbO0_M5gmuhXZ6-LaxQxgrmJnzgP0"",""'TP# look up'!A:C""),3,0),"""")"),"")</f>
        <v/>
      </c>
      <c r="AH4035" s="49" t="str">
        <f t="shared" si="63"/>
        <v/>
      </c>
    </row>
    <row r="4036" spans="8:34" ht="12.75">
      <c r="H4036" s="43"/>
      <c r="AG4036" s="49" t="str">
        <f ca="1">IFERROR(__xludf.DUMMYFUNCTION("IFNA(vlookup(H4036,IMPORTRANGE(""1vUGwO1n0QQGx9kKbO0_M5gmuhXZ6-LaxQxgrmJnzgP0"",""'TP# look up'!A:C""),3,0),"""")"),"")</f>
        <v/>
      </c>
      <c r="AH4036" s="49" t="str">
        <f t="shared" si="63"/>
        <v/>
      </c>
    </row>
    <row r="4037" spans="8:34" ht="12.75">
      <c r="H4037" s="43"/>
      <c r="AG4037" s="49" t="str">
        <f ca="1">IFERROR(__xludf.DUMMYFUNCTION("IFNA(vlookup(H4037,IMPORTRANGE(""1vUGwO1n0QQGx9kKbO0_M5gmuhXZ6-LaxQxgrmJnzgP0"",""'TP# look up'!A:C""),3,0),"""")"),"")</f>
        <v/>
      </c>
      <c r="AH4037" s="49" t="str">
        <f t="shared" si="63"/>
        <v/>
      </c>
    </row>
    <row r="4038" spans="8:34" ht="12.75">
      <c r="H4038" s="43"/>
      <c r="AG4038" s="49" t="str">
        <f ca="1">IFERROR(__xludf.DUMMYFUNCTION("IFNA(vlookup(H4038,IMPORTRANGE(""1vUGwO1n0QQGx9kKbO0_M5gmuhXZ6-LaxQxgrmJnzgP0"",""'TP# look up'!A:C""),3,0),"""")"),"")</f>
        <v/>
      </c>
      <c r="AH4038" s="49" t="str">
        <f t="shared" si="63"/>
        <v/>
      </c>
    </row>
    <row r="4039" spans="8:34" ht="12.75">
      <c r="H4039" s="43"/>
      <c r="AG4039" s="49" t="str">
        <f ca="1">IFERROR(__xludf.DUMMYFUNCTION("IFNA(vlookup(H4039,IMPORTRANGE(""1vUGwO1n0QQGx9kKbO0_M5gmuhXZ6-LaxQxgrmJnzgP0"",""'TP# look up'!A:C""),3,0),"""")"),"")</f>
        <v/>
      </c>
      <c r="AH4039" s="49" t="str">
        <f t="shared" si="63"/>
        <v/>
      </c>
    </row>
    <row r="4040" spans="8:34" ht="12.75">
      <c r="H4040" s="43"/>
      <c r="AG4040" s="49" t="str">
        <f ca="1">IFERROR(__xludf.DUMMYFUNCTION("IFNA(vlookup(H4040,IMPORTRANGE(""1vUGwO1n0QQGx9kKbO0_M5gmuhXZ6-LaxQxgrmJnzgP0"",""'TP# look up'!A:C""),3,0),"""")"),"")</f>
        <v/>
      </c>
      <c r="AH4040" s="49" t="str">
        <f t="shared" si="63"/>
        <v/>
      </c>
    </row>
    <row r="4041" spans="8:34" ht="12.75">
      <c r="H4041" s="43"/>
      <c r="AG4041" s="49" t="str">
        <f ca="1">IFERROR(__xludf.DUMMYFUNCTION("IFNA(vlookup(H4041,IMPORTRANGE(""1vUGwO1n0QQGx9kKbO0_M5gmuhXZ6-LaxQxgrmJnzgP0"",""'TP# look up'!A:C""),3,0),"""")"),"")</f>
        <v/>
      </c>
      <c r="AH4041" s="49" t="str">
        <f t="shared" si="63"/>
        <v/>
      </c>
    </row>
    <row r="4042" spans="8:34" ht="12.75">
      <c r="H4042" s="43"/>
      <c r="AG4042" s="49" t="str">
        <f ca="1">IFERROR(__xludf.DUMMYFUNCTION("IFNA(vlookup(H4042,IMPORTRANGE(""1vUGwO1n0QQGx9kKbO0_M5gmuhXZ6-LaxQxgrmJnzgP0"",""'TP# look up'!A:C""),3,0),"""")"),"")</f>
        <v/>
      </c>
      <c r="AH4042" s="49" t="str">
        <f t="shared" si="63"/>
        <v/>
      </c>
    </row>
    <row r="4043" spans="8:34" ht="12.75">
      <c r="H4043" s="43"/>
      <c r="AG4043" s="49" t="str">
        <f ca="1">IFERROR(__xludf.DUMMYFUNCTION("IFNA(vlookup(H4043,IMPORTRANGE(""1vUGwO1n0QQGx9kKbO0_M5gmuhXZ6-LaxQxgrmJnzgP0"",""'TP# look up'!A:C""),3,0),"""")"),"")</f>
        <v/>
      </c>
      <c r="AH4043" s="49" t="str">
        <f t="shared" si="63"/>
        <v/>
      </c>
    </row>
    <row r="4044" spans="8:34" ht="12.75">
      <c r="H4044" s="43"/>
      <c r="AG4044" s="49" t="str">
        <f ca="1">IFERROR(__xludf.DUMMYFUNCTION("IFNA(vlookup(H4044,IMPORTRANGE(""1vUGwO1n0QQGx9kKbO0_M5gmuhXZ6-LaxQxgrmJnzgP0"",""'TP# look up'!A:C""),3,0),"""")"),"")</f>
        <v/>
      </c>
      <c r="AH4044" s="49" t="str">
        <f t="shared" si="63"/>
        <v/>
      </c>
    </row>
    <row r="4045" spans="8:34" ht="12.75">
      <c r="H4045" s="43"/>
      <c r="AG4045" s="49" t="str">
        <f ca="1">IFERROR(__xludf.DUMMYFUNCTION("IFNA(vlookup(H4045,IMPORTRANGE(""1vUGwO1n0QQGx9kKbO0_M5gmuhXZ6-LaxQxgrmJnzgP0"",""'TP# look up'!A:C""),3,0),"""")"),"")</f>
        <v/>
      </c>
      <c r="AH4045" s="49" t="str">
        <f t="shared" si="63"/>
        <v/>
      </c>
    </row>
    <row r="4046" spans="8:34" ht="12.75">
      <c r="H4046" s="43"/>
      <c r="AG4046" s="49" t="str">
        <f ca="1">IFERROR(__xludf.DUMMYFUNCTION("IFNA(vlookup(H4046,IMPORTRANGE(""1vUGwO1n0QQGx9kKbO0_M5gmuhXZ6-LaxQxgrmJnzgP0"",""'TP# look up'!A:C""),3,0),"""")"),"")</f>
        <v/>
      </c>
      <c r="AH4046" s="49" t="str">
        <f t="shared" si="63"/>
        <v/>
      </c>
    </row>
    <row r="4047" spans="8:34" ht="12.75">
      <c r="H4047" s="43"/>
      <c r="AG4047" s="49" t="str">
        <f ca="1">IFERROR(__xludf.DUMMYFUNCTION("IFNA(vlookup(H4047,IMPORTRANGE(""1vUGwO1n0QQGx9kKbO0_M5gmuhXZ6-LaxQxgrmJnzgP0"",""'TP# look up'!A:C""),3,0),"""")"),"")</f>
        <v/>
      </c>
      <c r="AH4047" s="49" t="str">
        <f t="shared" si="63"/>
        <v/>
      </c>
    </row>
    <row r="4048" spans="8:34" ht="12.75">
      <c r="H4048" s="43"/>
      <c r="AG4048" s="49" t="str">
        <f ca="1">IFERROR(__xludf.DUMMYFUNCTION("IFNA(vlookup(H4048,IMPORTRANGE(""1vUGwO1n0QQGx9kKbO0_M5gmuhXZ6-LaxQxgrmJnzgP0"",""'TP# look up'!A:C""),3,0),"""")"),"")</f>
        <v/>
      </c>
      <c r="AH4048" s="49" t="str">
        <f t="shared" si="63"/>
        <v/>
      </c>
    </row>
    <row r="4049" spans="8:34" ht="12.75">
      <c r="H4049" s="43"/>
      <c r="AG4049" s="49" t="str">
        <f ca="1">IFERROR(__xludf.DUMMYFUNCTION("IFNA(vlookup(H4049,IMPORTRANGE(""1vUGwO1n0QQGx9kKbO0_M5gmuhXZ6-LaxQxgrmJnzgP0"",""'TP# look up'!A:C""),3,0),"""")"),"")</f>
        <v/>
      </c>
      <c r="AH4049" s="49" t="str">
        <f t="shared" si="63"/>
        <v/>
      </c>
    </row>
    <row r="4050" spans="8:34" ht="12.75">
      <c r="H4050" s="43"/>
      <c r="AG4050" s="49" t="str">
        <f ca="1">IFERROR(__xludf.DUMMYFUNCTION("IFNA(vlookup(H4050,IMPORTRANGE(""1vUGwO1n0QQGx9kKbO0_M5gmuhXZ6-LaxQxgrmJnzgP0"",""'TP# look up'!A:C""),3,0),"""")"),"")</f>
        <v/>
      </c>
      <c r="AH4050" s="49" t="str">
        <f t="shared" si="63"/>
        <v/>
      </c>
    </row>
    <row r="4051" spans="8:34" ht="12.75">
      <c r="H4051" s="43"/>
      <c r="AG4051" s="49" t="str">
        <f ca="1">IFERROR(__xludf.DUMMYFUNCTION("IFNA(vlookup(H4051,IMPORTRANGE(""1vUGwO1n0QQGx9kKbO0_M5gmuhXZ6-LaxQxgrmJnzgP0"",""'TP# look up'!A:C""),3,0),"""")"),"")</f>
        <v/>
      </c>
      <c r="AH4051" s="49" t="str">
        <f t="shared" si="63"/>
        <v/>
      </c>
    </row>
    <row r="4052" spans="8:34" ht="12.75">
      <c r="H4052" s="43"/>
      <c r="AG4052" s="49" t="str">
        <f ca="1">IFERROR(__xludf.DUMMYFUNCTION("IFNA(vlookup(H4052,IMPORTRANGE(""1vUGwO1n0QQGx9kKbO0_M5gmuhXZ6-LaxQxgrmJnzgP0"",""'TP# look up'!A:C""),3,0),"""")"),"")</f>
        <v/>
      </c>
      <c r="AH4052" s="49" t="str">
        <f t="shared" si="63"/>
        <v/>
      </c>
    </row>
    <row r="4053" spans="8:34" ht="12.75">
      <c r="H4053" s="43"/>
      <c r="AG4053" s="49" t="str">
        <f ca="1">IFERROR(__xludf.DUMMYFUNCTION("IFNA(vlookup(H4053,IMPORTRANGE(""1vUGwO1n0QQGx9kKbO0_M5gmuhXZ6-LaxQxgrmJnzgP0"",""'TP# look up'!A:C""),3,0),"""")"),"")</f>
        <v/>
      </c>
      <c r="AH4053" s="49" t="str">
        <f t="shared" si="63"/>
        <v/>
      </c>
    </row>
    <row r="4054" spans="8:34" ht="12.75">
      <c r="H4054" s="43"/>
      <c r="AG4054" s="49" t="str">
        <f ca="1">IFERROR(__xludf.DUMMYFUNCTION("IFNA(vlookup(H4054,IMPORTRANGE(""1vUGwO1n0QQGx9kKbO0_M5gmuhXZ6-LaxQxgrmJnzgP0"",""'TP# look up'!A:C""),3,0),"""")"),"")</f>
        <v/>
      </c>
      <c r="AH4054" s="49" t="str">
        <f t="shared" si="63"/>
        <v/>
      </c>
    </row>
    <row r="4055" spans="8:34" ht="12.75">
      <c r="H4055" s="43"/>
      <c r="AG4055" s="49" t="str">
        <f ca="1">IFERROR(__xludf.DUMMYFUNCTION("IFNA(vlookup(H4055,IMPORTRANGE(""1vUGwO1n0QQGx9kKbO0_M5gmuhXZ6-LaxQxgrmJnzgP0"",""'TP# look up'!A:C""),3,0),"""")"),"")</f>
        <v/>
      </c>
      <c r="AH4055" s="49" t="str">
        <f t="shared" si="63"/>
        <v/>
      </c>
    </row>
    <row r="4056" spans="8:34" ht="12.75">
      <c r="H4056" s="43"/>
      <c r="AG4056" s="49" t="str">
        <f ca="1">IFERROR(__xludf.DUMMYFUNCTION("IFNA(vlookup(H4056,IMPORTRANGE(""1vUGwO1n0QQGx9kKbO0_M5gmuhXZ6-LaxQxgrmJnzgP0"",""'TP# look up'!A:C""),3,0),"""")"),"")</f>
        <v/>
      </c>
      <c r="AH4056" s="49" t="str">
        <f t="shared" si="63"/>
        <v/>
      </c>
    </row>
    <row r="4057" spans="8:34" ht="12.75">
      <c r="H4057" s="43"/>
      <c r="AG4057" s="49" t="str">
        <f ca="1">IFERROR(__xludf.DUMMYFUNCTION("IFNA(vlookup(H4057,IMPORTRANGE(""1vUGwO1n0QQGx9kKbO0_M5gmuhXZ6-LaxQxgrmJnzgP0"",""'TP# look up'!A:C""),3,0),"""")"),"")</f>
        <v/>
      </c>
      <c r="AH4057" s="49" t="str">
        <f t="shared" si="63"/>
        <v/>
      </c>
    </row>
    <row r="4058" spans="8:34" ht="12.75">
      <c r="H4058" s="43"/>
      <c r="AG4058" s="49" t="str">
        <f ca="1">IFERROR(__xludf.DUMMYFUNCTION("IFNA(vlookup(H4058,IMPORTRANGE(""1vUGwO1n0QQGx9kKbO0_M5gmuhXZ6-LaxQxgrmJnzgP0"",""'TP# look up'!A:C""),3,0),"""")"),"")</f>
        <v/>
      </c>
      <c r="AH4058" s="49" t="str">
        <f t="shared" si="63"/>
        <v/>
      </c>
    </row>
    <row r="4059" spans="8:34" ht="12.75">
      <c r="H4059" s="43"/>
      <c r="AG4059" s="49" t="str">
        <f ca="1">IFERROR(__xludf.DUMMYFUNCTION("IFNA(vlookup(H4059,IMPORTRANGE(""1vUGwO1n0QQGx9kKbO0_M5gmuhXZ6-LaxQxgrmJnzgP0"",""'TP# look up'!A:C""),3,0),"""")"),"")</f>
        <v/>
      </c>
      <c r="AH4059" s="49" t="str">
        <f t="shared" si="63"/>
        <v/>
      </c>
    </row>
    <row r="4060" spans="8:34" ht="12.75">
      <c r="H4060" s="43"/>
      <c r="AG4060" s="49" t="str">
        <f ca="1">IFERROR(__xludf.DUMMYFUNCTION("IFNA(vlookup(H4060,IMPORTRANGE(""1vUGwO1n0QQGx9kKbO0_M5gmuhXZ6-LaxQxgrmJnzgP0"",""'TP# look up'!A:C""),3,0),"""")"),"")</f>
        <v/>
      </c>
      <c r="AH4060" s="49" t="str">
        <f t="shared" si="63"/>
        <v/>
      </c>
    </row>
    <row r="4061" spans="8:34" ht="12.75">
      <c r="H4061" s="43"/>
      <c r="AG4061" s="49" t="str">
        <f ca="1">IFERROR(__xludf.DUMMYFUNCTION("IFNA(vlookup(H4061,IMPORTRANGE(""1vUGwO1n0QQGx9kKbO0_M5gmuhXZ6-LaxQxgrmJnzgP0"",""'TP# look up'!A:C""),3,0),"""")"),"")</f>
        <v/>
      </c>
      <c r="AH4061" s="49" t="str">
        <f t="shared" si="63"/>
        <v/>
      </c>
    </row>
    <row r="4062" spans="8:34" ht="12.75">
      <c r="H4062" s="43"/>
      <c r="AG4062" s="49" t="str">
        <f ca="1">IFERROR(__xludf.DUMMYFUNCTION("IFNA(vlookup(H4062,IMPORTRANGE(""1vUGwO1n0QQGx9kKbO0_M5gmuhXZ6-LaxQxgrmJnzgP0"",""'TP# look up'!A:C""),3,0),"""")"),"")</f>
        <v/>
      </c>
      <c r="AH4062" s="49" t="str">
        <f t="shared" si="63"/>
        <v/>
      </c>
    </row>
    <row r="4063" spans="8:34" ht="12.75">
      <c r="H4063" s="43"/>
      <c r="AG4063" s="49" t="str">
        <f ca="1">IFERROR(__xludf.DUMMYFUNCTION("IFNA(vlookup(H4063,IMPORTRANGE(""1vUGwO1n0QQGx9kKbO0_M5gmuhXZ6-LaxQxgrmJnzgP0"",""'TP# look up'!A:C""),3,0),"""")"),"")</f>
        <v/>
      </c>
      <c r="AH4063" s="49" t="str">
        <f t="shared" si="63"/>
        <v/>
      </c>
    </row>
    <row r="4064" spans="8:34" ht="12.75">
      <c r="H4064" s="43"/>
      <c r="AG4064" s="49" t="str">
        <f ca="1">IFERROR(__xludf.DUMMYFUNCTION("IFNA(vlookup(H4064,IMPORTRANGE(""1vUGwO1n0QQGx9kKbO0_M5gmuhXZ6-LaxQxgrmJnzgP0"",""'TP# look up'!A:C""),3,0),"""")"),"")</f>
        <v/>
      </c>
      <c r="AH4064" s="49" t="str">
        <f t="shared" si="63"/>
        <v/>
      </c>
    </row>
    <row r="4065" spans="8:34" ht="12.75">
      <c r="H4065" s="43"/>
      <c r="AG4065" s="49" t="str">
        <f ca="1">IFERROR(__xludf.DUMMYFUNCTION("IFNA(vlookup(H4065,IMPORTRANGE(""1vUGwO1n0QQGx9kKbO0_M5gmuhXZ6-LaxQxgrmJnzgP0"",""'TP# look up'!A:C""),3,0),"""")"),"")</f>
        <v/>
      </c>
      <c r="AH4065" s="49" t="str">
        <f t="shared" si="63"/>
        <v/>
      </c>
    </row>
    <row r="4066" spans="8:34" ht="12.75">
      <c r="H4066" s="43"/>
      <c r="AG4066" s="49" t="str">
        <f ca="1">IFERROR(__xludf.DUMMYFUNCTION("IFNA(vlookup(H4066,IMPORTRANGE(""1vUGwO1n0QQGx9kKbO0_M5gmuhXZ6-LaxQxgrmJnzgP0"",""'TP# look up'!A:C""),3,0),"""")"),"")</f>
        <v/>
      </c>
      <c r="AH4066" s="49" t="str">
        <f t="shared" si="63"/>
        <v/>
      </c>
    </row>
    <row r="4067" spans="8:34" ht="12.75">
      <c r="H4067" s="43"/>
      <c r="AG4067" s="49" t="str">
        <f ca="1">IFERROR(__xludf.DUMMYFUNCTION("IFNA(vlookup(H4067,IMPORTRANGE(""1vUGwO1n0QQGx9kKbO0_M5gmuhXZ6-LaxQxgrmJnzgP0"",""'TP# look up'!A:C""),3,0),"""")"),"")</f>
        <v/>
      </c>
      <c r="AH4067" s="49" t="str">
        <f t="shared" si="63"/>
        <v/>
      </c>
    </row>
    <row r="4068" spans="8:34" ht="12.75">
      <c r="H4068" s="43"/>
      <c r="AG4068" s="49" t="str">
        <f ca="1">IFERROR(__xludf.DUMMYFUNCTION("IFNA(vlookup(H4068,IMPORTRANGE(""1vUGwO1n0QQGx9kKbO0_M5gmuhXZ6-LaxQxgrmJnzgP0"",""'TP# look up'!A:C""),3,0),"""")"),"")</f>
        <v/>
      </c>
      <c r="AH4068" s="49" t="str">
        <f t="shared" si="63"/>
        <v/>
      </c>
    </row>
    <row r="4069" spans="8:34" ht="12.75">
      <c r="H4069" s="43"/>
      <c r="AG4069" s="49" t="str">
        <f ca="1">IFERROR(__xludf.DUMMYFUNCTION("IFNA(vlookup(H4069,IMPORTRANGE(""1vUGwO1n0QQGx9kKbO0_M5gmuhXZ6-LaxQxgrmJnzgP0"",""'TP# look up'!A:C""),3,0),"""")"),"")</f>
        <v/>
      </c>
      <c r="AH4069" s="49" t="str">
        <f t="shared" si="63"/>
        <v/>
      </c>
    </row>
    <row r="4070" spans="8:34" ht="12.75">
      <c r="H4070" s="43"/>
      <c r="AG4070" s="49" t="str">
        <f ca="1">IFERROR(__xludf.DUMMYFUNCTION("IFNA(vlookup(H4070,IMPORTRANGE(""1vUGwO1n0QQGx9kKbO0_M5gmuhXZ6-LaxQxgrmJnzgP0"",""'TP# look up'!A:C""),3,0),"""")"),"")</f>
        <v/>
      </c>
      <c r="AH4070" s="49" t="str">
        <f t="shared" si="63"/>
        <v/>
      </c>
    </row>
    <row r="4071" spans="8:34" ht="12.75">
      <c r="H4071" s="43"/>
      <c r="AG4071" s="49" t="str">
        <f ca="1">IFERROR(__xludf.DUMMYFUNCTION("IFNA(vlookup(H4071,IMPORTRANGE(""1vUGwO1n0QQGx9kKbO0_M5gmuhXZ6-LaxQxgrmJnzgP0"",""'TP# look up'!A:C""),3,0),"""")"),"")</f>
        <v/>
      </c>
      <c r="AH4071" s="49" t="str">
        <f t="shared" si="63"/>
        <v/>
      </c>
    </row>
    <row r="4072" spans="8:34" ht="12.75">
      <c r="H4072" s="43"/>
      <c r="AG4072" s="49" t="str">
        <f ca="1">IFERROR(__xludf.DUMMYFUNCTION("IFNA(vlookup(H4072,IMPORTRANGE(""1vUGwO1n0QQGx9kKbO0_M5gmuhXZ6-LaxQxgrmJnzgP0"",""'TP# look up'!A:C""),3,0),"""")"),"")</f>
        <v/>
      </c>
      <c r="AH4072" s="49" t="str">
        <f t="shared" si="63"/>
        <v/>
      </c>
    </row>
    <row r="4073" spans="8:34" ht="12.75">
      <c r="H4073" s="43"/>
      <c r="AG4073" s="49" t="str">
        <f ca="1">IFERROR(__xludf.DUMMYFUNCTION("IFNA(vlookup(H4073,IMPORTRANGE(""1vUGwO1n0QQGx9kKbO0_M5gmuhXZ6-LaxQxgrmJnzgP0"",""'TP# look up'!A:C""),3,0),"""")"),"")</f>
        <v/>
      </c>
      <c r="AH4073" s="49" t="str">
        <f t="shared" si="63"/>
        <v/>
      </c>
    </row>
    <row r="4074" spans="8:34" ht="12.75">
      <c r="H4074" s="43"/>
      <c r="AG4074" s="49" t="str">
        <f ca="1">IFERROR(__xludf.DUMMYFUNCTION("IFNA(vlookup(H4074,IMPORTRANGE(""1vUGwO1n0QQGx9kKbO0_M5gmuhXZ6-LaxQxgrmJnzgP0"",""'TP# look up'!A:C""),3,0),"""")"),"")</f>
        <v/>
      </c>
      <c r="AH4074" s="49" t="str">
        <f t="shared" si="63"/>
        <v/>
      </c>
    </row>
    <row r="4075" spans="8:34" ht="12.75">
      <c r="H4075" s="43"/>
      <c r="AG4075" s="49" t="str">
        <f ca="1">IFERROR(__xludf.DUMMYFUNCTION("IFNA(vlookup(H4075,IMPORTRANGE(""1vUGwO1n0QQGx9kKbO0_M5gmuhXZ6-LaxQxgrmJnzgP0"",""'TP# look up'!A:C""),3,0),"""")"),"")</f>
        <v/>
      </c>
      <c r="AH4075" s="49" t="str">
        <f t="shared" si="63"/>
        <v/>
      </c>
    </row>
    <row r="4076" spans="8:34" ht="12.75">
      <c r="H4076" s="43"/>
      <c r="AG4076" s="49" t="str">
        <f ca="1">IFERROR(__xludf.DUMMYFUNCTION("IFNA(vlookup(H4076,IMPORTRANGE(""1vUGwO1n0QQGx9kKbO0_M5gmuhXZ6-LaxQxgrmJnzgP0"",""'TP# look up'!A:C""),3,0),"""")"),"")</f>
        <v/>
      </c>
      <c r="AH4076" s="49" t="str">
        <f t="shared" si="63"/>
        <v/>
      </c>
    </row>
    <row r="4077" spans="8:34" ht="12.75">
      <c r="H4077" s="43"/>
      <c r="AG4077" s="49" t="str">
        <f ca="1">IFERROR(__xludf.DUMMYFUNCTION("IFNA(vlookup(H4077,IMPORTRANGE(""1vUGwO1n0QQGx9kKbO0_M5gmuhXZ6-LaxQxgrmJnzgP0"",""'TP# look up'!A:C""),3,0),"""")"),"")</f>
        <v/>
      </c>
      <c r="AH4077" s="49" t="str">
        <f t="shared" si="63"/>
        <v/>
      </c>
    </row>
    <row r="4078" spans="8:34" ht="12.75">
      <c r="H4078" s="43"/>
      <c r="AG4078" s="49" t="str">
        <f ca="1">IFERROR(__xludf.DUMMYFUNCTION("IFNA(vlookup(H4078,IMPORTRANGE(""1vUGwO1n0QQGx9kKbO0_M5gmuhXZ6-LaxQxgrmJnzgP0"",""'TP# look up'!A:C""),3,0),"""")"),"")</f>
        <v/>
      </c>
      <c r="AH4078" s="49" t="str">
        <f t="shared" si="63"/>
        <v/>
      </c>
    </row>
    <row r="4079" spans="8:34" ht="12.75">
      <c r="H4079" s="43"/>
      <c r="AG4079" s="49" t="str">
        <f ca="1">IFERROR(__xludf.DUMMYFUNCTION("IFNA(vlookup(H4079,IMPORTRANGE(""1vUGwO1n0QQGx9kKbO0_M5gmuhXZ6-LaxQxgrmJnzgP0"",""'TP# look up'!A:C""),3,0),"""")"),"")</f>
        <v/>
      </c>
      <c r="AH4079" s="49" t="str">
        <f t="shared" si="63"/>
        <v/>
      </c>
    </row>
    <row r="4080" spans="8:34" ht="12.75">
      <c r="H4080" s="43"/>
      <c r="AG4080" s="49" t="str">
        <f ca="1">IFERROR(__xludf.DUMMYFUNCTION("IFNA(vlookup(H4080,IMPORTRANGE(""1vUGwO1n0QQGx9kKbO0_M5gmuhXZ6-LaxQxgrmJnzgP0"",""'TP# look up'!A:C""),3,0),"""")"),"")</f>
        <v/>
      </c>
      <c r="AH4080" s="49" t="str">
        <f t="shared" si="63"/>
        <v/>
      </c>
    </row>
    <row r="4081" spans="8:34" ht="12.75">
      <c r="H4081" s="43"/>
      <c r="AG4081" s="49" t="str">
        <f ca="1">IFERROR(__xludf.DUMMYFUNCTION("IFNA(vlookup(H4081,IMPORTRANGE(""1vUGwO1n0QQGx9kKbO0_M5gmuhXZ6-LaxQxgrmJnzgP0"",""'TP# look up'!A:C""),3,0),"""")"),"")</f>
        <v/>
      </c>
      <c r="AH4081" s="49" t="str">
        <f t="shared" si="63"/>
        <v/>
      </c>
    </row>
    <row r="4082" spans="8:34" ht="12.75">
      <c r="H4082" s="43"/>
      <c r="AG4082" s="49" t="str">
        <f ca="1">IFERROR(__xludf.DUMMYFUNCTION("IFNA(vlookup(H4082,IMPORTRANGE(""1vUGwO1n0QQGx9kKbO0_M5gmuhXZ6-LaxQxgrmJnzgP0"",""'TP# look up'!A:C""),3,0),"""")"),"")</f>
        <v/>
      </c>
      <c r="AH4082" s="49" t="str">
        <f t="shared" si="63"/>
        <v/>
      </c>
    </row>
    <row r="4083" spans="8:34" ht="12.75">
      <c r="H4083" s="43"/>
      <c r="AG4083" s="49" t="str">
        <f ca="1">IFERROR(__xludf.DUMMYFUNCTION("IFNA(vlookup(H4083,IMPORTRANGE(""1vUGwO1n0QQGx9kKbO0_M5gmuhXZ6-LaxQxgrmJnzgP0"",""'TP# look up'!A:C""),3,0),"""")"),"")</f>
        <v/>
      </c>
      <c r="AH4083" s="49" t="str">
        <f t="shared" si="63"/>
        <v/>
      </c>
    </row>
    <row r="4084" spans="8:34" ht="12.75">
      <c r="H4084" s="43"/>
      <c r="AG4084" s="49" t="str">
        <f ca="1">IFERROR(__xludf.DUMMYFUNCTION("IFNA(vlookup(H4084,IMPORTRANGE(""1vUGwO1n0QQGx9kKbO0_M5gmuhXZ6-LaxQxgrmJnzgP0"",""'TP# look up'!A:C""),3,0),"""")"),"")</f>
        <v/>
      </c>
      <c r="AH4084" s="49" t="str">
        <f t="shared" si="63"/>
        <v/>
      </c>
    </row>
    <row r="4085" spans="8:34" ht="12.75">
      <c r="H4085" s="43"/>
      <c r="AG4085" s="49" t="str">
        <f ca="1">IFERROR(__xludf.DUMMYFUNCTION("IFNA(vlookup(H4085,IMPORTRANGE(""1vUGwO1n0QQGx9kKbO0_M5gmuhXZ6-LaxQxgrmJnzgP0"",""'TP# look up'!A:C""),3,0),"""")"),"")</f>
        <v/>
      </c>
      <c r="AH4085" s="49" t="str">
        <f t="shared" si="63"/>
        <v/>
      </c>
    </row>
    <row r="4086" spans="8:34" ht="12.75">
      <c r="H4086" s="43"/>
      <c r="AG4086" s="49" t="str">
        <f ca="1">IFERROR(__xludf.DUMMYFUNCTION("IFNA(vlookup(H4086,IMPORTRANGE(""1vUGwO1n0QQGx9kKbO0_M5gmuhXZ6-LaxQxgrmJnzgP0"",""'TP# look up'!A:C""),3,0),"""")"),"")</f>
        <v/>
      </c>
      <c r="AH4086" s="49" t="str">
        <f t="shared" si="63"/>
        <v/>
      </c>
    </row>
    <row r="4087" spans="8:34" ht="12.75">
      <c r="H4087" s="43"/>
      <c r="AG4087" s="49" t="str">
        <f ca="1">IFERROR(__xludf.DUMMYFUNCTION("IFNA(vlookup(H4087,IMPORTRANGE(""1vUGwO1n0QQGx9kKbO0_M5gmuhXZ6-LaxQxgrmJnzgP0"",""'TP# look up'!A:C""),3,0),"""")"),"")</f>
        <v/>
      </c>
      <c r="AH4087" s="49" t="str">
        <f t="shared" si="63"/>
        <v/>
      </c>
    </row>
    <row r="4088" spans="8:34" ht="12.75">
      <c r="H4088" s="43"/>
      <c r="AG4088" s="49" t="str">
        <f ca="1">IFERROR(__xludf.DUMMYFUNCTION("IFNA(vlookup(H4088,IMPORTRANGE(""1vUGwO1n0QQGx9kKbO0_M5gmuhXZ6-LaxQxgrmJnzgP0"",""'TP# look up'!A:C""),3,0),"""")"),"")</f>
        <v/>
      </c>
      <c r="AH4088" s="49" t="str">
        <f t="shared" si="63"/>
        <v/>
      </c>
    </row>
    <row r="4089" spans="8:34" ht="12.75">
      <c r="H4089" s="43"/>
      <c r="AG4089" s="49" t="str">
        <f ca="1">IFERROR(__xludf.DUMMYFUNCTION("IFNA(vlookup(H4089,IMPORTRANGE(""1vUGwO1n0QQGx9kKbO0_M5gmuhXZ6-LaxQxgrmJnzgP0"",""'TP# look up'!A:C""),3,0),"""")"),"")</f>
        <v/>
      </c>
      <c r="AH4089" s="49" t="str">
        <f t="shared" si="63"/>
        <v/>
      </c>
    </row>
    <row r="4090" spans="8:34" ht="12.75">
      <c r="H4090" s="43"/>
      <c r="AG4090" s="49" t="str">
        <f ca="1">IFERROR(__xludf.DUMMYFUNCTION("IFNA(vlookup(H4090,IMPORTRANGE(""1vUGwO1n0QQGx9kKbO0_M5gmuhXZ6-LaxQxgrmJnzgP0"",""'TP# look up'!A:C""),3,0),"""")"),"")</f>
        <v/>
      </c>
      <c r="AH4090" s="49" t="str">
        <f t="shared" si="63"/>
        <v/>
      </c>
    </row>
    <row r="4091" spans="8:34" ht="12.75">
      <c r="H4091" s="43"/>
      <c r="AG4091" s="49" t="str">
        <f ca="1">IFERROR(__xludf.DUMMYFUNCTION("IFNA(vlookup(H4091,IMPORTRANGE(""1vUGwO1n0QQGx9kKbO0_M5gmuhXZ6-LaxQxgrmJnzgP0"",""'TP# look up'!A:C""),3,0),"""")"),"")</f>
        <v/>
      </c>
      <c r="AH4091" s="49" t="str">
        <f t="shared" si="63"/>
        <v/>
      </c>
    </row>
    <row r="4092" spans="8:34" ht="12.75">
      <c r="H4092" s="43"/>
      <c r="AG4092" s="49" t="str">
        <f ca="1">IFERROR(__xludf.DUMMYFUNCTION("IFNA(vlookup(H4092,IMPORTRANGE(""1vUGwO1n0QQGx9kKbO0_M5gmuhXZ6-LaxQxgrmJnzgP0"",""'TP# look up'!A:C""),3,0),"""")"),"")</f>
        <v/>
      </c>
      <c r="AH4092" s="49" t="str">
        <f t="shared" si="63"/>
        <v/>
      </c>
    </row>
    <row r="4093" spans="8:34" ht="12.75">
      <c r="H4093" s="43"/>
      <c r="AG4093" s="49" t="str">
        <f ca="1">IFERROR(__xludf.DUMMYFUNCTION("IFNA(vlookup(H4093,IMPORTRANGE(""1vUGwO1n0QQGx9kKbO0_M5gmuhXZ6-LaxQxgrmJnzgP0"",""'TP# look up'!A:C""),3,0),"""")"),"")</f>
        <v/>
      </c>
      <c r="AH4093" s="49" t="str">
        <f t="shared" si="63"/>
        <v/>
      </c>
    </row>
    <row r="4094" spans="8:34" ht="12.75">
      <c r="H4094" s="43"/>
      <c r="AG4094" s="49" t="str">
        <f ca="1">IFERROR(__xludf.DUMMYFUNCTION("IFNA(vlookup(H4094,IMPORTRANGE(""1vUGwO1n0QQGx9kKbO0_M5gmuhXZ6-LaxQxgrmJnzgP0"",""'TP# look up'!A:C""),3,0),"""")"),"")</f>
        <v/>
      </c>
      <c r="AH4094" s="49" t="str">
        <f t="shared" si="63"/>
        <v/>
      </c>
    </row>
    <row r="4095" spans="8:34" ht="12.75">
      <c r="H4095" s="43"/>
      <c r="AG4095" s="49" t="str">
        <f ca="1">IFERROR(__xludf.DUMMYFUNCTION("IFNA(vlookup(H4095,IMPORTRANGE(""1vUGwO1n0QQGx9kKbO0_M5gmuhXZ6-LaxQxgrmJnzgP0"",""'TP# look up'!A:C""),3,0),"""")"),"")</f>
        <v/>
      </c>
      <c r="AH4095" s="49" t="str">
        <f t="shared" si="63"/>
        <v/>
      </c>
    </row>
    <row r="4096" spans="8:34" ht="12.75">
      <c r="H4096" s="43"/>
      <c r="AG4096" s="49" t="str">
        <f ca="1">IFERROR(__xludf.DUMMYFUNCTION("IFNA(vlookup(H4096,IMPORTRANGE(""1vUGwO1n0QQGx9kKbO0_M5gmuhXZ6-LaxQxgrmJnzgP0"",""'TP# look up'!A:C""),3,0),"""")"),"")</f>
        <v/>
      </c>
      <c r="AH4096" s="49" t="str">
        <f t="shared" si="63"/>
        <v/>
      </c>
    </row>
    <row r="4097" spans="8:34" ht="12.75">
      <c r="H4097" s="43"/>
      <c r="AG4097" s="49" t="str">
        <f ca="1">IFERROR(__xludf.DUMMYFUNCTION("IFNA(vlookup(H4097,IMPORTRANGE(""1vUGwO1n0QQGx9kKbO0_M5gmuhXZ6-LaxQxgrmJnzgP0"",""'TP# look up'!A:C""),3,0),"""")"),"")</f>
        <v/>
      </c>
      <c r="AH4097" s="49" t="str">
        <f t="shared" si="63"/>
        <v/>
      </c>
    </row>
    <row r="4098" spans="8:34" ht="12.75">
      <c r="H4098" s="43"/>
      <c r="AG4098" s="49" t="str">
        <f ca="1">IFERROR(__xludf.DUMMYFUNCTION("IFNA(vlookup(H4098,IMPORTRANGE(""1vUGwO1n0QQGx9kKbO0_M5gmuhXZ6-LaxQxgrmJnzgP0"",""'TP# look up'!A:C""),3,0),"""")"),"")</f>
        <v/>
      </c>
      <c r="AH4098" s="49" t="str">
        <f t="shared" ref="AH4098:AH4161" si="64">LEFT(J4098,2)</f>
        <v/>
      </c>
    </row>
    <row r="4099" spans="8:34" ht="12.75">
      <c r="H4099" s="43"/>
      <c r="AG4099" s="49" t="str">
        <f ca="1">IFERROR(__xludf.DUMMYFUNCTION("IFNA(vlookup(H4099,IMPORTRANGE(""1vUGwO1n0QQGx9kKbO0_M5gmuhXZ6-LaxQxgrmJnzgP0"",""'TP# look up'!A:C""),3,0),"""")"),"")</f>
        <v/>
      </c>
      <c r="AH4099" s="49" t="str">
        <f t="shared" si="64"/>
        <v/>
      </c>
    </row>
    <row r="4100" spans="8:34" ht="12.75">
      <c r="H4100" s="43"/>
      <c r="AG4100" s="49" t="str">
        <f ca="1">IFERROR(__xludf.DUMMYFUNCTION("IFNA(vlookup(H4100,IMPORTRANGE(""1vUGwO1n0QQGx9kKbO0_M5gmuhXZ6-LaxQxgrmJnzgP0"",""'TP# look up'!A:C""),3,0),"""")"),"")</f>
        <v/>
      </c>
      <c r="AH4100" s="49" t="str">
        <f t="shared" si="64"/>
        <v/>
      </c>
    </row>
    <row r="4101" spans="8:34" ht="12.75">
      <c r="H4101" s="43"/>
      <c r="AG4101" s="49" t="str">
        <f ca="1">IFERROR(__xludf.DUMMYFUNCTION("IFNA(vlookup(H4101,IMPORTRANGE(""1vUGwO1n0QQGx9kKbO0_M5gmuhXZ6-LaxQxgrmJnzgP0"",""'TP# look up'!A:C""),3,0),"""")"),"")</f>
        <v/>
      </c>
      <c r="AH4101" s="49" t="str">
        <f t="shared" si="64"/>
        <v/>
      </c>
    </row>
    <row r="4102" spans="8:34" ht="12.75">
      <c r="H4102" s="43"/>
      <c r="AG4102" s="49" t="str">
        <f ca="1">IFERROR(__xludf.DUMMYFUNCTION("IFNA(vlookup(H4102,IMPORTRANGE(""1vUGwO1n0QQGx9kKbO0_M5gmuhXZ6-LaxQxgrmJnzgP0"",""'TP# look up'!A:C""),3,0),"""")"),"")</f>
        <v/>
      </c>
      <c r="AH4102" s="49" t="str">
        <f t="shared" si="64"/>
        <v/>
      </c>
    </row>
    <row r="4103" spans="8:34" ht="12.75">
      <c r="H4103" s="43"/>
      <c r="AG4103" s="49" t="str">
        <f ca="1">IFERROR(__xludf.DUMMYFUNCTION("IFNA(vlookup(H4103,IMPORTRANGE(""1vUGwO1n0QQGx9kKbO0_M5gmuhXZ6-LaxQxgrmJnzgP0"",""'TP# look up'!A:C""),3,0),"""")"),"")</f>
        <v/>
      </c>
      <c r="AH4103" s="49" t="str">
        <f t="shared" si="64"/>
        <v/>
      </c>
    </row>
    <row r="4104" spans="8:34" ht="12.75">
      <c r="H4104" s="43"/>
      <c r="AG4104" s="49" t="str">
        <f ca="1">IFERROR(__xludf.DUMMYFUNCTION("IFNA(vlookup(H4104,IMPORTRANGE(""1vUGwO1n0QQGx9kKbO0_M5gmuhXZ6-LaxQxgrmJnzgP0"",""'TP# look up'!A:C""),3,0),"""")"),"")</f>
        <v/>
      </c>
      <c r="AH4104" s="49" t="str">
        <f t="shared" si="64"/>
        <v/>
      </c>
    </row>
    <row r="4105" spans="8:34" ht="12.75">
      <c r="H4105" s="43"/>
      <c r="AG4105" s="49" t="str">
        <f ca="1">IFERROR(__xludf.DUMMYFUNCTION("IFNA(vlookup(H4105,IMPORTRANGE(""1vUGwO1n0QQGx9kKbO0_M5gmuhXZ6-LaxQxgrmJnzgP0"",""'TP# look up'!A:C""),3,0),"""")"),"")</f>
        <v/>
      </c>
      <c r="AH4105" s="49" t="str">
        <f t="shared" si="64"/>
        <v/>
      </c>
    </row>
    <row r="4106" spans="8:34" ht="12.75">
      <c r="H4106" s="43"/>
      <c r="AG4106" s="49" t="str">
        <f ca="1">IFERROR(__xludf.DUMMYFUNCTION("IFNA(vlookup(H4106,IMPORTRANGE(""1vUGwO1n0QQGx9kKbO0_M5gmuhXZ6-LaxQxgrmJnzgP0"",""'TP# look up'!A:C""),3,0),"""")"),"")</f>
        <v/>
      </c>
      <c r="AH4106" s="49" t="str">
        <f t="shared" si="64"/>
        <v/>
      </c>
    </row>
    <row r="4107" spans="8:34" ht="12.75">
      <c r="H4107" s="43"/>
      <c r="AG4107" s="49" t="str">
        <f ca="1">IFERROR(__xludf.DUMMYFUNCTION("IFNA(vlookup(H4107,IMPORTRANGE(""1vUGwO1n0QQGx9kKbO0_M5gmuhXZ6-LaxQxgrmJnzgP0"",""'TP# look up'!A:C""),3,0),"""")"),"")</f>
        <v/>
      </c>
      <c r="AH4107" s="49" t="str">
        <f t="shared" si="64"/>
        <v/>
      </c>
    </row>
    <row r="4108" spans="8:34" ht="12.75">
      <c r="H4108" s="43"/>
      <c r="AG4108" s="49" t="str">
        <f ca="1">IFERROR(__xludf.DUMMYFUNCTION("IFNA(vlookup(H4108,IMPORTRANGE(""1vUGwO1n0QQGx9kKbO0_M5gmuhXZ6-LaxQxgrmJnzgP0"",""'TP# look up'!A:C""),3,0),"""")"),"")</f>
        <v/>
      </c>
      <c r="AH4108" s="49" t="str">
        <f t="shared" si="64"/>
        <v/>
      </c>
    </row>
    <row r="4109" spans="8:34" ht="12.75">
      <c r="H4109" s="43"/>
      <c r="AG4109" s="49" t="str">
        <f ca="1">IFERROR(__xludf.DUMMYFUNCTION("IFNA(vlookup(H4109,IMPORTRANGE(""1vUGwO1n0QQGx9kKbO0_M5gmuhXZ6-LaxQxgrmJnzgP0"",""'TP# look up'!A:C""),3,0),"""")"),"")</f>
        <v/>
      </c>
      <c r="AH4109" s="49" t="str">
        <f t="shared" si="64"/>
        <v/>
      </c>
    </row>
    <row r="4110" spans="8:34" ht="12.75">
      <c r="H4110" s="43"/>
      <c r="AG4110" s="49" t="str">
        <f ca="1">IFERROR(__xludf.DUMMYFUNCTION("IFNA(vlookup(H4110,IMPORTRANGE(""1vUGwO1n0QQGx9kKbO0_M5gmuhXZ6-LaxQxgrmJnzgP0"",""'TP# look up'!A:C""),3,0),"""")"),"")</f>
        <v/>
      </c>
      <c r="AH4110" s="49" t="str">
        <f t="shared" si="64"/>
        <v/>
      </c>
    </row>
    <row r="4111" spans="8:34" ht="12.75">
      <c r="H4111" s="43"/>
      <c r="AG4111" s="49" t="str">
        <f ca="1">IFERROR(__xludf.DUMMYFUNCTION("IFNA(vlookup(H4111,IMPORTRANGE(""1vUGwO1n0QQGx9kKbO0_M5gmuhXZ6-LaxQxgrmJnzgP0"",""'TP# look up'!A:C""),3,0),"""")"),"")</f>
        <v/>
      </c>
      <c r="AH4111" s="49" t="str">
        <f t="shared" si="64"/>
        <v/>
      </c>
    </row>
    <row r="4112" spans="8:34" ht="12.75">
      <c r="H4112" s="43"/>
      <c r="AG4112" s="49" t="str">
        <f ca="1">IFERROR(__xludf.DUMMYFUNCTION("IFNA(vlookup(H4112,IMPORTRANGE(""1vUGwO1n0QQGx9kKbO0_M5gmuhXZ6-LaxQxgrmJnzgP0"",""'TP# look up'!A:C""),3,0),"""")"),"")</f>
        <v/>
      </c>
      <c r="AH4112" s="49" t="str">
        <f t="shared" si="64"/>
        <v/>
      </c>
    </row>
    <row r="4113" spans="8:34" ht="12.75">
      <c r="H4113" s="43"/>
      <c r="AG4113" s="49" t="str">
        <f ca="1">IFERROR(__xludf.DUMMYFUNCTION("IFNA(vlookup(H4113,IMPORTRANGE(""1vUGwO1n0QQGx9kKbO0_M5gmuhXZ6-LaxQxgrmJnzgP0"",""'TP# look up'!A:C""),3,0),"""")"),"")</f>
        <v/>
      </c>
      <c r="AH4113" s="49" t="str">
        <f t="shared" si="64"/>
        <v/>
      </c>
    </row>
    <row r="4114" spans="8:34" ht="12.75">
      <c r="H4114" s="43"/>
      <c r="AG4114" s="49" t="str">
        <f ca="1">IFERROR(__xludf.DUMMYFUNCTION("IFNA(vlookup(H4114,IMPORTRANGE(""1vUGwO1n0QQGx9kKbO0_M5gmuhXZ6-LaxQxgrmJnzgP0"",""'TP# look up'!A:C""),3,0),"""")"),"")</f>
        <v/>
      </c>
      <c r="AH4114" s="49" t="str">
        <f t="shared" si="64"/>
        <v/>
      </c>
    </row>
    <row r="4115" spans="8:34" ht="12.75">
      <c r="H4115" s="43"/>
      <c r="AG4115" s="49" t="str">
        <f ca="1">IFERROR(__xludf.DUMMYFUNCTION("IFNA(vlookup(H4115,IMPORTRANGE(""1vUGwO1n0QQGx9kKbO0_M5gmuhXZ6-LaxQxgrmJnzgP0"",""'TP# look up'!A:C""),3,0),"""")"),"")</f>
        <v/>
      </c>
      <c r="AH4115" s="49" t="str">
        <f t="shared" si="64"/>
        <v/>
      </c>
    </row>
    <row r="4116" spans="8:34" ht="12.75">
      <c r="H4116" s="43"/>
      <c r="AG4116" s="49" t="str">
        <f ca="1">IFERROR(__xludf.DUMMYFUNCTION("IFNA(vlookup(H4116,IMPORTRANGE(""1vUGwO1n0QQGx9kKbO0_M5gmuhXZ6-LaxQxgrmJnzgP0"",""'TP# look up'!A:C""),3,0),"""")"),"")</f>
        <v/>
      </c>
      <c r="AH4116" s="49" t="str">
        <f t="shared" si="64"/>
        <v/>
      </c>
    </row>
    <row r="4117" spans="8:34" ht="12.75">
      <c r="H4117" s="43"/>
      <c r="AG4117" s="49" t="str">
        <f ca="1">IFERROR(__xludf.DUMMYFUNCTION("IFNA(vlookup(H4117,IMPORTRANGE(""1vUGwO1n0QQGx9kKbO0_M5gmuhXZ6-LaxQxgrmJnzgP0"",""'TP# look up'!A:C""),3,0),"""")"),"")</f>
        <v/>
      </c>
      <c r="AH4117" s="49" t="str">
        <f t="shared" si="64"/>
        <v/>
      </c>
    </row>
    <row r="4118" spans="8:34" ht="12.75">
      <c r="H4118" s="43"/>
      <c r="AG4118" s="49" t="str">
        <f ca="1">IFERROR(__xludf.DUMMYFUNCTION("IFNA(vlookup(H4118,IMPORTRANGE(""1vUGwO1n0QQGx9kKbO0_M5gmuhXZ6-LaxQxgrmJnzgP0"",""'TP# look up'!A:C""),3,0),"""")"),"")</f>
        <v/>
      </c>
      <c r="AH4118" s="49" t="str">
        <f t="shared" si="64"/>
        <v/>
      </c>
    </row>
    <row r="4119" spans="8:34" ht="12.75">
      <c r="H4119" s="43"/>
      <c r="AG4119" s="49" t="str">
        <f ca="1">IFERROR(__xludf.DUMMYFUNCTION("IFNA(vlookup(H4119,IMPORTRANGE(""1vUGwO1n0QQGx9kKbO0_M5gmuhXZ6-LaxQxgrmJnzgP0"",""'TP# look up'!A:C""),3,0),"""")"),"")</f>
        <v/>
      </c>
      <c r="AH4119" s="49" t="str">
        <f t="shared" si="64"/>
        <v/>
      </c>
    </row>
    <row r="4120" spans="8:34" ht="12.75">
      <c r="H4120" s="43"/>
      <c r="AG4120" s="49" t="str">
        <f ca="1">IFERROR(__xludf.DUMMYFUNCTION("IFNA(vlookup(H4120,IMPORTRANGE(""1vUGwO1n0QQGx9kKbO0_M5gmuhXZ6-LaxQxgrmJnzgP0"",""'TP# look up'!A:C""),3,0),"""")"),"")</f>
        <v/>
      </c>
      <c r="AH4120" s="49" t="str">
        <f t="shared" si="64"/>
        <v/>
      </c>
    </row>
    <row r="4121" spans="8:34" ht="12.75">
      <c r="H4121" s="43"/>
      <c r="AG4121" s="49" t="str">
        <f ca="1">IFERROR(__xludf.DUMMYFUNCTION("IFNA(vlookup(H4121,IMPORTRANGE(""1vUGwO1n0QQGx9kKbO0_M5gmuhXZ6-LaxQxgrmJnzgP0"",""'TP# look up'!A:C""),3,0),"""")"),"")</f>
        <v/>
      </c>
      <c r="AH4121" s="49" t="str">
        <f t="shared" si="64"/>
        <v/>
      </c>
    </row>
    <row r="4122" spans="8:34" ht="12.75">
      <c r="H4122" s="43"/>
      <c r="AG4122" s="49" t="str">
        <f ca="1">IFERROR(__xludf.DUMMYFUNCTION("IFNA(vlookup(H4122,IMPORTRANGE(""1vUGwO1n0QQGx9kKbO0_M5gmuhXZ6-LaxQxgrmJnzgP0"",""'TP# look up'!A:C""),3,0),"""")"),"")</f>
        <v/>
      </c>
      <c r="AH4122" s="49" t="str">
        <f t="shared" si="64"/>
        <v/>
      </c>
    </row>
    <row r="4123" spans="8:34" ht="12.75">
      <c r="H4123" s="43"/>
      <c r="AG4123" s="49" t="str">
        <f ca="1">IFERROR(__xludf.DUMMYFUNCTION("IFNA(vlookup(H4123,IMPORTRANGE(""1vUGwO1n0QQGx9kKbO0_M5gmuhXZ6-LaxQxgrmJnzgP0"",""'TP# look up'!A:C""),3,0),"""")"),"")</f>
        <v/>
      </c>
      <c r="AH4123" s="49" t="str">
        <f t="shared" si="64"/>
        <v/>
      </c>
    </row>
    <row r="4124" spans="8:34" ht="12.75">
      <c r="H4124" s="43"/>
      <c r="AG4124" s="49" t="str">
        <f ca="1">IFERROR(__xludf.DUMMYFUNCTION("IFNA(vlookup(H4124,IMPORTRANGE(""1vUGwO1n0QQGx9kKbO0_M5gmuhXZ6-LaxQxgrmJnzgP0"",""'TP# look up'!A:C""),3,0),"""")"),"")</f>
        <v/>
      </c>
      <c r="AH4124" s="49" t="str">
        <f t="shared" si="64"/>
        <v/>
      </c>
    </row>
    <row r="4125" spans="8:34" ht="12.75">
      <c r="H4125" s="43"/>
      <c r="AG4125" s="49" t="str">
        <f ca="1">IFERROR(__xludf.DUMMYFUNCTION("IFNA(vlookup(H4125,IMPORTRANGE(""1vUGwO1n0QQGx9kKbO0_M5gmuhXZ6-LaxQxgrmJnzgP0"",""'TP# look up'!A:C""),3,0),"""")"),"")</f>
        <v/>
      </c>
      <c r="AH4125" s="49" t="str">
        <f t="shared" si="64"/>
        <v/>
      </c>
    </row>
    <row r="4126" spans="8:34" ht="12.75">
      <c r="H4126" s="43"/>
      <c r="AG4126" s="49" t="str">
        <f ca="1">IFERROR(__xludf.DUMMYFUNCTION("IFNA(vlookup(H4126,IMPORTRANGE(""1vUGwO1n0QQGx9kKbO0_M5gmuhXZ6-LaxQxgrmJnzgP0"",""'TP# look up'!A:C""),3,0),"""")"),"")</f>
        <v/>
      </c>
      <c r="AH4126" s="49" t="str">
        <f t="shared" si="64"/>
        <v/>
      </c>
    </row>
    <row r="4127" spans="8:34" ht="12.75">
      <c r="H4127" s="43"/>
      <c r="AG4127" s="49" t="str">
        <f ca="1">IFERROR(__xludf.DUMMYFUNCTION("IFNA(vlookup(H4127,IMPORTRANGE(""1vUGwO1n0QQGx9kKbO0_M5gmuhXZ6-LaxQxgrmJnzgP0"",""'TP# look up'!A:C""),3,0),"""")"),"")</f>
        <v/>
      </c>
      <c r="AH4127" s="49" t="str">
        <f t="shared" si="64"/>
        <v/>
      </c>
    </row>
    <row r="4128" spans="8:34" ht="12.75">
      <c r="H4128" s="43"/>
      <c r="AG4128" s="49" t="str">
        <f ca="1">IFERROR(__xludf.DUMMYFUNCTION("IFNA(vlookup(H4128,IMPORTRANGE(""1vUGwO1n0QQGx9kKbO0_M5gmuhXZ6-LaxQxgrmJnzgP0"",""'TP# look up'!A:C""),3,0),"""")"),"")</f>
        <v/>
      </c>
      <c r="AH4128" s="49" t="str">
        <f t="shared" si="64"/>
        <v/>
      </c>
    </row>
    <row r="4129" spans="8:34" ht="12.75">
      <c r="H4129" s="43"/>
      <c r="AG4129" s="49" t="str">
        <f ca="1">IFERROR(__xludf.DUMMYFUNCTION("IFNA(vlookup(H4129,IMPORTRANGE(""1vUGwO1n0QQGx9kKbO0_M5gmuhXZ6-LaxQxgrmJnzgP0"",""'TP# look up'!A:C""),3,0),"""")"),"")</f>
        <v/>
      </c>
      <c r="AH4129" s="49" t="str">
        <f t="shared" si="64"/>
        <v/>
      </c>
    </row>
    <row r="4130" spans="8:34" ht="12.75">
      <c r="H4130" s="43"/>
      <c r="AG4130" s="49" t="str">
        <f ca="1">IFERROR(__xludf.DUMMYFUNCTION("IFNA(vlookup(H4130,IMPORTRANGE(""1vUGwO1n0QQGx9kKbO0_M5gmuhXZ6-LaxQxgrmJnzgP0"",""'TP# look up'!A:C""),3,0),"""")"),"")</f>
        <v/>
      </c>
      <c r="AH4130" s="49" t="str">
        <f t="shared" si="64"/>
        <v/>
      </c>
    </row>
    <row r="4131" spans="8:34" ht="12.75">
      <c r="H4131" s="43"/>
      <c r="AG4131" s="49" t="str">
        <f ca="1">IFERROR(__xludf.DUMMYFUNCTION("IFNA(vlookup(H4131,IMPORTRANGE(""1vUGwO1n0QQGx9kKbO0_M5gmuhXZ6-LaxQxgrmJnzgP0"",""'TP# look up'!A:C""),3,0),"""")"),"")</f>
        <v/>
      </c>
      <c r="AH4131" s="49" t="str">
        <f t="shared" si="64"/>
        <v/>
      </c>
    </row>
    <row r="4132" spans="8:34" ht="12.75">
      <c r="H4132" s="43"/>
      <c r="AG4132" s="49" t="str">
        <f ca="1">IFERROR(__xludf.DUMMYFUNCTION("IFNA(vlookup(H4132,IMPORTRANGE(""1vUGwO1n0QQGx9kKbO0_M5gmuhXZ6-LaxQxgrmJnzgP0"",""'TP# look up'!A:C""),3,0),"""")"),"")</f>
        <v/>
      </c>
      <c r="AH4132" s="49" t="str">
        <f t="shared" si="64"/>
        <v/>
      </c>
    </row>
    <row r="4133" spans="8:34" ht="12.75">
      <c r="H4133" s="43"/>
      <c r="AG4133" s="49" t="str">
        <f ca="1">IFERROR(__xludf.DUMMYFUNCTION("IFNA(vlookup(H4133,IMPORTRANGE(""1vUGwO1n0QQGx9kKbO0_M5gmuhXZ6-LaxQxgrmJnzgP0"",""'TP# look up'!A:C""),3,0),"""")"),"")</f>
        <v/>
      </c>
      <c r="AH4133" s="49" t="str">
        <f t="shared" si="64"/>
        <v/>
      </c>
    </row>
    <row r="4134" spans="8:34" ht="12.75">
      <c r="H4134" s="43"/>
      <c r="AG4134" s="49" t="str">
        <f ca="1">IFERROR(__xludf.DUMMYFUNCTION("IFNA(vlookup(H4134,IMPORTRANGE(""1vUGwO1n0QQGx9kKbO0_M5gmuhXZ6-LaxQxgrmJnzgP0"",""'TP# look up'!A:C""),3,0),"""")"),"")</f>
        <v/>
      </c>
      <c r="AH4134" s="49" t="str">
        <f t="shared" si="64"/>
        <v/>
      </c>
    </row>
    <row r="4135" spans="8:34" ht="12.75">
      <c r="H4135" s="43"/>
      <c r="AG4135" s="49" t="str">
        <f ca="1">IFERROR(__xludf.DUMMYFUNCTION("IFNA(vlookup(H4135,IMPORTRANGE(""1vUGwO1n0QQGx9kKbO0_M5gmuhXZ6-LaxQxgrmJnzgP0"",""'TP# look up'!A:C""),3,0),"""")"),"")</f>
        <v/>
      </c>
      <c r="AH4135" s="49" t="str">
        <f t="shared" si="64"/>
        <v/>
      </c>
    </row>
    <row r="4136" spans="8:34" ht="12.75">
      <c r="H4136" s="43"/>
      <c r="AG4136" s="49" t="str">
        <f ca="1">IFERROR(__xludf.DUMMYFUNCTION("IFNA(vlookup(H4136,IMPORTRANGE(""1vUGwO1n0QQGx9kKbO0_M5gmuhXZ6-LaxQxgrmJnzgP0"",""'TP# look up'!A:C""),3,0),"""")"),"")</f>
        <v/>
      </c>
      <c r="AH4136" s="49" t="str">
        <f t="shared" si="64"/>
        <v/>
      </c>
    </row>
    <row r="4137" spans="8:34" ht="12.75">
      <c r="H4137" s="43"/>
      <c r="AG4137" s="49" t="str">
        <f ca="1">IFERROR(__xludf.DUMMYFUNCTION("IFNA(vlookup(H4137,IMPORTRANGE(""1vUGwO1n0QQGx9kKbO0_M5gmuhXZ6-LaxQxgrmJnzgP0"",""'TP# look up'!A:C""),3,0),"""")"),"")</f>
        <v/>
      </c>
      <c r="AH4137" s="49" t="str">
        <f t="shared" si="64"/>
        <v/>
      </c>
    </row>
    <row r="4138" spans="8:34" ht="12.75">
      <c r="H4138" s="43"/>
      <c r="AG4138" s="49" t="str">
        <f ca="1">IFERROR(__xludf.DUMMYFUNCTION("IFNA(vlookup(H4138,IMPORTRANGE(""1vUGwO1n0QQGx9kKbO0_M5gmuhXZ6-LaxQxgrmJnzgP0"",""'TP# look up'!A:C""),3,0),"""")"),"")</f>
        <v/>
      </c>
      <c r="AH4138" s="49" t="str">
        <f t="shared" si="64"/>
        <v/>
      </c>
    </row>
    <row r="4139" spans="8:34" ht="12.75">
      <c r="H4139" s="43"/>
      <c r="AG4139" s="49" t="str">
        <f ca="1">IFERROR(__xludf.DUMMYFUNCTION("IFNA(vlookup(H4139,IMPORTRANGE(""1vUGwO1n0QQGx9kKbO0_M5gmuhXZ6-LaxQxgrmJnzgP0"",""'TP# look up'!A:C""),3,0),"""")"),"")</f>
        <v/>
      </c>
      <c r="AH4139" s="49" t="str">
        <f t="shared" si="64"/>
        <v/>
      </c>
    </row>
    <row r="4140" spans="8:34" ht="12.75">
      <c r="H4140" s="43"/>
      <c r="AG4140" s="49" t="str">
        <f ca="1">IFERROR(__xludf.DUMMYFUNCTION("IFNA(vlookup(H4140,IMPORTRANGE(""1vUGwO1n0QQGx9kKbO0_M5gmuhXZ6-LaxQxgrmJnzgP0"",""'TP# look up'!A:C""),3,0),"""")"),"")</f>
        <v/>
      </c>
      <c r="AH4140" s="49" t="str">
        <f t="shared" si="64"/>
        <v/>
      </c>
    </row>
    <row r="4141" spans="8:34" ht="12.75">
      <c r="H4141" s="43"/>
      <c r="AG4141" s="49" t="str">
        <f ca="1">IFERROR(__xludf.DUMMYFUNCTION("IFNA(vlookup(H4141,IMPORTRANGE(""1vUGwO1n0QQGx9kKbO0_M5gmuhXZ6-LaxQxgrmJnzgP0"",""'TP# look up'!A:C""),3,0),"""")"),"")</f>
        <v/>
      </c>
      <c r="AH4141" s="49" t="str">
        <f t="shared" si="64"/>
        <v/>
      </c>
    </row>
    <row r="4142" spans="8:34" ht="12.75">
      <c r="H4142" s="43"/>
      <c r="AG4142" s="49" t="str">
        <f ca="1">IFERROR(__xludf.DUMMYFUNCTION("IFNA(vlookup(H4142,IMPORTRANGE(""1vUGwO1n0QQGx9kKbO0_M5gmuhXZ6-LaxQxgrmJnzgP0"",""'TP# look up'!A:C""),3,0),"""")"),"")</f>
        <v/>
      </c>
      <c r="AH4142" s="49" t="str">
        <f t="shared" si="64"/>
        <v/>
      </c>
    </row>
    <row r="4143" spans="8:34" ht="12.75">
      <c r="H4143" s="43"/>
      <c r="AG4143" s="49" t="str">
        <f ca="1">IFERROR(__xludf.DUMMYFUNCTION("IFNA(vlookup(H4143,IMPORTRANGE(""1vUGwO1n0QQGx9kKbO0_M5gmuhXZ6-LaxQxgrmJnzgP0"",""'TP# look up'!A:C""),3,0),"""")"),"")</f>
        <v/>
      </c>
      <c r="AH4143" s="49" t="str">
        <f t="shared" si="64"/>
        <v/>
      </c>
    </row>
    <row r="4144" spans="8:34" ht="12.75">
      <c r="H4144" s="43"/>
      <c r="AG4144" s="49" t="str">
        <f ca="1">IFERROR(__xludf.DUMMYFUNCTION("IFNA(vlookup(H4144,IMPORTRANGE(""1vUGwO1n0QQGx9kKbO0_M5gmuhXZ6-LaxQxgrmJnzgP0"",""'TP# look up'!A:C""),3,0),"""")"),"")</f>
        <v/>
      </c>
      <c r="AH4144" s="49" t="str">
        <f t="shared" si="64"/>
        <v/>
      </c>
    </row>
    <row r="4145" spans="8:34" ht="12.75">
      <c r="H4145" s="43"/>
      <c r="AG4145" s="49" t="str">
        <f ca="1">IFERROR(__xludf.DUMMYFUNCTION("IFNA(vlookup(H4145,IMPORTRANGE(""1vUGwO1n0QQGx9kKbO0_M5gmuhXZ6-LaxQxgrmJnzgP0"",""'TP# look up'!A:C""),3,0),"""")"),"")</f>
        <v/>
      </c>
      <c r="AH4145" s="49" t="str">
        <f t="shared" si="64"/>
        <v/>
      </c>
    </row>
    <row r="4146" spans="8:34" ht="12.75">
      <c r="H4146" s="43"/>
      <c r="AG4146" s="49" t="str">
        <f ca="1">IFERROR(__xludf.DUMMYFUNCTION("IFNA(vlookup(H4146,IMPORTRANGE(""1vUGwO1n0QQGx9kKbO0_M5gmuhXZ6-LaxQxgrmJnzgP0"",""'TP# look up'!A:C""),3,0),"""")"),"")</f>
        <v/>
      </c>
      <c r="AH4146" s="49" t="str">
        <f t="shared" si="64"/>
        <v/>
      </c>
    </row>
    <row r="4147" spans="8:34" ht="12.75">
      <c r="H4147" s="43"/>
      <c r="AG4147" s="49" t="str">
        <f ca="1">IFERROR(__xludf.DUMMYFUNCTION("IFNA(vlookup(H4147,IMPORTRANGE(""1vUGwO1n0QQGx9kKbO0_M5gmuhXZ6-LaxQxgrmJnzgP0"",""'TP# look up'!A:C""),3,0),"""")"),"")</f>
        <v/>
      </c>
      <c r="AH4147" s="49" t="str">
        <f t="shared" si="64"/>
        <v/>
      </c>
    </row>
    <row r="4148" spans="8:34" ht="12.75">
      <c r="H4148" s="43"/>
      <c r="AG4148" s="49" t="str">
        <f ca="1">IFERROR(__xludf.DUMMYFUNCTION("IFNA(vlookup(H4148,IMPORTRANGE(""1vUGwO1n0QQGx9kKbO0_M5gmuhXZ6-LaxQxgrmJnzgP0"",""'TP# look up'!A:C""),3,0),"""")"),"")</f>
        <v/>
      </c>
      <c r="AH4148" s="49" t="str">
        <f t="shared" si="64"/>
        <v/>
      </c>
    </row>
    <row r="4149" spans="8:34" ht="12.75">
      <c r="H4149" s="43"/>
      <c r="AG4149" s="49" t="str">
        <f ca="1">IFERROR(__xludf.DUMMYFUNCTION("IFNA(vlookup(H4149,IMPORTRANGE(""1vUGwO1n0QQGx9kKbO0_M5gmuhXZ6-LaxQxgrmJnzgP0"",""'TP# look up'!A:C""),3,0),"""")"),"")</f>
        <v/>
      </c>
      <c r="AH4149" s="49" t="str">
        <f t="shared" si="64"/>
        <v/>
      </c>
    </row>
    <row r="4150" spans="8:34" ht="12.75">
      <c r="H4150" s="43"/>
      <c r="AG4150" s="49" t="str">
        <f ca="1">IFERROR(__xludf.DUMMYFUNCTION("IFNA(vlookup(H4150,IMPORTRANGE(""1vUGwO1n0QQGx9kKbO0_M5gmuhXZ6-LaxQxgrmJnzgP0"",""'TP# look up'!A:C""),3,0),"""")"),"")</f>
        <v/>
      </c>
      <c r="AH4150" s="49" t="str">
        <f t="shared" si="64"/>
        <v/>
      </c>
    </row>
    <row r="4151" spans="8:34" ht="12.75">
      <c r="H4151" s="43"/>
      <c r="AG4151" s="49" t="str">
        <f ca="1">IFERROR(__xludf.DUMMYFUNCTION("IFNA(vlookup(H4151,IMPORTRANGE(""1vUGwO1n0QQGx9kKbO0_M5gmuhXZ6-LaxQxgrmJnzgP0"",""'TP# look up'!A:C""),3,0),"""")"),"")</f>
        <v/>
      </c>
      <c r="AH4151" s="49" t="str">
        <f t="shared" si="64"/>
        <v/>
      </c>
    </row>
    <row r="4152" spans="8:34" ht="12.75">
      <c r="H4152" s="43"/>
      <c r="AG4152" s="49" t="str">
        <f ca="1">IFERROR(__xludf.DUMMYFUNCTION("IFNA(vlookup(H4152,IMPORTRANGE(""1vUGwO1n0QQGx9kKbO0_M5gmuhXZ6-LaxQxgrmJnzgP0"",""'TP# look up'!A:C""),3,0),"""")"),"")</f>
        <v/>
      </c>
      <c r="AH4152" s="49" t="str">
        <f t="shared" si="64"/>
        <v/>
      </c>
    </row>
    <row r="4153" spans="8:34" ht="12.75">
      <c r="H4153" s="43"/>
      <c r="AG4153" s="49" t="str">
        <f ca="1">IFERROR(__xludf.DUMMYFUNCTION("IFNA(vlookup(H4153,IMPORTRANGE(""1vUGwO1n0QQGx9kKbO0_M5gmuhXZ6-LaxQxgrmJnzgP0"",""'TP# look up'!A:C""),3,0),"""")"),"")</f>
        <v/>
      </c>
      <c r="AH4153" s="49" t="str">
        <f t="shared" si="64"/>
        <v/>
      </c>
    </row>
    <row r="4154" spans="8:34" ht="12.75">
      <c r="H4154" s="43"/>
      <c r="AG4154" s="49" t="str">
        <f ca="1">IFERROR(__xludf.DUMMYFUNCTION("IFNA(vlookup(H4154,IMPORTRANGE(""1vUGwO1n0QQGx9kKbO0_M5gmuhXZ6-LaxQxgrmJnzgP0"",""'TP# look up'!A:C""),3,0),"""")"),"")</f>
        <v/>
      </c>
      <c r="AH4154" s="49" t="str">
        <f t="shared" si="64"/>
        <v/>
      </c>
    </row>
    <row r="4155" spans="8:34" ht="12.75">
      <c r="H4155" s="43"/>
      <c r="AG4155" s="49" t="str">
        <f ca="1">IFERROR(__xludf.DUMMYFUNCTION("IFNA(vlookup(H4155,IMPORTRANGE(""1vUGwO1n0QQGx9kKbO0_M5gmuhXZ6-LaxQxgrmJnzgP0"",""'TP# look up'!A:C""),3,0),"""")"),"")</f>
        <v/>
      </c>
      <c r="AH4155" s="49" t="str">
        <f t="shared" si="64"/>
        <v/>
      </c>
    </row>
    <row r="4156" spans="8:34" ht="12.75">
      <c r="H4156" s="43"/>
      <c r="AG4156" s="49" t="str">
        <f ca="1">IFERROR(__xludf.DUMMYFUNCTION("IFNA(vlookup(H4156,IMPORTRANGE(""1vUGwO1n0QQGx9kKbO0_M5gmuhXZ6-LaxQxgrmJnzgP0"",""'TP# look up'!A:C""),3,0),"""")"),"")</f>
        <v/>
      </c>
      <c r="AH4156" s="49" t="str">
        <f t="shared" si="64"/>
        <v/>
      </c>
    </row>
    <row r="4157" spans="8:34" ht="12.75">
      <c r="H4157" s="43"/>
      <c r="AG4157" s="49" t="str">
        <f ca="1">IFERROR(__xludf.DUMMYFUNCTION("IFNA(vlookup(H4157,IMPORTRANGE(""1vUGwO1n0QQGx9kKbO0_M5gmuhXZ6-LaxQxgrmJnzgP0"",""'TP# look up'!A:C""),3,0),"""")"),"")</f>
        <v/>
      </c>
      <c r="AH4157" s="49" t="str">
        <f t="shared" si="64"/>
        <v/>
      </c>
    </row>
    <row r="4158" spans="8:34" ht="12.75">
      <c r="H4158" s="43"/>
      <c r="AG4158" s="49" t="str">
        <f ca="1">IFERROR(__xludf.DUMMYFUNCTION("IFNA(vlookup(H4158,IMPORTRANGE(""1vUGwO1n0QQGx9kKbO0_M5gmuhXZ6-LaxQxgrmJnzgP0"",""'TP# look up'!A:C""),3,0),"""")"),"")</f>
        <v/>
      </c>
      <c r="AH4158" s="49" t="str">
        <f t="shared" si="64"/>
        <v/>
      </c>
    </row>
    <row r="4159" spans="8:34" ht="12.75">
      <c r="H4159" s="43"/>
      <c r="AG4159" s="49" t="str">
        <f ca="1">IFERROR(__xludf.DUMMYFUNCTION("IFNA(vlookup(H4159,IMPORTRANGE(""1vUGwO1n0QQGx9kKbO0_M5gmuhXZ6-LaxQxgrmJnzgP0"",""'TP# look up'!A:C""),3,0),"""")"),"")</f>
        <v/>
      </c>
      <c r="AH4159" s="49" t="str">
        <f t="shared" si="64"/>
        <v/>
      </c>
    </row>
    <row r="4160" spans="8:34" ht="12.75">
      <c r="H4160" s="43"/>
      <c r="AG4160" s="49" t="str">
        <f ca="1">IFERROR(__xludf.DUMMYFUNCTION("IFNA(vlookup(H4160,IMPORTRANGE(""1vUGwO1n0QQGx9kKbO0_M5gmuhXZ6-LaxQxgrmJnzgP0"",""'TP# look up'!A:C""),3,0),"""")"),"")</f>
        <v/>
      </c>
      <c r="AH4160" s="49" t="str">
        <f t="shared" si="64"/>
        <v/>
      </c>
    </row>
    <row r="4161" spans="8:34" ht="12.75">
      <c r="H4161" s="43"/>
      <c r="AG4161" s="49" t="str">
        <f ca="1">IFERROR(__xludf.DUMMYFUNCTION("IFNA(vlookup(H4161,IMPORTRANGE(""1vUGwO1n0QQGx9kKbO0_M5gmuhXZ6-LaxQxgrmJnzgP0"",""'TP# look up'!A:C""),3,0),"""")"),"")</f>
        <v/>
      </c>
      <c r="AH4161" s="49" t="str">
        <f t="shared" si="64"/>
        <v/>
      </c>
    </row>
    <row r="4162" spans="8:34" ht="12.75">
      <c r="H4162" s="43"/>
      <c r="AG4162" s="49" t="str">
        <f ca="1">IFERROR(__xludf.DUMMYFUNCTION("IFNA(vlookup(H4162,IMPORTRANGE(""1vUGwO1n0QQGx9kKbO0_M5gmuhXZ6-LaxQxgrmJnzgP0"",""'TP# look up'!A:C""),3,0),"""")"),"")</f>
        <v/>
      </c>
      <c r="AH4162" s="49" t="str">
        <f t="shared" ref="AH4162:AH4225" si="65">LEFT(J4162,2)</f>
        <v/>
      </c>
    </row>
    <row r="4163" spans="8:34" ht="12.75">
      <c r="H4163" s="43"/>
      <c r="AG4163" s="49" t="str">
        <f ca="1">IFERROR(__xludf.DUMMYFUNCTION("IFNA(vlookup(H4163,IMPORTRANGE(""1vUGwO1n0QQGx9kKbO0_M5gmuhXZ6-LaxQxgrmJnzgP0"",""'TP# look up'!A:C""),3,0),"""")"),"")</f>
        <v/>
      </c>
      <c r="AH4163" s="49" t="str">
        <f t="shared" si="65"/>
        <v/>
      </c>
    </row>
    <row r="4164" spans="8:34" ht="12.75">
      <c r="H4164" s="43"/>
      <c r="AG4164" s="49" t="str">
        <f ca="1">IFERROR(__xludf.DUMMYFUNCTION("IFNA(vlookup(H4164,IMPORTRANGE(""1vUGwO1n0QQGx9kKbO0_M5gmuhXZ6-LaxQxgrmJnzgP0"",""'TP# look up'!A:C""),3,0),"""")"),"")</f>
        <v/>
      </c>
      <c r="AH4164" s="49" t="str">
        <f t="shared" si="65"/>
        <v/>
      </c>
    </row>
    <row r="4165" spans="8:34" ht="12.75">
      <c r="H4165" s="43"/>
      <c r="AG4165" s="49" t="str">
        <f ca="1">IFERROR(__xludf.DUMMYFUNCTION("IFNA(vlookup(H4165,IMPORTRANGE(""1vUGwO1n0QQGx9kKbO0_M5gmuhXZ6-LaxQxgrmJnzgP0"",""'TP# look up'!A:C""),3,0),"""")"),"")</f>
        <v/>
      </c>
      <c r="AH4165" s="49" t="str">
        <f t="shared" si="65"/>
        <v/>
      </c>
    </row>
    <row r="4166" spans="8:34" ht="12.75">
      <c r="H4166" s="43"/>
      <c r="AG4166" s="49" t="str">
        <f ca="1">IFERROR(__xludf.DUMMYFUNCTION("IFNA(vlookup(H4166,IMPORTRANGE(""1vUGwO1n0QQGx9kKbO0_M5gmuhXZ6-LaxQxgrmJnzgP0"",""'TP# look up'!A:C""),3,0),"""")"),"")</f>
        <v/>
      </c>
      <c r="AH4166" s="49" t="str">
        <f t="shared" si="65"/>
        <v/>
      </c>
    </row>
    <row r="4167" spans="8:34" ht="12.75">
      <c r="H4167" s="43"/>
      <c r="AG4167" s="49" t="str">
        <f ca="1">IFERROR(__xludf.DUMMYFUNCTION("IFNA(vlookup(H4167,IMPORTRANGE(""1vUGwO1n0QQGx9kKbO0_M5gmuhXZ6-LaxQxgrmJnzgP0"",""'TP# look up'!A:C""),3,0),"""")"),"")</f>
        <v/>
      </c>
      <c r="AH4167" s="49" t="str">
        <f t="shared" si="65"/>
        <v/>
      </c>
    </row>
    <row r="4168" spans="8:34" ht="12.75">
      <c r="H4168" s="43"/>
      <c r="AG4168" s="49" t="str">
        <f ca="1">IFERROR(__xludf.DUMMYFUNCTION("IFNA(vlookup(H4168,IMPORTRANGE(""1vUGwO1n0QQGx9kKbO0_M5gmuhXZ6-LaxQxgrmJnzgP0"",""'TP# look up'!A:C""),3,0),"""")"),"")</f>
        <v/>
      </c>
      <c r="AH4168" s="49" t="str">
        <f t="shared" si="65"/>
        <v/>
      </c>
    </row>
    <row r="4169" spans="8:34" ht="12.75">
      <c r="H4169" s="43"/>
      <c r="AG4169" s="49" t="str">
        <f ca="1">IFERROR(__xludf.DUMMYFUNCTION("IFNA(vlookup(H4169,IMPORTRANGE(""1vUGwO1n0QQGx9kKbO0_M5gmuhXZ6-LaxQxgrmJnzgP0"",""'TP# look up'!A:C""),3,0),"""")"),"")</f>
        <v/>
      </c>
      <c r="AH4169" s="49" t="str">
        <f t="shared" si="65"/>
        <v/>
      </c>
    </row>
    <row r="4170" spans="8:34" ht="12.75">
      <c r="H4170" s="43"/>
      <c r="AG4170" s="49" t="str">
        <f ca="1">IFERROR(__xludf.DUMMYFUNCTION("IFNA(vlookup(H4170,IMPORTRANGE(""1vUGwO1n0QQGx9kKbO0_M5gmuhXZ6-LaxQxgrmJnzgP0"",""'TP# look up'!A:C""),3,0),"""")"),"")</f>
        <v/>
      </c>
      <c r="AH4170" s="49" t="str">
        <f t="shared" si="65"/>
        <v/>
      </c>
    </row>
    <row r="4171" spans="8:34" ht="12.75">
      <c r="H4171" s="43"/>
      <c r="AG4171" s="49" t="str">
        <f ca="1">IFERROR(__xludf.DUMMYFUNCTION("IFNA(vlookup(H4171,IMPORTRANGE(""1vUGwO1n0QQGx9kKbO0_M5gmuhXZ6-LaxQxgrmJnzgP0"",""'TP# look up'!A:C""),3,0),"""")"),"")</f>
        <v/>
      </c>
      <c r="AH4171" s="49" t="str">
        <f t="shared" si="65"/>
        <v/>
      </c>
    </row>
    <row r="4172" spans="8:34" ht="12.75">
      <c r="H4172" s="43"/>
      <c r="AG4172" s="49" t="str">
        <f ca="1">IFERROR(__xludf.DUMMYFUNCTION("IFNA(vlookup(H4172,IMPORTRANGE(""1vUGwO1n0QQGx9kKbO0_M5gmuhXZ6-LaxQxgrmJnzgP0"",""'TP# look up'!A:C""),3,0),"""")"),"")</f>
        <v/>
      </c>
      <c r="AH4172" s="49" t="str">
        <f t="shared" si="65"/>
        <v/>
      </c>
    </row>
    <row r="4173" spans="8:34" ht="12.75">
      <c r="H4173" s="43"/>
      <c r="AG4173" s="49" t="str">
        <f ca="1">IFERROR(__xludf.DUMMYFUNCTION("IFNA(vlookup(H4173,IMPORTRANGE(""1vUGwO1n0QQGx9kKbO0_M5gmuhXZ6-LaxQxgrmJnzgP0"",""'TP# look up'!A:C""),3,0),"""")"),"")</f>
        <v/>
      </c>
      <c r="AH4173" s="49" t="str">
        <f t="shared" si="65"/>
        <v/>
      </c>
    </row>
    <row r="4174" spans="8:34" ht="12.75">
      <c r="H4174" s="43"/>
      <c r="AG4174" s="49" t="str">
        <f ca="1">IFERROR(__xludf.DUMMYFUNCTION("IFNA(vlookup(H4174,IMPORTRANGE(""1vUGwO1n0QQGx9kKbO0_M5gmuhXZ6-LaxQxgrmJnzgP0"",""'TP# look up'!A:C""),3,0),"""")"),"")</f>
        <v/>
      </c>
      <c r="AH4174" s="49" t="str">
        <f t="shared" si="65"/>
        <v/>
      </c>
    </row>
    <row r="4175" spans="8:34" ht="12.75">
      <c r="H4175" s="43"/>
      <c r="AG4175" s="49" t="str">
        <f ca="1">IFERROR(__xludf.DUMMYFUNCTION("IFNA(vlookup(H4175,IMPORTRANGE(""1vUGwO1n0QQGx9kKbO0_M5gmuhXZ6-LaxQxgrmJnzgP0"",""'TP# look up'!A:C""),3,0),"""")"),"")</f>
        <v/>
      </c>
      <c r="AH4175" s="49" t="str">
        <f t="shared" si="65"/>
        <v/>
      </c>
    </row>
    <row r="4176" spans="8:34" ht="12.75">
      <c r="H4176" s="43"/>
      <c r="AG4176" s="49" t="str">
        <f ca="1">IFERROR(__xludf.DUMMYFUNCTION("IFNA(vlookup(H4176,IMPORTRANGE(""1vUGwO1n0QQGx9kKbO0_M5gmuhXZ6-LaxQxgrmJnzgP0"",""'TP# look up'!A:C""),3,0),"""")"),"")</f>
        <v/>
      </c>
      <c r="AH4176" s="49" t="str">
        <f t="shared" si="65"/>
        <v/>
      </c>
    </row>
    <row r="4177" spans="8:34" ht="12.75">
      <c r="H4177" s="43"/>
      <c r="AG4177" s="49" t="str">
        <f ca="1">IFERROR(__xludf.DUMMYFUNCTION("IFNA(vlookup(H4177,IMPORTRANGE(""1vUGwO1n0QQGx9kKbO0_M5gmuhXZ6-LaxQxgrmJnzgP0"",""'TP# look up'!A:C""),3,0),"""")"),"")</f>
        <v/>
      </c>
      <c r="AH4177" s="49" t="str">
        <f t="shared" si="65"/>
        <v/>
      </c>
    </row>
    <row r="4178" spans="8:34" ht="12.75">
      <c r="H4178" s="43"/>
      <c r="AG4178" s="49" t="str">
        <f ca="1">IFERROR(__xludf.DUMMYFUNCTION("IFNA(vlookup(H4178,IMPORTRANGE(""1vUGwO1n0QQGx9kKbO0_M5gmuhXZ6-LaxQxgrmJnzgP0"",""'TP# look up'!A:C""),3,0),"""")"),"")</f>
        <v/>
      </c>
      <c r="AH4178" s="49" t="str">
        <f t="shared" si="65"/>
        <v/>
      </c>
    </row>
    <row r="4179" spans="8:34" ht="12.75">
      <c r="H4179" s="43"/>
      <c r="AG4179" s="49" t="str">
        <f ca="1">IFERROR(__xludf.DUMMYFUNCTION("IFNA(vlookup(H4179,IMPORTRANGE(""1vUGwO1n0QQGx9kKbO0_M5gmuhXZ6-LaxQxgrmJnzgP0"",""'TP# look up'!A:C""),3,0),"""")"),"")</f>
        <v/>
      </c>
      <c r="AH4179" s="49" t="str">
        <f t="shared" si="65"/>
        <v/>
      </c>
    </row>
    <row r="4180" spans="8:34" ht="12.75">
      <c r="H4180" s="43"/>
      <c r="AG4180" s="49" t="str">
        <f ca="1">IFERROR(__xludf.DUMMYFUNCTION("IFNA(vlookup(H4180,IMPORTRANGE(""1vUGwO1n0QQGx9kKbO0_M5gmuhXZ6-LaxQxgrmJnzgP0"",""'TP# look up'!A:C""),3,0),"""")"),"")</f>
        <v/>
      </c>
      <c r="AH4180" s="49" t="str">
        <f t="shared" si="65"/>
        <v/>
      </c>
    </row>
    <row r="4181" spans="8:34" ht="12.75">
      <c r="H4181" s="43"/>
      <c r="AG4181" s="49" t="str">
        <f ca="1">IFERROR(__xludf.DUMMYFUNCTION("IFNA(vlookup(H4181,IMPORTRANGE(""1vUGwO1n0QQGx9kKbO0_M5gmuhXZ6-LaxQxgrmJnzgP0"",""'TP# look up'!A:C""),3,0),"""")"),"")</f>
        <v/>
      </c>
      <c r="AH4181" s="49" t="str">
        <f t="shared" si="65"/>
        <v/>
      </c>
    </row>
    <row r="4182" spans="8:34" ht="12.75">
      <c r="H4182" s="43"/>
      <c r="AG4182" s="49" t="str">
        <f ca="1">IFERROR(__xludf.DUMMYFUNCTION("IFNA(vlookup(H4182,IMPORTRANGE(""1vUGwO1n0QQGx9kKbO0_M5gmuhXZ6-LaxQxgrmJnzgP0"",""'TP# look up'!A:C""),3,0),"""")"),"")</f>
        <v/>
      </c>
      <c r="AH4182" s="49" t="str">
        <f t="shared" si="65"/>
        <v/>
      </c>
    </row>
    <row r="4183" spans="8:34" ht="12.75">
      <c r="H4183" s="43"/>
      <c r="AG4183" s="49" t="str">
        <f ca="1">IFERROR(__xludf.DUMMYFUNCTION("IFNA(vlookup(H4183,IMPORTRANGE(""1vUGwO1n0QQGx9kKbO0_M5gmuhXZ6-LaxQxgrmJnzgP0"",""'TP# look up'!A:C""),3,0),"""")"),"")</f>
        <v/>
      </c>
      <c r="AH4183" s="49" t="str">
        <f t="shared" si="65"/>
        <v/>
      </c>
    </row>
    <row r="4184" spans="8:34" ht="12.75">
      <c r="H4184" s="43"/>
      <c r="AG4184" s="49" t="str">
        <f ca="1">IFERROR(__xludf.DUMMYFUNCTION("IFNA(vlookup(H4184,IMPORTRANGE(""1vUGwO1n0QQGx9kKbO0_M5gmuhXZ6-LaxQxgrmJnzgP0"",""'TP# look up'!A:C""),3,0),"""")"),"")</f>
        <v/>
      </c>
      <c r="AH4184" s="49" t="str">
        <f t="shared" si="65"/>
        <v/>
      </c>
    </row>
    <row r="4185" spans="8:34" ht="12.75">
      <c r="H4185" s="43"/>
      <c r="AG4185" s="49" t="str">
        <f ca="1">IFERROR(__xludf.DUMMYFUNCTION("IFNA(vlookup(H4185,IMPORTRANGE(""1vUGwO1n0QQGx9kKbO0_M5gmuhXZ6-LaxQxgrmJnzgP0"",""'TP# look up'!A:C""),3,0),"""")"),"")</f>
        <v/>
      </c>
      <c r="AH4185" s="49" t="str">
        <f t="shared" si="65"/>
        <v/>
      </c>
    </row>
    <row r="4186" spans="8:34" ht="12.75">
      <c r="H4186" s="43"/>
      <c r="AG4186" s="49" t="str">
        <f ca="1">IFERROR(__xludf.DUMMYFUNCTION("IFNA(vlookup(H4186,IMPORTRANGE(""1vUGwO1n0QQGx9kKbO0_M5gmuhXZ6-LaxQxgrmJnzgP0"",""'TP# look up'!A:C""),3,0),"""")"),"")</f>
        <v/>
      </c>
      <c r="AH4186" s="49" t="str">
        <f t="shared" si="65"/>
        <v/>
      </c>
    </row>
    <row r="4187" spans="8:34" ht="12.75">
      <c r="H4187" s="43"/>
      <c r="AG4187" s="49" t="str">
        <f ca="1">IFERROR(__xludf.DUMMYFUNCTION("IFNA(vlookup(H4187,IMPORTRANGE(""1vUGwO1n0QQGx9kKbO0_M5gmuhXZ6-LaxQxgrmJnzgP0"",""'TP# look up'!A:C""),3,0),"""")"),"")</f>
        <v/>
      </c>
      <c r="AH4187" s="49" t="str">
        <f t="shared" si="65"/>
        <v/>
      </c>
    </row>
    <row r="4188" spans="8:34" ht="12.75">
      <c r="H4188" s="43"/>
      <c r="AG4188" s="49" t="str">
        <f ca="1">IFERROR(__xludf.DUMMYFUNCTION("IFNA(vlookup(H4188,IMPORTRANGE(""1vUGwO1n0QQGx9kKbO0_M5gmuhXZ6-LaxQxgrmJnzgP0"",""'TP# look up'!A:C""),3,0),"""")"),"")</f>
        <v/>
      </c>
      <c r="AH4188" s="49" t="str">
        <f t="shared" si="65"/>
        <v/>
      </c>
    </row>
    <row r="4189" spans="8:34" ht="12.75">
      <c r="H4189" s="43"/>
      <c r="AG4189" s="49" t="str">
        <f ca="1">IFERROR(__xludf.DUMMYFUNCTION("IFNA(vlookup(H4189,IMPORTRANGE(""1vUGwO1n0QQGx9kKbO0_M5gmuhXZ6-LaxQxgrmJnzgP0"",""'TP# look up'!A:C""),3,0),"""")"),"")</f>
        <v/>
      </c>
      <c r="AH4189" s="49" t="str">
        <f t="shared" si="65"/>
        <v/>
      </c>
    </row>
    <row r="4190" spans="8:34" ht="12.75">
      <c r="H4190" s="43"/>
      <c r="AG4190" s="49" t="str">
        <f ca="1">IFERROR(__xludf.DUMMYFUNCTION("IFNA(vlookup(H4190,IMPORTRANGE(""1vUGwO1n0QQGx9kKbO0_M5gmuhXZ6-LaxQxgrmJnzgP0"",""'TP# look up'!A:C""),3,0),"""")"),"")</f>
        <v/>
      </c>
      <c r="AH4190" s="49" t="str">
        <f t="shared" si="65"/>
        <v/>
      </c>
    </row>
    <row r="4191" spans="8:34" ht="12.75">
      <c r="H4191" s="43"/>
      <c r="AG4191" s="49" t="str">
        <f ca="1">IFERROR(__xludf.DUMMYFUNCTION("IFNA(vlookup(H4191,IMPORTRANGE(""1vUGwO1n0QQGx9kKbO0_M5gmuhXZ6-LaxQxgrmJnzgP0"",""'TP# look up'!A:C""),3,0),"""")"),"")</f>
        <v/>
      </c>
      <c r="AH4191" s="49" t="str">
        <f t="shared" si="65"/>
        <v/>
      </c>
    </row>
    <row r="4192" spans="8:34" ht="12.75">
      <c r="H4192" s="43"/>
      <c r="AG4192" s="49" t="str">
        <f ca="1">IFERROR(__xludf.DUMMYFUNCTION("IFNA(vlookup(H4192,IMPORTRANGE(""1vUGwO1n0QQGx9kKbO0_M5gmuhXZ6-LaxQxgrmJnzgP0"",""'TP# look up'!A:C""),3,0),"""")"),"")</f>
        <v/>
      </c>
      <c r="AH4192" s="49" t="str">
        <f t="shared" si="65"/>
        <v/>
      </c>
    </row>
    <row r="4193" spans="8:34" ht="12.75">
      <c r="H4193" s="43"/>
      <c r="AG4193" s="49" t="str">
        <f ca="1">IFERROR(__xludf.DUMMYFUNCTION("IFNA(vlookup(H4193,IMPORTRANGE(""1vUGwO1n0QQGx9kKbO0_M5gmuhXZ6-LaxQxgrmJnzgP0"",""'TP# look up'!A:C""),3,0),"""")"),"")</f>
        <v/>
      </c>
      <c r="AH4193" s="49" t="str">
        <f t="shared" si="65"/>
        <v/>
      </c>
    </row>
    <row r="4194" spans="8:34" ht="12.75">
      <c r="H4194" s="43"/>
      <c r="AG4194" s="49" t="str">
        <f ca="1">IFERROR(__xludf.DUMMYFUNCTION("IFNA(vlookup(H4194,IMPORTRANGE(""1vUGwO1n0QQGx9kKbO0_M5gmuhXZ6-LaxQxgrmJnzgP0"",""'TP# look up'!A:C""),3,0),"""")"),"")</f>
        <v/>
      </c>
      <c r="AH4194" s="49" t="str">
        <f t="shared" si="65"/>
        <v/>
      </c>
    </row>
    <row r="4195" spans="8:34" ht="12.75">
      <c r="H4195" s="43"/>
      <c r="AG4195" s="49" t="str">
        <f ca="1">IFERROR(__xludf.DUMMYFUNCTION("IFNA(vlookup(H4195,IMPORTRANGE(""1vUGwO1n0QQGx9kKbO0_M5gmuhXZ6-LaxQxgrmJnzgP0"",""'TP# look up'!A:C""),3,0),"""")"),"")</f>
        <v/>
      </c>
      <c r="AH4195" s="49" t="str">
        <f t="shared" si="65"/>
        <v/>
      </c>
    </row>
    <row r="4196" spans="8:34" ht="12.75">
      <c r="H4196" s="43"/>
      <c r="AG4196" s="49" t="str">
        <f ca="1">IFERROR(__xludf.DUMMYFUNCTION("IFNA(vlookup(H4196,IMPORTRANGE(""1vUGwO1n0QQGx9kKbO0_M5gmuhXZ6-LaxQxgrmJnzgP0"",""'TP# look up'!A:C""),3,0),"""")"),"")</f>
        <v/>
      </c>
      <c r="AH4196" s="49" t="str">
        <f t="shared" si="65"/>
        <v/>
      </c>
    </row>
    <row r="4197" spans="8:34" ht="12.75">
      <c r="H4197" s="43"/>
      <c r="AG4197" s="49" t="str">
        <f ca="1">IFERROR(__xludf.DUMMYFUNCTION("IFNA(vlookup(H4197,IMPORTRANGE(""1vUGwO1n0QQGx9kKbO0_M5gmuhXZ6-LaxQxgrmJnzgP0"",""'TP# look up'!A:C""),3,0),"""")"),"")</f>
        <v/>
      </c>
      <c r="AH4197" s="49" t="str">
        <f t="shared" si="65"/>
        <v/>
      </c>
    </row>
    <row r="4198" spans="8:34" ht="12.75">
      <c r="H4198" s="43"/>
      <c r="AG4198" s="49" t="str">
        <f ca="1">IFERROR(__xludf.DUMMYFUNCTION("IFNA(vlookup(H4198,IMPORTRANGE(""1vUGwO1n0QQGx9kKbO0_M5gmuhXZ6-LaxQxgrmJnzgP0"",""'TP# look up'!A:C""),3,0),"""")"),"")</f>
        <v/>
      </c>
      <c r="AH4198" s="49" t="str">
        <f t="shared" si="65"/>
        <v/>
      </c>
    </row>
    <row r="4199" spans="8:34" ht="12.75">
      <c r="H4199" s="43"/>
      <c r="AG4199" s="49" t="str">
        <f ca="1">IFERROR(__xludf.DUMMYFUNCTION("IFNA(vlookup(H4199,IMPORTRANGE(""1vUGwO1n0QQGx9kKbO0_M5gmuhXZ6-LaxQxgrmJnzgP0"",""'TP# look up'!A:C""),3,0),"""")"),"")</f>
        <v/>
      </c>
      <c r="AH4199" s="49" t="str">
        <f t="shared" si="65"/>
        <v/>
      </c>
    </row>
    <row r="4200" spans="8:34" ht="12.75">
      <c r="H4200" s="43"/>
      <c r="AG4200" s="49" t="str">
        <f ca="1">IFERROR(__xludf.DUMMYFUNCTION("IFNA(vlookup(H4200,IMPORTRANGE(""1vUGwO1n0QQGx9kKbO0_M5gmuhXZ6-LaxQxgrmJnzgP0"",""'TP# look up'!A:C""),3,0),"""")"),"")</f>
        <v/>
      </c>
      <c r="AH4200" s="49" t="str">
        <f t="shared" si="65"/>
        <v/>
      </c>
    </row>
    <row r="4201" spans="8:34" ht="12.75">
      <c r="H4201" s="43"/>
      <c r="AG4201" s="49" t="str">
        <f ca="1">IFERROR(__xludf.DUMMYFUNCTION("IFNA(vlookup(H4201,IMPORTRANGE(""1vUGwO1n0QQGx9kKbO0_M5gmuhXZ6-LaxQxgrmJnzgP0"",""'TP# look up'!A:C""),3,0),"""")"),"")</f>
        <v/>
      </c>
      <c r="AH4201" s="49" t="str">
        <f t="shared" si="65"/>
        <v/>
      </c>
    </row>
    <row r="4202" spans="8:34" ht="12.75">
      <c r="H4202" s="43"/>
      <c r="AG4202" s="49" t="str">
        <f ca="1">IFERROR(__xludf.DUMMYFUNCTION("IFNA(vlookup(H4202,IMPORTRANGE(""1vUGwO1n0QQGx9kKbO0_M5gmuhXZ6-LaxQxgrmJnzgP0"",""'TP# look up'!A:C""),3,0),"""")"),"")</f>
        <v/>
      </c>
      <c r="AH4202" s="49" t="str">
        <f t="shared" si="65"/>
        <v/>
      </c>
    </row>
    <row r="4203" spans="8:34" ht="12.75">
      <c r="H4203" s="43"/>
      <c r="AG4203" s="49" t="str">
        <f ca="1">IFERROR(__xludf.DUMMYFUNCTION("IFNA(vlookup(H4203,IMPORTRANGE(""1vUGwO1n0QQGx9kKbO0_M5gmuhXZ6-LaxQxgrmJnzgP0"",""'TP# look up'!A:C""),3,0),"""")"),"")</f>
        <v/>
      </c>
      <c r="AH4203" s="49" t="str">
        <f t="shared" si="65"/>
        <v/>
      </c>
    </row>
    <row r="4204" spans="8:34" ht="12.75">
      <c r="H4204" s="43"/>
      <c r="AG4204" s="49" t="str">
        <f ca="1">IFERROR(__xludf.DUMMYFUNCTION("IFNA(vlookup(H4204,IMPORTRANGE(""1vUGwO1n0QQGx9kKbO0_M5gmuhXZ6-LaxQxgrmJnzgP0"",""'TP# look up'!A:C""),3,0),"""")"),"")</f>
        <v/>
      </c>
      <c r="AH4204" s="49" t="str">
        <f t="shared" si="65"/>
        <v/>
      </c>
    </row>
    <row r="4205" spans="8:34" ht="12.75">
      <c r="H4205" s="43"/>
      <c r="AG4205" s="49" t="str">
        <f ca="1">IFERROR(__xludf.DUMMYFUNCTION("IFNA(vlookup(H4205,IMPORTRANGE(""1vUGwO1n0QQGx9kKbO0_M5gmuhXZ6-LaxQxgrmJnzgP0"",""'TP# look up'!A:C""),3,0),"""")"),"")</f>
        <v/>
      </c>
      <c r="AH4205" s="49" t="str">
        <f t="shared" si="65"/>
        <v/>
      </c>
    </row>
    <row r="4206" spans="8:34" ht="12.75">
      <c r="H4206" s="43"/>
      <c r="AG4206" s="49" t="str">
        <f ca="1">IFERROR(__xludf.DUMMYFUNCTION("IFNA(vlookup(H4206,IMPORTRANGE(""1vUGwO1n0QQGx9kKbO0_M5gmuhXZ6-LaxQxgrmJnzgP0"",""'TP# look up'!A:C""),3,0),"""")"),"")</f>
        <v/>
      </c>
      <c r="AH4206" s="49" t="str">
        <f t="shared" si="65"/>
        <v/>
      </c>
    </row>
    <row r="4207" spans="8:34" ht="12.75">
      <c r="H4207" s="43"/>
      <c r="AG4207" s="49" t="str">
        <f ca="1">IFERROR(__xludf.DUMMYFUNCTION("IFNA(vlookup(H4207,IMPORTRANGE(""1vUGwO1n0QQGx9kKbO0_M5gmuhXZ6-LaxQxgrmJnzgP0"",""'TP# look up'!A:C""),3,0),"""")"),"")</f>
        <v/>
      </c>
      <c r="AH4207" s="49" t="str">
        <f t="shared" si="65"/>
        <v/>
      </c>
    </row>
    <row r="4208" spans="8:34" ht="12.75">
      <c r="H4208" s="43"/>
      <c r="AG4208" s="49" t="str">
        <f ca="1">IFERROR(__xludf.DUMMYFUNCTION("IFNA(vlookup(H4208,IMPORTRANGE(""1vUGwO1n0QQGx9kKbO0_M5gmuhXZ6-LaxQxgrmJnzgP0"",""'TP# look up'!A:C""),3,0),"""")"),"")</f>
        <v/>
      </c>
      <c r="AH4208" s="49" t="str">
        <f t="shared" si="65"/>
        <v/>
      </c>
    </row>
    <row r="4209" spans="8:34" ht="12.75">
      <c r="H4209" s="43"/>
      <c r="AG4209" s="49" t="str">
        <f ca="1">IFERROR(__xludf.DUMMYFUNCTION("IFNA(vlookup(H4209,IMPORTRANGE(""1vUGwO1n0QQGx9kKbO0_M5gmuhXZ6-LaxQxgrmJnzgP0"",""'TP# look up'!A:C""),3,0),"""")"),"")</f>
        <v/>
      </c>
      <c r="AH4209" s="49" t="str">
        <f t="shared" si="65"/>
        <v/>
      </c>
    </row>
    <row r="4210" spans="8:34" ht="12.75">
      <c r="H4210" s="43"/>
      <c r="AG4210" s="49" t="str">
        <f ca="1">IFERROR(__xludf.DUMMYFUNCTION("IFNA(vlookup(H4210,IMPORTRANGE(""1vUGwO1n0QQGx9kKbO0_M5gmuhXZ6-LaxQxgrmJnzgP0"",""'TP# look up'!A:C""),3,0),"""")"),"")</f>
        <v/>
      </c>
      <c r="AH4210" s="49" t="str">
        <f t="shared" si="65"/>
        <v/>
      </c>
    </row>
    <row r="4211" spans="8:34" ht="12.75">
      <c r="H4211" s="43"/>
      <c r="AG4211" s="49" t="str">
        <f ca="1">IFERROR(__xludf.DUMMYFUNCTION("IFNA(vlookup(H4211,IMPORTRANGE(""1vUGwO1n0QQGx9kKbO0_M5gmuhXZ6-LaxQxgrmJnzgP0"",""'TP# look up'!A:C""),3,0),"""")"),"")</f>
        <v/>
      </c>
      <c r="AH4211" s="49" t="str">
        <f t="shared" si="65"/>
        <v/>
      </c>
    </row>
    <row r="4212" spans="8:34" ht="12.75">
      <c r="H4212" s="43"/>
      <c r="AG4212" s="49" t="str">
        <f ca="1">IFERROR(__xludf.DUMMYFUNCTION("IFNA(vlookup(H4212,IMPORTRANGE(""1vUGwO1n0QQGx9kKbO0_M5gmuhXZ6-LaxQxgrmJnzgP0"",""'TP# look up'!A:C""),3,0),"""")"),"")</f>
        <v/>
      </c>
      <c r="AH4212" s="49" t="str">
        <f t="shared" si="65"/>
        <v/>
      </c>
    </row>
    <row r="4213" spans="8:34" ht="12.75">
      <c r="H4213" s="43"/>
      <c r="AG4213" s="49" t="str">
        <f ca="1">IFERROR(__xludf.DUMMYFUNCTION("IFNA(vlookup(H4213,IMPORTRANGE(""1vUGwO1n0QQGx9kKbO0_M5gmuhXZ6-LaxQxgrmJnzgP0"",""'TP# look up'!A:C""),3,0),"""")"),"")</f>
        <v/>
      </c>
      <c r="AH4213" s="49" t="str">
        <f t="shared" si="65"/>
        <v/>
      </c>
    </row>
    <row r="4214" spans="8:34" ht="12.75">
      <c r="H4214" s="43"/>
      <c r="AG4214" s="49" t="str">
        <f ca="1">IFERROR(__xludf.DUMMYFUNCTION("IFNA(vlookup(H4214,IMPORTRANGE(""1vUGwO1n0QQGx9kKbO0_M5gmuhXZ6-LaxQxgrmJnzgP0"",""'TP# look up'!A:C""),3,0),"""")"),"")</f>
        <v/>
      </c>
      <c r="AH4214" s="49" t="str">
        <f t="shared" si="65"/>
        <v/>
      </c>
    </row>
    <row r="4215" spans="8:34" ht="12.75">
      <c r="H4215" s="43"/>
      <c r="AG4215" s="49" t="str">
        <f ca="1">IFERROR(__xludf.DUMMYFUNCTION("IFNA(vlookup(H4215,IMPORTRANGE(""1vUGwO1n0QQGx9kKbO0_M5gmuhXZ6-LaxQxgrmJnzgP0"",""'TP# look up'!A:C""),3,0),"""")"),"")</f>
        <v/>
      </c>
      <c r="AH4215" s="49" t="str">
        <f t="shared" si="65"/>
        <v/>
      </c>
    </row>
    <row r="4216" spans="8:34" ht="12.75">
      <c r="H4216" s="43"/>
      <c r="AG4216" s="49" t="str">
        <f ca="1">IFERROR(__xludf.DUMMYFUNCTION("IFNA(vlookup(H4216,IMPORTRANGE(""1vUGwO1n0QQGx9kKbO0_M5gmuhXZ6-LaxQxgrmJnzgP0"",""'TP# look up'!A:C""),3,0),"""")"),"")</f>
        <v/>
      </c>
      <c r="AH4216" s="49" t="str">
        <f t="shared" si="65"/>
        <v/>
      </c>
    </row>
    <row r="4217" spans="8:34" ht="12.75">
      <c r="H4217" s="43"/>
      <c r="AG4217" s="49" t="str">
        <f ca="1">IFERROR(__xludf.DUMMYFUNCTION("IFNA(vlookup(H4217,IMPORTRANGE(""1vUGwO1n0QQGx9kKbO0_M5gmuhXZ6-LaxQxgrmJnzgP0"",""'TP# look up'!A:C""),3,0),"""")"),"")</f>
        <v/>
      </c>
      <c r="AH4217" s="49" t="str">
        <f t="shared" si="65"/>
        <v/>
      </c>
    </row>
    <row r="4218" spans="8:34" ht="12.75">
      <c r="H4218" s="43"/>
      <c r="AG4218" s="49" t="str">
        <f ca="1">IFERROR(__xludf.DUMMYFUNCTION("IFNA(vlookup(H4218,IMPORTRANGE(""1vUGwO1n0QQGx9kKbO0_M5gmuhXZ6-LaxQxgrmJnzgP0"",""'TP# look up'!A:C""),3,0),"""")"),"")</f>
        <v/>
      </c>
      <c r="AH4218" s="49" t="str">
        <f t="shared" si="65"/>
        <v/>
      </c>
    </row>
    <row r="4219" spans="8:34" ht="12.75">
      <c r="H4219" s="43"/>
      <c r="AG4219" s="49" t="str">
        <f ca="1">IFERROR(__xludf.DUMMYFUNCTION("IFNA(vlookup(H4219,IMPORTRANGE(""1vUGwO1n0QQGx9kKbO0_M5gmuhXZ6-LaxQxgrmJnzgP0"",""'TP# look up'!A:C""),3,0),"""")"),"")</f>
        <v/>
      </c>
      <c r="AH4219" s="49" t="str">
        <f t="shared" si="65"/>
        <v/>
      </c>
    </row>
    <row r="4220" spans="8:34" ht="12.75">
      <c r="H4220" s="43"/>
      <c r="AG4220" s="49" t="str">
        <f ca="1">IFERROR(__xludf.DUMMYFUNCTION("IFNA(vlookup(H4220,IMPORTRANGE(""1vUGwO1n0QQGx9kKbO0_M5gmuhXZ6-LaxQxgrmJnzgP0"",""'TP# look up'!A:C""),3,0),"""")"),"")</f>
        <v/>
      </c>
      <c r="AH4220" s="49" t="str">
        <f t="shared" si="65"/>
        <v/>
      </c>
    </row>
    <row r="4221" spans="8:34" ht="12.75">
      <c r="H4221" s="43"/>
      <c r="AG4221" s="49" t="str">
        <f ca="1">IFERROR(__xludf.DUMMYFUNCTION("IFNA(vlookup(H4221,IMPORTRANGE(""1vUGwO1n0QQGx9kKbO0_M5gmuhXZ6-LaxQxgrmJnzgP0"",""'TP# look up'!A:C""),3,0),"""")"),"")</f>
        <v/>
      </c>
      <c r="AH4221" s="49" t="str">
        <f t="shared" si="65"/>
        <v/>
      </c>
    </row>
    <row r="4222" spans="8:34" ht="12.75">
      <c r="H4222" s="43"/>
      <c r="AG4222" s="49" t="str">
        <f ca="1">IFERROR(__xludf.DUMMYFUNCTION("IFNA(vlookup(H4222,IMPORTRANGE(""1vUGwO1n0QQGx9kKbO0_M5gmuhXZ6-LaxQxgrmJnzgP0"",""'TP# look up'!A:C""),3,0),"""")"),"")</f>
        <v/>
      </c>
      <c r="AH4222" s="49" t="str">
        <f t="shared" si="65"/>
        <v/>
      </c>
    </row>
    <row r="4223" spans="8:34" ht="12.75">
      <c r="H4223" s="43"/>
      <c r="AG4223" s="49" t="str">
        <f ca="1">IFERROR(__xludf.DUMMYFUNCTION("IFNA(vlookup(H4223,IMPORTRANGE(""1vUGwO1n0QQGx9kKbO0_M5gmuhXZ6-LaxQxgrmJnzgP0"",""'TP# look up'!A:C""),3,0),"""")"),"")</f>
        <v/>
      </c>
      <c r="AH4223" s="49" t="str">
        <f t="shared" si="65"/>
        <v/>
      </c>
    </row>
    <row r="4224" spans="8:34" ht="12.75">
      <c r="H4224" s="43"/>
      <c r="AG4224" s="49" t="str">
        <f ca="1">IFERROR(__xludf.DUMMYFUNCTION("IFNA(vlookup(H4224,IMPORTRANGE(""1vUGwO1n0QQGx9kKbO0_M5gmuhXZ6-LaxQxgrmJnzgP0"",""'TP# look up'!A:C""),3,0),"""")"),"")</f>
        <v/>
      </c>
      <c r="AH4224" s="49" t="str">
        <f t="shared" si="65"/>
        <v/>
      </c>
    </row>
    <row r="4225" spans="8:34" ht="12.75">
      <c r="H4225" s="43"/>
      <c r="AG4225" s="49" t="str">
        <f ca="1">IFERROR(__xludf.DUMMYFUNCTION("IFNA(vlookup(H4225,IMPORTRANGE(""1vUGwO1n0QQGx9kKbO0_M5gmuhXZ6-LaxQxgrmJnzgP0"",""'TP# look up'!A:C""),3,0),"""")"),"")</f>
        <v/>
      </c>
      <c r="AH4225" s="49" t="str">
        <f t="shared" si="65"/>
        <v/>
      </c>
    </row>
    <row r="4226" spans="8:34" ht="12.75">
      <c r="H4226" s="43"/>
      <c r="AG4226" s="49" t="str">
        <f ca="1">IFERROR(__xludf.DUMMYFUNCTION("IFNA(vlookup(H4226,IMPORTRANGE(""1vUGwO1n0QQGx9kKbO0_M5gmuhXZ6-LaxQxgrmJnzgP0"",""'TP# look up'!A:C""),3,0),"""")"),"")</f>
        <v/>
      </c>
      <c r="AH4226" s="49" t="str">
        <f t="shared" ref="AH4226:AH4289" si="66">LEFT(J4226,2)</f>
        <v/>
      </c>
    </row>
    <row r="4227" spans="8:34" ht="12.75">
      <c r="H4227" s="43"/>
      <c r="AG4227" s="49" t="str">
        <f ca="1">IFERROR(__xludf.DUMMYFUNCTION("IFNA(vlookup(H4227,IMPORTRANGE(""1vUGwO1n0QQGx9kKbO0_M5gmuhXZ6-LaxQxgrmJnzgP0"",""'TP# look up'!A:C""),3,0),"""")"),"")</f>
        <v/>
      </c>
      <c r="AH4227" s="49" t="str">
        <f t="shared" si="66"/>
        <v/>
      </c>
    </row>
    <row r="4228" spans="8:34" ht="12.75">
      <c r="H4228" s="43"/>
      <c r="AG4228" s="49" t="str">
        <f ca="1">IFERROR(__xludf.DUMMYFUNCTION("IFNA(vlookup(H4228,IMPORTRANGE(""1vUGwO1n0QQGx9kKbO0_M5gmuhXZ6-LaxQxgrmJnzgP0"",""'TP# look up'!A:C""),3,0),"""")"),"")</f>
        <v/>
      </c>
      <c r="AH4228" s="49" t="str">
        <f t="shared" si="66"/>
        <v/>
      </c>
    </row>
    <row r="4229" spans="8:34" ht="12.75">
      <c r="H4229" s="43"/>
      <c r="AG4229" s="49" t="str">
        <f ca="1">IFERROR(__xludf.DUMMYFUNCTION("IFNA(vlookup(H4229,IMPORTRANGE(""1vUGwO1n0QQGx9kKbO0_M5gmuhXZ6-LaxQxgrmJnzgP0"",""'TP# look up'!A:C""),3,0),"""")"),"")</f>
        <v/>
      </c>
      <c r="AH4229" s="49" t="str">
        <f t="shared" si="66"/>
        <v/>
      </c>
    </row>
    <row r="4230" spans="8:34" ht="12.75">
      <c r="H4230" s="43"/>
      <c r="AG4230" s="49" t="str">
        <f ca="1">IFERROR(__xludf.DUMMYFUNCTION("IFNA(vlookup(H4230,IMPORTRANGE(""1vUGwO1n0QQGx9kKbO0_M5gmuhXZ6-LaxQxgrmJnzgP0"",""'TP# look up'!A:C""),3,0),"""")"),"")</f>
        <v/>
      </c>
      <c r="AH4230" s="49" t="str">
        <f t="shared" si="66"/>
        <v/>
      </c>
    </row>
    <row r="4231" spans="8:34" ht="12.75">
      <c r="H4231" s="43"/>
      <c r="AG4231" s="49" t="str">
        <f ca="1">IFERROR(__xludf.DUMMYFUNCTION("IFNA(vlookup(H4231,IMPORTRANGE(""1vUGwO1n0QQGx9kKbO0_M5gmuhXZ6-LaxQxgrmJnzgP0"",""'TP# look up'!A:C""),3,0),"""")"),"")</f>
        <v/>
      </c>
      <c r="AH4231" s="49" t="str">
        <f t="shared" si="66"/>
        <v/>
      </c>
    </row>
    <row r="4232" spans="8:34" ht="12.75">
      <c r="H4232" s="43"/>
      <c r="AG4232" s="49" t="str">
        <f ca="1">IFERROR(__xludf.DUMMYFUNCTION("IFNA(vlookup(H4232,IMPORTRANGE(""1vUGwO1n0QQGx9kKbO0_M5gmuhXZ6-LaxQxgrmJnzgP0"",""'TP# look up'!A:C""),3,0),"""")"),"")</f>
        <v/>
      </c>
      <c r="AH4232" s="49" t="str">
        <f t="shared" si="66"/>
        <v/>
      </c>
    </row>
    <row r="4233" spans="8:34" ht="12.75">
      <c r="H4233" s="43"/>
      <c r="AG4233" s="49" t="str">
        <f ca="1">IFERROR(__xludf.DUMMYFUNCTION("IFNA(vlookup(H4233,IMPORTRANGE(""1vUGwO1n0QQGx9kKbO0_M5gmuhXZ6-LaxQxgrmJnzgP0"",""'TP# look up'!A:C""),3,0),"""")"),"")</f>
        <v/>
      </c>
      <c r="AH4233" s="49" t="str">
        <f t="shared" si="66"/>
        <v/>
      </c>
    </row>
    <row r="4234" spans="8:34" ht="12.75">
      <c r="H4234" s="43"/>
      <c r="AG4234" s="49" t="str">
        <f ca="1">IFERROR(__xludf.DUMMYFUNCTION("IFNA(vlookup(H4234,IMPORTRANGE(""1vUGwO1n0QQGx9kKbO0_M5gmuhXZ6-LaxQxgrmJnzgP0"",""'TP# look up'!A:C""),3,0),"""")"),"")</f>
        <v/>
      </c>
      <c r="AH4234" s="49" t="str">
        <f t="shared" si="66"/>
        <v/>
      </c>
    </row>
    <row r="4235" spans="8:34" ht="12.75">
      <c r="H4235" s="43"/>
      <c r="AG4235" s="49" t="str">
        <f ca="1">IFERROR(__xludf.DUMMYFUNCTION("IFNA(vlookup(H4235,IMPORTRANGE(""1vUGwO1n0QQGx9kKbO0_M5gmuhXZ6-LaxQxgrmJnzgP0"",""'TP# look up'!A:C""),3,0),"""")"),"")</f>
        <v/>
      </c>
      <c r="AH4235" s="49" t="str">
        <f t="shared" si="66"/>
        <v/>
      </c>
    </row>
    <row r="4236" spans="8:34" ht="12.75">
      <c r="H4236" s="43"/>
      <c r="AG4236" s="49" t="str">
        <f ca="1">IFERROR(__xludf.DUMMYFUNCTION("IFNA(vlookup(H4236,IMPORTRANGE(""1vUGwO1n0QQGx9kKbO0_M5gmuhXZ6-LaxQxgrmJnzgP0"",""'TP# look up'!A:C""),3,0),"""")"),"")</f>
        <v/>
      </c>
      <c r="AH4236" s="49" t="str">
        <f t="shared" si="66"/>
        <v/>
      </c>
    </row>
    <row r="4237" spans="8:34" ht="12.75">
      <c r="H4237" s="43"/>
      <c r="AG4237" s="49" t="str">
        <f ca="1">IFERROR(__xludf.DUMMYFUNCTION("IFNA(vlookup(H4237,IMPORTRANGE(""1vUGwO1n0QQGx9kKbO0_M5gmuhXZ6-LaxQxgrmJnzgP0"",""'TP# look up'!A:C""),3,0),"""")"),"")</f>
        <v/>
      </c>
      <c r="AH4237" s="49" t="str">
        <f t="shared" si="66"/>
        <v/>
      </c>
    </row>
    <row r="4238" spans="8:34" ht="12.75">
      <c r="H4238" s="43"/>
      <c r="AG4238" s="49" t="str">
        <f ca="1">IFERROR(__xludf.DUMMYFUNCTION("IFNA(vlookup(H4238,IMPORTRANGE(""1vUGwO1n0QQGx9kKbO0_M5gmuhXZ6-LaxQxgrmJnzgP0"",""'TP# look up'!A:C""),3,0),"""")"),"")</f>
        <v/>
      </c>
      <c r="AH4238" s="49" t="str">
        <f t="shared" si="66"/>
        <v/>
      </c>
    </row>
    <row r="4239" spans="8:34" ht="12.75">
      <c r="H4239" s="43"/>
      <c r="AG4239" s="49" t="str">
        <f ca="1">IFERROR(__xludf.DUMMYFUNCTION("IFNA(vlookup(H4239,IMPORTRANGE(""1vUGwO1n0QQGx9kKbO0_M5gmuhXZ6-LaxQxgrmJnzgP0"",""'TP# look up'!A:C""),3,0),"""")"),"")</f>
        <v/>
      </c>
      <c r="AH4239" s="49" t="str">
        <f t="shared" si="66"/>
        <v/>
      </c>
    </row>
    <row r="4240" spans="8:34" ht="12.75">
      <c r="H4240" s="43"/>
      <c r="AG4240" s="49" t="str">
        <f ca="1">IFERROR(__xludf.DUMMYFUNCTION("IFNA(vlookup(H4240,IMPORTRANGE(""1vUGwO1n0QQGx9kKbO0_M5gmuhXZ6-LaxQxgrmJnzgP0"",""'TP# look up'!A:C""),3,0),"""")"),"")</f>
        <v/>
      </c>
      <c r="AH4240" s="49" t="str">
        <f t="shared" si="66"/>
        <v/>
      </c>
    </row>
    <row r="4241" spans="8:34" ht="12.75">
      <c r="H4241" s="43"/>
      <c r="AG4241" s="49" t="str">
        <f ca="1">IFERROR(__xludf.DUMMYFUNCTION("IFNA(vlookup(H4241,IMPORTRANGE(""1vUGwO1n0QQGx9kKbO0_M5gmuhXZ6-LaxQxgrmJnzgP0"",""'TP# look up'!A:C""),3,0),"""")"),"")</f>
        <v/>
      </c>
      <c r="AH4241" s="49" t="str">
        <f t="shared" si="66"/>
        <v/>
      </c>
    </row>
    <row r="4242" spans="8:34" ht="12.75">
      <c r="H4242" s="43"/>
      <c r="AG4242" s="49" t="str">
        <f ca="1">IFERROR(__xludf.DUMMYFUNCTION("IFNA(vlookup(H4242,IMPORTRANGE(""1vUGwO1n0QQGx9kKbO0_M5gmuhXZ6-LaxQxgrmJnzgP0"",""'TP# look up'!A:C""),3,0),"""")"),"")</f>
        <v/>
      </c>
      <c r="AH4242" s="49" t="str">
        <f t="shared" si="66"/>
        <v/>
      </c>
    </row>
    <row r="4243" spans="8:34" ht="12.75">
      <c r="H4243" s="43"/>
      <c r="AG4243" s="49" t="str">
        <f ca="1">IFERROR(__xludf.DUMMYFUNCTION("IFNA(vlookup(H4243,IMPORTRANGE(""1vUGwO1n0QQGx9kKbO0_M5gmuhXZ6-LaxQxgrmJnzgP0"",""'TP# look up'!A:C""),3,0),"""")"),"")</f>
        <v/>
      </c>
      <c r="AH4243" s="49" t="str">
        <f t="shared" si="66"/>
        <v/>
      </c>
    </row>
    <row r="4244" spans="8:34" ht="12.75">
      <c r="H4244" s="43"/>
      <c r="AG4244" s="49" t="str">
        <f ca="1">IFERROR(__xludf.DUMMYFUNCTION("IFNA(vlookup(H4244,IMPORTRANGE(""1vUGwO1n0QQGx9kKbO0_M5gmuhXZ6-LaxQxgrmJnzgP0"",""'TP# look up'!A:C""),3,0),"""")"),"")</f>
        <v/>
      </c>
      <c r="AH4244" s="49" t="str">
        <f t="shared" si="66"/>
        <v/>
      </c>
    </row>
    <row r="4245" spans="8:34" ht="12.75">
      <c r="H4245" s="43"/>
      <c r="AG4245" s="49" t="str">
        <f ca="1">IFERROR(__xludf.DUMMYFUNCTION("IFNA(vlookup(H4245,IMPORTRANGE(""1vUGwO1n0QQGx9kKbO0_M5gmuhXZ6-LaxQxgrmJnzgP0"",""'TP# look up'!A:C""),3,0),"""")"),"")</f>
        <v/>
      </c>
      <c r="AH4245" s="49" t="str">
        <f t="shared" si="66"/>
        <v/>
      </c>
    </row>
    <row r="4246" spans="8:34" ht="12.75">
      <c r="H4246" s="43"/>
      <c r="AG4246" s="49" t="str">
        <f ca="1">IFERROR(__xludf.DUMMYFUNCTION("IFNA(vlookup(H4246,IMPORTRANGE(""1vUGwO1n0QQGx9kKbO0_M5gmuhXZ6-LaxQxgrmJnzgP0"",""'TP# look up'!A:C""),3,0),"""")"),"")</f>
        <v/>
      </c>
      <c r="AH4246" s="49" t="str">
        <f t="shared" si="66"/>
        <v/>
      </c>
    </row>
    <row r="4247" spans="8:34" ht="12.75">
      <c r="H4247" s="43"/>
      <c r="AG4247" s="49" t="str">
        <f ca="1">IFERROR(__xludf.DUMMYFUNCTION("IFNA(vlookup(H4247,IMPORTRANGE(""1vUGwO1n0QQGx9kKbO0_M5gmuhXZ6-LaxQxgrmJnzgP0"",""'TP# look up'!A:C""),3,0),"""")"),"")</f>
        <v/>
      </c>
      <c r="AH4247" s="49" t="str">
        <f t="shared" si="66"/>
        <v/>
      </c>
    </row>
    <row r="4248" spans="8:34" ht="12.75">
      <c r="H4248" s="43"/>
      <c r="AG4248" s="49" t="str">
        <f ca="1">IFERROR(__xludf.DUMMYFUNCTION("IFNA(vlookup(H4248,IMPORTRANGE(""1vUGwO1n0QQGx9kKbO0_M5gmuhXZ6-LaxQxgrmJnzgP0"",""'TP# look up'!A:C""),3,0),"""")"),"")</f>
        <v/>
      </c>
      <c r="AH4248" s="49" t="str">
        <f t="shared" si="66"/>
        <v/>
      </c>
    </row>
    <row r="4249" spans="8:34" ht="12.75">
      <c r="H4249" s="43"/>
      <c r="AG4249" s="49" t="str">
        <f ca="1">IFERROR(__xludf.DUMMYFUNCTION("IFNA(vlookup(H4249,IMPORTRANGE(""1vUGwO1n0QQGx9kKbO0_M5gmuhXZ6-LaxQxgrmJnzgP0"",""'TP# look up'!A:C""),3,0),"""")"),"")</f>
        <v/>
      </c>
      <c r="AH4249" s="49" t="str">
        <f t="shared" si="66"/>
        <v/>
      </c>
    </row>
    <row r="4250" spans="8:34" ht="12.75">
      <c r="H4250" s="43"/>
      <c r="AG4250" s="49" t="str">
        <f ca="1">IFERROR(__xludf.DUMMYFUNCTION("IFNA(vlookup(H4250,IMPORTRANGE(""1vUGwO1n0QQGx9kKbO0_M5gmuhXZ6-LaxQxgrmJnzgP0"",""'TP# look up'!A:C""),3,0),"""")"),"")</f>
        <v/>
      </c>
      <c r="AH4250" s="49" t="str">
        <f t="shared" si="66"/>
        <v/>
      </c>
    </row>
    <row r="4251" spans="8:34" ht="12.75">
      <c r="H4251" s="43"/>
      <c r="AG4251" s="49" t="str">
        <f ca="1">IFERROR(__xludf.DUMMYFUNCTION("IFNA(vlookup(H4251,IMPORTRANGE(""1vUGwO1n0QQGx9kKbO0_M5gmuhXZ6-LaxQxgrmJnzgP0"",""'TP# look up'!A:C""),3,0),"""")"),"")</f>
        <v/>
      </c>
      <c r="AH4251" s="49" t="str">
        <f t="shared" si="66"/>
        <v/>
      </c>
    </row>
    <row r="4252" spans="8:34" ht="12.75">
      <c r="H4252" s="43"/>
      <c r="AG4252" s="49" t="str">
        <f ca="1">IFERROR(__xludf.DUMMYFUNCTION("IFNA(vlookup(H4252,IMPORTRANGE(""1vUGwO1n0QQGx9kKbO0_M5gmuhXZ6-LaxQxgrmJnzgP0"",""'TP# look up'!A:C""),3,0),"""")"),"")</f>
        <v/>
      </c>
      <c r="AH4252" s="49" t="str">
        <f t="shared" si="66"/>
        <v/>
      </c>
    </row>
    <row r="4253" spans="8:34" ht="12.75">
      <c r="H4253" s="43"/>
      <c r="AG4253" s="49" t="str">
        <f ca="1">IFERROR(__xludf.DUMMYFUNCTION("IFNA(vlookup(H4253,IMPORTRANGE(""1vUGwO1n0QQGx9kKbO0_M5gmuhXZ6-LaxQxgrmJnzgP0"",""'TP# look up'!A:C""),3,0),"""")"),"")</f>
        <v/>
      </c>
      <c r="AH4253" s="49" t="str">
        <f t="shared" si="66"/>
        <v/>
      </c>
    </row>
    <row r="4254" spans="8:34" ht="12.75">
      <c r="H4254" s="43"/>
      <c r="AG4254" s="49" t="str">
        <f ca="1">IFERROR(__xludf.DUMMYFUNCTION("IFNA(vlookup(H4254,IMPORTRANGE(""1vUGwO1n0QQGx9kKbO0_M5gmuhXZ6-LaxQxgrmJnzgP0"",""'TP# look up'!A:C""),3,0),"""")"),"")</f>
        <v/>
      </c>
      <c r="AH4254" s="49" t="str">
        <f t="shared" si="66"/>
        <v/>
      </c>
    </row>
    <row r="4255" spans="8:34" ht="12.75">
      <c r="H4255" s="43"/>
      <c r="AG4255" s="49" t="str">
        <f ca="1">IFERROR(__xludf.DUMMYFUNCTION("IFNA(vlookup(H4255,IMPORTRANGE(""1vUGwO1n0QQGx9kKbO0_M5gmuhXZ6-LaxQxgrmJnzgP0"",""'TP# look up'!A:C""),3,0),"""")"),"")</f>
        <v/>
      </c>
      <c r="AH4255" s="49" t="str">
        <f t="shared" si="66"/>
        <v/>
      </c>
    </row>
    <row r="4256" spans="8:34" ht="12.75">
      <c r="H4256" s="43"/>
      <c r="AG4256" s="49" t="str">
        <f ca="1">IFERROR(__xludf.DUMMYFUNCTION("IFNA(vlookup(H4256,IMPORTRANGE(""1vUGwO1n0QQGx9kKbO0_M5gmuhXZ6-LaxQxgrmJnzgP0"",""'TP# look up'!A:C""),3,0),"""")"),"")</f>
        <v/>
      </c>
      <c r="AH4256" s="49" t="str">
        <f t="shared" si="66"/>
        <v/>
      </c>
    </row>
    <row r="4257" spans="8:34" ht="12.75">
      <c r="H4257" s="43"/>
      <c r="AG4257" s="49" t="str">
        <f ca="1">IFERROR(__xludf.DUMMYFUNCTION("IFNA(vlookup(H4257,IMPORTRANGE(""1vUGwO1n0QQGx9kKbO0_M5gmuhXZ6-LaxQxgrmJnzgP0"",""'TP# look up'!A:C""),3,0),"""")"),"")</f>
        <v/>
      </c>
      <c r="AH4257" s="49" t="str">
        <f t="shared" si="66"/>
        <v/>
      </c>
    </row>
    <row r="4258" spans="8:34" ht="12.75">
      <c r="H4258" s="43"/>
      <c r="AG4258" s="49" t="str">
        <f ca="1">IFERROR(__xludf.DUMMYFUNCTION("IFNA(vlookup(H4258,IMPORTRANGE(""1vUGwO1n0QQGx9kKbO0_M5gmuhXZ6-LaxQxgrmJnzgP0"",""'TP# look up'!A:C""),3,0),"""")"),"")</f>
        <v/>
      </c>
      <c r="AH4258" s="49" t="str">
        <f t="shared" si="66"/>
        <v/>
      </c>
    </row>
    <row r="4259" spans="8:34" ht="12.75">
      <c r="H4259" s="43"/>
      <c r="AG4259" s="49" t="str">
        <f ca="1">IFERROR(__xludf.DUMMYFUNCTION("IFNA(vlookup(H4259,IMPORTRANGE(""1vUGwO1n0QQGx9kKbO0_M5gmuhXZ6-LaxQxgrmJnzgP0"",""'TP# look up'!A:C""),3,0),"""")"),"")</f>
        <v/>
      </c>
      <c r="AH4259" s="49" t="str">
        <f t="shared" si="66"/>
        <v/>
      </c>
    </row>
    <row r="4260" spans="8:34" ht="12.75">
      <c r="H4260" s="43"/>
      <c r="AG4260" s="49" t="str">
        <f ca="1">IFERROR(__xludf.DUMMYFUNCTION("IFNA(vlookup(H4260,IMPORTRANGE(""1vUGwO1n0QQGx9kKbO0_M5gmuhXZ6-LaxQxgrmJnzgP0"",""'TP# look up'!A:C""),3,0),"""")"),"")</f>
        <v/>
      </c>
      <c r="AH4260" s="49" t="str">
        <f t="shared" si="66"/>
        <v/>
      </c>
    </row>
    <row r="4261" spans="8:34" ht="12.75">
      <c r="H4261" s="43"/>
      <c r="AG4261" s="49" t="str">
        <f ca="1">IFERROR(__xludf.DUMMYFUNCTION("IFNA(vlookup(H4261,IMPORTRANGE(""1vUGwO1n0QQGx9kKbO0_M5gmuhXZ6-LaxQxgrmJnzgP0"",""'TP# look up'!A:C""),3,0),"""")"),"")</f>
        <v/>
      </c>
      <c r="AH4261" s="49" t="str">
        <f t="shared" si="66"/>
        <v/>
      </c>
    </row>
    <row r="4262" spans="8:34" ht="12.75">
      <c r="H4262" s="43"/>
      <c r="AG4262" s="49" t="str">
        <f ca="1">IFERROR(__xludf.DUMMYFUNCTION("IFNA(vlookup(H4262,IMPORTRANGE(""1vUGwO1n0QQGx9kKbO0_M5gmuhXZ6-LaxQxgrmJnzgP0"",""'TP# look up'!A:C""),3,0),"""")"),"")</f>
        <v/>
      </c>
      <c r="AH4262" s="49" t="str">
        <f t="shared" si="66"/>
        <v/>
      </c>
    </row>
    <row r="4263" spans="8:34" ht="12.75">
      <c r="H4263" s="43"/>
      <c r="AG4263" s="49" t="str">
        <f ca="1">IFERROR(__xludf.DUMMYFUNCTION("IFNA(vlookup(H4263,IMPORTRANGE(""1vUGwO1n0QQGx9kKbO0_M5gmuhXZ6-LaxQxgrmJnzgP0"",""'TP# look up'!A:C""),3,0),"""")"),"")</f>
        <v/>
      </c>
      <c r="AH4263" s="49" t="str">
        <f t="shared" si="66"/>
        <v/>
      </c>
    </row>
    <row r="4264" spans="8:34" ht="12.75">
      <c r="H4264" s="43"/>
      <c r="AG4264" s="49" t="str">
        <f ca="1">IFERROR(__xludf.DUMMYFUNCTION("IFNA(vlookup(H4264,IMPORTRANGE(""1vUGwO1n0QQGx9kKbO0_M5gmuhXZ6-LaxQxgrmJnzgP0"",""'TP# look up'!A:C""),3,0),"""")"),"")</f>
        <v/>
      </c>
      <c r="AH4264" s="49" t="str">
        <f t="shared" si="66"/>
        <v/>
      </c>
    </row>
    <row r="4265" spans="8:34" ht="12.75">
      <c r="H4265" s="43"/>
      <c r="AG4265" s="49" t="str">
        <f ca="1">IFERROR(__xludf.DUMMYFUNCTION("IFNA(vlookup(H4265,IMPORTRANGE(""1vUGwO1n0QQGx9kKbO0_M5gmuhXZ6-LaxQxgrmJnzgP0"",""'TP# look up'!A:C""),3,0),"""")"),"")</f>
        <v/>
      </c>
      <c r="AH4265" s="49" t="str">
        <f t="shared" si="66"/>
        <v/>
      </c>
    </row>
    <row r="4266" spans="8:34" ht="12.75">
      <c r="H4266" s="43"/>
      <c r="AG4266" s="49" t="str">
        <f ca="1">IFERROR(__xludf.DUMMYFUNCTION("IFNA(vlookup(H4266,IMPORTRANGE(""1vUGwO1n0QQGx9kKbO0_M5gmuhXZ6-LaxQxgrmJnzgP0"",""'TP# look up'!A:C""),3,0),"""")"),"")</f>
        <v/>
      </c>
      <c r="AH4266" s="49" t="str">
        <f t="shared" si="66"/>
        <v/>
      </c>
    </row>
    <row r="4267" spans="8:34" ht="12.75">
      <c r="H4267" s="43"/>
      <c r="AG4267" s="49" t="str">
        <f ca="1">IFERROR(__xludf.DUMMYFUNCTION("IFNA(vlookup(H4267,IMPORTRANGE(""1vUGwO1n0QQGx9kKbO0_M5gmuhXZ6-LaxQxgrmJnzgP0"",""'TP# look up'!A:C""),3,0),"""")"),"")</f>
        <v/>
      </c>
      <c r="AH4267" s="49" t="str">
        <f t="shared" si="66"/>
        <v/>
      </c>
    </row>
    <row r="4268" spans="8:34" ht="12.75">
      <c r="H4268" s="43"/>
      <c r="AG4268" s="49" t="str">
        <f ca="1">IFERROR(__xludf.DUMMYFUNCTION("IFNA(vlookup(H4268,IMPORTRANGE(""1vUGwO1n0QQGx9kKbO0_M5gmuhXZ6-LaxQxgrmJnzgP0"",""'TP# look up'!A:C""),3,0),"""")"),"")</f>
        <v/>
      </c>
      <c r="AH4268" s="49" t="str">
        <f t="shared" si="66"/>
        <v/>
      </c>
    </row>
    <row r="4269" spans="8:34" ht="12.75">
      <c r="H4269" s="43"/>
      <c r="AG4269" s="49" t="str">
        <f ca="1">IFERROR(__xludf.DUMMYFUNCTION("IFNA(vlookup(H4269,IMPORTRANGE(""1vUGwO1n0QQGx9kKbO0_M5gmuhXZ6-LaxQxgrmJnzgP0"",""'TP# look up'!A:C""),3,0),"""")"),"")</f>
        <v/>
      </c>
      <c r="AH4269" s="49" t="str">
        <f t="shared" si="66"/>
        <v/>
      </c>
    </row>
    <row r="4270" spans="8:34" ht="12.75">
      <c r="H4270" s="43"/>
      <c r="AG4270" s="49" t="str">
        <f ca="1">IFERROR(__xludf.DUMMYFUNCTION("IFNA(vlookup(H4270,IMPORTRANGE(""1vUGwO1n0QQGx9kKbO0_M5gmuhXZ6-LaxQxgrmJnzgP0"",""'TP# look up'!A:C""),3,0),"""")"),"")</f>
        <v/>
      </c>
      <c r="AH4270" s="49" t="str">
        <f t="shared" si="66"/>
        <v/>
      </c>
    </row>
    <row r="4271" spans="8:34" ht="12.75">
      <c r="H4271" s="43"/>
      <c r="AG4271" s="49" t="str">
        <f ca="1">IFERROR(__xludf.DUMMYFUNCTION("IFNA(vlookup(H4271,IMPORTRANGE(""1vUGwO1n0QQGx9kKbO0_M5gmuhXZ6-LaxQxgrmJnzgP0"",""'TP# look up'!A:C""),3,0),"""")"),"")</f>
        <v/>
      </c>
      <c r="AH4271" s="49" t="str">
        <f t="shared" si="66"/>
        <v/>
      </c>
    </row>
    <row r="4272" spans="8:34" ht="12.75">
      <c r="H4272" s="43"/>
      <c r="AG4272" s="49" t="str">
        <f ca="1">IFERROR(__xludf.DUMMYFUNCTION("IFNA(vlookup(H4272,IMPORTRANGE(""1vUGwO1n0QQGx9kKbO0_M5gmuhXZ6-LaxQxgrmJnzgP0"",""'TP# look up'!A:C""),3,0),"""")"),"")</f>
        <v/>
      </c>
      <c r="AH4272" s="49" t="str">
        <f t="shared" si="66"/>
        <v/>
      </c>
    </row>
    <row r="4273" spans="8:34" ht="12.75">
      <c r="H4273" s="43"/>
      <c r="AG4273" s="49" t="str">
        <f ca="1">IFERROR(__xludf.DUMMYFUNCTION("IFNA(vlookup(H4273,IMPORTRANGE(""1vUGwO1n0QQGx9kKbO0_M5gmuhXZ6-LaxQxgrmJnzgP0"",""'TP# look up'!A:C""),3,0),"""")"),"")</f>
        <v/>
      </c>
      <c r="AH4273" s="49" t="str">
        <f t="shared" si="66"/>
        <v/>
      </c>
    </row>
    <row r="4274" spans="8:34" ht="12.75">
      <c r="H4274" s="43"/>
      <c r="AG4274" s="49" t="str">
        <f ca="1">IFERROR(__xludf.DUMMYFUNCTION("IFNA(vlookup(H4274,IMPORTRANGE(""1vUGwO1n0QQGx9kKbO0_M5gmuhXZ6-LaxQxgrmJnzgP0"",""'TP# look up'!A:C""),3,0),"""")"),"")</f>
        <v/>
      </c>
      <c r="AH4274" s="49" t="str">
        <f t="shared" si="66"/>
        <v/>
      </c>
    </row>
    <row r="4275" spans="8:34" ht="12.75">
      <c r="H4275" s="43"/>
      <c r="AG4275" s="49" t="str">
        <f ca="1">IFERROR(__xludf.DUMMYFUNCTION("IFNA(vlookup(H4275,IMPORTRANGE(""1vUGwO1n0QQGx9kKbO0_M5gmuhXZ6-LaxQxgrmJnzgP0"",""'TP# look up'!A:C""),3,0),"""")"),"")</f>
        <v/>
      </c>
      <c r="AH4275" s="49" t="str">
        <f t="shared" si="66"/>
        <v/>
      </c>
    </row>
    <row r="4276" spans="8:34" ht="12.75">
      <c r="H4276" s="43"/>
      <c r="AG4276" s="49" t="str">
        <f ca="1">IFERROR(__xludf.DUMMYFUNCTION("IFNA(vlookup(H4276,IMPORTRANGE(""1vUGwO1n0QQGx9kKbO0_M5gmuhXZ6-LaxQxgrmJnzgP0"",""'TP# look up'!A:C""),3,0),"""")"),"")</f>
        <v/>
      </c>
      <c r="AH4276" s="49" t="str">
        <f t="shared" si="66"/>
        <v/>
      </c>
    </row>
    <row r="4277" spans="8:34" ht="12.75">
      <c r="H4277" s="43"/>
      <c r="AG4277" s="49" t="str">
        <f ca="1">IFERROR(__xludf.DUMMYFUNCTION("IFNA(vlookup(H4277,IMPORTRANGE(""1vUGwO1n0QQGx9kKbO0_M5gmuhXZ6-LaxQxgrmJnzgP0"",""'TP# look up'!A:C""),3,0),"""")"),"")</f>
        <v/>
      </c>
      <c r="AH4277" s="49" t="str">
        <f t="shared" si="66"/>
        <v/>
      </c>
    </row>
    <row r="4278" spans="8:34" ht="12.75">
      <c r="H4278" s="43"/>
      <c r="AG4278" s="49" t="str">
        <f ca="1">IFERROR(__xludf.DUMMYFUNCTION("IFNA(vlookup(H4278,IMPORTRANGE(""1vUGwO1n0QQGx9kKbO0_M5gmuhXZ6-LaxQxgrmJnzgP0"",""'TP# look up'!A:C""),3,0),"""")"),"")</f>
        <v/>
      </c>
      <c r="AH4278" s="49" t="str">
        <f t="shared" si="66"/>
        <v/>
      </c>
    </row>
    <row r="4279" spans="8:34" ht="12.75">
      <c r="H4279" s="43"/>
      <c r="AG4279" s="49" t="str">
        <f ca="1">IFERROR(__xludf.DUMMYFUNCTION("IFNA(vlookup(H4279,IMPORTRANGE(""1vUGwO1n0QQGx9kKbO0_M5gmuhXZ6-LaxQxgrmJnzgP0"",""'TP# look up'!A:C""),3,0),"""")"),"")</f>
        <v/>
      </c>
      <c r="AH4279" s="49" t="str">
        <f t="shared" si="66"/>
        <v/>
      </c>
    </row>
    <row r="4280" spans="8:34" ht="12.75">
      <c r="H4280" s="43"/>
      <c r="AG4280" s="49" t="str">
        <f ca="1">IFERROR(__xludf.DUMMYFUNCTION("IFNA(vlookup(H4280,IMPORTRANGE(""1vUGwO1n0QQGx9kKbO0_M5gmuhXZ6-LaxQxgrmJnzgP0"",""'TP# look up'!A:C""),3,0),"""")"),"")</f>
        <v/>
      </c>
      <c r="AH4280" s="49" t="str">
        <f t="shared" si="66"/>
        <v/>
      </c>
    </row>
    <row r="4281" spans="8:34" ht="12.75">
      <c r="H4281" s="43"/>
      <c r="AG4281" s="49" t="str">
        <f ca="1">IFERROR(__xludf.DUMMYFUNCTION("IFNA(vlookup(H4281,IMPORTRANGE(""1vUGwO1n0QQGx9kKbO0_M5gmuhXZ6-LaxQxgrmJnzgP0"",""'TP# look up'!A:C""),3,0),"""")"),"")</f>
        <v/>
      </c>
      <c r="AH4281" s="49" t="str">
        <f t="shared" si="66"/>
        <v/>
      </c>
    </row>
    <row r="4282" spans="8:34" ht="12.75">
      <c r="H4282" s="43"/>
      <c r="AG4282" s="49" t="str">
        <f ca="1">IFERROR(__xludf.DUMMYFUNCTION("IFNA(vlookup(H4282,IMPORTRANGE(""1vUGwO1n0QQGx9kKbO0_M5gmuhXZ6-LaxQxgrmJnzgP0"",""'TP# look up'!A:C""),3,0),"""")"),"")</f>
        <v/>
      </c>
      <c r="AH4282" s="49" t="str">
        <f t="shared" si="66"/>
        <v/>
      </c>
    </row>
    <row r="4283" spans="8:34" ht="12.75">
      <c r="H4283" s="43"/>
      <c r="AG4283" s="49" t="str">
        <f ca="1">IFERROR(__xludf.DUMMYFUNCTION("IFNA(vlookup(H4283,IMPORTRANGE(""1vUGwO1n0QQGx9kKbO0_M5gmuhXZ6-LaxQxgrmJnzgP0"",""'TP# look up'!A:C""),3,0),"""")"),"")</f>
        <v/>
      </c>
      <c r="AH4283" s="49" t="str">
        <f t="shared" si="66"/>
        <v/>
      </c>
    </row>
    <row r="4284" spans="8:34" ht="12.75">
      <c r="H4284" s="43"/>
      <c r="AG4284" s="49" t="str">
        <f ca="1">IFERROR(__xludf.DUMMYFUNCTION("IFNA(vlookup(H4284,IMPORTRANGE(""1vUGwO1n0QQGx9kKbO0_M5gmuhXZ6-LaxQxgrmJnzgP0"",""'TP# look up'!A:C""),3,0),"""")"),"")</f>
        <v/>
      </c>
      <c r="AH4284" s="49" t="str">
        <f t="shared" si="66"/>
        <v/>
      </c>
    </row>
    <row r="4285" spans="8:34" ht="12.75">
      <c r="H4285" s="43"/>
      <c r="AG4285" s="49" t="str">
        <f ca="1">IFERROR(__xludf.DUMMYFUNCTION("IFNA(vlookup(H4285,IMPORTRANGE(""1vUGwO1n0QQGx9kKbO0_M5gmuhXZ6-LaxQxgrmJnzgP0"",""'TP# look up'!A:C""),3,0),"""")"),"")</f>
        <v/>
      </c>
      <c r="AH4285" s="49" t="str">
        <f t="shared" si="66"/>
        <v/>
      </c>
    </row>
    <row r="4286" spans="8:34" ht="12.75">
      <c r="H4286" s="43"/>
      <c r="AG4286" s="49" t="str">
        <f ca="1">IFERROR(__xludf.DUMMYFUNCTION("IFNA(vlookup(H4286,IMPORTRANGE(""1vUGwO1n0QQGx9kKbO0_M5gmuhXZ6-LaxQxgrmJnzgP0"",""'TP# look up'!A:C""),3,0),"""")"),"")</f>
        <v/>
      </c>
      <c r="AH4286" s="49" t="str">
        <f t="shared" si="66"/>
        <v/>
      </c>
    </row>
    <row r="4287" spans="8:34" ht="12.75">
      <c r="H4287" s="43"/>
      <c r="AG4287" s="49" t="str">
        <f ca="1">IFERROR(__xludf.DUMMYFUNCTION("IFNA(vlookup(H4287,IMPORTRANGE(""1vUGwO1n0QQGx9kKbO0_M5gmuhXZ6-LaxQxgrmJnzgP0"",""'TP# look up'!A:C""),3,0),"""")"),"")</f>
        <v/>
      </c>
      <c r="AH4287" s="49" t="str">
        <f t="shared" si="66"/>
        <v/>
      </c>
    </row>
    <row r="4288" spans="8:34" ht="12.75">
      <c r="H4288" s="43"/>
      <c r="AG4288" s="49" t="str">
        <f ca="1">IFERROR(__xludf.DUMMYFUNCTION("IFNA(vlookup(H4288,IMPORTRANGE(""1vUGwO1n0QQGx9kKbO0_M5gmuhXZ6-LaxQxgrmJnzgP0"",""'TP# look up'!A:C""),3,0),"""")"),"")</f>
        <v/>
      </c>
      <c r="AH4288" s="49" t="str">
        <f t="shared" si="66"/>
        <v/>
      </c>
    </row>
    <row r="4289" spans="8:34" ht="12.75">
      <c r="H4289" s="43"/>
      <c r="AG4289" s="49" t="str">
        <f ca="1">IFERROR(__xludf.DUMMYFUNCTION("IFNA(vlookup(H4289,IMPORTRANGE(""1vUGwO1n0QQGx9kKbO0_M5gmuhXZ6-LaxQxgrmJnzgP0"",""'TP# look up'!A:C""),3,0),"""")"),"")</f>
        <v/>
      </c>
      <c r="AH4289" s="49" t="str">
        <f t="shared" si="66"/>
        <v/>
      </c>
    </row>
    <row r="4290" spans="8:34" ht="12.75">
      <c r="H4290" s="43"/>
      <c r="AG4290" s="49" t="str">
        <f ca="1">IFERROR(__xludf.DUMMYFUNCTION("IFNA(vlookup(H4290,IMPORTRANGE(""1vUGwO1n0QQGx9kKbO0_M5gmuhXZ6-LaxQxgrmJnzgP0"",""'TP# look up'!A:C""),3,0),"""")"),"")</f>
        <v/>
      </c>
      <c r="AH4290" s="49" t="str">
        <f t="shared" ref="AH4290:AH4353" si="67">LEFT(J4290,2)</f>
        <v/>
      </c>
    </row>
    <row r="4291" spans="8:34" ht="12.75">
      <c r="H4291" s="43"/>
      <c r="AG4291" s="49" t="str">
        <f ca="1">IFERROR(__xludf.DUMMYFUNCTION("IFNA(vlookup(H4291,IMPORTRANGE(""1vUGwO1n0QQGx9kKbO0_M5gmuhXZ6-LaxQxgrmJnzgP0"",""'TP# look up'!A:C""),3,0),"""")"),"")</f>
        <v/>
      </c>
      <c r="AH4291" s="49" t="str">
        <f t="shared" si="67"/>
        <v/>
      </c>
    </row>
    <row r="4292" spans="8:34" ht="12.75">
      <c r="H4292" s="43"/>
      <c r="AG4292" s="49" t="str">
        <f ca="1">IFERROR(__xludf.DUMMYFUNCTION("IFNA(vlookup(H4292,IMPORTRANGE(""1vUGwO1n0QQGx9kKbO0_M5gmuhXZ6-LaxQxgrmJnzgP0"",""'TP# look up'!A:C""),3,0),"""")"),"")</f>
        <v/>
      </c>
      <c r="AH4292" s="49" t="str">
        <f t="shared" si="67"/>
        <v/>
      </c>
    </row>
    <row r="4293" spans="8:34" ht="12.75">
      <c r="H4293" s="43"/>
      <c r="AG4293" s="49" t="str">
        <f ca="1">IFERROR(__xludf.DUMMYFUNCTION("IFNA(vlookup(H4293,IMPORTRANGE(""1vUGwO1n0QQGx9kKbO0_M5gmuhXZ6-LaxQxgrmJnzgP0"",""'TP# look up'!A:C""),3,0),"""")"),"")</f>
        <v/>
      </c>
      <c r="AH4293" s="49" t="str">
        <f t="shared" si="67"/>
        <v/>
      </c>
    </row>
    <row r="4294" spans="8:34" ht="12.75">
      <c r="H4294" s="43"/>
      <c r="AG4294" s="49" t="str">
        <f ca="1">IFERROR(__xludf.DUMMYFUNCTION("IFNA(vlookup(H4294,IMPORTRANGE(""1vUGwO1n0QQGx9kKbO0_M5gmuhXZ6-LaxQxgrmJnzgP0"",""'TP# look up'!A:C""),3,0),"""")"),"")</f>
        <v/>
      </c>
      <c r="AH4294" s="49" t="str">
        <f t="shared" si="67"/>
        <v/>
      </c>
    </row>
    <row r="4295" spans="8:34" ht="12.75">
      <c r="H4295" s="43"/>
      <c r="AG4295" s="49" t="str">
        <f ca="1">IFERROR(__xludf.DUMMYFUNCTION("IFNA(vlookup(H4295,IMPORTRANGE(""1vUGwO1n0QQGx9kKbO0_M5gmuhXZ6-LaxQxgrmJnzgP0"",""'TP# look up'!A:C""),3,0),"""")"),"")</f>
        <v/>
      </c>
      <c r="AH4295" s="49" t="str">
        <f t="shared" si="67"/>
        <v/>
      </c>
    </row>
    <row r="4296" spans="8:34" ht="12.75">
      <c r="H4296" s="43"/>
      <c r="AG4296" s="49" t="str">
        <f ca="1">IFERROR(__xludf.DUMMYFUNCTION("IFNA(vlookup(H4296,IMPORTRANGE(""1vUGwO1n0QQGx9kKbO0_M5gmuhXZ6-LaxQxgrmJnzgP0"",""'TP# look up'!A:C""),3,0),"""")"),"")</f>
        <v/>
      </c>
      <c r="AH4296" s="49" t="str">
        <f t="shared" si="67"/>
        <v/>
      </c>
    </row>
    <row r="4297" spans="8:34" ht="12.75">
      <c r="H4297" s="43"/>
      <c r="AG4297" s="49" t="str">
        <f ca="1">IFERROR(__xludf.DUMMYFUNCTION("IFNA(vlookup(H4297,IMPORTRANGE(""1vUGwO1n0QQGx9kKbO0_M5gmuhXZ6-LaxQxgrmJnzgP0"",""'TP# look up'!A:C""),3,0),"""")"),"")</f>
        <v/>
      </c>
      <c r="AH4297" s="49" t="str">
        <f t="shared" si="67"/>
        <v/>
      </c>
    </row>
    <row r="4298" spans="8:34" ht="12.75">
      <c r="H4298" s="43"/>
      <c r="AG4298" s="49" t="str">
        <f ca="1">IFERROR(__xludf.DUMMYFUNCTION("IFNA(vlookup(H4298,IMPORTRANGE(""1vUGwO1n0QQGx9kKbO0_M5gmuhXZ6-LaxQxgrmJnzgP0"",""'TP# look up'!A:C""),3,0),"""")"),"")</f>
        <v/>
      </c>
      <c r="AH4298" s="49" t="str">
        <f t="shared" si="67"/>
        <v/>
      </c>
    </row>
    <row r="4299" spans="8:34" ht="12.75">
      <c r="H4299" s="43"/>
      <c r="AG4299" s="49" t="str">
        <f ca="1">IFERROR(__xludf.DUMMYFUNCTION("IFNA(vlookup(H4299,IMPORTRANGE(""1vUGwO1n0QQGx9kKbO0_M5gmuhXZ6-LaxQxgrmJnzgP0"",""'TP# look up'!A:C""),3,0),"""")"),"")</f>
        <v/>
      </c>
      <c r="AH4299" s="49" t="str">
        <f t="shared" si="67"/>
        <v/>
      </c>
    </row>
    <row r="4300" spans="8:34" ht="12.75">
      <c r="H4300" s="43"/>
      <c r="AG4300" s="49" t="str">
        <f ca="1">IFERROR(__xludf.DUMMYFUNCTION("IFNA(vlookup(H4300,IMPORTRANGE(""1vUGwO1n0QQGx9kKbO0_M5gmuhXZ6-LaxQxgrmJnzgP0"",""'TP# look up'!A:C""),3,0),"""")"),"")</f>
        <v/>
      </c>
      <c r="AH4300" s="49" t="str">
        <f t="shared" si="67"/>
        <v/>
      </c>
    </row>
    <row r="4301" spans="8:34" ht="12.75">
      <c r="H4301" s="43"/>
      <c r="AG4301" s="49" t="str">
        <f ca="1">IFERROR(__xludf.DUMMYFUNCTION("IFNA(vlookup(H4301,IMPORTRANGE(""1vUGwO1n0QQGx9kKbO0_M5gmuhXZ6-LaxQxgrmJnzgP0"",""'TP# look up'!A:C""),3,0),"""")"),"")</f>
        <v/>
      </c>
      <c r="AH4301" s="49" t="str">
        <f t="shared" si="67"/>
        <v/>
      </c>
    </row>
    <row r="4302" spans="8:34" ht="12.75">
      <c r="H4302" s="43"/>
      <c r="AG4302" s="49" t="str">
        <f ca="1">IFERROR(__xludf.DUMMYFUNCTION("IFNA(vlookup(H4302,IMPORTRANGE(""1vUGwO1n0QQGx9kKbO0_M5gmuhXZ6-LaxQxgrmJnzgP0"",""'TP# look up'!A:C""),3,0),"""")"),"")</f>
        <v/>
      </c>
      <c r="AH4302" s="49" t="str">
        <f t="shared" si="67"/>
        <v/>
      </c>
    </row>
    <row r="4303" spans="8:34" ht="12.75">
      <c r="H4303" s="43"/>
      <c r="AG4303" s="49" t="str">
        <f ca="1">IFERROR(__xludf.DUMMYFUNCTION("IFNA(vlookup(H4303,IMPORTRANGE(""1vUGwO1n0QQGx9kKbO0_M5gmuhXZ6-LaxQxgrmJnzgP0"",""'TP# look up'!A:C""),3,0),"""")"),"")</f>
        <v/>
      </c>
      <c r="AH4303" s="49" t="str">
        <f t="shared" si="67"/>
        <v/>
      </c>
    </row>
    <row r="4304" spans="8:34" ht="12.75">
      <c r="H4304" s="43"/>
      <c r="AG4304" s="49" t="str">
        <f ca="1">IFERROR(__xludf.DUMMYFUNCTION("IFNA(vlookup(H4304,IMPORTRANGE(""1vUGwO1n0QQGx9kKbO0_M5gmuhXZ6-LaxQxgrmJnzgP0"",""'TP# look up'!A:C""),3,0),"""")"),"")</f>
        <v/>
      </c>
      <c r="AH4304" s="49" t="str">
        <f t="shared" si="67"/>
        <v/>
      </c>
    </row>
    <row r="4305" spans="8:34" ht="12.75">
      <c r="H4305" s="43"/>
      <c r="AG4305" s="49" t="str">
        <f ca="1">IFERROR(__xludf.DUMMYFUNCTION("IFNA(vlookup(H4305,IMPORTRANGE(""1vUGwO1n0QQGx9kKbO0_M5gmuhXZ6-LaxQxgrmJnzgP0"",""'TP# look up'!A:C""),3,0),"""")"),"")</f>
        <v/>
      </c>
      <c r="AH4305" s="49" t="str">
        <f t="shared" si="67"/>
        <v/>
      </c>
    </row>
    <row r="4306" spans="8:34" ht="12.75">
      <c r="H4306" s="43"/>
      <c r="AG4306" s="49" t="str">
        <f ca="1">IFERROR(__xludf.DUMMYFUNCTION("IFNA(vlookup(H4306,IMPORTRANGE(""1vUGwO1n0QQGx9kKbO0_M5gmuhXZ6-LaxQxgrmJnzgP0"",""'TP# look up'!A:C""),3,0),"""")"),"")</f>
        <v/>
      </c>
      <c r="AH4306" s="49" t="str">
        <f t="shared" si="67"/>
        <v/>
      </c>
    </row>
    <row r="4307" spans="8:34" ht="12.75">
      <c r="H4307" s="43"/>
      <c r="AG4307" s="49" t="str">
        <f ca="1">IFERROR(__xludf.DUMMYFUNCTION("IFNA(vlookup(H4307,IMPORTRANGE(""1vUGwO1n0QQGx9kKbO0_M5gmuhXZ6-LaxQxgrmJnzgP0"",""'TP# look up'!A:C""),3,0),"""")"),"")</f>
        <v/>
      </c>
      <c r="AH4307" s="49" t="str">
        <f t="shared" si="67"/>
        <v/>
      </c>
    </row>
    <row r="4308" spans="8:34" ht="12.75">
      <c r="H4308" s="43"/>
      <c r="AG4308" s="49" t="str">
        <f ca="1">IFERROR(__xludf.DUMMYFUNCTION("IFNA(vlookup(H4308,IMPORTRANGE(""1vUGwO1n0QQGx9kKbO0_M5gmuhXZ6-LaxQxgrmJnzgP0"",""'TP# look up'!A:C""),3,0),"""")"),"")</f>
        <v/>
      </c>
      <c r="AH4308" s="49" t="str">
        <f t="shared" si="67"/>
        <v/>
      </c>
    </row>
    <row r="4309" spans="8:34" ht="12.75">
      <c r="H4309" s="43"/>
      <c r="AG4309" s="49" t="str">
        <f ca="1">IFERROR(__xludf.DUMMYFUNCTION("IFNA(vlookup(H4309,IMPORTRANGE(""1vUGwO1n0QQGx9kKbO0_M5gmuhXZ6-LaxQxgrmJnzgP0"",""'TP# look up'!A:C""),3,0),"""")"),"")</f>
        <v/>
      </c>
      <c r="AH4309" s="49" t="str">
        <f t="shared" si="67"/>
        <v/>
      </c>
    </row>
    <row r="4310" spans="8:34" ht="12.75">
      <c r="H4310" s="43"/>
      <c r="AG4310" s="49" t="str">
        <f ca="1">IFERROR(__xludf.DUMMYFUNCTION("IFNA(vlookup(H4310,IMPORTRANGE(""1vUGwO1n0QQGx9kKbO0_M5gmuhXZ6-LaxQxgrmJnzgP0"",""'TP# look up'!A:C""),3,0),"""")"),"")</f>
        <v/>
      </c>
      <c r="AH4310" s="49" t="str">
        <f t="shared" si="67"/>
        <v/>
      </c>
    </row>
    <row r="4311" spans="8:34" ht="12.75">
      <c r="H4311" s="43"/>
      <c r="AG4311" s="49" t="str">
        <f ca="1">IFERROR(__xludf.DUMMYFUNCTION("IFNA(vlookup(H4311,IMPORTRANGE(""1vUGwO1n0QQGx9kKbO0_M5gmuhXZ6-LaxQxgrmJnzgP0"",""'TP# look up'!A:C""),3,0),"""")"),"")</f>
        <v/>
      </c>
      <c r="AH4311" s="49" t="str">
        <f t="shared" si="67"/>
        <v/>
      </c>
    </row>
    <row r="4312" spans="8:34" ht="12.75">
      <c r="H4312" s="43"/>
      <c r="AG4312" s="49" t="str">
        <f ca="1">IFERROR(__xludf.DUMMYFUNCTION("IFNA(vlookup(H4312,IMPORTRANGE(""1vUGwO1n0QQGx9kKbO0_M5gmuhXZ6-LaxQxgrmJnzgP0"",""'TP# look up'!A:C""),3,0),"""")"),"")</f>
        <v/>
      </c>
      <c r="AH4312" s="49" t="str">
        <f t="shared" si="67"/>
        <v/>
      </c>
    </row>
    <row r="4313" spans="8:34" ht="12.75">
      <c r="H4313" s="43"/>
      <c r="AG4313" s="49" t="str">
        <f ca="1">IFERROR(__xludf.DUMMYFUNCTION("IFNA(vlookup(H4313,IMPORTRANGE(""1vUGwO1n0QQGx9kKbO0_M5gmuhXZ6-LaxQxgrmJnzgP0"",""'TP# look up'!A:C""),3,0),"""")"),"")</f>
        <v/>
      </c>
      <c r="AH4313" s="49" t="str">
        <f t="shared" si="67"/>
        <v/>
      </c>
    </row>
    <row r="4314" spans="8:34" ht="12.75">
      <c r="H4314" s="43"/>
      <c r="AG4314" s="49" t="str">
        <f ca="1">IFERROR(__xludf.DUMMYFUNCTION("IFNA(vlookup(H4314,IMPORTRANGE(""1vUGwO1n0QQGx9kKbO0_M5gmuhXZ6-LaxQxgrmJnzgP0"",""'TP# look up'!A:C""),3,0),"""")"),"")</f>
        <v/>
      </c>
      <c r="AH4314" s="49" t="str">
        <f t="shared" si="67"/>
        <v/>
      </c>
    </row>
    <row r="4315" spans="8:34" ht="12.75">
      <c r="H4315" s="43"/>
      <c r="AG4315" s="49" t="str">
        <f ca="1">IFERROR(__xludf.DUMMYFUNCTION("IFNA(vlookup(H4315,IMPORTRANGE(""1vUGwO1n0QQGx9kKbO0_M5gmuhXZ6-LaxQxgrmJnzgP0"",""'TP# look up'!A:C""),3,0),"""")"),"")</f>
        <v/>
      </c>
      <c r="AH4315" s="49" t="str">
        <f t="shared" si="67"/>
        <v/>
      </c>
    </row>
    <row r="4316" spans="8:34" ht="12.75">
      <c r="H4316" s="43"/>
      <c r="AG4316" s="49" t="str">
        <f ca="1">IFERROR(__xludf.DUMMYFUNCTION("IFNA(vlookup(H4316,IMPORTRANGE(""1vUGwO1n0QQGx9kKbO0_M5gmuhXZ6-LaxQxgrmJnzgP0"",""'TP# look up'!A:C""),3,0),"""")"),"")</f>
        <v/>
      </c>
      <c r="AH4316" s="49" t="str">
        <f t="shared" si="67"/>
        <v/>
      </c>
    </row>
    <row r="4317" spans="8:34" ht="12.75">
      <c r="H4317" s="43"/>
      <c r="AG4317" s="49" t="str">
        <f ca="1">IFERROR(__xludf.DUMMYFUNCTION("IFNA(vlookup(H4317,IMPORTRANGE(""1vUGwO1n0QQGx9kKbO0_M5gmuhXZ6-LaxQxgrmJnzgP0"",""'TP# look up'!A:C""),3,0),"""")"),"")</f>
        <v/>
      </c>
      <c r="AH4317" s="49" t="str">
        <f t="shared" si="67"/>
        <v/>
      </c>
    </row>
    <row r="4318" spans="8:34" ht="12.75">
      <c r="H4318" s="43"/>
      <c r="AG4318" s="49" t="str">
        <f ca="1">IFERROR(__xludf.DUMMYFUNCTION("IFNA(vlookup(H4318,IMPORTRANGE(""1vUGwO1n0QQGx9kKbO0_M5gmuhXZ6-LaxQxgrmJnzgP0"",""'TP# look up'!A:C""),3,0),"""")"),"")</f>
        <v/>
      </c>
      <c r="AH4318" s="49" t="str">
        <f t="shared" si="67"/>
        <v/>
      </c>
    </row>
    <row r="4319" spans="8:34" ht="12.75">
      <c r="H4319" s="43"/>
      <c r="AG4319" s="49" t="str">
        <f ca="1">IFERROR(__xludf.DUMMYFUNCTION("IFNA(vlookup(H4319,IMPORTRANGE(""1vUGwO1n0QQGx9kKbO0_M5gmuhXZ6-LaxQxgrmJnzgP0"",""'TP# look up'!A:C""),3,0),"""")"),"")</f>
        <v/>
      </c>
      <c r="AH4319" s="49" t="str">
        <f t="shared" si="67"/>
        <v/>
      </c>
    </row>
    <row r="4320" spans="8:34" ht="12.75">
      <c r="H4320" s="43"/>
      <c r="AG4320" s="49" t="str">
        <f ca="1">IFERROR(__xludf.DUMMYFUNCTION("IFNA(vlookup(H4320,IMPORTRANGE(""1vUGwO1n0QQGx9kKbO0_M5gmuhXZ6-LaxQxgrmJnzgP0"",""'TP# look up'!A:C""),3,0),"""")"),"")</f>
        <v/>
      </c>
      <c r="AH4320" s="49" t="str">
        <f t="shared" si="67"/>
        <v/>
      </c>
    </row>
    <row r="4321" spans="8:34" ht="12.75">
      <c r="H4321" s="43"/>
      <c r="AG4321" s="49" t="str">
        <f ca="1">IFERROR(__xludf.DUMMYFUNCTION("IFNA(vlookup(H4321,IMPORTRANGE(""1vUGwO1n0QQGx9kKbO0_M5gmuhXZ6-LaxQxgrmJnzgP0"",""'TP# look up'!A:C""),3,0),"""")"),"")</f>
        <v/>
      </c>
      <c r="AH4321" s="49" t="str">
        <f t="shared" si="67"/>
        <v/>
      </c>
    </row>
    <row r="4322" spans="8:34" ht="12.75">
      <c r="H4322" s="43"/>
      <c r="AG4322" s="49" t="str">
        <f ca="1">IFERROR(__xludf.DUMMYFUNCTION("IFNA(vlookup(H4322,IMPORTRANGE(""1vUGwO1n0QQGx9kKbO0_M5gmuhXZ6-LaxQxgrmJnzgP0"",""'TP# look up'!A:C""),3,0),"""")"),"")</f>
        <v/>
      </c>
      <c r="AH4322" s="49" t="str">
        <f t="shared" si="67"/>
        <v/>
      </c>
    </row>
    <row r="4323" spans="8:34" ht="12.75">
      <c r="H4323" s="43"/>
      <c r="AG4323" s="49" t="str">
        <f ca="1">IFERROR(__xludf.DUMMYFUNCTION("IFNA(vlookup(H4323,IMPORTRANGE(""1vUGwO1n0QQGx9kKbO0_M5gmuhXZ6-LaxQxgrmJnzgP0"",""'TP# look up'!A:C""),3,0),"""")"),"")</f>
        <v/>
      </c>
      <c r="AH4323" s="49" t="str">
        <f t="shared" si="67"/>
        <v/>
      </c>
    </row>
    <row r="4324" spans="8:34" ht="12.75">
      <c r="H4324" s="43"/>
      <c r="AG4324" s="49" t="str">
        <f ca="1">IFERROR(__xludf.DUMMYFUNCTION("IFNA(vlookup(H4324,IMPORTRANGE(""1vUGwO1n0QQGx9kKbO0_M5gmuhXZ6-LaxQxgrmJnzgP0"",""'TP# look up'!A:C""),3,0),"""")"),"")</f>
        <v/>
      </c>
      <c r="AH4324" s="49" t="str">
        <f t="shared" si="67"/>
        <v/>
      </c>
    </row>
    <row r="4325" spans="8:34" ht="12.75">
      <c r="H4325" s="43"/>
      <c r="AG4325" s="49" t="str">
        <f ca="1">IFERROR(__xludf.DUMMYFUNCTION("IFNA(vlookup(H4325,IMPORTRANGE(""1vUGwO1n0QQGx9kKbO0_M5gmuhXZ6-LaxQxgrmJnzgP0"",""'TP# look up'!A:C""),3,0),"""")"),"")</f>
        <v/>
      </c>
      <c r="AH4325" s="49" t="str">
        <f t="shared" si="67"/>
        <v/>
      </c>
    </row>
    <row r="4326" spans="8:34" ht="12.75">
      <c r="H4326" s="43"/>
      <c r="AG4326" s="49" t="str">
        <f ca="1">IFERROR(__xludf.DUMMYFUNCTION("IFNA(vlookup(H4326,IMPORTRANGE(""1vUGwO1n0QQGx9kKbO0_M5gmuhXZ6-LaxQxgrmJnzgP0"",""'TP# look up'!A:C""),3,0),"""")"),"")</f>
        <v/>
      </c>
      <c r="AH4326" s="49" t="str">
        <f t="shared" si="67"/>
        <v/>
      </c>
    </row>
    <row r="4327" spans="8:34" ht="12.75">
      <c r="H4327" s="43"/>
      <c r="AG4327" s="49" t="str">
        <f ca="1">IFERROR(__xludf.DUMMYFUNCTION("IFNA(vlookup(H4327,IMPORTRANGE(""1vUGwO1n0QQGx9kKbO0_M5gmuhXZ6-LaxQxgrmJnzgP0"",""'TP# look up'!A:C""),3,0),"""")"),"")</f>
        <v/>
      </c>
      <c r="AH4327" s="49" t="str">
        <f t="shared" si="67"/>
        <v/>
      </c>
    </row>
    <row r="4328" spans="8:34" ht="12.75">
      <c r="H4328" s="43"/>
      <c r="AG4328" s="49" t="str">
        <f ca="1">IFERROR(__xludf.DUMMYFUNCTION("IFNA(vlookup(H4328,IMPORTRANGE(""1vUGwO1n0QQGx9kKbO0_M5gmuhXZ6-LaxQxgrmJnzgP0"",""'TP# look up'!A:C""),3,0),"""")"),"")</f>
        <v/>
      </c>
      <c r="AH4328" s="49" t="str">
        <f t="shared" si="67"/>
        <v/>
      </c>
    </row>
    <row r="4329" spans="8:34" ht="12.75">
      <c r="H4329" s="43"/>
      <c r="AG4329" s="49" t="str">
        <f ca="1">IFERROR(__xludf.DUMMYFUNCTION("IFNA(vlookup(H4329,IMPORTRANGE(""1vUGwO1n0QQGx9kKbO0_M5gmuhXZ6-LaxQxgrmJnzgP0"",""'TP# look up'!A:C""),3,0),"""")"),"")</f>
        <v/>
      </c>
      <c r="AH4329" s="49" t="str">
        <f t="shared" si="67"/>
        <v/>
      </c>
    </row>
    <row r="4330" spans="8:34" ht="12.75">
      <c r="H4330" s="43"/>
      <c r="AG4330" s="49" t="str">
        <f ca="1">IFERROR(__xludf.DUMMYFUNCTION("IFNA(vlookup(H4330,IMPORTRANGE(""1vUGwO1n0QQGx9kKbO0_M5gmuhXZ6-LaxQxgrmJnzgP0"",""'TP# look up'!A:C""),3,0),"""")"),"")</f>
        <v/>
      </c>
      <c r="AH4330" s="49" t="str">
        <f t="shared" si="67"/>
        <v/>
      </c>
    </row>
    <row r="4331" spans="8:34" ht="12.75">
      <c r="H4331" s="43"/>
      <c r="AG4331" s="49" t="str">
        <f ca="1">IFERROR(__xludf.DUMMYFUNCTION("IFNA(vlookup(H4331,IMPORTRANGE(""1vUGwO1n0QQGx9kKbO0_M5gmuhXZ6-LaxQxgrmJnzgP0"",""'TP# look up'!A:C""),3,0),"""")"),"")</f>
        <v/>
      </c>
      <c r="AH4331" s="49" t="str">
        <f t="shared" si="67"/>
        <v/>
      </c>
    </row>
    <row r="4332" spans="8:34" ht="12.75">
      <c r="H4332" s="43"/>
      <c r="AG4332" s="49" t="str">
        <f ca="1">IFERROR(__xludf.DUMMYFUNCTION("IFNA(vlookup(H4332,IMPORTRANGE(""1vUGwO1n0QQGx9kKbO0_M5gmuhXZ6-LaxQxgrmJnzgP0"",""'TP# look up'!A:C""),3,0),"""")"),"")</f>
        <v/>
      </c>
      <c r="AH4332" s="49" t="str">
        <f t="shared" si="67"/>
        <v/>
      </c>
    </row>
    <row r="4333" spans="8:34" ht="12.75">
      <c r="H4333" s="43"/>
      <c r="AG4333" s="49" t="str">
        <f ca="1">IFERROR(__xludf.DUMMYFUNCTION("IFNA(vlookup(H4333,IMPORTRANGE(""1vUGwO1n0QQGx9kKbO0_M5gmuhXZ6-LaxQxgrmJnzgP0"",""'TP# look up'!A:C""),3,0),"""")"),"")</f>
        <v/>
      </c>
      <c r="AH4333" s="49" t="str">
        <f t="shared" si="67"/>
        <v/>
      </c>
    </row>
    <row r="4334" spans="8:34" ht="12.75">
      <c r="H4334" s="43"/>
      <c r="AG4334" s="49" t="str">
        <f ca="1">IFERROR(__xludf.DUMMYFUNCTION("IFNA(vlookup(H4334,IMPORTRANGE(""1vUGwO1n0QQGx9kKbO0_M5gmuhXZ6-LaxQxgrmJnzgP0"",""'TP# look up'!A:C""),3,0),"""")"),"")</f>
        <v/>
      </c>
      <c r="AH4334" s="49" t="str">
        <f t="shared" si="67"/>
        <v/>
      </c>
    </row>
    <row r="4335" spans="8:34" ht="12.75">
      <c r="H4335" s="43"/>
      <c r="AG4335" s="49" t="str">
        <f ca="1">IFERROR(__xludf.DUMMYFUNCTION("IFNA(vlookup(H4335,IMPORTRANGE(""1vUGwO1n0QQGx9kKbO0_M5gmuhXZ6-LaxQxgrmJnzgP0"",""'TP# look up'!A:C""),3,0),"""")"),"")</f>
        <v/>
      </c>
      <c r="AH4335" s="49" t="str">
        <f t="shared" si="67"/>
        <v/>
      </c>
    </row>
    <row r="4336" spans="8:34" ht="12.75">
      <c r="H4336" s="43"/>
      <c r="AG4336" s="49" t="str">
        <f ca="1">IFERROR(__xludf.DUMMYFUNCTION("IFNA(vlookup(H4336,IMPORTRANGE(""1vUGwO1n0QQGx9kKbO0_M5gmuhXZ6-LaxQxgrmJnzgP0"",""'TP# look up'!A:C""),3,0),"""")"),"")</f>
        <v/>
      </c>
      <c r="AH4336" s="49" t="str">
        <f t="shared" si="67"/>
        <v/>
      </c>
    </row>
    <row r="4337" spans="8:34" ht="12.75">
      <c r="H4337" s="43"/>
      <c r="AG4337" s="49" t="str">
        <f ca="1">IFERROR(__xludf.DUMMYFUNCTION("IFNA(vlookup(H4337,IMPORTRANGE(""1vUGwO1n0QQGx9kKbO0_M5gmuhXZ6-LaxQxgrmJnzgP0"",""'TP# look up'!A:C""),3,0),"""")"),"")</f>
        <v/>
      </c>
      <c r="AH4337" s="49" t="str">
        <f t="shared" si="67"/>
        <v/>
      </c>
    </row>
    <row r="4338" spans="8:34" ht="12.75">
      <c r="H4338" s="43"/>
      <c r="AG4338" s="49" t="str">
        <f ca="1">IFERROR(__xludf.DUMMYFUNCTION("IFNA(vlookup(H4338,IMPORTRANGE(""1vUGwO1n0QQGx9kKbO0_M5gmuhXZ6-LaxQxgrmJnzgP0"",""'TP# look up'!A:C""),3,0),"""")"),"")</f>
        <v/>
      </c>
      <c r="AH4338" s="49" t="str">
        <f t="shared" si="67"/>
        <v/>
      </c>
    </row>
    <row r="4339" spans="8:34" ht="12.75">
      <c r="H4339" s="43"/>
      <c r="AG4339" s="49" t="str">
        <f ca="1">IFERROR(__xludf.DUMMYFUNCTION("IFNA(vlookup(H4339,IMPORTRANGE(""1vUGwO1n0QQGx9kKbO0_M5gmuhXZ6-LaxQxgrmJnzgP0"",""'TP# look up'!A:C""),3,0),"""")"),"")</f>
        <v/>
      </c>
      <c r="AH4339" s="49" t="str">
        <f t="shared" si="67"/>
        <v/>
      </c>
    </row>
    <row r="4340" spans="8:34" ht="12.75">
      <c r="H4340" s="43"/>
      <c r="AG4340" s="49" t="str">
        <f ca="1">IFERROR(__xludf.DUMMYFUNCTION("IFNA(vlookup(H4340,IMPORTRANGE(""1vUGwO1n0QQGx9kKbO0_M5gmuhXZ6-LaxQxgrmJnzgP0"",""'TP# look up'!A:C""),3,0),"""")"),"")</f>
        <v/>
      </c>
      <c r="AH4340" s="49" t="str">
        <f t="shared" si="67"/>
        <v/>
      </c>
    </row>
    <row r="4341" spans="8:34" ht="12.75">
      <c r="H4341" s="43"/>
      <c r="AG4341" s="49" t="str">
        <f ca="1">IFERROR(__xludf.DUMMYFUNCTION("IFNA(vlookup(H4341,IMPORTRANGE(""1vUGwO1n0QQGx9kKbO0_M5gmuhXZ6-LaxQxgrmJnzgP0"",""'TP# look up'!A:C""),3,0),"""")"),"")</f>
        <v/>
      </c>
      <c r="AH4341" s="49" t="str">
        <f t="shared" si="67"/>
        <v/>
      </c>
    </row>
    <row r="4342" spans="8:34" ht="12.75">
      <c r="H4342" s="43"/>
      <c r="AG4342" s="49" t="str">
        <f ca="1">IFERROR(__xludf.DUMMYFUNCTION("IFNA(vlookup(H4342,IMPORTRANGE(""1vUGwO1n0QQGx9kKbO0_M5gmuhXZ6-LaxQxgrmJnzgP0"",""'TP# look up'!A:C""),3,0),"""")"),"")</f>
        <v/>
      </c>
      <c r="AH4342" s="49" t="str">
        <f t="shared" si="67"/>
        <v/>
      </c>
    </row>
    <row r="4343" spans="8:34" ht="12.75">
      <c r="H4343" s="43"/>
      <c r="AG4343" s="49" t="str">
        <f ca="1">IFERROR(__xludf.DUMMYFUNCTION("IFNA(vlookup(H4343,IMPORTRANGE(""1vUGwO1n0QQGx9kKbO0_M5gmuhXZ6-LaxQxgrmJnzgP0"",""'TP# look up'!A:C""),3,0),"""")"),"")</f>
        <v/>
      </c>
      <c r="AH4343" s="49" t="str">
        <f t="shared" si="67"/>
        <v/>
      </c>
    </row>
    <row r="4344" spans="8:34" ht="12.75">
      <c r="H4344" s="43"/>
      <c r="AG4344" s="49" t="str">
        <f ca="1">IFERROR(__xludf.DUMMYFUNCTION("IFNA(vlookup(H4344,IMPORTRANGE(""1vUGwO1n0QQGx9kKbO0_M5gmuhXZ6-LaxQxgrmJnzgP0"",""'TP# look up'!A:C""),3,0),"""")"),"")</f>
        <v/>
      </c>
      <c r="AH4344" s="49" t="str">
        <f t="shared" si="67"/>
        <v/>
      </c>
    </row>
    <row r="4345" spans="8:34" ht="12.75">
      <c r="H4345" s="43"/>
      <c r="AG4345" s="49" t="str">
        <f ca="1">IFERROR(__xludf.DUMMYFUNCTION("IFNA(vlookup(H4345,IMPORTRANGE(""1vUGwO1n0QQGx9kKbO0_M5gmuhXZ6-LaxQxgrmJnzgP0"",""'TP# look up'!A:C""),3,0),"""")"),"")</f>
        <v/>
      </c>
      <c r="AH4345" s="49" t="str">
        <f t="shared" si="67"/>
        <v/>
      </c>
    </row>
    <row r="4346" spans="8:34" ht="12.75">
      <c r="H4346" s="43"/>
      <c r="AG4346" s="49" t="str">
        <f ca="1">IFERROR(__xludf.DUMMYFUNCTION("IFNA(vlookup(H4346,IMPORTRANGE(""1vUGwO1n0QQGx9kKbO0_M5gmuhXZ6-LaxQxgrmJnzgP0"",""'TP# look up'!A:C""),3,0),"""")"),"")</f>
        <v/>
      </c>
      <c r="AH4346" s="49" t="str">
        <f t="shared" si="67"/>
        <v/>
      </c>
    </row>
    <row r="4347" spans="8:34" ht="12.75">
      <c r="H4347" s="43"/>
      <c r="AG4347" s="49" t="str">
        <f ca="1">IFERROR(__xludf.DUMMYFUNCTION("IFNA(vlookup(H4347,IMPORTRANGE(""1vUGwO1n0QQGx9kKbO0_M5gmuhXZ6-LaxQxgrmJnzgP0"",""'TP# look up'!A:C""),3,0),"""")"),"")</f>
        <v/>
      </c>
      <c r="AH4347" s="49" t="str">
        <f t="shared" si="67"/>
        <v/>
      </c>
    </row>
    <row r="4348" spans="8:34" ht="12.75">
      <c r="H4348" s="43"/>
      <c r="AG4348" s="49" t="str">
        <f ca="1">IFERROR(__xludf.DUMMYFUNCTION("IFNA(vlookup(H4348,IMPORTRANGE(""1vUGwO1n0QQGx9kKbO0_M5gmuhXZ6-LaxQxgrmJnzgP0"",""'TP# look up'!A:C""),3,0),"""")"),"")</f>
        <v/>
      </c>
      <c r="AH4348" s="49" t="str">
        <f t="shared" si="67"/>
        <v/>
      </c>
    </row>
    <row r="4349" spans="8:34" ht="12.75">
      <c r="H4349" s="43"/>
      <c r="AG4349" s="49" t="str">
        <f ca="1">IFERROR(__xludf.DUMMYFUNCTION("IFNA(vlookup(H4349,IMPORTRANGE(""1vUGwO1n0QQGx9kKbO0_M5gmuhXZ6-LaxQxgrmJnzgP0"",""'TP# look up'!A:C""),3,0),"""")"),"")</f>
        <v/>
      </c>
      <c r="AH4349" s="49" t="str">
        <f t="shared" si="67"/>
        <v/>
      </c>
    </row>
    <row r="4350" spans="8:34" ht="12.75">
      <c r="H4350" s="43"/>
      <c r="AG4350" s="49" t="str">
        <f ca="1">IFERROR(__xludf.DUMMYFUNCTION("IFNA(vlookup(H4350,IMPORTRANGE(""1vUGwO1n0QQGx9kKbO0_M5gmuhXZ6-LaxQxgrmJnzgP0"",""'TP# look up'!A:C""),3,0),"""")"),"")</f>
        <v/>
      </c>
      <c r="AH4350" s="49" t="str">
        <f t="shared" si="67"/>
        <v/>
      </c>
    </row>
    <row r="4351" spans="8:34" ht="12.75">
      <c r="H4351" s="43"/>
      <c r="AG4351" s="49" t="str">
        <f ca="1">IFERROR(__xludf.DUMMYFUNCTION("IFNA(vlookup(H4351,IMPORTRANGE(""1vUGwO1n0QQGx9kKbO0_M5gmuhXZ6-LaxQxgrmJnzgP0"",""'TP# look up'!A:C""),3,0),"""")"),"")</f>
        <v/>
      </c>
      <c r="AH4351" s="49" t="str">
        <f t="shared" si="67"/>
        <v/>
      </c>
    </row>
    <row r="4352" spans="8:34" ht="12.75">
      <c r="H4352" s="43"/>
      <c r="AG4352" s="49" t="str">
        <f ca="1">IFERROR(__xludf.DUMMYFUNCTION("IFNA(vlookup(H4352,IMPORTRANGE(""1vUGwO1n0QQGx9kKbO0_M5gmuhXZ6-LaxQxgrmJnzgP0"",""'TP# look up'!A:C""),3,0),"""")"),"")</f>
        <v/>
      </c>
      <c r="AH4352" s="49" t="str">
        <f t="shared" si="67"/>
        <v/>
      </c>
    </row>
    <row r="4353" spans="8:34" ht="12.75">
      <c r="H4353" s="43"/>
      <c r="AG4353" s="49" t="str">
        <f ca="1">IFERROR(__xludf.DUMMYFUNCTION("IFNA(vlookup(H4353,IMPORTRANGE(""1vUGwO1n0QQGx9kKbO0_M5gmuhXZ6-LaxQxgrmJnzgP0"",""'TP# look up'!A:C""),3,0),"""")"),"")</f>
        <v/>
      </c>
      <c r="AH4353" s="49" t="str">
        <f t="shared" si="67"/>
        <v/>
      </c>
    </row>
    <row r="4354" spans="8:34" ht="12.75">
      <c r="H4354" s="43"/>
      <c r="AG4354" s="49" t="str">
        <f ca="1">IFERROR(__xludf.DUMMYFUNCTION("IFNA(vlookup(H4354,IMPORTRANGE(""1vUGwO1n0QQGx9kKbO0_M5gmuhXZ6-LaxQxgrmJnzgP0"",""'TP# look up'!A:C""),3,0),"""")"),"")</f>
        <v/>
      </c>
      <c r="AH4354" s="49" t="str">
        <f t="shared" ref="AH4354:AH4417" si="68">LEFT(J4354,2)</f>
        <v/>
      </c>
    </row>
    <row r="4355" spans="8:34" ht="12.75">
      <c r="H4355" s="43"/>
      <c r="AG4355" s="49" t="str">
        <f ca="1">IFERROR(__xludf.DUMMYFUNCTION("IFNA(vlookup(H4355,IMPORTRANGE(""1vUGwO1n0QQGx9kKbO0_M5gmuhXZ6-LaxQxgrmJnzgP0"",""'TP# look up'!A:C""),3,0),"""")"),"")</f>
        <v/>
      </c>
      <c r="AH4355" s="49" t="str">
        <f t="shared" si="68"/>
        <v/>
      </c>
    </row>
    <row r="4356" spans="8:34" ht="12.75">
      <c r="H4356" s="43"/>
      <c r="AG4356" s="49" t="str">
        <f ca="1">IFERROR(__xludf.DUMMYFUNCTION("IFNA(vlookup(H4356,IMPORTRANGE(""1vUGwO1n0QQGx9kKbO0_M5gmuhXZ6-LaxQxgrmJnzgP0"",""'TP# look up'!A:C""),3,0),"""")"),"")</f>
        <v/>
      </c>
      <c r="AH4356" s="49" t="str">
        <f t="shared" si="68"/>
        <v/>
      </c>
    </row>
    <row r="4357" spans="8:34" ht="12.75">
      <c r="H4357" s="43"/>
      <c r="AG4357" s="49" t="str">
        <f ca="1">IFERROR(__xludf.DUMMYFUNCTION("IFNA(vlookup(H4357,IMPORTRANGE(""1vUGwO1n0QQGx9kKbO0_M5gmuhXZ6-LaxQxgrmJnzgP0"",""'TP# look up'!A:C""),3,0),"""")"),"")</f>
        <v/>
      </c>
      <c r="AH4357" s="49" t="str">
        <f t="shared" si="68"/>
        <v/>
      </c>
    </row>
    <row r="4358" spans="8:34" ht="12.75">
      <c r="H4358" s="43"/>
      <c r="AG4358" s="49" t="str">
        <f ca="1">IFERROR(__xludf.DUMMYFUNCTION("IFNA(vlookup(H4358,IMPORTRANGE(""1vUGwO1n0QQGx9kKbO0_M5gmuhXZ6-LaxQxgrmJnzgP0"",""'TP# look up'!A:C""),3,0),"""")"),"")</f>
        <v/>
      </c>
      <c r="AH4358" s="49" t="str">
        <f t="shared" si="68"/>
        <v/>
      </c>
    </row>
    <row r="4359" spans="8:34" ht="12.75">
      <c r="H4359" s="43"/>
      <c r="AG4359" s="49" t="str">
        <f ca="1">IFERROR(__xludf.DUMMYFUNCTION("IFNA(vlookup(H4359,IMPORTRANGE(""1vUGwO1n0QQGx9kKbO0_M5gmuhXZ6-LaxQxgrmJnzgP0"",""'TP# look up'!A:C""),3,0),"""")"),"")</f>
        <v/>
      </c>
      <c r="AH4359" s="49" t="str">
        <f t="shared" si="68"/>
        <v/>
      </c>
    </row>
    <row r="4360" spans="8:34" ht="12.75">
      <c r="H4360" s="43"/>
      <c r="AG4360" s="49" t="str">
        <f ca="1">IFERROR(__xludf.DUMMYFUNCTION("IFNA(vlookup(H4360,IMPORTRANGE(""1vUGwO1n0QQGx9kKbO0_M5gmuhXZ6-LaxQxgrmJnzgP0"",""'TP# look up'!A:C""),3,0),"""")"),"")</f>
        <v/>
      </c>
      <c r="AH4360" s="49" t="str">
        <f t="shared" si="68"/>
        <v/>
      </c>
    </row>
    <row r="4361" spans="8:34" ht="12.75">
      <c r="H4361" s="43"/>
      <c r="AG4361" s="49" t="str">
        <f ca="1">IFERROR(__xludf.DUMMYFUNCTION("IFNA(vlookup(H4361,IMPORTRANGE(""1vUGwO1n0QQGx9kKbO0_M5gmuhXZ6-LaxQxgrmJnzgP0"",""'TP# look up'!A:C""),3,0),"""")"),"")</f>
        <v/>
      </c>
      <c r="AH4361" s="49" t="str">
        <f t="shared" si="68"/>
        <v/>
      </c>
    </row>
    <row r="4362" spans="8:34" ht="12.75">
      <c r="H4362" s="43"/>
      <c r="AG4362" s="49" t="str">
        <f ca="1">IFERROR(__xludf.DUMMYFUNCTION("IFNA(vlookup(H4362,IMPORTRANGE(""1vUGwO1n0QQGx9kKbO0_M5gmuhXZ6-LaxQxgrmJnzgP0"",""'TP# look up'!A:C""),3,0),"""")"),"")</f>
        <v/>
      </c>
      <c r="AH4362" s="49" t="str">
        <f t="shared" si="68"/>
        <v/>
      </c>
    </row>
    <row r="4363" spans="8:34" ht="12.75">
      <c r="H4363" s="43"/>
      <c r="AG4363" s="49" t="str">
        <f ca="1">IFERROR(__xludf.DUMMYFUNCTION("IFNA(vlookup(H4363,IMPORTRANGE(""1vUGwO1n0QQGx9kKbO0_M5gmuhXZ6-LaxQxgrmJnzgP0"",""'TP# look up'!A:C""),3,0),"""")"),"")</f>
        <v/>
      </c>
      <c r="AH4363" s="49" t="str">
        <f t="shared" si="68"/>
        <v/>
      </c>
    </row>
    <row r="4364" spans="8:34" ht="12.75">
      <c r="H4364" s="43"/>
      <c r="AG4364" s="49" t="str">
        <f ca="1">IFERROR(__xludf.DUMMYFUNCTION("IFNA(vlookup(H4364,IMPORTRANGE(""1vUGwO1n0QQGx9kKbO0_M5gmuhXZ6-LaxQxgrmJnzgP0"",""'TP# look up'!A:C""),3,0),"""")"),"")</f>
        <v/>
      </c>
      <c r="AH4364" s="49" t="str">
        <f t="shared" si="68"/>
        <v/>
      </c>
    </row>
    <row r="4365" spans="8:34" ht="12.75">
      <c r="H4365" s="43"/>
      <c r="AG4365" s="49" t="str">
        <f ca="1">IFERROR(__xludf.DUMMYFUNCTION("IFNA(vlookup(H4365,IMPORTRANGE(""1vUGwO1n0QQGx9kKbO0_M5gmuhXZ6-LaxQxgrmJnzgP0"",""'TP# look up'!A:C""),3,0),"""")"),"")</f>
        <v/>
      </c>
      <c r="AH4365" s="49" t="str">
        <f t="shared" si="68"/>
        <v/>
      </c>
    </row>
    <row r="4366" spans="8:34" ht="12.75">
      <c r="H4366" s="43"/>
      <c r="AG4366" s="49" t="str">
        <f ca="1">IFERROR(__xludf.DUMMYFUNCTION("IFNA(vlookup(H4366,IMPORTRANGE(""1vUGwO1n0QQGx9kKbO0_M5gmuhXZ6-LaxQxgrmJnzgP0"",""'TP# look up'!A:C""),3,0),"""")"),"")</f>
        <v/>
      </c>
      <c r="AH4366" s="49" t="str">
        <f t="shared" si="68"/>
        <v/>
      </c>
    </row>
    <row r="4367" spans="8:34" ht="12.75">
      <c r="H4367" s="43"/>
      <c r="AG4367" s="49" t="str">
        <f ca="1">IFERROR(__xludf.DUMMYFUNCTION("IFNA(vlookup(H4367,IMPORTRANGE(""1vUGwO1n0QQGx9kKbO0_M5gmuhXZ6-LaxQxgrmJnzgP0"",""'TP# look up'!A:C""),3,0),"""")"),"")</f>
        <v/>
      </c>
      <c r="AH4367" s="49" t="str">
        <f t="shared" si="68"/>
        <v/>
      </c>
    </row>
    <row r="4368" spans="8:34" ht="12.75">
      <c r="H4368" s="43"/>
      <c r="AG4368" s="49" t="str">
        <f ca="1">IFERROR(__xludf.DUMMYFUNCTION("IFNA(vlookup(H4368,IMPORTRANGE(""1vUGwO1n0QQGx9kKbO0_M5gmuhXZ6-LaxQxgrmJnzgP0"",""'TP# look up'!A:C""),3,0),"""")"),"")</f>
        <v/>
      </c>
      <c r="AH4368" s="49" t="str">
        <f t="shared" si="68"/>
        <v/>
      </c>
    </row>
    <row r="4369" spans="8:34" ht="12.75">
      <c r="H4369" s="43"/>
      <c r="AG4369" s="49" t="str">
        <f ca="1">IFERROR(__xludf.DUMMYFUNCTION("IFNA(vlookup(H4369,IMPORTRANGE(""1vUGwO1n0QQGx9kKbO0_M5gmuhXZ6-LaxQxgrmJnzgP0"",""'TP# look up'!A:C""),3,0),"""")"),"")</f>
        <v/>
      </c>
      <c r="AH4369" s="49" t="str">
        <f t="shared" si="68"/>
        <v/>
      </c>
    </row>
    <row r="4370" spans="8:34" ht="12.75">
      <c r="H4370" s="43"/>
      <c r="AG4370" s="49" t="str">
        <f ca="1">IFERROR(__xludf.DUMMYFUNCTION("IFNA(vlookup(H4370,IMPORTRANGE(""1vUGwO1n0QQGx9kKbO0_M5gmuhXZ6-LaxQxgrmJnzgP0"",""'TP# look up'!A:C""),3,0),"""")"),"")</f>
        <v/>
      </c>
      <c r="AH4370" s="49" t="str">
        <f t="shared" si="68"/>
        <v/>
      </c>
    </row>
    <row r="4371" spans="8:34" ht="12.75">
      <c r="H4371" s="43"/>
      <c r="AG4371" s="49" t="str">
        <f ca="1">IFERROR(__xludf.DUMMYFUNCTION("IFNA(vlookup(H4371,IMPORTRANGE(""1vUGwO1n0QQGx9kKbO0_M5gmuhXZ6-LaxQxgrmJnzgP0"",""'TP# look up'!A:C""),3,0),"""")"),"")</f>
        <v/>
      </c>
      <c r="AH4371" s="49" t="str">
        <f t="shared" si="68"/>
        <v/>
      </c>
    </row>
    <row r="4372" spans="8:34" ht="12.75">
      <c r="H4372" s="43"/>
      <c r="AG4372" s="49" t="str">
        <f ca="1">IFERROR(__xludf.DUMMYFUNCTION("IFNA(vlookup(H4372,IMPORTRANGE(""1vUGwO1n0QQGx9kKbO0_M5gmuhXZ6-LaxQxgrmJnzgP0"",""'TP# look up'!A:C""),3,0),"""")"),"")</f>
        <v/>
      </c>
      <c r="AH4372" s="49" t="str">
        <f t="shared" si="68"/>
        <v/>
      </c>
    </row>
    <row r="4373" spans="8:34" ht="12.75">
      <c r="H4373" s="43"/>
      <c r="AG4373" s="49" t="str">
        <f ca="1">IFERROR(__xludf.DUMMYFUNCTION("IFNA(vlookup(H4373,IMPORTRANGE(""1vUGwO1n0QQGx9kKbO0_M5gmuhXZ6-LaxQxgrmJnzgP0"",""'TP# look up'!A:C""),3,0),"""")"),"")</f>
        <v/>
      </c>
      <c r="AH4373" s="49" t="str">
        <f t="shared" si="68"/>
        <v/>
      </c>
    </row>
    <row r="4374" spans="8:34" ht="12.75">
      <c r="H4374" s="43"/>
      <c r="AG4374" s="49" t="str">
        <f ca="1">IFERROR(__xludf.DUMMYFUNCTION("IFNA(vlookup(H4374,IMPORTRANGE(""1vUGwO1n0QQGx9kKbO0_M5gmuhXZ6-LaxQxgrmJnzgP0"",""'TP# look up'!A:C""),3,0),"""")"),"")</f>
        <v/>
      </c>
      <c r="AH4374" s="49" t="str">
        <f t="shared" si="68"/>
        <v/>
      </c>
    </row>
    <row r="4375" spans="8:34" ht="12.75">
      <c r="H4375" s="43"/>
      <c r="AG4375" s="49" t="str">
        <f ca="1">IFERROR(__xludf.DUMMYFUNCTION("IFNA(vlookup(H4375,IMPORTRANGE(""1vUGwO1n0QQGx9kKbO0_M5gmuhXZ6-LaxQxgrmJnzgP0"",""'TP# look up'!A:C""),3,0),"""")"),"")</f>
        <v/>
      </c>
      <c r="AH4375" s="49" t="str">
        <f t="shared" si="68"/>
        <v/>
      </c>
    </row>
    <row r="4376" spans="8:34" ht="12.75">
      <c r="H4376" s="43"/>
      <c r="AG4376" s="49" t="str">
        <f ca="1">IFERROR(__xludf.DUMMYFUNCTION("IFNA(vlookup(H4376,IMPORTRANGE(""1vUGwO1n0QQGx9kKbO0_M5gmuhXZ6-LaxQxgrmJnzgP0"",""'TP# look up'!A:C""),3,0),"""")"),"")</f>
        <v/>
      </c>
      <c r="AH4376" s="49" t="str">
        <f t="shared" si="68"/>
        <v/>
      </c>
    </row>
    <row r="4377" spans="8:34" ht="12.75">
      <c r="H4377" s="43"/>
      <c r="AG4377" s="49" t="str">
        <f ca="1">IFERROR(__xludf.DUMMYFUNCTION("IFNA(vlookup(H4377,IMPORTRANGE(""1vUGwO1n0QQGx9kKbO0_M5gmuhXZ6-LaxQxgrmJnzgP0"",""'TP# look up'!A:C""),3,0),"""")"),"")</f>
        <v/>
      </c>
      <c r="AH4377" s="49" t="str">
        <f t="shared" si="68"/>
        <v/>
      </c>
    </row>
    <row r="4378" spans="8:34" ht="12.75">
      <c r="H4378" s="43"/>
      <c r="AG4378" s="49" t="str">
        <f ca="1">IFERROR(__xludf.DUMMYFUNCTION("IFNA(vlookup(H4378,IMPORTRANGE(""1vUGwO1n0QQGx9kKbO0_M5gmuhXZ6-LaxQxgrmJnzgP0"",""'TP# look up'!A:C""),3,0),"""")"),"")</f>
        <v/>
      </c>
      <c r="AH4378" s="49" t="str">
        <f t="shared" si="68"/>
        <v/>
      </c>
    </row>
    <row r="4379" spans="8:34" ht="12.75">
      <c r="H4379" s="43"/>
      <c r="AG4379" s="49" t="str">
        <f ca="1">IFERROR(__xludf.DUMMYFUNCTION("IFNA(vlookup(H4379,IMPORTRANGE(""1vUGwO1n0QQGx9kKbO0_M5gmuhXZ6-LaxQxgrmJnzgP0"",""'TP# look up'!A:C""),3,0),"""")"),"")</f>
        <v/>
      </c>
      <c r="AH4379" s="49" t="str">
        <f t="shared" si="68"/>
        <v/>
      </c>
    </row>
    <row r="4380" spans="8:34" ht="12.75">
      <c r="H4380" s="43"/>
      <c r="AG4380" s="49" t="str">
        <f ca="1">IFERROR(__xludf.DUMMYFUNCTION("IFNA(vlookup(H4380,IMPORTRANGE(""1vUGwO1n0QQGx9kKbO0_M5gmuhXZ6-LaxQxgrmJnzgP0"",""'TP# look up'!A:C""),3,0),"""")"),"")</f>
        <v/>
      </c>
      <c r="AH4380" s="49" t="str">
        <f t="shared" si="68"/>
        <v/>
      </c>
    </row>
    <row r="4381" spans="8:34" ht="12.75">
      <c r="H4381" s="43"/>
      <c r="AG4381" s="49" t="str">
        <f ca="1">IFERROR(__xludf.DUMMYFUNCTION("IFNA(vlookup(H4381,IMPORTRANGE(""1vUGwO1n0QQGx9kKbO0_M5gmuhXZ6-LaxQxgrmJnzgP0"",""'TP# look up'!A:C""),3,0),"""")"),"")</f>
        <v/>
      </c>
      <c r="AH4381" s="49" t="str">
        <f t="shared" si="68"/>
        <v/>
      </c>
    </row>
    <row r="4382" spans="8:34" ht="12.75">
      <c r="H4382" s="43"/>
      <c r="AG4382" s="49" t="str">
        <f ca="1">IFERROR(__xludf.DUMMYFUNCTION("IFNA(vlookup(H4382,IMPORTRANGE(""1vUGwO1n0QQGx9kKbO0_M5gmuhXZ6-LaxQxgrmJnzgP0"",""'TP# look up'!A:C""),3,0),"""")"),"")</f>
        <v/>
      </c>
      <c r="AH4382" s="49" t="str">
        <f t="shared" si="68"/>
        <v/>
      </c>
    </row>
    <row r="4383" spans="8:34" ht="12.75">
      <c r="H4383" s="43"/>
      <c r="AG4383" s="49" t="str">
        <f ca="1">IFERROR(__xludf.DUMMYFUNCTION("IFNA(vlookup(H4383,IMPORTRANGE(""1vUGwO1n0QQGx9kKbO0_M5gmuhXZ6-LaxQxgrmJnzgP0"",""'TP# look up'!A:C""),3,0),"""")"),"")</f>
        <v/>
      </c>
      <c r="AH4383" s="49" t="str">
        <f t="shared" si="68"/>
        <v/>
      </c>
    </row>
    <row r="4384" spans="8:34" ht="12.75">
      <c r="H4384" s="43"/>
      <c r="AG4384" s="49" t="str">
        <f ca="1">IFERROR(__xludf.DUMMYFUNCTION("IFNA(vlookup(H4384,IMPORTRANGE(""1vUGwO1n0QQGx9kKbO0_M5gmuhXZ6-LaxQxgrmJnzgP0"",""'TP# look up'!A:C""),3,0),"""")"),"")</f>
        <v/>
      </c>
      <c r="AH4384" s="49" t="str">
        <f t="shared" si="68"/>
        <v/>
      </c>
    </row>
    <row r="4385" spans="8:34" ht="12.75">
      <c r="H4385" s="43"/>
      <c r="AG4385" s="49" t="str">
        <f ca="1">IFERROR(__xludf.DUMMYFUNCTION("IFNA(vlookup(H4385,IMPORTRANGE(""1vUGwO1n0QQGx9kKbO0_M5gmuhXZ6-LaxQxgrmJnzgP0"",""'TP# look up'!A:C""),3,0),"""")"),"")</f>
        <v/>
      </c>
      <c r="AH4385" s="49" t="str">
        <f t="shared" si="68"/>
        <v/>
      </c>
    </row>
    <row r="4386" spans="8:34" ht="12.75">
      <c r="H4386" s="43"/>
      <c r="AG4386" s="49" t="str">
        <f ca="1">IFERROR(__xludf.DUMMYFUNCTION("IFNA(vlookup(H4386,IMPORTRANGE(""1vUGwO1n0QQGx9kKbO0_M5gmuhXZ6-LaxQxgrmJnzgP0"",""'TP# look up'!A:C""),3,0),"""")"),"")</f>
        <v/>
      </c>
      <c r="AH4386" s="49" t="str">
        <f t="shared" si="68"/>
        <v/>
      </c>
    </row>
    <row r="4387" spans="8:34" ht="12.75">
      <c r="H4387" s="43"/>
      <c r="AG4387" s="49" t="str">
        <f ca="1">IFERROR(__xludf.DUMMYFUNCTION("IFNA(vlookup(H4387,IMPORTRANGE(""1vUGwO1n0QQGx9kKbO0_M5gmuhXZ6-LaxQxgrmJnzgP0"",""'TP# look up'!A:C""),3,0),"""")"),"")</f>
        <v/>
      </c>
      <c r="AH4387" s="49" t="str">
        <f t="shared" si="68"/>
        <v/>
      </c>
    </row>
    <row r="4388" spans="8:34" ht="12.75">
      <c r="H4388" s="43"/>
      <c r="AG4388" s="49" t="str">
        <f ca="1">IFERROR(__xludf.DUMMYFUNCTION("IFNA(vlookup(H4388,IMPORTRANGE(""1vUGwO1n0QQGx9kKbO0_M5gmuhXZ6-LaxQxgrmJnzgP0"",""'TP# look up'!A:C""),3,0),"""")"),"")</f>
        <v/>
      </c>
      <c r="AH4388" s="49" t="str">
        <f t="shared" si="68"/>
        <v/>
      </c>
    </row>
    <row r="4389" spans="8:34" ht="12.75">
      <c r="H4389" s="43"/>
      <c r="AG4389" s="49" t="str">
        <f ca="1">IFERROR(__xludf.DUMMYFUNCTION("IFNA(vlookup(H4389,IMPORTRANGE(""1vUGwO1n0QQGx9kKbO0_M5gmuhXZ6-LaxQxgrmJnzgP0"",""'TP# look up'!A:C""),3,0),"""")"),"")</f>
        <v/>
      </c>
      <c r="AH4389" s="49" t="str">
        <f t="shared" si="68"/>
        <v/>
      </c>
    </row>
    <row r="4390" spans="8:34" ht="12.75">
      <c r="H4390" s="43"/>
      <c r="AG4390" s="49" t="str">
        <f ca="1">IFERROR(__xludf.DUMMYFUNCTION("IFNA(vlookup(H4390,IMPORTRANGE(""1vUGwO1n0QQGx9kKbO0_M5gmuhXZ6-LaxQxgrmJnzgP0"",""'TP# look up'!A:C""),3,0),"""")"),"")</f>
        <v/>
      </c>
      <c r="AH4390" s="49" t="str">
        <f t="shared" si="68"/>
        <v/>
      </c>
    </row>
    <row r="4391" spans="8:34" ht="12.75">
      <c r="H4391" s="43"/>
      <c r="AG4391" s="49" t="str">
        <f ca="1">IFERROR(__xludf.DUMMYFUNCTION("IFNA(vlookup(H4391,IMPORTRANGE(""1vUGwO1n0QQGx9kKbO0_M5gmuhXZ6-LaxQxgrmJnzgP0"",""'TP# look up'!A:C""),3,0),"""")"),"")</f>
        <v/>
      </c>
      <c r="AH4391" s="49" t="str">
        <f t="shared" si="68"/>
        <v/>
      </c>
    </row>
    <row r="4392" spans="8:34" ht="12.75">
      <c r="H4392" s="43"/>
      <c r="AG4392" s="49" t="str">
        <f ca="1">IFERROR(__xludf.DUMMYFUNCTION("IFNA(vlookup(H4392,IMPORTRANGE(""1vUGwO1n0QQGx9kKbO0_M5gmuhXZ6-LaxQxgrmJnzgP0"",""'TP# look up'!A:C""),3,0),"""")"),"")</f>
        <v/>
      </c>
      <c r="AH4392" s="49" t="str">
        <f t="shared" si="68"/>
        <v/>
      </c>
    </row>
    <row r="4393" spans="8:34" ht="12.75">
      <c r="H4393" s="43"/>
      <c r="AG4393" s="49" t="str">
        <f ca="1">IFERROR(__xludf.DUMMYFUNCTION("IFNA(vlookup(H4393,IMPORTRANGE(""1vUGwO1n0QQGx9kKbO0_M5gmuhXZ6-LaxQxgrmJnzgP0"",""'TP# look up'!A:C""),3,0),"""")"),"")</f>
        <v/>
      </c>
      <c r="AH4393" s="49" t="str">
        <f t="shared" si="68"/>
        <v/>
      </c>
    </row>
    <row r="4394" spans="8:34" ht="12.75">
      <c r="H4394" s="43"/>
      <c r="AG4394" s="49" t="str">
        <f ca="1">IFERROR(__xludf.DUMMYFUNCTION("IFNA(vlookup(H4394,IMPORTRANGE(""1vUGwO1n0QQGx9kKbO0_M5gmuhXZ6-LaxQxgrmJnzgP0"",""'TP# look up'!A:C""),3,0),"""")"),"")</f>
        <v/>
      </c>
      <c r="AH4394" s="49" t="str">
        <f t="shared" si="68"/>
        <v/>
      </c>
    </row>
    <row r="4395" spans="8:34" ht="12.75">
      <c r="H4395" s="43"/>
      <c r="AG4395" s="49" t="str">
        <f ca="1">IFERROR(__xludf.DUMMYFUNCTION("IFNA(vlookup(H4395,IMPORTRANGE(""1vUGwO1n0QQGx9kKbO0_M5gmuhXZ6-LaxQxgrmJnzgP0"",""'TP# look up'!A:C""),3,0),"""")"),"")</f>
        <v/>
      </c>
      <c r="AH4395" s="49" t="str">
        <f t="shared" si="68"/>
        <v/>
      </c>
    </row>
    <row r="4396" spans="8:34" ht="12.75">
      <c r="H4396" s="43"/>
      <c r="AG4396" s="49" t="str">
        <f ca="1">IFERROR(__xludf.DUMMYFUNCTION("IFNA(vlookup(H4396,IMPORTRANGE(""1vUGwO1n0QQGx9kKbO0_M5gmuhXZ6-LaxQxgrmJnzgP0"",""'TP# look up'!A:C""),3,0),"""")"),"")</f>
        <v/>
      </c>
      <c r="AH4396" s="49" t="str">
        <f t="shared" si="68"/>
        <v/>
      </c>
    </row>
    <row r="4397" spans="8:34" ht="12.75">
      <c r="H4397" s="43"/>
      <c r="AG4397" s="49" t="str">
        <f ca="1">IFERROR(__xludf.DUMMYFUNCTION("IFNA(vlookup(H4397,IMPORTRANGE(""1vUGwO1n0QQGx9kKbO0_M5gmuhXZ6-LaxQxgrmJnzgP0"",""'TP# look up'!A:C""),3,0),"""")"),"")</f>
        <v/>
      </c>
      <c r="AH4397" s="49" t="str">
        <f t="shared" si="68"/>
        <v/>
      </c>
    </row>
    <row r="4398" spans="8:34" ht="12.75">
      <c r="H4398" s="43"/>
      <c r="AG4398" s="49" t="str">
        <f ca="1">IFERROR(__xludf.DUMMYFUNCTION("IFNA(vlookup(H4398,IMPORTRANGE(""1vUGwO1n0QQGx9kKbO0_M5gmuhXZ6-LaxQxgrmJnzgP0"",""'TP# look up'!A:C""),3,0),"""")"),"")</f>
        <v/>
      </c>
      <c r="AH4398" s="49" t="str">
        <f t="shared" si="68"/>
        <v/>
      </c>
    </row>
    <row r="4399" spans="8:34" ht="12.75">
      <c r="H4399" s="43"/>
      <c r="AG4399" s="49" t="str">
        <f ca="1">IFERROR(__xludf.DUMMYFUNCTION("IFNA(vlookup(H4399,IMPORTRANGE(""1vUGwO1n0QQGx9kKbO0_M5gmuhXZ6-LaxQxgrmJnzgP0"",""'TP# look up'!A:C""),3,0),"""")"),"")</f>
        <v/>
      </c>
      <c r="AH4399" s="49" t="str">
        <f t="shared" si="68"/>
        <v/>
      </c>
    </row>
    <row r="4400" spans="8:34" ht="12.75">
      <c r="H4400" s="43"/>
      <c r="AG4400" s="49" t="str">
        <f ca="1">IFERROR(__xludf.DUMMYFUNCTION("IFNA(vlookup(H4400,IMPORTRANGE(""1vUGwO1n0QQGx9kKbO0_M5gmuhXZ6-LaxQxgrmJnzgP0"",""'TP# look up'!A:C""),3,0),"""")"),"")</f>
        <v/>
      </c>
      <c r="AH4400" s="49" t="str">
        <f t="shared" si="68"/>
        <v/>
      </c>
    </row>
    <row r="4401" spans="8:34" ht="12.75">
      <c r="H4401" s="43"/>
      <c r="AG4401" s="49" t="str">
        <f ca="1">IFERROR(__xludf.DUMMYFUNCTION("IFNA(vlookup(H4401,IMPORTRANGE(""1vUGwO1n0QQGx9kKbO0_M5gmuhXZ6-LaxQxgrmJnzgP0"",""'TP# look up'!A:C""),3,0),"""")"),"")</f>
        <v/>
      </c>
      <c r="AH4401" s="49" t="str">
        <f t="shared" si="68"/>
        <v/>
      </c>
    </row>
    <row r="4402" spans="8:34" ht="12.75">
      <c r="H4402" s="43"/>
      <c r="AG4402" s="49" t="str">
        <f ca="1">IFERROR(__xludf.DUMMYFUNCTION("IFNA(vlookup(H4402,IMPORTRANGE(""1vUGwO1n0QQGx9kKbO0_M5gmuhXZ6-LaxQxgrmJnzgP0"",""'TP# look up'!A:C""),3,0),"""")"),"")</f>
        <v/>
      </c>
      <c r="AH4402" s="49" t="str">
        <f t="shared" si="68"/>
        <v/>
      </c>
    </row>
    <row r="4403" spans="8:34" ht="12.75">
      <c r="H4403" s="43"/>
      <c r="AG4403" s="49" t="str">
        <f ca="1">IFERROR(__xludf.DUMMYFUNCTION("IFNA(vlookup(H4403,IMPORTRANGE(""1vUGwO1n0QQGx9kKbO0_M5gmuhXZ6-LaxQxgrmJnzgP0"",""'TP# look up'!A:C""),3,0),"""")"),"")</f>
        <v/>
      </c>
      <c r="AH4403" s="49" t="str">
        <f t="shared" si="68"/>
        <v/>
      </c>
    </row>
    <row r="4404" spans="8:34" ht="12.75">
      <c r="H4404" s="43"/>
      <c r="AG4404" s="49" t="str">
        <f ca="1">IFERROR(__xludf.DUMMYFUNCTION("IFNA(vlookup(H4404,IMPORTRANGE(""1vUGwO1n0QQGx9kKbO0_M5gmuhXZ6-LaxQxgrmJnzgP0"",""'TP# look up'!A:C""),3,0),"""")"),"")</f>
        <v/>
      </c>
      <c r="AH4404" s="49" t="str">
        <f t="shared" si="68"/>
        <v/>
      </c>
    </row>
    <row r="4405" spans="8:34" ht="12.75">
      <c r="H4405" s="43"/>
      <c r="AG4405" s="49" t="str">
        <f ca="1">IFERROR(__xludf.DUMMYFUNCTION("IFNA(vlookup(H4405,IMPORTRANGE(""1vUGwO1n0QQGx9kKbO0_M5gmuhXZ6-LaxQxgrmJnzgP0"",""'TP# look up'!A:C""),3,0),"""")"),"")</f>
        <v/>
      </c>
      <c r="AH4405" s="49" t="str">
        <f t="shared" si="68"/>
        <v/>
      </c>
    </row>
    <row r="4406" spans="8:34" ht="12.75">
      <c r="H4406" s="43"/>
      <c r="AG4406" s="49" t="str">
        <f ca="1">IFERROR(__xludf.DUMMYFUNCTION("IFNA(vlookup(H4406,IMPORTRANGE(""1vUGwO1n0QQGx9kKbO0_M5gmuhXZ6-LaxQxgrmJnzgP0"",""'TP# look up'!A:C""),3,0),"""")"),"")</f>
        <v/>
      </c>
      <c r="AH4406" s="49" t="str">
        <f t="shared" si="68"/>
        <v/>
      </c>
    </row>
    <row r="4407" spans="8:34" ht="12.75">
      <c r="H4407" s="43"/>
      <c r="AG4407" s="49" t="str">
        <f ca="1">IFERROR(__xludf.DUMMYFUNCTION("IFNA(vlookup(H4407,IMPORTRANGE(""1vUGwO1n0QQGx9kKbO0_M5gmuhXZ6-LaxQxgrmJnzgP0"",""'TP# look up'!A:C""),3,0),"""")"),"")</f>
        <v/>
      </c>
      <c r="AH4407" s="49" t="str">
        <f t="shared" si="68"/>
        <v/>
      </c>
    </row>
    <row r="4408" spans="8:34" ht="12.75">
      <c r="H4408" s="43"/>
      <c r="AG4408" s="49" t="str">
        <f ca="1">IFERROR(__xludf.DUMMYFUNCTION("IFNA(vlookup(H4408,IMPORTRANGE(""1vUGwO1n0QQGx9kKbO0_M5gmuhXZ6-LaxQxgrmJnzgP0"",""'TP# look up'!A:C""),3,0),"""")"),"")</f>
        <v/>
      </c>
      <c r="AH4408" s="49" t="str">
        <f t="shared" si="68"/>
        <v/>
      </c>
    </row>
    <row r="4409" spans="8:34" ht="12.75">
      <c r="H4409" s="43"/>
      <c r="AG4409" s="49" t="str">
        <f ca="1">IFERROR(__xludf.DUMMYFUNCTION("IFNA(vlookup(H4409,IMPORTRANGE(""1vUGwO1n0QQGx9kKbO0_M5gmuhXZ6-LaxQxgrmJnzgP0"",""'TP# look up'!A:C""),3,0),"""")"),"")</f>
        <v/>
      </c>
      <c r="AH4409" s="49" t="str">
        <f t="shared" si="68"/>
        <v/>
      </c>
    </row>
    <row r="4410" spans="8:34" ht="12.75">
      <c r="H4410" s="43"/>
      <c r="AG4410" s="49" t="str">
        <f ca="1">IFERROR(__xludf.DUMMYFUNCTION("IFNA(vlookup(H4410,IMPORTRANGE(""1vUGwO1n0QQGx9kKbO0_M5gmuhXZ6-LaxQxgrmJnzgP0"",""'TP# look up'!A:C""),3,0),"""")"),"")</f>
        <v/>
      </c>
      <c r="AH4410" s="49" t="str">
        <f t="shared" si="68"/>
        <v/>
      </c>
    </row>
    <row r="4411" spans="8:34" ht="12.75">
      <c r="H4411" s="43"/>
      <c r="AG4411" s="49" t="str">
        <f ca="1">IFERROR(__xludf.DUMMYFUNCTION("IFNA(vlookup(H4411,IMPORTRANGE(""1vUGwO1n0QQGx9kKbO0_M5gmuhXZ6-LaxQxgrmJnzgP0"",""'TP# look up'!A:C""),3,0),"""")"),"")</f>
        <v/>
      </c>
      <c r="AH4411" s="49" t="str">
        <f t="shared" si="68"/>
        <v/>
      </c>
    </row>
    <row r="4412" spans="8:34" ht="12.75">
      <c r="H4412" s="43"/>
      <c r="AG4412" s="49" t="str">
        <f ca="1">IFERROR(__xludf.DUMMYFUNCTION("IFNA(vlookup(H4412,IMPORTRANGE(""1vUGwO1n0QQGx9kKbO0_M5gmuhXZ6-LaxQxgrmJnzgP0"",""'TP# look up'!A:C""),3,0),"""")"),"")</f>
        <v/>
      </c>
      <c r="AH4412" s="49" t="str">
        <f t="shared" si="68"/>
        <v/>
      </c>
    </row>
    <row r="4413" spans="8:34" ht="12.75">
      <c r="H4413" s="43"/>
      <c r="AG4413" s="49" t="str">
        <f ca="1">IFERROR(__xludf.DUMMYFUNCTION("IFNA(vlookup(H4413,IMPORTRANGE(""1vUGwO1n0QQGx9kKbO0_M5gmuhXZ6-LaxQxgrmJnzgP0"",""'TP# look up'!A:C""),3,0),"""")"),"")</f>
        <v/>
      </c>
      <c r="AH4413" s="49" t="str">
        <f t="shared" si="68"/>
        <v/>
      </c>
    </row>
    <row r="4414" spans="8:34" ht="12.75">
      <c r="H4414" s="43"/>
      <c r="AG4414" s="49" t="str">
        <f ca="1">IFERROR(__xludf.DUMMYFUNCTION("IFNA(vlookup(H4414,IMPORTRANGE(""1vUGwO1n0QQGx9kKbO0_M5gmuhXZ6-LaxQxgrmJnzgP0"",""'TP# look up'!A:C""),3,0),"""")"),"")</f>
        <v/>
      </c>
      <c r="AH4414" s="49" t="str">
        <f t="shared" si="68"/>
        <v/>
      </c>
    </row>
    <row r="4415" spans="8:34" ht="12.75">
      <c r="H4415" s="43"/>
      <c r="AG4415" s="49" t="str">
        <f ca="1">IFERROR(__xludf.DUMMYFUNCTION("IFNA(vlookup(H4415,IMPORTRANGE(""1vUGwO1n0QQGx9kKbO0_M5gmuhXZ6-LaxQxgrmJnzgP0"",""'TP# look up'!A:C""),3,0),"""")"),"")</f>
        <v/>
      </c>
      <c r="AH4415" s="49" t="str">
        <f t="shared" si="68"/>
        <v/>
      </c>
    </row>
    <row r="4416" spans="8:34" ht="12.75">
      <c r="H4416" s="43"/>
      <c r="AG4416" s="49" t="str">
        <f ca="1">IFERROR(__xludf.DUMMYFUNCTION("IFNA(vlookup(H4416,IMPORTRANGE(""1vUGwO1n0QQGx9kKbO0_M5gmuhXZ6-LaxQxgrmJnzgP0"",""'TP# look up'!A:C""),3,0),"""")"),"")</f>
        <v/>
      </c>
      <c r="AH4416" s="49" t="str">
        <f t="shared" si="68"/>
        <v/>
      </c>
    </row>
    <row r="4417" spans="8:34" ht="12.75">
      <c r="H4417" s="43"/>
      <c r="AG4417" s="49" t="str">
        <f ca="1">IFERROR(__xludf.DUMMYFUNCTION("IFNA(vlookup(H4417,IMPORTRANGE(""1vUGwO1n0QQGx9kKbO0_M5gmuhXZ6-LaxQxgrmJnzgP0"",""'TP# look up'!A:C""),3,0),"""")"),"")</f>
        <v/>
      </c>
      <c r="AH4417" s="49" t="str">
        <f t="shared" si="68"/>
        <v/>
      </c>
    </row>
    <row r="4418" spans="8:34" ht="12.75">
      <c r="H4418" s="43"/>
      <c r="AG4418" s="49" t="str">
        <f ca="1">IFERROR(__xludf.DUMMYFUNCTION("IFNA(vlookup(H4418,IMPORTRANGE(""1vUGwO1n0QQGx9kKbO0_M5gmuhXZ6-LaxQxgrmJnzgP0"",""'TP# look up'!A:C""),3,0),"""")"),"")</f>
        <v/>
      </c>
      <c r="AH4418" s="49" t="str">
        <f t="shared" ref="AH4418:AH4481" si="69">LEFT(J4418,2)</f>
        <v/>
      </c>
    </row>
    <row r="4419" spans="8:34" ht="12.75">
      <c r="H4419" s="43"/>
      <c r="AG4419" s="49" t="str">
        <f ca="1">IFERROR(__xludf.DUMMYFUNCTION("IFNA(vlookup(H4419,IMPORTRANGE(""1vUGwO1n0QQGx9kKbO0_M5gmuhXZ6-LaxQxgrmJnzgP0"",""'TP# look up'!A:C""),3,0),"""")"),"")</f>
        <v/>
      </c>
      <c r="AH4419" s="49" t="str">
        <f t="shared" si="69"/>
        <v/>
      </c>
    </row>
    <row r="4420" spans="8:34" ht="12.75">
      <c r="H4420" s="43"/>
      <c r="AG4420" s="49" t="str">
        <f ca="1">IFERROR(__xludf.DUMMYFUNCTION("IFNA(vlookup(H4420,IMPORTRANGE(""1vUGwO1n0QQGx9kKbO0_M5gmuhXZ6-LaxQxgrmJnzgP0"",""'TP# look up'!A:C""),3,0),"""")"),"")</f>
        <v/>
      </c>
      <c r="AH4420" s="49" t="str">
        <f t="shared" si="69"/>
        <v/>
      </c>
    </row>
    <row r="4421" spans="8:34" ht="12.75">
      <c r="H4421" s="43"/>
      <c r="AG4421" s="49" t="str">
        <f ca="1">IFERROR(__xludf.DUMMYFUNCTION("IFNA(vlookup(H4421,IMPORTRANGE(""1vUGwO1n0QQGx9kKbO0_M5gmuhXZ6-LaxQxgrmJnzgP0"",""'TP# look up'!A:C""),3,0),"""")"),"")</f>
        <v/>
      </c>
      <c r="AH4421" s="49" t="str">
        <f t="shared" si="69"/>
        <v/>
      </c>
    </row>
    <row r="4422" spans="8:34" ht="12.75">
      <c r="H4422" s="43"/>
      <c r="AG4422" s="49" t="str">
        <f ca="1">IFERROR(__xludf.DUMMYFUNCTION("IFNA(vlookup(H4422,IMPORTRANGE(""1vUGwO1n0QQGx9kKbO0_M5gmuhXZ6-LaxQxgrmJnzgP0"",""'TP# look up'!A:C""),3,0),"""")"),"")</f>
        <v/>
      </c>
      <c r="AH4422" s="49" t="str">
        <f t="shared" si="69"/>
        <v/>
      </c>
    </row>
    <row r="4423" spans="8:34" ht="12.75">
      <c r="H4423" s="43"/>
      <c r="AG4423" s="49" t="str">
        <f ca="1">IFERROR(__xludf.DUMMYFUNCTION("IFNA(vlookup(H4423,IMPORTRANGE(""1vUGwO1n0QQGx9kKbO0_M5gmuhXZ6-LaxQxgrmJnzgP0"",""'TP# look up'!A:C""),3,0),"""")"),"")</f>
        <v/>
      </c>
      <c r="AH4423" s="49" t="str">
        <f t="shared" si="69"/>
        <v/>
      </c>
    </row>
    <row r="4424" spans="8:34" ht="12.75">
      <c r="H4424" s="43"/>
      <c r="AG4424" s="49" t="str">
        <f ca="1">IFERROR(__xludf.DUMMYFUNCTION("IFNA(vlookup(H4424,IMPORTRANGE(""1vUGwO1n0QQGx9kKbO0_M5gmuhXZ6-LaxQxgrmJnzgP0"",""'TP# look up'!A:C""),3,0),"""")"),"")</f>
        <v/>
      </c>
      <c r="AH4424" s="49" t="str">
        <f t="shared" si="69"/>
        <v/>
      </c>
    </row>
    <row r="4425" spans="8:34" ht="12.75">
      <c r="H4425" s="43"/>
      <c r="AG4425" s="49" t="str">
        <f ca="1">IFERROR(__xludf.DUMMYFUNCTION("IFNA(vlookup(H4425,IMPORTRANGE(""1vUGwO1n0QQGx9kKbO0_M5gmuhXZ6-LaxQxgrmJnzgP0"",""'TP# look up'!A:C""),3,0),"""")"),"")</f>
        <v/>
      </c>
      <c r="AH4425" s="49" t="str">
        <f t="shared" si="69"/>
        <v/>
      </c>
    </row>
    <row r="4426" spans="8:34" ht="12.75">
      <c r="H4426" s="43"/>
      <c r="AG4426" s="49" t="str">
        <f ca="1">IFERROR(__xludf.DUMMYFUNCTION("IFNA(vlookup(H4426,IMPORTRANGE(""1vUGwO1n0QQGx9kKbO0_M5gmuhXZ6-LaxQxgrmJnzgP0"",""'TP# look up'!A:C""),3,0),"""")"),"")</f>
        <v/>
      </c>
      <c r="AH4426" s="49" t="str">
        <f t="shared" si="69"/>
        <v/>
      </c>
    </row>
    <row r="4427" spans="8:34" ht="12.75">
      <c r="H4427" s="43"/>
      <c r="AG4427" s="49" t="str">
        <f ca="1">IFERROR(__xludf.DUMMYFUNCTION("IFNA(vlookup(H4427,IMPORTRANGE(""1vUGwO1n0QQGx9kKbO0_M5gmuhXZ6-LaxQxgrmJnzgP0"",""'TP# look up'!A:C""),3,0),"""")"),"")</f>
        <v/>
      </c>
      <c r="AH4427" s="49" t="str">
        <f t="shared" si="69"/>
        <v/>
      </c>
    </row>
    <row r="4428" spans="8:34" ht="12.75">
      <c r="H4428" s="43"/>
      <c r="AG4428" s="49" t="str">
        <f ca="1">IFERROR(__xludf.DUMMYFUNCTION("IFNA(vlookup(H4428,IMPORTRANGE(""1vUGwO1n0QQGx9kKbO0_M5gmuhXZ6-LaxQxgrmJnzgP0"",""'TP# look up'!A:C""),3,0),"""")"),"")</f>
        <v/>
      </c>
      <c r="AH4428" s="49" t="str">
        <f t="shared" si="69"/>
        <v/>
      </c>
    </row>
    <row r="4429" spans="8:34" ht="12.75">
      <c r="H4429" s="43"/>
      <c r="AG4429" s="49" t="str">
        <f ca="1">IFERROR(__xludf.DUMMYFUNCTION("IFNA(vlookup(H4429,IMPORTRANGE(""1vUGwO1n0QQGx9kKbO0_M5gmuhXZ6-LaxQxgrmJnzgP0"",""'TP# look up'!A:C""),3,0),"""")"),"")</f>
        <v/>
      </c>
      <c r="AH4429" s="49" t="str">
        <f t="shared" si="69"/>
        <v/>
      </c>
    </row>
    <row r="4430" spans="8:34" ht="12.75">
      <c r="H4430" s="43"/>
      <c r="AG4430" s="49" t="str">
        <f ca="1">IFERROR(__xludf.DUMMYFUNCTION("IFNA(vlookup(H4430,IMPORTRANGE(""1vUGwO1n0QQGx9kKbO0_M5gmuhXZ6-LaxQxgrmJnzgP0"",""'TP# look up'!A:C""),3,0),"""")"),"")</f>
        <v/>
      </c>
      <c r="AH4430" s="49" t="str">
        <f t="shared" si="69"/>
        <v/>
      </c>
    </row>
    <row r="4431" spans="8:34" ht="12.75">
      <c r="H4431" s="43"/>
      <c r="AG4431" s="49" t="str">
        <f ca="1">IFERROR(__xludf.DUMMYFUNCTION("IFNA(vlookup(H4431,IMPORTRANGE(""1vUGwO1n0QQGx9kKbO0_M5gmuhXZ6-LaxQxgrmJnzgP0"",""'TP# look up'!A:C""),3,0),"""")"),"")</f>
        <v/>
      </c>
      <c r="AH4431" s="49" t="str">
        <f t="shared" si="69"/>
        <v/>
      </c>
    </row>
    <row r="4432" spans="8:34" ht="12.75">
      <c r="H4432" s="43"/>
      <c r="AG4432" s="49" t="str">
        <f ca="1">IFERROR(__xludf.DUMMYFUNCTION("IFNA(vlookup(H4432,IMPORTRANGE(""1vUGwO1n0QQGx9kKbO0_M5gmuhXZ6-LaxQxgrmJnzgP0"",""'TP# look up'!A:C""),3,0),"""")"),"")</f>
        <v/>
      </c>
      <c r="AH4432" s="49" t="str">
        <f t="shared" si="69"/>
        <v/>
      </c>
    </row>
    <row r="4433" spans="8:34" ht="12.75">
      <c r="H4433" s="43"/>
      <c r="AG4433" s="49" t="str">
        <f ca="1">IFERROR(__xludf.DUMMYFUNCTION("IFNA(vlookup(H4433,IMPORTRANGE(""1vUGwO1n0QQGx9kKbO0_M5gmuhXZ6-LaxQxgrmJnzgP0"",""'TP# look up'!A:C""),3,0),"""")"),"")</f>
        <v/>
      </c>
      <c r="AH4433" s="49" t="str">
        <f t="shared" si="69"/>
        <v/>
      </c>
    </row>
    <row r="4434" spans="8:34" ht="12.75">
      <c r="H4434" s="43"/>
      <c r="AG4434" s="49" t="str">
        <f ca="1">IFERROR(__xludf.DUMMYFUNCTION("IFNA(vlookup(H4434,IMPORTRANGE(""1vUGwO1n0QQGx9kKbO0_M5gmuhXZ6-LaxQxgrmJnzgP0"",""'TP# look up'!A:C""),3,0),"""")"),"")</f>
        <v/>
      </c>
      <c r="AH4434" s="49" t="str">
        <f t="shared" si="69"/>
        <v/>
      </c>
    </row>
    <row r="4435" spans="8:34" ht="12.75">
      <c r="H4435" s="43"/>
      <c r="AG4435" s="49" t="str">
        <f ca="1">IFERROR(__xludf.DUMMYFUNCTION("IFNA(vlookup(H4435,IMPORTRANGE(""1vUGwO1n0QQGx9kKbO0_M5gmuhXZ6-LaxQxgrmJnzgP0"",""'TP# look up'!A:C""),3,0),"""")"),"")</f>
        <v/>
      </c>
      <c r="AH4435" s="49" t="str">
        <f t="shared" si="69"/>
        <v/>
      </c>
    </row>
    <row r="4436" spans="8:34" ht="12.75">
      <c r="H4436" s="43"/>
      <c r="AG4436" s="49" t="str">
        <f ca="1">IFERROR(__xludf.DUMMYFUNCTION("IFNA(vlookup(H4436,IMPORTRANGE(""1vUGwO1n0QQGx9kKbO0_M5gmuhXZ6-LaxQxgrmJnzgP0"",""'TP# look up'!A:C""),3,0),"""")"),"")</f>
        <v/>
      </c>
      <c r="AH4436" s="49" t="str">
        <f t="shared" si="69"/>
        <v/>
      </c>
    </row>
    <row r="4437" spans="8:34" ht="12.75">
      <c r="H4437" s="43"/>
      <c r="AG4437" s="49" t="str">
        <f ca="1">IFERROR(__xludf.DUMMYFUNCTION("IFNA(vlookup(H4437,IMPORTRANGE(""1vUGwO1n0QQGx9kKbO0_M5gmuhXZ6-LaxQxgrmJnzgP0"",""'TP# look up'!A:C""),3,0),"""")"),"")</f>
        <v/>
      </c>
      <c r="AH4437" s="49" t="str">
        <f t="shared" si="69"/>
        <v/>
      </c>
    </row>
    <row r="4438" spans="8:34" ht="12.75">
      <c r="H4438" s="43"/>
      <c r="AG4438" s="49" t="str">
        <f ca="1">IFERROR(__xludf.DUMMYFUNCTION("IFNA(vlookup(H4438,IMPORTRANGE(""1vUGwO1n0QQGx9kKbO0_M5gmuhXZ6-LaxQxgrmJnzgP0"",""'TP# look up'!A:C""),3,0),"""")"),"")</f>
        <v/>
      </c>
      <c r="AH4438" s="49" t="str">
        <f t="shared" si="69"/>
        <v/>
      </c>
    </row>
    <row r="4439" spans="8:34" ht="12.75">
      <c r="H4439" s="43"/>
      <c r="AG4439" s="49" t="str">
        <f ca="1">IFERROR(__xludf.DUMMYFUNCTION("IFNA(vlookup(H4439,IMPORTRANGE(""1vUGwO1n0QQGx9kKbO0_M5gmuhXZ6-LaxQxgrmJnzgP0"",""'TP# look up'!A:C""),3,0),"""")"),"")</f>
        <v/>
      </c>
      <c r="AH4439" s="49" t="str">
        <f t="shared" si="69"/>
        <v/>
      </c>
    </row>
    <row r="4440" spans="8:34" ht="12.75">
      <c r="H4440" s="43"/>
      <c r="AG4440" s="49" t="str">
        <f ca="1">IFERROR(__xludf.DUMMYFUNCTION("IFNA(vlookup(H4440,IMPORTRANGE(""1vUGwO1n0QQGx9kKbO0_M5gmuhXZ6-LaxQxgrmJnzgP0"",""'TP# look up'!A:C""),3,0),"""")"),"")</f>
        <v/>
      </c>
      <c r="AH4440" s="49" t="str">
        <f t="shared" si="69"/>
        <v/>
      </c>
    </row>
    <row r="4441" spans="8:34" ht="12.75">
      <c r="H4441" s="43"/>
      <c r="AG4441" s="49" t="str">
        <f ca="1">IFERROR(__xludf.DUMMYFUNCTION("IFNA(vlookup(H4441,IMPORTRANGE(""1vUGwO1n0QQGx9kKbO0_M5gmuhXZ6-LaxQxgrmJnzgP0"",""'TP# look up'!A:C""),3,0),"""")"),"")</f>
        <v/>
      </c>
      <c r="AH4441" s="49" t="str">
        <f t="shared" si="69"/>
        <v/>
      </c>
    </row>
    <row r="4442" spans="8:34" ht="12.75">
      <c r="H4442" s="43"/>
      <c r="AG4442" s="49" t="str">
        <f ca="1">IFERROR(__xludf.DUMMYFUNCTION("IFNA(vlookup(H4442,IMPORTRANGE(""1vUGwO1n0QQGx9kKbO0_M5gmuhXZ6-LaxQxgrmJnzgP0"",""'TP# look up'!A:C""),3,0),"""")"),"")</f>
        <v/>
      </c>
      <c r="AH4442" s="49" t="str">
        <f t="shared" si="69"/>
        <v/>
      </c>
    </row>
    <row r="4443" spans="8:34" ht="12.75">
      <c r="H4443" s="43"/>
      <c r="AG4443" s="49" t="str">
        <f ca="1">IFERROR(__xludf.DUMMYFUNCTION("IFNA(vlookup(H4443,IMPORTRANGE(""1vUGwO1n0QQGx9kKbO0_M5gmuhXZ6-LaxQxgrmJnzgP0"",""'TP# look up'!A:C""),3,0),"""")"),"")</f>
        <v/>
      </c>
      <c r="AH4443" s="49" t="str">
        <f t="shared" si="69"/>
        <v/>
      </c>
    </row>
    <row r="4444" spans="8:34" ht="12.75">
      <c r="H4444" s="43"/>
      <c r="AG4444" s="49" t="str">
        <f ca="1">IFERROR(__xludf.DUMMYFUNCTION("IFNA(vlookup(H4444,IMPORTRANGE(""1vUGwO1n0QQGx9kKbO0_M5gmuhXZ6-LaxQxgrmJnzgP0"",""'TP# look up'!A:C""),3,0),"""")"),"")</f>
        <v/>
      </c>
      <c r="AH4444" s="49" t="str">
        <f t="shared" si="69"/>
        <v/>
      </c>
    </row>
    <row r="4445" spans="8:34" ht="12.75">
      <c r="H4445" s="43"/>
      <c r="AG4445" s="49" t="str">
        <f ca="1">IFERROR(__xludf.DUMMYFUNCTION("IFNA(vlookup(H4445,IMPORTRANGE(""1vUGwO1n0QQGx9kKbO0_M5gmuhXZ6-LaxQxgrmJnzgP0"",""'TP# look up'!A:C""),3,0),"""")"),"")</f>
        <v/>
      </c>
      <c r="AH4445" s="49" t="str">
        <f t="shared" si="69"/>
        <v/>
      </c>
    </row>
    <row r="4446" spans="8:34" ht="12.75">
      <c r="H4446" s="43"/>
      <c r="AG4446" s="49" t="str">
        <f ca="1">IFERROR(__xludf.DUMMYFUNCTION("IFNA(vlookup(H4446,IMPORTRANGE(""1vUGwO1n0QQGx9kKbO0_M5gmuhXZ6-LaxQxgrmJnzgP0"",""'TP# look up'!A:C""),3,0),"""")"),"")</f>
        <v/>
      </c>
      <c r="AH4446" s="49" t="str">
        <f t="shared" si="69"/>
        <v/>
      </c>
    </row>
    <row r="4447" spans="8:34" ht="12.75">
      <c r="H4447" s="43"/>
      <c r="AG4447" s="49" t="str">
        <f ca="1">IFERROR(__xludf.DUMMYFUNCTION("IFNA(vlookup(H4447,IMPORTRANGE(""1vUGwO1n0QQGx9kKbO0_M5gmuhXZ6-LaxQxgrmJnzgP0"",""'TP# look up'!A:C""),3,0),"""")"),"")</f>
        <v/>
      </c>
      <c r="AH4447" s="49" t="str">
        <f t="shared" si="69"/>
        <v/>
      </c>
    </row>
    <row r="4448" spans="8:34" ht="12.75">
      <c r="H4448" s="43"/>
      <c r="AG4448" s="49" t="str">
        <f ca="1">IFERROR(__xludf.DUMMYFUNCTION("IFNA(vlookup(H4448,IMPORTRANGE(""1vUGwO1n0QQGx9kKbO0_M5gmuhXZ6-LaxQxgrmJnzgP0"",""'TP# look up'!A:C""),3,0),"""")"),"")</f>
        <v/>
      </c>
      <c r="AH4448" s="49" t="str">
        <f t="shared" si="69"/>
        <v/>
      </c>
    </row>
    <row r="4449" spans="8:34" ht="12.75">
      <c r="H4449" s="43"/>
      <c r="AG4449" s="49" t="str">
        <f ca="1">IFERROR(__xludf.DUMMYFUNCTION("IFNA(vlookup(H4449,IMPORTRANGE(""1vUGwO1n0QQGx9kKbO0_M5gmuhXZ6-LaxQxgrmJnzgP0"",""'TP# look up'!A:C""),3,0),"""")"),"")</f>
        <v/>
      </c>
      <c r="AH4449" s="49" t="str">
        <f t="shared" si="69"/>
        <v/>
      </c>
    </row>
    <row r="4450" spans="8:34" ht="12.75">
      <c r="H4450" s="43"/>
      <c r="AG4450" s="49" t="str">
        <f ca="1">IFERROR(__xludf.DUMMYFUNCTION("IFNA(vlookup(H4450,IMPORTRANGE(""1vUGwO1n0QQGx9kKbO0_M5gmuhXZ6-LaxQxgrmJnzgP0"",""'TP# look up'!A:C""),3,0),"""")"),"")</f>
        <v/>
      </c>
      <c r="AH4450" s="49" t="str">
        <f t="shared" si="69"/>
        <v/>
      </c>
    </row>
    <row r="4451" spans="8:34" ht="12.75">
      <c r="H4451" s="43"/>
      <c r="AG4451" s="49" t="str">
        <f ca="1">IFERROR(__xludf.DUMMYFUNCTION("IFNA(vlookup(H4451,IMPORTRANGE(""1vUGwO1n0QQGx9kKbO0_M5gmuhXZ6-LaxQxgrmJnzgP0"",""'TP# look up'!A:C""),3,0),"""")"),"")</f>
        <v/>
      </c>
      <c r="AH4451" s="49" t="str">
        <f t="shared" si="69"/>
        <v/>
      </c>
    </row>
    <row r="4452" spans="8:34" ht="12.75">
      <c r="H4452" s="43"/>
      <c r="AG4452" s="49" t="str">
        <f ca="1">IFERROR(__xludf.DUMMYFUNCTION("IFNA(vlookup(H4452,IMPORTRANGE(""1vUGwO1n0QQGx9kKbO0_M5gmuhXZ6-LaxQxgrmJnzgP0"",""'TP# look up'!A:C""),3,0),"""")"),"")</f>
        <v/>
      </c>
      <c r="AH4452" s="49" t="str">
        <f t="shared" si="69"/>
        <v/>
      </c>
    </row>
    <row r="4453" spans="8:34" ht="12.75">
      <c r="H4453" s="43"/>
      <c r="AG4453" s="49" t="str">
        <f ca="1">IFERROR(__xludf.DUMMYFUNCTION("IFNA(vlookup(H4453,IMPORTRANGE(""1vUGwO1n0QQGx9kKbO0_M5gmuhXZ6-LaxQxgrmJnzgP0"",""'TP# look up'!A:C""),3,0),"""")"),"")</f>
        <v/>
      </c>
      <c r="AH4453" s="49" t="str">
        <f t="shared" si="69"/>
        <v/>
      </c>
    </row>
    <row r="4454" spans="8:34" ht="12.75">
      <c r="H4454" s="43"/>
      <c r="AG4454" s="49" t="str">
        <f ca="1">IFERROR(__xludf.DUMMYFUNCTION("IFNA(vlookup(H4454,IMPORTRANGE(""1vUGwO1n0QQGx9kKbO0_M5gmuhXZ6-LaxQxgrmJnzgP0"",""'TP# look up'!A:C""),3,0),"""")"),"")</f>
        <v/>
      </c>
      <c r="AH4454" s="49" t="str">
        <f t="shared" si="69"/>
        <v/>
      </c>
    </row>
    <row r="4455" spans="8:34" ht="12.75">
      <c r="H4455" s="43"/>
      <c r="AG4455" s="49" t="str">
        <f ca="1">IFERROR(__xludf.DUMMYFUNCTION("IFNA(vlookup(H4455,IMPORTRANGE(""1vUGwO1n0QQGx9kKbO0_M5gmuhXZ6-LaxQxgrmJnzgP0"",""'TP# look up'!A:C""),3,0),"""")"),"")</f>
        <v/>
      </c>
      <c r="AH4455" s="49" t="str">
        <f t="shared" si="69"/>
        <v/>
      </c>
    </row>
    <row r="4456" spans="8:34" ht="12.75">
      <c r="H4456" s="43"/>
      <c r="AG4456" s="49" t="str">
        <f ca="1">IFERROR(__xludf.DUMMYFUNCTION("IFNA(vlookup(H4456,IMPORTRANGE(""1vUGwO1n0QQGx9kKbO0_M5gmuhXZ6-LaxQxgrmJnzgP0"",""'TP# look up'!A:C""),3,0),"""")"),"")</f>
        <v/>
      </c>
      <c r="AH4456" s="49" t="str">
        <f t="shared" si="69"/>
        <v/>
      </c>
    </row>
    <row r="4457" spans="8:34" ht="12.75">
      <c r="H4457" s="43"/>
      <c r="AG4457" s="49" t="str">
        <f ca="1">IFERROR(__xludf.DUMMYFUNCTION("IFNA(vlookup(H4457,IMPORTRANGE(""1vUGwO1n0QQGx9kKbO0_M5gmuhXZ6-LaxQxgrmJnzgP0"",""'TP# look up'!A:C""),3,0),"""")"),"")</f>
        <v/>
      </c>
      <c r="AH4457" s="49" t="str">
        <f t="shared" si="69"/>
        <v/>
      </c>
    </row>
    <row r="4458" spans="8:34" ht="12.75">
      <c r="H4458" s="43"/>
      <c r="AG4458" s="49" t="str">
        <f ca="1">IFERROR(__xludf.DUMMYFUNCTION("IFNA(vlookup(H4458,IMPORTRANGE(""1vUGwO1n0QQGx9kKbO0_M5gmuhXZ6-LaxQxgrmJnzgP0"",""'TP# look up'!A:C""),3,0),"""")"),"")</f>
        <v/>
      </c>
      <c r="AH4458" s="49" t="str">
        <f t="shared" si="69"/>
        <v/>
      </c>
    </row>
    <row r="4459" spans="8:34" ht="12.75">
      <c r="H4459" s="43"/>
      <c r="AG4459" s="49" t="str">
        <f ca="1">IFERROR(__xludf.DUMMYFUNCTION("IFNA(vlookup(H4459,IMPORTRANGE(""1vUGwO1n0QQGx9kKbO0_M5gmuhXZ6-LaxQxgrmJnzgP0"",""'TP# look up'!A:C""),3,0),"""")"),"")</f>
        <v/>
      </c>
      <c r="AH4459" s="49" t="str">
        <f t="shared" si="69"/>
        <v/>
      </c>
    </row>
    <row r="4460" spans="8:34" ht="12.75">
      <c r="H4460" s="43"/>
      <c r="AG4460" s="49" t="str">
        <f ca="1">IFERROR(__xludf.DUMMYFUNCTION("IFNA(vlookup(H4460,IMPORTRANGE(""1vUGwO1n0QQGx9kKbO0_M5gmuhXZ6-LaxQxgrmJnzgP0"",""'TP# look up'!A:C""),3,0),"""")"),"")</f>
        <v/>
      </c>
      <c r="AH4460" s="49" t="str">
        <f t="shared" si="69"/>
        <v/>
      </c>
    </row>
    <row r="4461" spans="8:34" ht="12.75">
      <c r="H4461" s="43"/>
      <c r="AG4461" s="49" t="str">
        <f ca="1">IFERROR(__xludf.DUMMYFUNCTION("IFNA(vlookup(H4461,IMPORTRANGE(""1vUGwO1n0QQGx9kKbO0_M5gmuhXZ6-LaxQxgrmJnzgP0"",""'TP# look up'!A:C""),3,0),"""")"),"")</f>
        <v/>
      </c>
      <c r="AH4461" s="49" t="str">
        <f t="shared" si="69"/>
        <v/>
      </c>
    </row>
    <row r="4462" spans="8:34" ht="12.75">
      <c r="H4462" s="43"/>
      <c r="AG4462" s="49" t="str">
        <f ca="1">IFERROR(__xludf.DUMMYFUNCTION("IFNA(vlookup(H4462,IMPORTRANGE(""1vUGwO1n0QQGx9kKbO0_M5gmuhXZ6-LaxQxgrmJnzgP0"",""'TP# look up'!A:C""),3,0),"""")"),"")</f>
        <v/>
      </c>
      <c r="AH4462" s="49" t="str">
        <f t="shared" si="69"/>
        <v/>
      </c>
    </row>
    <row r="4463" spans="8:34" ht="12.75">
      <c r="H4463" s="43"/>
      <c r="AG4463" s="49" t="str">
        <f ca="1">IFERROR(__xludf.DUMMYFUNCTION("IFNA(vlookup(H4463,IMPORTRANGE(""1vUGwO1n0QQGx9kKbO0_M5gmuhXZ6-LaxQxgrmJnzgP0"",""'TP# look up'!A:C""),3,0),"""")"),"")</f>
        <v/>
      </c>
      <c r="AH4463" s="49" t="str">
        <f t="shared" si="69"/>
        <v/>
      </c>
    </row>
    <row r="4464" spans="8:34" ht="12.75">
      <c r="H4464" s="43"/>
      <c r="AG4464" s="49" t="str">
        <f ca="1">IFERROR(__xludf.DUMMYFUNCTION("IFNA(vlookup(H4464,IMPORTRANGE(""1vUGwO1n0QQGx9kKbO0_M5gmuhXZ6-LaxQxgrmJnzgP0"",""'TP# look up'!A:C""),3,0),"""")"),"")</f>
        <v/>
      </c>
      <c r="AH4464" s="49" t="str">
        <f t="shared" si="69"/>
        <v/>
      </c>
    </row>
    <row r="4465" spans="8:34" ht="12.75">
      <c r="H4465" s="43"/>
      <c r="AG4465" s="49" t="str">
        <f ca="1">IFERROR(__xludf.DUMMYFUNCTION("IFNA(vlookup(H4465,IMPORTRANGE(""1vUGwO1n0QQGx9kKbO0_M5gmuhXZ6-LaxQxgrmJnzgP0"",""'TP# look up'!A:C""),3,0),"""")"),"")</f>
        <v/>
      </c>
      <c r="AH4465" s="49" t="str">
        <f t="shared" si="69"/>
        <v/>
      </c>
    </row>
    <row r="4466" spans="8:34" ht="12.75">
      <c r="H4466" s="43"/>
      <c r="AG4466" s="49" t="str">
        <f ca="1">IFERROR(__xludf.DUMMYFUNCTION("IFNA(vlookup(H4466,IMPORTRANGE(""1vUGwO1n0QQGx9kKbO0_M5gmuhXZ6-LaxQxgrmJnzgP0"",""'TP# look up'!A:C""),3,0),"""")"),"")</f>
        <v/>
      </c>
      <c r="AH4466" s="49" t="str">
        <f t="shared" si="69"/>
        <v/>
      </c>
    </row>
    <row r="4467" spans="8:34" ht="12.75">
      <c r="H4467" s="43"/>
      <c r="AG4467" s="49" t="str">
        <f ca="1">IFERROR(__xludf.DUMMYFUNCTION("IFNA(vlookup(H4467,IMPORTRANGE(""1vUGwO1n0QQGx9kKbO0_M5gmuhXZ6-LaxQxgrmJnzgP0"",""'TP# look up'!A:C""),3,0),"""")"),"")</f>
        <v/>
      </c>
      <c r="AH4467" s="49" t="str">
        <f t="shared" si="69"/>
        <v/>
      </c>
    </row>
    <row r="4468" spans="8:34" ht="12.75">
      <c r="H4468" s="43"/>
      <c r="AG4468" s="49" t="str">
        <f ca="1">IFERROR(__xludf.DUMMYFUNCTION("IFNA(vlookup(H4468,IMPORTRANGE(""1vUGwO1n0QQGx9kKbO0_M5gmuhXZ6-LaxQxgrmJnzgP0"",""'TP# look up'!A:C""),3,0),"""")"),"")</f>
        <v/>
      </c>
      <c r="AH4468" s="49" t="str">
        <f t="shared" si="69"/>
        <v/>
      </c>
    </row>
    <row r="4469" spans="8:34" ht="12.75">
      <c r="H4469" s="43"/>
      <c r="AG4469" s="49" t="str">
        <f ca="1">IFERROR(__xludf.DUMMYFUNCTION("IFNA(vlookup(H4469,IMPORTRANGE(""1vUGwO1n0QQGx9kKbO0_M5gmuhXZ6-LaxQxgrmJnzgP0"",""'TP# look up'!A:C""),3,0),"""")"),"")</f>
        <v/>
      </c>
      <c r="AH4469" s="49" t="str">
        <f t="shared" si="69"/>
        <v/>
      </c>
    </row>
    <row r="4470" spans="8:34" ht="12.75">
      <c r="H4470" s="43"/>
      <c r="AG4470" s="49" t="str">
        <f ca="1">IFERROR(__xludf.DUMMYFUNCTION("IFNA(vlookup(H4470,IMPORTRANGE(""1vUGwO1n0QQGx9kKbO0_M5gmuhXZ6-LaxQxgrmJnzgP0"",""'TP# look up'!A:C""),3,0),"""")"),"")</f>
        <v/>
      </c>
      <c r="AH4470" s="49" t="str">
        <f t="shared" si="69"/>
        <v/>
      </c>
    </row>
    <row r="4471" spans="8:34" ht="12.75">
      <c r="H4471" s="43"/>
      <c r="AG4471" s="49" t="str">
        <f ca="1">IFERROR(__xludf.DUMMYFUNCTION("IFNA(vlookup(H4471,IMPORTRANGE(""1vUGwO1n0QQGx9kKbO0_M5gmuhXZ6-LaxQxgrmJnzgP0"",""'TP# look up'!A:C""),3,0),"""")"),"")</f>
        <v/>
      </c>
      <c r="AH4471" s="49" t="str">
        <f t="shared" si="69"/>
        <v/>
      </c>
    </row>
    <row r="4472" spans="8:34" ht="12.75">
      <c r="H4472" s="43"/>
      <c r="AG4472" s="49" t="str">
        <f ca="1">IFERROR(__xludf.DUMMYFUNCTION("IFNA(vlookup(H4472,IMPORTRANGE(""1vUGwO1n0QQGx9kKbO0_M5gmuhXZ6-LaxQxgrmJnzgP0"",""'TP# look up'!A:C""),3,0),"""")"),"")</f>
        <v/>
      </c>
      <c r="AH4472" s="49" t="str">
        <f t="shared" si="69"/>
        <v/>
      </c>
    </row>
    <row r="4473" spans="8:34" ht="12.75">
      <c r="H4473" s="43"/>
      <c r="AG4473" s="49" t="str">
        <f ca="1">IFERROR(__xludf.DUMMYFUNCTION("IFNA(vlookup(H4473,IMPORTRANGE(""1vUGwO1n0QQGx9kKbO0_M5gmuhXZ6-LaxQxgrmJnzgP0"",""'TP# look up'!A:C""),3,0),"""")"),"")</f>
        <v/>
      </c>
      <c r="AH4473" s="49" t="str">
        <f t="shared" si="69"/>
        <v/>
      </c>
    </row>
    <row r="4474" spans="8:34" ht="12.75">
      <c r="H4474" s="43"/>
      <c r="AG4474" s="49" t="str">
        <f ca="1">IFERROR(__xludf.DUMMYFUNCTION("IFNA(vlookup(H4474,IMPORTRANGE(""1vUGwO1n0QQGx9kKbO0_M5gmuhXZ6-LaxQxgrmJnzgP0"",""'TP# look up'!A:C""),3,0),"""")"),"")</f>
        <v/>
      </c>
      <c r="AH4474" s="49" t="str">
        <f t="shared" si="69"/>
        <v/>
      </c>
    </row>
    <row r="4475" spans="8:34" ht="12.75">
      <c r="H4475" s="43"/>
      <c r="AG4475" s="49" t="str">
        <f ca="1">IFERROR(__xludf.DUMMYFUNCTION("IFNA(vlookup(H4475,IMPORTRANGE(""1vUGwO1n0QQGx9kKbO0_M5gmuhXZ6-LaxQxgrmJnzgP0"",""'TP# look up'!A:C""),3,0),"""")"),"")</f>
        <v/>
      </c>
      <c r="AH4475" s="49" t="str">
        <f t="shared" si="69"/>
        <v/>
      </c>
    </row>
    <row r="4476" spans="8:34" ht="12.75">
      <c r="H4476" s="43"/>
      <c r="AG4476" s="49" t="str">
        <f ca="1">IFERROR(__xludf.DUMMYFUNCTION("IFNA(vlookup(H4476,IMPORTRANGE(""1vUGwO1n0QQGx9kKbO0_M5gmuhXZ6-LaxQxgrmJnzgP0"",""'TP# look up'!A:C""),3,0),"""")"),"")</f>
        <v/>
      </c>
      <c r="AH4476" s="49" t="str">
        <f t="shared" si="69"/>
        <v/>
      </c>
    </row>
    <row r="4477" spans="8:34" ht="12.75">
      <c r="H4477" s="43"/>
      <c r="AG4477" s="49" t="str">
        <f ca="1">IFERROR(__xludf.DUMMYFUNCTION("IFNA(vlookup(H4477,IMPORTRANGE(""1vUGwO1n0QQGx9kKbO0_M5gmuhXZ6-LaxQxgrmJnzgP0"",""'TP# look up'!A:C""),3,0),"""")"),"")</f>
        <v/>
      </c>
      <c r="AH4477" s="49" t="str">
        <f t="shared" si="69"/>
        <v/>
      </c>
    </row>
    <row r="4478" spans="8:34" ht="12.75">
      <c r="H4478" s="43"/>
      <c r="AG4478" s="49" t="str">
        <f ca="1">IFERROR(__xludf.DUMMYFUNCTION("IFNA(vlookup(H4478,IMPORTRANGE(""1vUGwO1n0QQGx9kKbO0_M5gmuhXZ6-LaxQxgrmJnzgP0"",""'TP# look up'!A:C""),3,0),"""")"),"")</f>
        <v/>
      </c>
      <c r="AH4478" s="49" t="str">
        <f t="shared" si="69"/>
        <v/>
      </c>
    </row>
    <row r="4479" spans="8:34" ht="12.75">
      <c r="H4479" s="43"/>
      <c r="AG4479" s="49" t="str">
        <f ca="1">IFERROR(__xludf.DUMMYFUNCTION("IFNA(vlookup(H4479,IMPORTRANGE(""1vUGwO1n0QQGx9kKbO0_M5gmuhXZ6-LaxQxgrmJnzgP0"",""'TP# look up'!A:C""),3,0),"""")"),"")</f>
        <v/>
      </c>
      <c r="AH4479" s="49" t="str">
        <f t="shared" si="69"/>
        <v/>
      </c>
    </row>
    <row r="4480" spans="8:34" ht="12.75">
      <c r="H4480" s="43"/>
      <c r="AG4480" s="49" t="str">
        <f ca="1">IFERROR(__xludf.DUMMYFUNCTION("IFNA(vlookup(H4480,IMPORTRANGE(""1vUGwO1n0QQGx9kKbO0_M5gmuhXZ6-LaxQxgrmJnzgP0"",""'TP# look up'!A:C""),3,0),"""")"),"")</f>
        <v/>
      </c>
      <c r="AH4480" s="49" t="str">
        <f t="shared" si="69"/>
        <v/>
      </c>
    </row>
    <row r="4481" spans="8:34" ht="12.75">
      <c r="H4481" s="43"/>
      <c r="AG4481" s="49" t="str">
        <f ca="1">IFERROR(__xludf.DUMMYFUNCTION("IFNA(vlookup(H4481,IMPORTRANGE(""1vUGwO1n0QQGx9kKbO0_M5gmuhXZ6-LaxQxgrmJnzgP0"",""'TP# look up'!A:C""),3,0),"""")"),"")</f>
        <v/>
      </c>
      <c r="AH4481" s="49" t="str">
        <f t="shared" si="69"/>
        <v/>
      </c>
    </row>
    <row r="4482" spans="8:34" ht="12.75">
      <c r="H4482" s="43"/>
      <c r="AG4482" s="49" t="str">
        <f ca="1">IFERROR(__xludf.DUMMYFUNCTION("IFNA(vlookup(H4482,IMPORTRANGE(""1vUGwO1n0QQGx9kKbO0_M5gmuhXZ6-LaxQxgrmJnzgP0"",""'TP# look up'!A:C""),3,0),"""")"),"")</f>
        <v/>
      </c>
      <c r="AH4482" s="49" t="str">
        <f t="shared" ref="AH4482:AH4545" si="70">LEFT(J4482,2)</f>
        <v/>
      </c>
    </row>
    <row r="4483" spans="8:34" ht="12.75">
      <c r="H4483" s="43"/>
      <c r="AG4483" s="49" t="str">
        <f ca="1">IFERROR(__xludf.DUMMYFUNCTION("IFNA(vlookup(H4483,IMPORTRANGE(""1vUGwO1n0QQGx9kKbO0_M5gmuhXZ6-LaxQxgrmJnzgP0"",""'TP# look up'!A:C""),3,0),"""")"),"")</f>
        <v/>
      </c>
      <c r="AH4483" s="49" t="str">
        <f t="shared" si="70"/>
        <v/>
      </c>
    </row>
    <row r="4484" spans="8:34" ht="12.75">
      <c r="H4484" s="43"/>
      <c r="AG4484" s="49" t="str">
        <f ca="1">IFERROR(__xludf.DUMMYFUNCTION("IFNA(vlookup(H4484,IMPORTRANGE(""1vUGwO1n0QQGx9kKbO0_M5gmuhXZ6-LaxQxgrmJnzgP0"",""'TP# look up'!A:C""),3,0),"""")"),"")</f>
        <v/>
      </c>
      <c r="AH4484" s="49" t="str">
        <f t="shared" si="70"/>
        <v/>
      </c>
    </row>
    <row r="4485" spans="8:34" ht="12.75">
      <c r="H4485" s="43"/>
      <c r="AG4485" s="49" t="str">
        <f ca="1">IFERROR(__xludf.DUMMYFUNCTION("IFNA(vlookup(H4485,IMPORTRANGE(""1vUGwO1n0QQGx9kKbO0_M5gmuhXZ6-LaxQxgrmJnzgP0"",""'TP# look up'!A:C""),3,0),"""")"),"")</f>
        <v/>
      </c>
      <c r="AH4485" s="49" t="str">
        <f t="shared" si="70"/>
        <v/>
      </c>
    </row>
    <row r="4486" spans="8:34" ht="12.75">
      <c r="H4486" s="43"/>
      <c r="AG4486" s="49" t="str">
        <f ca="1">IFERROR(__xludf.DUMMYFUNCTION("IFNA(vlookup(H4486,IMPORTRANGE(""1vUGwO1n0QQGx9kKbO0_M5gmuhXZ6-LaxQxgrmJnzgP0"",""'TP# look up'!A:C""),3,0),"""")"),"")</f>
        <v/>
      </c>
      <c r="AH4486" s="49" t="str">
        <f t="shared" si="70"/>
        <v/>
      </c>
    </row>
    <row r="4487" spans="8:34" ht="12.75">
      <c r="H4487" s="43"/>
      <c r="AG4487" s="49" t="str">
        <f ca="1">IFERROR(__xludf.DUMMYFUNCTION("IFNA(vlookup(H4487,IMPORTRANGE(""1vUGwO1n0QQGx9kKbO0_M5gmuhXZ6-LaxQxgrmJnzgP0"",""'TP# look up'!A:C""),3,0),"""")"),"")</f>
        <v/>
      </c>
      <c r="AH4487" s="49" t="str">
        <f t="shared" si="70"/>
        <v/>
      </c>
    </row>
    <row r="4488" spans="8:34" ht="12.75">
      <c r="H4488" s="43"/>
      <c r="AG4488" s="49" t="str">
        <f ca="1">IFERROR(__xludf.DUMMYFUNCTION("IFNA(vlookup(H4488,IMPORTRANGE(""1vUGwO1n0QQGx9kKbO0_M5gmuhXZ6-LaxQxgrmJnzgP0"",""'TP# look up'!A:C""),3,0),"""")"),"")</f>
        <v/>
      </c>
      <c r="AH4488" s="49" t="str">
        <f t="shared" si="70"/>
        <v/>
      </c>
    </row>
    <row r="4489" spans="8:34" ht="12.75">
      <c r="H4489" s="43"/>
      <c r="AG4489" s="49" t="str">
        <f ca="1">IFERROR(__xludf.DUMMYFUNCTION("IFNA(vlookup(H4489,IMPORTRANGE(""1vUGwO1n0QQGx9kKbO0_M5gmuhXZ6-LaxQxgrmJnzgP0"",""'TP# look up'!A:C""),3,0),"""")"),"")</f>
        <v/>
      </c>
      <c r="AH4489" s="49" t="str">
        <f t="shared" si="70"/>
        <v/>
      </c>
    </row>
    <row r="4490" spans="8:34" ht="12.75">
      <c r="H4490" s="43"/>
      <c r="AG4490" s="49" t="str">
        <f ca="1">IFERROR(__xludf.DUMMYFUNCTION("IFNA(vlookup(H4490,IMPORTRANGE(""1vUGwO1n0QQGx9kKbO0_M5gmuhXZ6-LaxQxgrmJnzgP0"",""'TP# look up'!A:C""),3,0),"""")"),"")</f>
        <v/>
      </c>
      <c r="AH4490" s="49" t="str">
        <f t="shared" si="70"/>
        <v/>
      </c>
    </row>
    <row r="4491" spans="8:34" ht="12.75">
      <c r="H4491" s="43"/>
      <c r="AG4491" s="49" t="str">
        <f ca="1">IFERROR(__xludf.DUMMYFUNCTION("IFNA(vlookup(H4491,IMPORTRANGE(""1vUGwO1n0QQGx9kKbO0_M5gmuhXZ6-LaxQxgrmJnzgP0"",""'TP# look up'!A:C""),3,0),"""")"),"")</f>
        <v/>
      </c>
      <c r="AH4491" s="49" t="str">
        <f t="shared" si="70"/>
        <v/>
      </c>
    </row>
    <row r="4492" spans="8:34" ht="12.75">
      <c r="H4492" s="43"/>
      <c r="AG4492" s="49" t="str">
        <f ca="1">IFERROR(__xludf.DUMMYFUNCTION("IFNA(vlookup(H4492,IMPORTRANGE(""1vUGwO1n0QQGx9kKbO0_M5gmuhXZ6-LaxQxgrmJnzgP0"",""'TP# look up'!A:C""),3,0),"""")"),"")</f>
        <v/>
      </c>
      <c r="AH4492" s="49" t="str">
        <f t="shared" si="70"/>
        <v/>
      </c>
    </row>
    <row r="4493" spans="8:34" ht="12.75">
      <c r="H4493" s="43"/>
      <c r="AG4493" s="49" t="str">
        <f ca="1">IFERROR(__xludf.DUMMYFUNCTION("IFNA(vlookup(H4493,IMPORTRANGE(""1vUGwO1n0QQGx9kKbO0_M5gmuhXZ6-LaxQxgrmJnzgP0"",""'TP# look up'!A:C""),3,0),"""")"),"")</f>
        <v/>
      </c>
      <c r="AH4493" s="49" t="str">
        <f t="shared" si="70"/>
        <v/>
      </c>
    </row>
    <row r="4494" spans="8:34" ht="12.75">
      <c r="H4494" s="43"/>
      <c r="AG4494" s="49" t="str">
        <f ca="1">IFERROR(__xludf.DUMMYFUNCTION("IFNA(vlookup(H4494,IMPORTRANGE(""1vUGwO1n0QQGx9kKbO0_M5gmuhXZ6-LaxQxgrmJnzgP0"",""'TP# look up'!A:C""),3,0),"""")"),"")</f>
        <v/>
      </c>
      <c r="AH4494" s="49" t="str">
        <f t="shared" si="70"/>
        <v/>
      </c>
    </row>
    <row r="4495" spans="8:34" ht="12.75">
      <c r="H4495" s="43"/>
      <c r="AG4495" s="49" t="str">
        <f ca="1">IFERROR(__xludf.DUMMYFUNCTION("IFNA(vlookup(H4495,IMPORTRANGE(""1vUGwO1n0QQGx9kKbO0_M5gmuhXZ6-LaxQxgrmJnzgP0"",""'TP# look up'!A:C""),3,0),"""")"),"")</f>
        <v/>
      </c>
      <c r="AH4495" s="49" t="str">
        <f t="shared" si="70"/>
        <v/>
      </c>
    </row>
    <row r="4496" spans="8:34" ht="12.75">
      <c r="H4496" s="43"/>
      <c r="AG4496" s="49" t="str">
        <f ca="1">IFERROR(__xludf.DUMMYFUNCTION("IFNA(vlookup(H4496,IMPORTRANGE(""1vUGwO1n0QQGx9kKbO0_M5gmuhXZ6-LaxQxgrmJnzgP0"",""'TP# look up'!A:C""),3,0),"""")"),"")</f>
        <v/>
      </c>
      <c r="AH4496" s="49" t="str">
        <f t="shared" si="70"/>
        <v/>
      </c>
    </row>
    <row r="4497" spans="8:34" ht="12.75">
      <c r="H4497" s="43"/>
      <c r="AG4497" s="49" t="str">
        <f ca="1">IFERROR(__xludf.DUMMYFUNCTION("IFNA(vlookup(H4497,IMPORTRANGE(""1vUGwO1n0QQGx9kKbO0_M5gmuhXZ6-LaxQxgrmJnzgP0"",""'TP# look up'!A:C""),3,0),"""")"),"")</f>
        <v/>
      </c>
      <c r="AH4497" s="49" t="str">
        <f t="shared" si="70"/>
        <v/>
      </c>
    </row>
    <row r="4498" spans="8:34" ht="12.75">
      <c r="H4498" s="43"/>
      <c r="AG4498" s="49" t="str">
        <f ca="1">IFERROR(__xludf.DUMMYFUNCTION("IFNA(vlookup(H4498,IMPORTRANGE(""1vUGwO1n0QQGx9kKbO0_M5gmuhXZ6-LaxQxgrmJnzgP0"",""'TP# look up'!A:C""),3,0),"""")"),"")</f>
        <v/>
      </c>
      <c r="AH4498" s="49" t="str">
        <f t="shared" si="70"/>
        <v/>
      </c>
    </row>
    <row r="4499" spans="8:34" ht="12.75">
      <c r="H4499" s="43"/>
      <c r="AG4499" s="49" t="str">
        <f ca="1">IFERROR(__xludf.DUMMYFUNCTION("IFNA(vlookup(H4499,IMPORTRANGE(""1vUGwO1n0QQGx9kKbO0_M5gmuhXZ6-LaxQxgrmJnzgP0"",""'TP# look up'!A:C""),3,0),"""")"),"")</f>
        <v/>
      </c>
      <c r="AH4499" s="49" t="str">
        <f t="shared" si="70"/>
        <v/>
      </c>
    </row>
    <row r="4500" spans="8:34" ht="12.75">
      <c r="H4500" s="43"/>
      <c r="AG4500" s="49" t="str">
        <f ca="1">IFERROR(__xludf.DUMMYFUNCTION("IFNA(vlookup(H4500,IMPORTRANGE(""1vUGwO1n0QQGx9kKbO0_M5gmuhXZ6-LaxQxgrmJnzgP0"",""'TP# look up'!A:C""),3,0),"""")"),"")</f>
        <v/>
      </c>
      <c r="AH4500" s="49" t="str">
        <f t="shared" si="70"/>
        <v/>
      </c>
    </row>
    <row r="4501" spans="8:34" ht="12.75">
      <c r="H4501" s="43"/>
      <c r="AG4501" s="49" t="str">
        <f ca="1">IFERROR(__xludf.DUMMYFUNCTION("IFNA(vlookup(H4501,IMPORTRANGE(""1vUGwO1n0QQGx9kKbO0_M5gmuhXZ6-LaxQxgrmJnzgP0"",""'TP# look up'!A:C""),3,0),"""")"),"")</f>
        <v/>
      </c>
      <c r="AH4501" s="49" t="str">
        <f t="shared" si="70"/>
        <v/>
      </c>
    </row>
    <row r="4502" spans="8:34" ht="12.75">
      <c r="H4502" s="43"/>
      <c r="AG4502" s="49" t="str">
        <f ca="1">IFERROR(__xludf.DUMMYFUNCTION("IFNA(vlookup(H4502,IMPORTRANGE(""1vUGwO1n0QQGx9kKbO0_M5gmuhXZ6-LaxQxgrmJnzgP0"",""'TP# look up'!A:C""),3,0),"""")"),"")</f>
        <v/>
      </c>
      <c r="AH4502" s="49" t="str">
        <f t="shared" si="70"/>
        <v/>
      </c>
    </row>
    <row r="4503" spans="8:34" ht="12.75">
      <c r="H4503" s="43"/>
      <c r="AG4503" s="49" t="str">
        <f ca="1">IFERROR(__xludf.DUMMYFUNCTION("IFNA(vlookup(H4503,IMPORTRANGE(""1vUGwO1n0QQGx9kKbO0_M5gmuhXZ6-LaxQxgrmJnzgP0"",""'TP# look up'!A:C""),3,0),"""")"),"")</f>
        <v/>
      </c>
      <c r="AH4503" s="49" t="str">
        <f t="shared" si="70"/>
        <v/>
      </c>
    </row>
    <row r="4504" spans="8:34" ht="12.75">
      <c r="H4504" s="43"/>
      <c r="AG4504" s="49" t="str">
        <f ca="1">IFERROR(__xludf.DUMMYFUNCTION("IFNA(vlookup(H4504,IMPORTRANGE(""1vUGwO1n0QQGx9kKbO0_M5gmuhXZ6-LaxQxgrmJnzgP0"",""'TP# look up'!A:C""),3,0),"""")"),"")</f>
        <v/>
      </c>
      <c r="AH4504" s="49" t="str">
        <f t="shared" si="70"/>
        <v/>
      </c>
    </row>
    <row r="4505" spans="8:34" ht="12.75">
      <c r="H4505" s="43"/>
      <c r="AG4505" s="49" t="str">
        <f ca="1">IFERROR(__xludf.DUMMYFUNCTION("IFNA(vlookup(H4505,IMPORTRANGE(""1vUGwO1n0QQGx9kKbO0_M5gmuhXZ6-LaxQxgrmJnzgP0"",""'TP# look up'!A:C""),3,0),"""")"),"")</f>
        <v/>
      </c>
      <c r="AH4505" s="49" t="str">
        <f t="shared" si="70"/>
        <v/>
      </c>
    </row>
    <row r="4506" spans="8:34" ht="12.75">
      <c r="H4506" s="43"/>
      <c r="AG4506" s="49" t="str">
        <f ca="1">IFERROR(__xludf.DUMMYFUNCTION("IFNA(vlookup(H4506,IMPORTRANGE(""1vUGwO1n0QQGx9kKbO0_M5gmuhXZ6-LaxQxgrmJnzgP0"",""'TP# look up'!A:C""),3,0),"""")"),"")</f>
        <v/>
      </c>
      <c r="AH4506" s="49" t="str">
        <f t="shared" si="70"/>
        <v/>
      </c>
    </row>
    <row r="4507" spans="8:34" ht="12.75">
      <c r="H4507" s="43"/>
      <c r="AG4507" s="49" t="str">
        <f ca="1">IFERROR(__xludf.DUMMYFUNCTION("IFNA(vlookup(H4507,IMPORTRANGE(""1vUGwO1n0QQGx9kKbO0_M5gmuhXZ6-LaxQxgrmJnzgP0"",""'TP# look up'!A:C""),3,0),"""")"),"")</f>
        <v/>
      </c>
      <c r="AH4507" s="49" t="str">
        <f t="shared" si="70"/>
        <v/>
      </c>
    </row>
    <row r="4508" spans="8:34" ht="12.75">
      <c r="H4508" s="43"/>
      <c r="AG4508" s="49" t="str">
        <f ca="1">IFERROR(__xludf.DUMMYFUNCTION("IFNA(vlookup(H4508,IMPORTRANGE(""1vUGwO1n0QQGx9kKbO0_M5gmuhXZ6-LaxQxgrmJnzgP0"",""'TP# look up'!A:C""),3,0),"""")"),"")</f>
        <v/>
      </c>
      <c r="AH4508" s="49" t="str">
        <f t="shared" si="70"/>
        <v/>
      </c>
    </row>
    <row r="4509" spans="8:34" ht="12.75">
      <c r="H4509" s="43"/>
      <c r="AG4509" s="49" t="str">
        <f ca="1">IFERROR(__xludf.DUMMYFUNCTION("IFNA(vlookup(H4509,IMPORTRANGE(""1vUGwO1n0QQGx9kKbO0_M5gmuhXZ6-LaxQxgrmJnzgP0"",""'TP# look up'!A:C""),3,0),"""")"),"")</f>
        <v/>
      </c>
      <c r="AH4509" s="49" t="str">
        <f t="shared" si="70"/>
        <v/>
      </c>
    </row>
    <row r="4510" spans="8:34" ht="12.75">
      <c r="H4510" s="43"/>
      <c r="AG4510" s="49" t="str">
        <f ca="1">IFERROR(__xludf.DUMMYFUNCTION("IFNA(vlookup(H4510,IMPORTRANGE(""1vUGwO1n0QQGx9kKbO0_M5gmuhXZ6-LaxQxgrmJnzgP0"",""'TP# look up'!A:C""),3,0),"""")"),"")</f>
        <v/>
      </c>
      <c r="AH4510" s="49" t="str">
        <f t="shared" si="70"/>
        <v/>
      </c>
    </row>
    <row r="4511" spans="8:34" ht="12.75">
      <c r="H4511" s="43"/>
      <c r="AG4511" s="49" t="str">
        <f ca="1">IFERROR(__xludf.DUMMYFUNCTION("IFNA(vlookup(H4511,IMPORTRANGE(""1vUGwO1n0QQGx9kKbO0_M5gmuhXZ6-LaxQxgrmJnzgP0"",""'TP# look up'!A:C""),3,0),"""")"),"")</f>
        <v/>
      </c>
      <c r="AH4511" s="49" t="str">
        <f t="shared" si="70"/>
        <v/>
      </c>
    </row>
    <row r="4512" spans="8:34" ht="12.75">
      <c r="H4512" s="43"/>
      <c r="AG4512" s="49" t="str">
        <f ca="1">IFERROR(__xludf.DUMMYFUNCTION("IFNA(vlookup(H4512,IMPORTRANGE(""1vUGwO1n0QQGx9kKbO0_M5gmuhXZ6-LaxQxgrmJnzgP0"",""'TP# look up'!A:C""),3,0),"""")"),"")</f>
        <v/>
      </c>
      <c r="AH4512" s="49" t="str">
        <f t="shared" si="70"/>
        <v/>
      </c>
    </row>
    <row r="4513" spans="8:34" ht="12.75">
      <c r="H4513" s="43"/>
      <c r="AG4513" s="49" t="str">
        <f ca="1">IFERROR(__xludf.DUMMYFUNCTION("IFNA(vlookup(H4513,IMPORTRANGE(""1vUGwO1n0QQGx9kKbO0_M5gmuhXZ6-LaxQxgrmJnzgP0"",""'TP# look up'!A:C""),3,0),"""")"),"")</f>
        <v/>
      </c>
      <c r="AH4513" s="49" t="str">
        <f t="shared" si="70"/>
        <v/>
      </c>
    </row>
    <row r="4514" spans="8:34" ht="12.75">
      <c r="H4514" s="43"/>
      <c r="AG4514" s="49" t="str">
        <f ca="1">IFERROR(__xludf.DUMMYFUNCTION("IFNA(vlookup(H4514,IMPORTRANGE(""1vUGwO1n0QQGx9kKbO0_M5gmuhXZ6-LaxQxgrmJnzgP0"",""'TP# look up'!A:C""),3,0),"""")"),"")</f>
        <v/>
      </c>
      <c r="AH4514" s="49" t="str">
        <f t="shared" si="70"/>
        <v/>
      </c>
    </row>
    <row r="4515" spans="8:34" ht="12.75">
      <c r="H4515" s="43"/>
      <c r="AG4515" s="49" t="str">
        <f ca="1">IFERROR(__xludf.DUMMYFUNCTION("IFNA(vlookup(H4515,IMPORTRANGE(""1vUGwO1n0QQGx9kKbO0_M5gmuhXZ6-LaxQxgrmJnzgP0"",""'TP# look up'!A:C""),3,0),"""")"),"")</f>
        <v/>
      </c>
      <c r="AH4515" s="49" t="str">
        <f t="shared" si="70"/>
        <v/>
      </c>
    </row>
    <row r="4516" spans="8:34" ht="12.75">
      <c r="H4516" s="43"/>
      <c r="AG4516" s="49" t="str">
        <f ca="1">IFERROR(__xludf.DUMMYFUNCTION("IFNA(vlookup(H4516,IMPORTRANGE(""1vUGwO1n0QQGx9kKbO0_M5gmuhXZ6-LaxQxgrmJnzgP0"",""'TP# look up'!A:C""),3,0),"""")"),"")</f>
        <v/>
      </c>
      <c r="AH4516" s="49" t="str">
        <f t="shared" si="70"/>
        <v/>
      </c>
    </row>
    <row r="4517" spans="8:34" ht="12.75">
      <c r="H4517" s="43"/>
      <c r="AG4517" s="49" t="str">
        <f ca="1">IFERROR(__xludf.DUMMYFUNCTION("IFNA(vlookup(H4517,IMPORTRANGE(""1vUGwO1n0QQGx9kKbO0_M5gmuhXZ6-LaxQxgrmJnzgP0"",""'TP# look up'!A:C""),3,0),"""")"),"")</f>
        <v/>
      </c>
      <c r="AH4517" s="49" t="str">
        <f t="shared" si="70"/>
        <v/>
      </c>
    </row>
    <row r="4518" spans="8:34" ht="12.75">
      <c r="H4518" s="43"/>
      <c r="AG4518" s="49" t="str">
        <f ca="1">IFERROR(__xludf.DUMMYFUNCTION("IFNA(vlookup(H4518,IMPORTRANGE(""1vUGwO1n0QQGx9kKbO0_M5gmuhXZ6-LaxQxgrmJnzgP0"",""'TP# look up'!A:C""),3,0),"""")"),"")</f>
        <v/>
      </c>
      <c r="AH4518" s="49" t="str">
        <f t="shared" si="70"/>
        <v/>
      </c>
    </row>
    <row r="4519" spans="8:34" ht="12.75">
      <c r="H4519" s="43"/>
      <c r="AG4519" s="49" t="str">
        <f ca="1">IFERROR(__xludf.DUMMYFUNCTION("IFNA(vlookup(H4519,IMPORTRANGE(""1vUGwO1n0QQGx9kKbO0_M5gmuhXZ6-LaxQxgrmJnzgP0"",""'TP# look up'!A:C""),3,0),"""")"),"")</f>
        <v/>
      </c>
      <c r="AH4519" s="49" t="str">
        <f t="shared" si="70"/>
        <v/>
      </c>
    </row>
    <row r="4520" spans="8:34" ht="12.75">
      <c r="H4520" s="43"/>
      <c r="AG4520" s="49" t="str">
        <f ca="1">IFERROR(__xludf.DUMMYFUNCTION("IFNA(vlookup(H4520,IMPORTRANGE(""1vUGwO1n0QQGx9kKbO0_M5gmuhXZ6-LaxQxgrmJnzgP0"",""'TP# look up'!A:C""),3,0),"""")"),"")</f>
        <v/>
      </c>
      <c r="AH4520" s="49" t="str">
        <f t="shared" si="70"/>
        <v/>
      </c>
    </row>
    <row r="4521" spans="8:34" ht="12.75">
      <c r="H4521" s="43"/>
      <c r="AG4521" s="49" t="str">
        <f ca="1">IFERROR(__xludf.DUMMYFUNCTION("IFNA(vlookup(H4521,IMPORTRANGE(""1vUGwO1n0QQGx9kKbO0_M5gmuhXZ6-LaxQxgrmJnzgP0"",""'TP# look up'!A:C""),3,0),"""")"),"")</f>
        <v/>
      </c>
      <c r="AH4521" s="49" t="str">
        <f t="shared" si="70"/>
        <v/>
      </c>
    </row>
    <row r="4522" spans="8:34" ht="12.75">
      <c r="H4522" s="43"/>
      <c r="AG4522" s="49" t="str">
        <f ca="1">IFERROR(__xludf.DUMMYFUNCTION("IFNA(vlookup(H4522,IMPORTRANGE(""1vUGwO1n0QQGx9kKbO0_M5gmuhXZ6-LaxQxgrmJnzgP0"",""'TP# look up'!A:C""),3,0),"""")"),"")</f>
        <v/>
      </c>
      <c r="AH4522" s="49" t="str">
        <f t="shared" si="70"/>
        <v/>
      </c>
    </row>
    <row r="4523" spans="8:34" ht="12.75">
      <c r="H4523" s="43"/>
      <c r="AG4523" s="49" t="str">
        <f ca="1">IFERROR(__xludf.DUMMYFUNCTION("IFNA(vlookup(H4523,IMPORTRANGE(""1vUGwO1n0QQGx9kKbO0_M5gmuhXZ6-LaxQxgrmJnzgP0"",""'TP# look up'!A:C""),3,0),"""")"),"")</f>
        <v/>
      </c>
      <c r="AH4523" s="49" t="str">
        <f t="shared" si="70"/>
        <v/>
      </c>
    </row>
    <row r="4524" spans="8:34" ht="12.75">
      <c r="H4524" s="43"/>
      <c r="AG4524" s="49" t="str">
        <f ca="1">IFERROR(__xludf.DUMMYFUNCTION("IFNA(vlookup(H4524,IMPORTRANGE(""1vUGwO1n0QQGx9kKbO0_M5gmuhXZ6-LaxQxgrmJnzgP0"",""'TP# look up'!A:C""),3,0),"""")"),"")</f>
        <v/>
      </c>
      <c r="AH4524" s="49" t="str">
        <f t="shared" si="70"/>
        <v/>
      </c>
    </row>
    <row r="4525" spans="8:34" ht="12.75">
      <c r="H4525" s="43"/>
      <c r="AG4525" s="49" t="str">
        <f ca="1">IFERROR(__xludf.DUMMYFUNCTION("IFNA(vlookup(H4525,IMPORTRANGE(""1vUGwO1n0QQGx9kKbO0_M5gmuhXZ6-LaxQxgrmJnzgP0"",""'TP# look up'!A:C""),3,0),"""")"),"")</f>
        <v/>
      </c>
      <c r="AH4525" s="49" t="str">
        <f t="shared" si="70"/>
        <v/>
      </c>
    </row>
    <row r="4526" spans="8:34" ht="12.75">
      <c r="H4526" s="43"/>
      <c r="AG4526" s="49" t="str">
        <f ca="1">IFERROR(__xludf.DUMMYFUNCTION("IFNA(vlookup(H4526,IMPORTRANGE(""1vUGwO1n0QQGx9kKbO0_M5gmuhXZ6-LaxQxgrmJnzgP0"",""'TP# look up'!A:C""),3,0),"""")"),"")</f>
        <v/>
      </c>
      <c r="AH4526" s="49" t="str">
        <f t="shared" si="70"/>
        <v/>
      </c>
    </row>
    <row r="4527" spans="8:34" ht="12.75">
      <c r="H4527" s="43"/>
      <c r="AG4527" s="49" t="str">
        <f ca="1">IFERROR(__xludf.DUMMYFUNCTION("IFNA(vlookup(H4527,IMPORTRANGE(""1vUGwO1n0QQGx9kKbO0_M5gmuhXZ6-LaxQxgrmJnzgP0"",""'TP# look up'!A:C""),3,0),"""")"),"")</f>
        <v/>
      </c>
      <c r="AH4527" s="49" t="str">
        <f t="shared" si="70"/>
        <v/>
      </c>
    </row>
    <row r="4528" spans="8:34" ht="12.75">
      <c r="H4528" s="43"/>
      <c r="AG4528" s="49" t="str">
        <f ca="1">IFERROR(__xludf.DUMMYFUNCTION("IFNA(vlookup(H4528,IMPORTRANGE(""1vUGwO1n0QQGx9kKbO0_M5gmuhXZ6-LaxQxgrmJnzgP0"",""'TP# look up'!A:C""),3,0),"""")"),"")</f>
        <v/>
      </c>
      <c r="AH4528" s="49" t="str">
        <f t="shared" si="70"/>
        <v/>
      </c>
    </row>
    <row r="4529" spans="8:34" ht="12.75">
      <c r="H4529" s="43"/>
      <c r="AG4529" s="49" t="str">
        <f ca="1">IFERROR(__xludf.DUMMYFUNCTION("IFNA(vlookup(H4529,IMPORTRANGE(""1vUGwO1n0QQGx9kKbO0_M5gmuhXZ6-LaxQxgrmJnzgP0"",""'TP# look up'!A:C""),3,0),"""")"),"")</f>
        <v/>
      </c>
      <c r="AH4529" s="49" t="str">
        <f t="shared" si="70"/>
        <v/>
      </c>
    </row>
    <row r="4530" spans="8:34" ht="12.75">
      <c r="H4530" s="43"/>
      <c r="AG4530" s="49" t="str">
        <f ca="1">IFERROR(__xludf.DUMMYFUNCTION("IFNA(vlookup(H4530,IMPORTRANGE(""1vUGwO1n0QQGx9kKbO0_M5gmuhXZ6-LaxQxgrmJnzgP0"",""'TP# look up'!A:C""),3,0),"""")"),"")</f>
        <v/>
      </c>
      <c r="AH4530" s="49" t="str">
        <f t="shared" si="70"/>
        <v/>
      </c>
    </row>
    <row r="4531" spans="8:34" ht="12.75">
      <c r="H4531" s="43"/>
      <c r="AG4531" s="49" t="str">
        <f ca="1">IFERROR(__xludf.DUMMYFUNCTION("IFNA(vlookup(H4531,IMPORTRANGE(""1vUGwO1n0QQGx9kKbO0_M5gmuhXZ6-LaxQxgrmJnzgP0"",""'TP# look up'!A:C""),3,0),"""")"),"")</f>
        <v/>
      </c>
      <c r="AH4531" s="49" t="str">
        <f t="shared" si="70"/>
        <v/>
      </c>
    </row>
    <row r="4532" spans="8:34" ht="12.75">
      <c r="H4532" s="43"/>
      <c r="AG4532" s="49" t="str">
        <f ca="1">IFERROR(__xludf.DUMMYFUNCTION("IFNA(vlookup(H4532,IMPORTRANGE(""1vUGwO1n0QQGx9kKbO0_M5gmuhXZ6-LaxQxgrmJnzgP0"",""'TP# look up'!A:C""),3,0),"""")"),"")</f>
        <v/>
      </c>
      <c r="AH4532" s="49" t="str">
        <f t="shared" si="70"/>
        <v/>
      </c>
    </row>
    <row r="4533" spans="8:34" ht="12.75">
      <c r="H4533" s="43"/>
      <c r="AG4533" s="49" t="str">
        <f ca="1">IFERROR(__xludf.DUMMYFUNCTION("IFNA(vlookup(H4533,IMPORTRANGE(""1vUGwO1n0QQGx9kKbO0_M5gmuhXZ6-LaxQxgrmJnzgP0"",""'TP# look up'!A:C""),3,0),"""")"),"")</f>
        <v/>
      </c>
      <c r="AH4533" s="49" t="str">
        <f t="shared" si="70"/>
        <v/>
      </c>
    </row>
    <row r="4534" spans="8:34" ht="12.75">
      <c r="H4534" s="43"/>
      <c r="AG4534" s="49" t="str">
        <f ca="1">IFERROR(__xludf.DUMMYFUNCTION("IFNA(vlookup(H4534,IMPORTRANGE(""1vUGwO1n0QQGx9kKbO0_M5gmuhXZ6-LaxQxgrmJnzgP0"",""'TP# look up'!A:C""),3,0),"""")"),"")</f>
        <v/>
      </c>
      <c r="AH4534" s="49" t="str">
        <f t="shared" si="70"/>
        <v/>
      </c>
    </row>
    <row r="4535" spans="8:34" ht="12.75">
      <c r="H4535" s="43"/>
      <c r="AG4535" s="49" t="str">
        <f ca="1">IFERROR(__xludf.DUMMYFUNCTION("IFNA(vlookup(H4535,IMPORTRANGE(""1vUGwO1n0QQGx9kKbO0_M5gmuhXZ6-LaxQxgrmJnzgP0"",""'TP# look up'!A:C""),3,0),"""")"),"")</f>
        <v/>
      </c>
      <c r="AH4535" s="49" t="str">
        <f t="shared" si="70"/>
        <v/>
      </c>
    </row>
    <row r="4536" spans="8:34" ht="12.75">
      <c r="H4536" s="43"/>
      <c r="AG4536" s="49" t="str">
        <f ca="1">IFERROR(__xludf.DUMMYFUNCTION("IFNA(vlookup(H4536,IMPORTRANGE(""1vUGwO1n0QQGx9kKbO0_M5gmuhXZ6-LaxQxgrmJnzgP0"",""'TP# look up'!A:C""),3,0),"""")"),"")</f>
        <v/>
      </c>
      <c r="AH4536" s="49" t="str">
        <f t="shared" si="70"/>
        <v/>
      </c>
    </row>
    <row r="4537" spans="8:34" ht="12.75">
      <c r="H4537" s="43"/>
      <c r="AG4537" s="49" t="str">
        <f ca="1">IFERROR(__xludf.DUMMYFUNCTION("IFNA(vlookup(H4537,IMPORTRANGE(""1vUGwO1n0QQGx9kKbO0_M5gmuhXZ6-LaxQxgrmJnzgP0"",""'TP# look up'!A:C""),3,0),"""")"),"")</f>
        <v/>
      </c>
      <c r="AH4537" s="49" t="str">
        <f t="shared" si="70"/>
        <v/>
      </c>
    </row>
    <row r="4538" spans="8:34" ht="12.75">
      <c r="H4538" s="43"/>
      <c r="AG4538" s="49" t="str">
        <f ca="1">IFERROR(__xludf.DUMMYFUNCTION("IFNA(vlookup(H4538,IMPORTRANGE(""1vUGwO1n0QQGx9kKbO0_M5gmuhXZ6-LaxQxgrmJnzgP0"",""'TP# look up'!A:C""),3,0),"""")"),"")</f>
        <v/>
      </c>
      <c r="AH4538" s="49" t="str">
        <f t="shared" si="70"/>
        <v/>
      </c>
    </row>
    <row r="4539" spans="8:34" ht="12.75">
      <c r="H4539" s="43"/>
      <c r="AG4539" s="49" t="str">
        <f ca="1">IFERROR(__xludf.DUMMYFUNCTION("IFNA(vlookup(H4539,IMPORTRANGE(""1vUGwO1n0QQGx9kKbO0_M5gmuhXZ6-LaxQxgrmJnzgP0"",""'TP# look up'!A:C""),3,0),"""")"),"")</f>
        <v/>
      </c>
      <c r="AH4539" s="49" t="str">
        <f t="shared" si="70"/>
        <v/>
      </c>
    </row>
    <row r="4540" spans="8:34" ht="12.75">
      <c r="H4540" s="43"/>
      <c r="AG4540" s="49" t="str">
        <f ca="1">IFERROR(__xludf.DUMMYFUNCTION("IFNA(vlookup(H4540,IMPORTRANGE(""1vUGwO1n0QQGx9kKbO0_M5gmuhXZ6-LaxQxgrmJnzgP0"",""'TP# look up'!A:C""),3,0),"""")"),"")</f>
        <v/>
      </c>
      <c r="AH4540" s="49" t="str">
        <f t="shared" si="70"/>
        <v/>
      </c>
    </row>
    <row r="4541" spans="8:34" ht="12.75">
      <c r="H4541" s="43"/>
      <c r="AG4541" s="49" t="str">
        <f ca="1">IFERROR(__xludf.DUMMYFUNCTION("IFNA(vlookup(H4541,IMPORTRANGE(""1vUGwO1n0QQGx9kKbO0_M5gmuhXZ6-LaxQxgrmJnzgP0"",""'TP# look up'!A:C""),3,0),"""")"),"")</f>
        <v/>
      </c>
      <c r="AH4541" s="49" t="str">
        <f t="shared" si="70"/>
        <v/>
      </c>
    </row>
    <row r="4542" spans="8:34" ht="12.75">
      <c r="H4542" s="43"/>
      <c r="AG4542" s="49" t="str">
        <f ca="1">IFERROR(__xludf.DUMMYFUNCTION("IFNA(vlookup(H4542,IMPORTRANGE(""1vUGwO1n0QQGx9kKbO0_M5gmuhXZ6-LaxQxgrmJnzgP0"",""'TP# look up'!A:C""),3,0),"""")"),"")</f>
        <v/>
      </c>
      <c r="AH4542" s="49" t="str">
        <f t="shared" si="70"/>
        <v/>
      </c>
    </row>
    <row r="4543" spans="8:34" ht="12.75">
      <c r="H4543" s="43"/>
      <c r="AG4543" s="49" t="str">
        <f ca="1">IFERROR(__xludf.DUMMYFUNCTION("IFNA(vlookup(H4543,IMPORTRANGE(""1vUGwO1n0QQGx9kKbO0_M5gmuhXZ6-LaxQxgrmJnzgP0"",""'TP# look up'!A:C""),3,0),"""")"),"")</f>
        <v/>
      </c>
      <c r="AH4543" s="49" t="str">
        <f t="shared" si="70"/>
        <v/>
      </c>
    </row>
    <row r="4544" spans="8:34" ht="12.75">
      <c r="H4544" s="43"/>
      <c r="AG4544" s="49" t="str">
        <f ca="1">IFERROR(__xludf.DUMMYFUNCTION("IFNA(vlookup(H4544,IMPORTRANGE(""1vUGwO1n0QQGx9kKbO0_M5gmuhXZ6-LaxQxgrmJnzgP0"",""'TP# look up'!A:C""),3,0),"""")"),"")</f>
        <v/>
      </c>
      <c r="AH4544" s="49" t="str">
        <f t="shared" si="70"/>
        <v/>
      </c>
    </row>
    <row r="4545" spans="8:34" ht="12.75">
      <c r="H4545" s="43"/>
      <c r="AG4545" s="49" t="str">
        <f ca="1">IFERROR(__xludf.DUMMYFUNCTION("IFNA(vlookup(H4545,IMPORTRANGE(""1vUGwO1n0QQGx9kKbO0_M5gmuhXZ6-LaxQxgrmJnzgP0"",""'TP# look up'!A:C""),3,0),"""")"),"")</f>
        <v/>
      </c>
      <c r="AH4545" s="49" t="str">
        <f t="shared" si="70"/>
        <v/>
      </c>
    </row>
    <row r="4546" spans="8:34" ht="12.75">
      <c r="H4546" s="43"/>
      <c r="AG4546" s="49" t="str">
        <f ca="1">IFERROR(__xludf.DUMMYFUNCTION("IFNA(vlookup(H4546,IMPORTRANGE(""1vUGwO1n0QQGx9kKbO0_M5gmuhXZ6-LaxQxgrmJnzgP0"",""'TP# look up'!A:C""),3,0),"""")"),"")</f>
        <v/>
      </c>
      <c r="AH4546" s="49" t="str">
        <f t="shared" ref="AH4546:AH4609" si="71">LEFT(J4546,2)</f>
        <v/>
      </c>
    </row>
    <row r="4547" spans="8:34" ht="12.75">
      <c r="H4547" s="43"/>
      <c r="AG4547" s="49" t="str">
        <f ca="1">IFERROR(__xludf.DUMMYFUNCTION("IFNA(vlookup(H4547,IMPORTRANGE(""1vUGwO1n0QQGx9kKbO0_M5gmuhXZ6-LaxQxgrmJnzgP0"",""'TP# look up'!A:C""),3,0),"""")"),"")</f>
        <v/>
      </c>
      <c r="AH4547" s="49" t="str">
        <f t="shared" si="71"/>
        <v/>
      </c>
    </row>
    <row r="4548" spans="8:34" ht="12.75">
      <c r="H4548" s="43"/>
      <c r="AG4548" s="49" t="str">
        <f ca="1">IFERROR(__xludf.DUMMYFUNCTION("IFNA(vlookup(H4548,IMPORTRANGE(""1vUGwO1n0QQGx9kKbO0_M5gmuhXZ6-LaxQxgrmJnzgP0"",""'TP# look up'!A:C""),3,0),"""")"),"")</f>
        <v/>
      </c>
      <c r="AH4548" s="49" t="str">
        <f t="shared" si="71"/>
        <v/>
      </c>
    </row>
    <row r="4549" spans="8:34" ht="12.75">
      <c r="H4549" s="43"/>
      <c r="AG4549" s="49" t="str">
        <f ca="1">IFERROR(__xludf.DUMMYFUNCTION("IFNA(vlookup(H4549,IMPORTRANGE(""1vUGwO1n0QQGx9kKbO0_M5gmuhXZ6-LaxQxgrmJnzgP0"",""'TP# look up'!A:C""),3,0),"""")"),"")</f>
        <v/>
      </c>
      <c r="AH4549" s="49" t="str">
        <f t="shared" si="71"/>
        <v/>
      </c>
    </row>
    <row r="4550" spans="8:34" ht="12.75">
      <c r="H4550" s="43"/>
      <c r="AG4550" s="49" t="str">
        <f ca="1">IFERROR(__xludf.DUMMYFUNCTION("IFNA(vlookup(H4550,IMPORTRANGE(""1vUGwO1n0QQGx9kKbO0_M5gmuhXZ6-LaxQxgrmJnzgP0"",""'TP# look up'!A:C""),3,0),"""")"),"")</f>
        <v/>
      </c>
      <c r="AH4550" s="49" t="str">
        <f t="shared" si="71"/>
        <v/>
      </c>
    </row>
    <row r="4551" spans="8:34" ht="12.75">
      <c r="H4551" s="43"/>
      <c r="AG4551" s="49" t="str">
        <f ca="1">IFERROR(__xludf.DUMMYFUNCTION("IFNA(vlookup(H4551,IMPORTRANGE(""1vUGwO1n0QQGx9kKbO0_M5gmuhXZ6-LaxQxgrmJnzgP0"",""'TP# look up'!A:C""),3,0),"""")"),"")</f>
        <v/>
      </c>
      <c r="AH4551" s="49" t="str">
        <f t="shared" si="71"/>
        <v/>
      </c>
    </row>
    <row r="4552" spans="8:34" ht="12.75">
      <c r="H4552" s="43"/>
      <c r="AG4552" s="49" t="str">
        <f ca="1">IFERROR(__xludf.DUMMYFUNCTION("IFNA(vlookup(H4552,IMPORTRANGE(""1vUGwO1n0QQGx9kKbO0_M5gmuhXZ6-LaxQxgrmJnzgP0"",""'TP# look up'!A:C""),3,0),"""")"),"")</f>
        <v/>
      </c>
      <c r="AH4552" s="49" t="str">
        <f t="shared" si="71"/>
        <v/>
      </c>
    </row>
    <row r="4553" spans="8:34" ht="12.75">
      <c r="H4553" s="43"/>
      <c r="AG4553" s="49" t="str">
        <f ca="1">IFERROR(__xludf.DUMMYFUNCTION("IFNA(vlookup(H4553,IMPORTRANGE(""1vUGwO1n0QQGx9kKbO0_M5gmuhXZ6-LaxQxgrmJnzgP0"",""'TP# look up'!A:C""),3,0),"""")"),"")</f>
        <v/>
      </c>
      <c r="AH4553" s="49" t="str">
        <f t="shared" si="71"/>
        <v/>
      </c>
    </row>
    <row r="4554" spans="8:34" ht="12.75">
      <c r="H4554" s="43"/>
      <c r="AG4554" s="49" t="str">
        <f ca="1">IFERROR(__xludf.DUMMYFUNCTION("IFNA(vlookup(H4554,IMPORTRANGE(""1vUGwO1n0QQGx9kKbO0_M5gmuhXZ6-LaxQxgrmJnzgP0"",""'TP# look up'!A:C""),3,0),"""")"),"")</f>
        <v/>
      </c>
      <c r="AH4554" s="49" t="str">
        <f t="shared" si="71"/>
        <v/>
      </c>
    </row>
    <row r="4555" spans="8:34" ht="12.75">
      <c r="H4555" s="43"/>
      <c r="AG4555" s="49" t="str">
        <f ca="1">IFERROR(__xludf.DUMMYFUNCTION("IFNA(vlookup(H4555,IMPORTRANGE(""1vUGwO1n0QQGx9kKbO0_M5gmuhXZ6-LaxQxgrmJnzgP0"",""'TP# look up'!A:C""),3,0),"""")"),"")</f>
        <v/>
      </c>
      <c r="AH4555" s="49" t="str">
        <f t="shared" si="71"/>
        <v/>
      </c>
    </row>
    <row r="4556" spans="8:34" ht="12.75">
      <c r="H4556" s="43"/>
      <c r="AG4556" s="49" t="str">
        <f ca="1">IFERROR(__xludf.DUMMYFUNCTION("IFNA(vlookup(H4556,IMPORTRANGE(""1vUGwO1n0QQGx9kKbO0_M5gmuhXZ6-LaxQxgrmJnzgP0"",""'TP# look up'!A:C""),3,0),"""")"),"")</f>
        <v/>
      </c>
      <c r="AH4556" s="49" t="str">
        <f t="shared" si="71"/>
        <v/>
      </c>
    </row>
    <row r="4557" spans="8:34" ht="12.75">
      <c r="H4557" s="43"/>
      <c r="AG4557" s="49" t="str">
        <f ca="1">IFERROR(__xludf.DUMMYFUNCTION("IFNA(vlookup(H4557,IMPORTRANGE(""1vUGwO1n0QQGx9kKbO0_M5gmuhXZ6-LaxQxgrmJnzgP0"",""'TP# look up'!A:C""),3,0),"""")"),"")</f>
        <v/>
      </c>
      <c r="AH4557" s="49" t="str">
        <f t="shared" si="71"/>
        <v/>
      </c>
    </row>
    <row r="4558" spans="8:34" ht="12.75">
      <c r="H4558" s="43"/>
      <c r="AG4558" s="49" t="str">
        <f ca="1">IFERROR(__xludf.DUMMYFUNCTION("IFNA(vlookup(H4558,IMPORTRANGE(""1vUGwO1n0QQGx9kKbO0_M5gmuhXZ6-LaxQxgrmJnzgP0"",""'TP# look up'!A:C""),3,0),"""")"),"")</f>
        <v/>
      </c>
      <c r="AH4558" s="49" t="str">
        <f t="shared" si="71"/>
        <v/>
      </c>
    </row>
    <row r="4559" spans="8:34" ht="12.75">
      <c r="H4559" s="43"/>
      <c r="AG4559" s="49" t="str">
        <f ca="1">IFERROR(__xludf.DUMMYFUNCTION("IFNA(vlookup(H4559,IMPORTRANGE(""1vUGwO1n0QQGx9kKbO0_M5gmuhXZ6-LaxQxgrmJnzgP0"",""'TP# look up'!A:C""),3,0),"""")"),"")</f>
        <v/>
      </c>
      <c r="AH4559" s="49" t="str">
        <f t="shared" si="71"/>
        <v/>
      </c>
    </row>
    <row r="4560" spans="8:34" ht="12.75">
      <c r="H4560" s="43"/>
      <c r="AG4560" s="49" t="str">
        <f ca="1">IFERROR(__xludf.DUMMYFUNCTION("IFNA(vlookup(H4560,IMPORTRANGE(""1vUGwO1n0QQGx9kKbO0_M5gmuhXZ6-LaxQxgrmJnzgP0"",""'TP# look up'!A:C""),3,0),"""")"),"")</f>
        <v/>
      </c>
      <c r="AH4560" s="49" t="str">
        <f t="shared" si="71"/>
        <v/>
      </c>
    </row>
    <row r="4561" spans="8:34" ht="12.75">
      <c r="H4561" s="43"/>
      <c r="AG4561" s="49" t="str">
        <f ca="1">IFERROR(__xludf.DUMMYFUNCTION("IFNA(vlookup(H4561,IMPORTRANGE(""1vUGwO1n0QQGx9kKbO0_M5gmuhXZ6-LaxQxgrmJnzgP0"",""'TP# look up'!A:C""),3,0),"""")"),"")</f>
        <v/>
      </c>
      <c r="AH4561" s="49" t="str">
        <f t="shared" si="71"/>
        <v/>
      </c>
    </row>
    <row r="4562" spans="8:34" ht="12.75">
      <c r="H4562" s="43"/>
      <c r="AG4562" s="49" t="str">
        <f ca="1">IFERROR(__xludf.DUMMYFUNCTION("IFNA(vlookup(H4562,IMPORTRANGE(""1vUGwO1n0QQGx9kKbO0_M5gmuhXZ6-LaxQxgrmJnzgP0"",""'TP# look up'!A:C""),3,0),"""")"),"")</f>
        <v/>
      </c>
      <c r="AH4562" s="49" t="str">
        <f t="shared" si="71"/>
        <v/>
      </c>
    </row>
    <row r="4563" spans="8:34" ht="12.75">
      <c r="H4563" s="43"/>
      <c r="AG4563" s="49" t="str">
        <f ca="1">IFERROR(__xludf.DUMMYFUNCTION("IFNA(vlookup(H4563,IMPORTRANGE(""1vUGwO1n0QQGx9kKbO0_M5gmuhXZ6-LaxQxgrmJnzgP0"",""'TP# look up'!A:C""),3,0),"""")"),"")</f>
        <v/>
      </c>
      <c r="AH4563" s="49" t="str">
        <f t="shared" si="71"/>
        <v/>
      </c>
    </row>
    <row r="4564" spans="8:34" ht="12.75">
      <c r="H4564" s="43"/>
      <c r="AG4564" s="49" t="str">
        <f ca="1">IFERROR(__xludf.DUMMYFUNCTION("IFNA(vlookup(H4564,IMPORTRANGE(""1vUGwO1n0QQGx9kKbO0_M5gmuhXZ6-LaxQxgrmJnzgP0"",""'TP# look up'!A:C""),3,0),"""")"),"")</f>
        <v/>
      </c>
      <c r="AH4564" s="49" t="str">
        <f t="shared" si="71"/>
        <v/>
      </c>
    </row>
    <row r="4565" spans="8:34" ht="12.75">
      <c r="H4565" s="43"/>
      <c r="AG4565" s="49" t="str">
        <f ca="1">IFERROR(__xludf.DUMMYFUNCTION("IFNA(vlookup(H4565,IMPORTRANGE(""1vUGwO1n0QQGx9kKbO0_M5gmuhXZ6-LaxQxgrmJnzgP0"",""'TP# look up'!A:C""),3,0),"""")"),"")</f>
        <v/>
      </c>
      <c r="AH4565" s="49" t="str">
        <f t="shared" si="71"/>
        <v/>
      </c>
    </row>
    <row r="4566" spans="8:34" ht="12.75">
      <c r="H4566" s="43"/>
      <c r="AG4566" s="49" t="str">
        <f ca="1">IFERROR(__xludf.DUMMYFUNCTION("IFNA(vlookup(H4566,IMPORTRANGE(""1vUGwO1n0QQGx9kKbO0_M5gmuhXZ6-LaxQxgrmJnzgP0"",""'TP# look up'!A:C""),3,0),"""")"),"")</f>
        <v/>
      </c>
      <c r="AH4566" s="49" t="str">
        <f t="shared" si="71"/>
        <v/>
      </c>
    </row>
    <row r="4567" spans="8:34" ht="12.75">
      <c r="H4567" s="43"/>
      <c r="AG4567" s="49" t="str">
        <f ca="1">IFERROR(__xludf.DUMMYFUNCTION("IFNA(vlookup(H4567,IMPORTRANGE(""1vUGwO1n0QQGx9kKbO0_M5gmuhXZ6-LaxQxgrmJnzgP0"",""'TP# look up'!A:C""),3,0),"""")"),"")</f>
        <v/>
      </c>
      <c r="AH4567" s="49" t="str">
        <f t="shared" si="71"/>
        <v/>
      </c>
    </row>
    <row r="4568" spans="8:34" ht="12.75">
      <c r="H4568" s="43"/>
      <c r="AG4568" s="49" t="str">
        <f ca="1">IFERROR(__xludf.DUMMYFUNCTION("IFNA(vlookup(H4568,IMPORTRANGE(""1vUGwO1n0QQGx9kKbO0_M5gmuhXZ6-LaxQxgrmJnzgP0"",""'TP# look up'!A:C""),3,0),"""")"),"")</f>
        <v/>
      </c>
      <c r="AH4568" s="49" t="str">
        <f t="shared" si="71"/>
        <v/>
      </c>
    </row>
    <row r="4569" spans="8:34" ht="12.75">
      <c r="H4569" s="43"/>
      <c r="AG4569" s="49" t="str">
        <f ca="1">IFERROR(__xludf.DUMMYFUNCTION("IFNA(vlookup(H4569,IMPORTRANGE(""1vUGwO1n0QQGx9kKbO0_M5gmuhXZ6-LaxQxgrmJnzgP0"",""'TP# look up'!A:C""),3,0),"""")"),"")</f>
        <v/>
      </c>
      <c r="AH4569" s="49" t="str">
        <f t="shared" si="71"/>
        <v/>
      </c>
    </row>
    <row r="4570" spans="8:34" ht="12.75">
      <c r="H4570" s="43"/>
      <c r="AG4570" s="49" t="str">
        <f ca="1">IFERROR(__xludf.DUMMYFUNCTION("IFNA(vlookup(H4570,IMPORTRANGE(""1vUGwO1n0QQGx9kKbO0_M5gmuhXZ6-LaxQxgrmJnzgP0"",""'TP# look up'!A:C""),3,0),"""")"),"")</f>
        <v/>
      </c>
      <c r="AH4570" s="49" t="str">
        <f t="shared" si="71"/>
        <v/>
      </c>
    </row>
    <row r="4571" spans="8:34" ht="12.75">
      <c r="H4571" s="43"/>
      <c r="AG4571" s="49" t="str">
        <f ca="1">IFERROR(__xludf.DUMMYFUNCTION("IFNA(vlookup(H4571,IMPORTRANGE(""1vUGwO1n0QQGx9kKbO0_M5gmuhXZ6-LaxQxgrmJnzgP0"",""'TP# look up'!A:C""),3,0),"""")"),"")</f>
        <v/>
      </c>
      <c r="AH4571" s="49" t="str">
        <f t="shared" si="71"/>
        <v/>
      </c>
    </row>
    <row r="4572" spans="8:34" ht="12.75">
      <c r="H4572" s="43"/>
      <c r="AG4572" s="49" t="str">
        <f ca="1">IFERROR(__xludf.DUMMYFUNCTION("IFNA(vlookup(H4572,IMPORTRANGE(""1vUGwO1n0QQGx9kKbO0_M5gmuhXZ6-LaxQxgrmJnzgP0"",""'TP# look up'!A:C""),3,0),"""")"),"")</f>
        <v/>
      </c>
      <c r="AH4572" s="49" t="str">
        <f t="shared" si="71"/>
        <v/>
      </c>
    </row>
    <row r="4573" spans="8:34" ht="12.75">
      <c r="H4573" s="43"/>
      <c r="AG4573" s="49" t="str">
        <f ca="1">IFERROR(__xludf.DUMMYFUNCTION("IFNA(vlookup(H4573,IMPORTRANGE(""1vUGwO1n0QQGx9kKbO0_M5gmuhXZ6-LaxQxgrmJnzgP0"",""'TP# look up'!A:C""),3,0),"""")"),"")</f>
        <v/>
      </c>
      <c r="AH4573" s="49" t="str">
        <f t="shared" si="71"/>
        <v/>
      </c>
    </row>
    <row r="4574" spans="8:34" ht="12.75">
      <c r="H4574" s="43"/>
      <c r="AG4574" s="49" t="str">
        <f ca="1">IFERROR(__xludf.DUMMYFUNCTION("IFNA(vlookup(H4574,IMPORTRANGE(""1vUGwO1n0QQGx9kKbO0_M5gmuhXZ6-LaxQxgrmJnzgP0"",""'TP# look up'!A:C""),3,0),"""")"),"")</f>
        <v/>
      </c>
      <c r="AH4574" s="49" t="str">
        <f t="shared" si="71"/>
        <v/>
      </c>
    </row>
    <row r="4575" spans="8:34" ht="12.75">
      <c r="H4575" s="43"/>
      <c r="AG4575" s="49" t="str">
        <f ca="1">IFERROR(__xludf.DUMMYFUNCTION("IFNA(vlookup(H4575,IMPORTRANGE(""1vUGwO1n0QQGx9kKbO0_M5gmuhXZ6-LaxQxgrmJnzgP0"",""'TP# look up'!A:C""),3,0),"""")"),"")</f>
        <v/>
      </c>
      <c r="AH4575" s="49" t="str">
        <f t="shared" si="71"/>
        <v/>
      </c>
    </row>
    <row r="4576" spans="8:34" ht="12.75">
      <c r="H4576" s="43"/>
      <c r="AG4576" s="49" t="str">
        <f ca="1">IFERROR(__xludf.DUMMYFUNCTION("IFNA(vlookup(H4576,IMPORTRANGE(""1vUGwO1n0QQGx9kKbO0_M5gmuhXZ6-LaxQxgrmJnzgP0"",""'TP# look up'!A:C""),3,0),"""")"),"")</f>
        <v/>
      </c>
      <c r="AH4576" s="49" t="str">
        <f t="shared" si="71"/>
        <v/>
      </c>
    </row>
    <row r="4577" spans="8:34" ht="12.75">
      <c r="H4577" s="43"/>
      <c r="AG4577" s="49" t="str">
        <f ca="1">IFERROR(__xludf.DUMMYFUNCTION("IFNA(vlookup(H4577,IMPORTRANGE(""1vUGwO1n0QQGx9kKbO0_M5gmuhXZ6-LaxQxgrmJnzgP0"",""'TP# look up'!A:C""),3,0),"""")"),"")</f>
        <v/>
      </c>
      <c r="AH4577" s="49" t="str">
        <f t="shared" si="71"/>
        <v/>
      </c>
    </row>
    <row r="4578" spans="8:34" ht="12.75">
      <c r="H4578" s="43"/>
      <c r="AG4578" s="49" t="str">
        <f ca="1">IFERROR(__xludf.DUMMYFUNCTION("IFNA(vlookup(H4578,IMPORTRANGE(""1vUGwO1n0QQGx9kKbO0_M5gmuhXZ6-LaxQxgrmJnzgP0"",""'TP# look up'!A:C""),3,0),"""")"),"")</f>
        <v/>
      </c>
      <c r="AH4578" s="49" t="str">
        <f t="shared" si="71"/>
        <v/>
      </c>
    </row>
    <row r="4579" spans="8:34" ht="12.75">
      <c r="H4579" s="43"/>
      <c r="AG4579" s="49" t="str">
        <f ca="1">IFERROR(__xludf.DUMMYFUNCTION("IFNA(vlookup(H4579,IMPORTRANGE(""1vUGwO1n0QQGx9kKbO0_M5gmuhXZ6-LaxQxgrmJnzgP0"",""'TP# look up'!A:C""),3,0),"""")"),"")</f>
        <v/>
      </c>
      <c r="AH4579" s="49" t="str">
        <f t="shared" si="71"/>
        <v/>
      </c>
    </row>
    <row r="4580" spans="8:34" ht="12.75">
      <c r="H4580" s="43"/>
      <c r="AG4580" s="49" t="str">
        <f ca="1">IFERROR(__xludf.DUMMYFUNCTION("IFNA(vlookup(H4580,IMPORTRANGE(""1vUGwO1n0QQGx9kKbO0_M5gmuhXZ6-LaxQxgrmJnzgP0"",""'TP# look up'!A:C""),3,0),"""")"),"")</f>
        <v/>
      </c>
      <c r="AH4580" s="49" t="str">
        <f t="shared" si="71"/>
        <v/>
      </c>
    </row>
    <row r="4581" spans="8:34" ht="12.75">
      <c r="H4581" s="43"/>
      <c r="AG4581" s="49" t="str">
        <f ca="1">IFERROR(__xludf.DUMMYFUNCTION("IFNA(vlookup(H4581,IMPORTRANGE(""1vUGwO1n0QQGx9kKbO0_M5gmuhXZ6-LaxQxgrmJnzgP0"",""'TP# look up'!A:C""),3,0),"""")"),"")</f>
        <v/>
      </c>
      <c r="AH4581" s="49" t="str">
        <f t="shared" si="71"/>
        <v/>
      </c>
    </row>
    <row r="4582" spans="8:34" ht="12.75">
      <c r="H4582" s="43"/>
      <c r="AG4582" s="49" t="str">
        <f ca="1">IFERROR(__xludf.DUMMYFUNCTION("IFNA(vlookup(H4582,IMPORTRANGE(""1vUGwO1n0QQGx9kKbO0_M5gmuhXZ6-LaxQxgrmJnzgP0"",""'TP# look up'!A:C""),3,0),"""")"),"")</f>
        <v/>
      </c>
      <c r="AH4582" s="49" t="str">
        <f t="shared" si="71"/>
        <v/>
      </c>
    </row>
    <row r="4583" spans="8:34" ht="12.75">
      <c r="H4583" s="43"/>
      <c r="AG4583" s="49" t="str">
        <f ca="1">IFERROR(__xludf.DUMMYFUNCTION("IFNA(vlookup(H4583,IMPORTRANGE(""1vUGwO1n0QQGx9kKbO0_M5gmuhXZ6-LaxQxgrmJnzgP0"",""'TP# look up'!A:C""),3,0),"""")"),"")</f>
        <v/>
      </c>
      <c r="AH4583" s="49" t="str">
        <f t="shared" si="71"/>
        <v/>
      </c>
    </row>
    <row r="4584" spans="8:34" ht="12.75">
      <c r="H4584" s="43"/>
      <c r="AG4584" s="49" t="str">
        <f ca="1">IFERROR(__xludf.DUMMYFUNCTION("IFNA(vlookup(H4584,IMPORTRANGE(""1vUGwO1n0QQGx9kKbO0_M5gmuhXZ6-LaxQxgrmJnzgP0"",""'TP# look up'!A:C""),3,0),"""")"),"")</f>
        <v/>
      </c>
      <c r="AH4584" s="49" t="str">
        <f t="shared" si="71"/>
        <v/>
      </c>
    </row>
    <row r="4585" spans="8:34" ht="12.75">
      <c r="H4585" s="43"/>
      <c r="AG4585" s="49" t="str">
        <f ca="1">IFERROR(__xludf.DUMMYFUNCTION("IFNA(vlookup(H4585,IMPORTRANGE(""1vUGwO1n0QQGx9kKbO0_M5gmuhXZ6-LaxQxgrmJnzgP0"",""'TP# look up'!A:C""),3,0),"""")"),"")</f>
        <v/>
      </c>
      <c r="AH4585" s="49" t="str">
        <f t="shared" si="71"/>
        <v/>
      </c>
    </row>
    <row r="4586" spans="8:34" ht="12.75">
      <c r="H4586" s="43"/>
      <c r="AG4586" s="49" t="str">
        <f ca="1">IFERROR(__xludf.DUMMYFUNCTION("IFNA(vlookup(H4586,IMPORTRANGE(""1vUGwO1n0QQGx9kKbO0_M5gmuhXZ6-LaxQxgrmJnzgP0"",""'TP# look up'!A:C""),3,0),"""")"),"")</f>
        <v/>
      </c>
      <c r="AH4586" s="49" t="str">
        <f t="shared" si="71"/>
        <v/>
      </c>
    </row>
    <row r="4587" spans="8:34" ht="12.75">
      <c r="H4587" s="43"/>
      <c r="AG4587" s="49" t="str">
        <f ca="1">IFERROR(__xludf.DUMMYFUNCTION("IFNA(vlookup(H4587,IMPORTRANGE(""1vUGwO1n0QQGx9kKbO0_M5gmuhXZ6-LaxQxgrmJnzgP0"",""'TP# look up'!A:C""),3,0),"""")"),"")</f>
        <v/>
      </c>
      <c r="AH4587" s="49" t="str">
        <f t="shared" si="71"/>
        <v/>
      </c>
    </row>
    <row r="4588" spans="8:34" ht="12.75">
      <c r="H4588" s="43"/>
      <c r="AG4588" s="49" t="str">
        <f ca="1">IFERROR(__xludf.DUMMYFUNCTION("IFNA(vlookup(H4588,IMPORTRANGE(""1vUGwO1n0QQGx9kKbO0_M5gmuhXZ6-LaxQxgrmJnzgP0"",""'TP# look up'!A:C""),3,0),"""")"),"")</f>
        <v/>
      </c>
      <c r="AH4588" s="49" t="str">
        <f t="shared" si="71"/>
        <v/>
      </c>
    </row>
    <row r="4589" spans="8:34" ht="12.75">
      <c r="H4589" s="43"/>
      <c r="AG4589" s="49" t="str">
        <f ca="1">IFERROR(__xludf.DUMMYFUNCTION("IFNA(vlookup(H4589,IMPORTRANGE(""1vUGwO1n0QQGx9kKbO0_M5gmuhXZ6-LaxQxgrmJnzgP0"",""'TP# look up'!A:C""),3,0),"""")"),"")</f>
        <v/>
      </c>
      <c r="AH4589" s="49" t="str">
        <f t="shared" si="71"/>
        <v/>
      </c>
    </row>
    <row r="4590" spans="8:34" ht="12.75">
      <c r="H4590" s="43"/>
      <c r="AG4590" s="49" t="str">
        <f ca="1">IFERROR(__xludf.DUMMYFUNCTION("IFNA(vlookup(H4590,IMPORTRANGE(""1vUGwO1n0QQGx9kKbO0_M5gmuhXZ6-LaxQxgrmJnzgP0"",""'TP# look up'!A:C""),3,0),"""")"),"")</f>
        <v/>
      </c>
      <c r="AH4590" s="49" t="str">
        <f t="shared" si="71"/>
        <v/>
      </c>
    </row>
    <row r="4591" spans="8:34" ht="12.75">
      <c r="H4591" s="43"/>
      <c r="AG4591" s="49" t="str">
        <f ca="1">IFERROR(__xludf.DUMMYFUNCTION("IFNA(vlookup(H4591,IMPORTRANGE(""1vUGwO1n0QQGx9kKbO0_M5gmuhXZ6-LaxQxgrmJnzgP0"",""'TP# look up'!A:C""),3,0),"""")"),"")</f>
        <v/>
      </c>
      <c r="AH4591" s="49" t="str">
        <f t="shared" si="71"/>
        <v/>
      </c>
    </row>
    <row r="4592" spans="8:34" ht="12.75">
      <c r="H4592" s="43"/>
      <c r="AG4592" s="49" t="str">
        <f ca="1">IFERROR(__xludf.DUMMYFUNCTION("IFNA(vlookup(H4592,IMPORTRANGE(""1vUGwO1n0QQGx9kKbO0_M5gmuhXZ6-LaxQxgrmJnzgP0"",""'TP# look up'!A:C""),3,0),"""")"),"")</f>
        <v/>
      </c>
      <c r="AH4592" s="49" t="str">
        <f t="shared" si="71"/>
        <v/>
      </c>
    </row>
    <row r="4593" spans="8:34" ht="12.75">
      <c r="H4593" s="43"/>
      <c r="AG4593" s="49" t="str">
        <f ca="1">IFERROR(__xludf.DUMMYFUNCTION("IFNA(vlookup(H4593,IMPORTRANGE(""1vUGwO1n0QQGx9kKbO0_M5gmuhXZ6-LaxQxgrmJnzgP0"",""'TP# look up'!A:C""),3,0),"""")"),"")</f>
        <v/>
      </c>
      <c r="AH4593" s="49" t="str">
        <f t="shared" si="71"/>
        <v/>
      </c>
    </row>
    <row r="4594" spans="8:34" ht="12.75">
      <c r="H4594" s="43"/>
      <c r="AG4594" s="49" t="str">
        <f ca="1">IFERROR(__xludf.DUMMYFUNCTION("IFNA(vlookup(H4594,IMPORTRANGE(""1vUGwO1n0QQGx9kKbO0_M5gmuhXZ6-LaxQxgrmJnzgP0"",""'TP# look up'!A:C""),3,0),"""")"),"")</f>
        <v/>
      </c>
      <c r="AH4594" s="49" t="str">
        <f t="shared" si="71"/>
        <v/>
      </c>
    </row>
    <row r="4595" spans="8:34" ht="12.75">
      <c r="H4595" s="43"/>
      <c r="AG4595" s="49" t="str">
        <f ca="1">IFERROR(__xludf.DUMMYFUNCTION("IFNA(vlookup(H4595,IMPORTRANGE(""1vUGwO1n0QQGx9kKbO0_M5gmuhXZ6-LaxQxgrmJnzgP0"",""'TP# look up'!A:C""),3,0),"""")"),"")</f>
        <v/>
      </c>
      <c r="AH4595" s="49" t="str">
        <f t="shared" si="71"/>
        <v/>
      </c>
    </row>
    <row r="4596" spans="8:34" ht="12.75">
      <c r="H4596" s="43"/>
      <c r="AG4596" s="49" t="str">
        <f ca="1">IFERROR(__xludf.DUMMYFUNCTION("IFNA(vlookup(H4596,IMPORTRANGE(""1vUGwO1n0QQGx9kKbO0_M5gmuhXZ6-LaxQxgrmJnzgP0"",""'TP# look up'!A:C""),3,0),"""")"),"")</f>
        <v/>
      </c>
      <c r="AH4596" s="49" t="str">
        <f t="shared" si="71"/>
        <v/>
      </c>
    </row>
    <row r="4597" spans="8:34" ht="12.75">
      <c r="H4597" s="43"/>
      <c r="AG4597" s="49" t="str">
        <f ca="1">IFERROR(__xludf.DUMMYFUNCTION("IFNA(vlookup(H4597,IMPORTRANGE(""1vUGwO1n0QQGx9kKbO0_M5gmuhXZ6-LaxQxgrmJnzgP0"",""'TP# look up'!A:C""),3,0),"""")"),"")</f>
        <v/>
      </c>
      <c r="AH4597" s="49" t="str">
        <f t="shared" si="71"/>
        <v/>
      </c>
    </row>
    <row r="4598" spans="8:34" ht="12.75">
      <c r="H4598" s="43"/>
      <c r="AG4598" s="49" t="str">
        <f ca="1">IFERROR(__xludf.DUMMYFUNCTION("IFNA(vlookup(H4598,IMPORTRANGE(""1vUGwO1n0QQGx9kKbO0_M5gmuhXZ6-LaxQxgrmJnzgP0"",""'TP# look up'!A:C""),3,0),"""")"),"")</f>
        <v/>
      </c>
      <c r="AH4598" s="49" t="str">
        <f t="shared" si="71"/>
        <v/>
      </c>
    </row>
    <row r="4599" spans="8:34" ht="12.75">
      <c r="H4599" s="43"/>
      <c r="AG4599" s="49" t="str">
        <f ca="1">IFERROR(__xludf.DUMMYFUNCTION("IFNA(vlookup(H4599,IMPORTRANGE(""1vUGwO1n0QQGx9kKbO0_M5gmuhXZ6-LaxQxgrmJnzgP0"",""'TP# look up'!A:C""),3,0),"""")"),"")</f>
        <v/>
      </c>
      <c r="AH4599" s="49" t="str">
        <f t="shared" si="71"/>
        <v/>
      </c>
    </row>
    <row r="4600" spans="8:34" ht="12.75">
      <c r="H4600" s="43"/>
      <c r="AG4600" s="49" t="str">
        <f ca="1">IFERROR(__xludf.DUMMYFUNCTION("IFNA(vlookup(H4600,IMPORTRANGE(""1vUGwO1n0QQGx9kKbO0_M5gmuhXZ6-LaxQxgrmJnzgP0"",""'TP# look up'!A:C""),3,0),"""")"),"")</f>
        <v/>
      </c>
      <c r="AH4600" s="49" t="str">
        <f t="shared" si="71"/>
        <v/>
      </c>
    </row>
    <row r="4601" spans="8:34" ht="12.75">
      <c r="H4601" s="43"/>
      <c r="AG4601" s="49" t="str">
        <f ca="1">IFERROR(__xludf.DUMMYFUNCTION("IFNA(vlookup(H4601,IMPORTRANGE(""1vUGwO1n0QQGx9kKbO0_M5gmuhXZ6-LaxQxgrmJnzgP0"",""'TP# look up'!A:C""),3,0),"""")"),"")</f>
        <v/>
      </c>
      <c r="AH4601" s="49" t="str">
        <f t="shared" si="71"/>
        <v/>
      </c>
    </row>
    <row r="4602" spans="8:34" ht="12.75">
      <c r="H4602" s="43"/>
      <c r="AG4602" s="49" t="str">
        <f ca="1">IFERROR(__xludf.DUMMYFUNCTION("IFNA(vlookup(H4602,IMPORTRANGE(""1vUGwO1n0QQGx9kKbO0_M5gmuhXZ6-LaxQxgrmJnzgP0"",""'TP# look up'!A:C""),3,0),"""")"),"")</f>
        <v/>
      </c>
      <c r="AH4602" s="49" t="str">
        <f t="shared" si="71"/>
        <v/>
      </c>
    </row>
    <row r="4603" spans="8:34" ht="12.75">
      <c r="H4603" s="43"/>
      <c r="AG4603" s="49" t="str">
        <f ca="1">IFERROR(__xludf.DUMMYFUNCTION("IFNA(vlookup(H4603,IMPORTRANGE(""1vUGwO1n0QQGx9kKbO0_M5gmuhXZ6-LaxQxgrmJnzgP0"",""'TP# look up'!A:C""),3,0),"""")"),"")</f>
        <v/>
      </c>
      <c r="AH4603" s="49" t="str">
        <f t="shared" si="71"/>
        <v/>
      </c>
    </row>
    <row r="4604" spans="8:34" ht="12.75">
      <c r="H4604" s="43"/>
      <c r="AG4604" s="49" t="str">
        <f ca="1">IFERROR(__xludf.DUMMYFUNCTION("IFNA(vlookup(H4604,IMPORTRANGE(""1vUGwO1n0QQGx9kKbO0_M5gmuhXZ6-LaxQxgrmJnzgP0"",""'TP# look up'!A:C""),3,0),"""")"),"")</f>
        <v/>
      </c>
      <c r="AH4604" s="49" t="str">
        <f t="shared" si="71"/>
        <v/>
      </c>
    </row>
    <row r="4605" spans="8:34" ht="12.75">
      <c r="H4605" s="43"/>
      <c r="AG4605" s="49" t="str">
        <f ca="1">IFERROR(__xludf.DUMMYFUNCTION("IFNA(vlookup(H4605,IMPORTRANGE(""1vUGwO1n0QQGx9kKbO0_M5gmuhXZ6-LaxQxgrmJnzgP0"",""'TP# look up'!A:C""),3,0),"""")"),"")</f>
        <v/>
      </c>
      <c r="AH4605" s="49" t="str">
        <f t="shared" si="71"/>
        <v/>
      </c>
    </row>
    <row r="4606" spans="8:34" ht="12.75">
      <c r="H4606" s="43"/>
      <c r="AG4606" s="49" t="str">
        <f ca="1">IFERROR(__xludf.DUMMYFUNCTION("IFNA(vlookup(H4606,IMPORTRANGE(""1vUGwO1n0QQGx9kKbO0_M5gmuhXZ6-LaxQxgrmJnzgP0"",""'TP# look up'!A:C""),3,0),"""")"),"")</f>
        <v/>
      </c>
      <c r="AH4606" s="49" t="str">
        <f t="shared" si="71"/>
        <v/>
      </c>
    </row>
    <row r="4607" spans="8:34" ht="12.75">
      <c r="H4607" s="43"/>
      <c r="AG4607" s="49" t="str">
        <f ca="1">IFERROR(__xludf.DUMMYFUNCTION("IFNA(vlookup(H4607,IMPORTRANGE(""1vUGwO1n0QQGx9kKbO0_M5gmuhXZ6-LaxQxgrmJnzgP0"",""'TP# look up'!A:C""),3,0),"""")"),"")</f>
        <v/>
      </c>
      <c r="AH4607" s="49" t="str">
        <f t="shared" si="71"/>
        <v/>
      </c>
    </row>
    <row r="4608" spans="8:34" ht="12.75">
      <c r="H4608" s="43"/>
      <c r="AG4608" s="49" t="str">
        <f ca="1">IFERROR(__xludf.DUMMYFUNCTION("IFNA(vlookup(H4608,IMPORTRANGE(""1vUGwO1n0QQGx9kKbO0_M5gmuhXZ6-LaxQxgrmJnzgP0"",""'TP# look up'!A:C""),3,0),"""")"),"")</f>
        <v/>
      </c>
      <c r="AH4608" s="49" t="str">
        <f t="shared" si="71"/>
        <v/>
      </c>
    </row>
    <row r="4609" spans="8:34" ht="12.75">
      <c r="H4609" s="43"/>
      <c r="AG4609" s="49" t="str">
        <f ca="1">IFERROR(__xludf.DUMMYFUNCTION("IFNA(vlookup(H4609,IMPORTRANGE(""1vUGwO1n0QQGx9kKbO0_M5gmuhXZ6-LaxQxgrmJnzgP0"",""'TP# look up'!A:C""),3,0),"""")"),"")</f>
        <v/>
      </c>
      <c r="AH4609" s="49" t="str">
        <f t="shared" si="71"/>
        <v/>
      </c>
    </row>
    <row r="4610" spans="8:34" ht="12.75">
      <c r="H4610" s="43"/>
      <c r="AG4610" s="49" t="str">
        <f ca="1">IFERROR(__xludf.DUMMYFUNCTION("IFNA(vlookup(H4610,IMPORTRANGE(""1vUGwO1n0QQGx9kKbO0_M5gmuhXZ6-LaxQxgrmJnzgP0"",""'TP# look up'!A:C""),3,0),"""")"),"")</f>
        <v/>
      </c>
      <c r="AH4610" s="49" t="str">
        <f t="shared" ref="AH4610:AH4673" si="72">LEFT(J4610,2)</f>
        <v/>
      </c>
    </row>
    <row r="4611" spans="8:34" ht="12.75">
      <c r="H4611" s="43"/>
      <c r="AG4611" s="49" t="str">
        <f ca="1">IFERROR(__xludf.DUMMYFUNCTION("IFNA(vlookup(H4611,IMPORTRANGE(""1vUGwO1n0QQGx9kKbO0_M5gmuhXZ6-LaxQxgrmJnzgP0"",""'TP# look up'!A:C""),3,0),"""")"),"")</f>
        <v/>
      </c>
      <c r="AH4611" s="49" t="str">
        <f t="shared" si="72"/>
        <v/>
      </c>
    </row>
    <row r="4612" spans="8:34" ht="12.75">
      <c r="H4612" s="43"/>
      <c r="AG4612" s="49" t="str">
        <f ca="1">IFERROR(__xludf.DUMMYFUNCTION("IFNA(vlookup(H4612,IMPORTRANGE(""1vUGwO1n0QQGx9kKbO0_M5gmuhXZ6-LaxQxgrmJnzgP0"",""'TP# look up'!A:C""),3,0),"""")"),"")</f>
        <v/>
      </c>
      <c r="AH4612" s="49" t="str">
        <f t="shared" si="72"/>
        <v/>
      </c>
    </row>
    <row r="4613" spans="8:34" ht="12.75">
      <c r="H4613" s="43"/>
      <c r="AG4613" s="49" t="str">
        <f ca="1">IFERROR(__xludf.DUMMYFUNCTION("IFNA(vlookup(H4613,IMPORTRANGE(""1vUGwO1n0QQGx9kKbO0_M5gmuhXZ6-LaxQxgrmJnzgP0"",""'TP# look up'!A:C""),3,0),"""")"),"")</f>
        <v/>
      </c>
      <c r="AH4613" s="49" t="str">
        <f t="shared" si="72"/>
        <v/>
      </c>
    </row>
    <row r="4614" spans="8:34" ht="12.75">
      <c r="H4614" s="43"/>
      <c r="AG4614" s="49" t="str">
        <f ca="1">IFERROR(__xludf.DUMMYFUNCTION("IFNA(vlookup(H4614,IMPORTRANGE(""1vUGwO1n0QQGx9kKbO0_M5gmuhXZ6-LaxQxgrmJnzgP0"",""'TP# look up'!A:C""),3,0),"""")"),"")</f>
        <v/>
      </c>
      <c r="AH4614" s="49" t="str">
        <f t="shared" si="72"/>
        <v/>
      </c>
    </row>
    <row r="4615" spans="8:34" ht="12.75">
      <c r="H4615" s="43"/>
      <c r="AG4615" s="49" t="str">
        <f ca="1">IFERROR(__xludf.DUMMYFUNCTION("IFNA(vlookup(H4615,IMPORTRANGE(""1vUGwO1n0QQGx9kKbO0_M5gmuhXZ6-LaxQxgrmJnzgP0"",""'TP# look up'!A:C""),3,0),"""")"),"")</f>
        <v/>
      </c>
      <c r="AH4615" s="49" t="str">
        <f t="shared" si="72"/>
        <v/>
      </c>
    </row>
    <row r="4616" spans="8:34" ht="12.75">
      <c r="H4616" s="43"/>
      <c r="AG4616" s="49" t="str">
        <f ca="1">IFERROR(__xludf.DUMMYFUNCTION("IFNA(vlookup(H4616,IMPORTRANGE(""1vUGwO1n0QQGx9kKbO0_M5gmuhXZ6-LaxQxgrmJnzgP0"",""'TP# look up'!A:C""),3,0),"""")"),"")</f>
        <v/>
      </c>
      <c r="AH4616" s="49" t="str">
        <f t="shared" si="72"/>
        <v/>
      </c>
    </row>
    <row r="4617" spans="8:34" ht="12.75">
      <c r="H4617" s="43"/>
      <c r="AG4617" s="49" t="str">
        <f ca="1">IFERROR(__xludf.DUMMYFUNCTION("IFNA(vlookup(H4617,IMPORTRANGE(""1vUGwO1n0QQGx9kKbO0_M5gmuhXZ6-LaxQxgrmJnzgP0"",""'TP# look up'!A:C""),3,0),"""")"),"")</f>
        <v/>
      </c>
      <c r="AH4617" s="49" t="str">
        <f t="shared" si="72"/>
        <v/>
      </c>
    </row>
    <row r="4618" spans="8:34" ht="12.75">
      <c r="H4618" s="43"/>
      <c r="AG4618" s="49" t="str">
        <f ca="1">IFERROR(__xludf.DUMMYFUNCTION("IFNA(vlookup(H4618,IMPORTRANGE(""1vUGwO1n0QQGx9kKbO0_M5gmuhXZ6-LaxQxgrmJnzgP0"",""'TP# look up'!A:C""),3,0),"""")"),"")</f>
        <v/>
      </c>
      <c r="AH4618" s="49" t="str">
        <f t="shared" si="72"/>
        <v/>
      </c>
    </row>
    <row r="4619" spans="8:34" ht="12.75">
      <c r="H4619" s="43"/>
      <c r="AG4619" s="49" t="str">
        <f ca="1">IFERROR(__xludf.DUMMYFUNCTION("IFNA(vlookup(H4619,IMPORTRANGE(""1vUGwO1n0QQGx9kKbO0_M5gmuhXZ6-LaxQxgrmJnzgP0"",""'TP# look up'!A:C""),3,0),"""")"),"")</f>
        <v/>
      </c>
      <c r="AH4619" s="49" t="str">
        <f t="shared" si="72"/>
        <v/>
      </c>
    </row>
    <row r="4620" spans="8:34" ht="12.75">
      <c r="H4620" s="43"/>
      <c r="AG4620" s="49" t="str">
        <f ca="1">IFERROR(__xludf.DUMMYFUNCTION("IFNA(vlookup(H4620,IMPORTRANGE(""1vUGwO1n0QQGx9kKbO0_M5gmuhXZ6-LaxQxgrmJnzgP0"",""'TP# look up'!A:C""),3,0),"""")"),"")</f>
        <v/>
      </c>
      <c r="AH4620" s="49" t="str">
        <f t="shared" si="72"/>
        <v/>
      </c>
    </row>
    <row r="4621" spans="8:34" ht="12.75">
      <c r="H4621" s="43"/>
      <c r="AG4621" s="49" t="str">
        <f ca="1">IFERROR(__xludf.DUMMYFUNCTION("IFNA(vlookup(H4621,IMPORTRANGE(""1vUGwO1n0QQGx9kKbO0_M5gmuhXZ6-LaxQxgrmJnzgP0"",""'TP# look up'!A:C""),3,0),"""")"),"")</f>
        <v/>
      </c>
      <c r="AH4621" s="49" t="str">
        <f t="shared" si="72"/>
        <v/>
      </c>
    </row>
    <row r="4622" spans="8:34" ht="12.75">
      <c r="H4622" s="43"/>
      <c r="AG4622" s="49" t="str">
        <f ca="1">IFERROR(__xludf.DUMMYFUNCTION("IFNA(vlookup(H4622,IMPORTRANGE(""1vUGwO1n0QQGx9kKbO0_M5gmuhXZ6-LaxQxgrmJnzgP0"",""'TP# look up'!A:C""),3,0),"""")"),"")</f>
        <v/>
      </c>
      <c r="AH4622" s="49" t="str">
        <f t="shared" si="72"/>
        <v/>
      </c>
    </row>
    <row r="4623" spans="8:34" ht="12.75">
      <c r="H4623" s="43"/>
      <c r="AG4623" s="49" t="str">
        <f ca="1">IFERROR(__xludf.DUMMYFUNCTION("IFNA(vlookup(H4623,IMPORTRANGE(""1vUGwO1n0QQGx9kKbO0_M5gmuhXZ6-LaxQxgrmJnzgP0"",""'TP# look up'!A:C""),3,0),"""")"),"")</f>
        <v/>
      </c>
      <c r="AH4623" s="49" t="str">
        <f t="shared" si="72"/>
        <v/>
      </c>
    </row>
    <row r="4624" spans="8:34" ht="12.75">
      <c r="H4624" s="43"/>
      <c r="AG4624" s="49" t="str">
        <f ca="1">IFERROR(__xludf.DUMMYFUNCTION("IFNA(vlookup(H4624,IMPORTRANGE(""1vUGwO1n0QQGx9kKbO0_M5gmuhXZ6-LaxQxgrmJnzgP0"",""'TP# look up'!A:C""),3,0),"""")"),"")</f>
        <v/>
      </c>
      <c r="AH4624" s="49" t="str">
        <f t="shared" si="72"/>
        <v/>
      </c>
    </row>
    <row r="4625" spans="8:34" ht="12.75">
      <c r="H4625" s="43"/>
      <c r="AG4625" s="49" t="str">
        <f ca="1">IFERROR(__xludf.DUMMYFUNCTION("IFNA(vlookup(H4625,IMPORTRANGE(""1vUGwO1n0QQGx9kKbO0_M5gmuhXZ6-LaxQxgrmJnzgP0"",""'TP# look up'!A:C""),3,0),"""")"),"")</f>
        <v/>
      </c>
      <c r="AH4625" s="49" t="str">
        <f t="shared" si="72"/>
        <v/>
      </c>
    </row>
    <row r="4626" spans="8:34" ht="12.75">
      <c r="H4626" s="43"/>
      <c r="AG4626" s="49" t="str">
        <f ca="1">IFERROR(__xludf.DUMMYFUNCTION("IFNA(vlookup(H4626,IMPORTRANGE(""1vUGwO1n0QQGx9kKbO0_M5gmuhXZ6-LaxQxgrmJnzgP0"",""'TP# look up'!A:C""),3,0),"""")"),"")</f>
        <v/>
      </c>
      <c r="AH4626" s="49" t="str">
        <f t="shared" si="72"/>
        <v/>
      </c>
    </row>
    <row r="4627" spans="8:34" ht="12.75">
      <c r="H4627" s="43"/>
      <c r="AG4627" s="49" t="str">
        <f ca="1">IFERROR(__xludf.DUMMYFUNCTION("IFNA(vlookup(H4627,IMPORTRANGE(""1vUGwO1n0QQGx9kKbO0_M5gmuhXZ6-LaxQxgrmJnzgP0"",""'TP# look up'!A:C""),3,0),"""")"),"")</f>
        <v/>
      </c>
      <c r="AH4627" s="49" t="str">
        <f t="shared" si="72"/>
        <v/>
      </c>
    </row>
    <row r="4628" spans="8:34" ht="12.75">
      <c r="H4628" s="43"/>
      <c r="AG4628" s="49" t="str">
        <f ca="1">IFERROR(__xludf.DUMMYFUNCTION("IFNA(vlookup(H4628,IMPORTRANGE(""1vUGwO1n0QQGx9kKbO0_M5gmuhXZ6-LaxQxgrmJnzgP0"",""'TP# look up'!A:C""),3,0),"""")"),"")</f>
        <v/>
      </c>
      <c r="AH4628" s="49" t="str">
        <f t="shared" si="72"/>
        <v/>
      </c>
    </row>
    <row r="4629" spans="8:34" ht="12.75">
      <c r="H4629" s="43"/>
      <c r="AG4629" s="49" t="str">
        <f ca="1">IFERROR(__xludf.DUMMYFUNCTION("IFNA(vlookup(H4629,IMPORTRANGE(""1vUGwO1n0QQGx9kKbO0_M5gmuhXZ6-LaxQxgrmJnzgP0"",""'TP# look up'!A:C""),3,0),"""")"),"")</f>
        <v/>
      </c>
      <c r="AH4629" s="49" t="str">
        <f t="shared" si="72"/>
        <v/>
      </c>
    </row>
    <row r="4630" spans="8:34" ht="12.75">
      <c r="H4630" s="43"/>
      <c r="AG4630" s="49" t="str">
        <f ca="1">IFERROR(__xludf.DUMMYFUNCTION("IFNA(vlookup(H4630,IMPORTRANGE(""1vUGwO1n0QQGx9kKbO0_M5gmuhXZ6-LaxQxgrmJnzgP0"",""'TP# look up'!A:C""),3,0),"""")"),"")</f>
        <v/>
      </c>
      <c r="AH4630" s="49" t="str">
        <f t="shared" si="72"/>
        <v/>
      </c>
    </row>
    <row r="4631" spans="8:34" ht="12.75">
      <c r="H4631" s="43"/>
      <c r="AG4631" s="49" t="str">
        <f ca="1">IFERROR(__xludf.DUMMYFUNCTION("IFNA(vlookup(H4631,IMPORTRANGE(""1vUGwO1n0QQGx9kKbO0_M5gmuhXZ6-LaxQxgrmJnzgP0"",""'TP# look up'!A:C""),3,0),"""")"),"")</f>
        <v/>
      </c>
      <c r="AH4631" s="49" t="str">
        <f t="shared" si="72"/>
        <v/>
      </c>
    </row>
    <row r="4632" spans="8:34" ht="12.75">
      <c r="H4632" s="43"/>
      <c r="AG4632" s="49" t="str">
        <f ca="1">IFERROR(__xludf.DUMMYFUNCTION("IFNA(vlookup(H4632,IMPORTRANGE(""1vUGwO1n0QQGx9kKbO0_M5gmuhXZ6-LaxQxgrmJnzgP0"",""'TP# look up'!A:C""),3,0),"""")"),"")</f>
        <v/>
      </c>
      <c r="AH4632" s="49" t="str">
        <f t="shared" si="72"/>
        <v/>
      </c>
    </row>
    <row r="4633" spans="8:34" ht="12.75">
      <c r="H4633" s="43"/>
      <c r="AG4633" s="49" t="str">
        <f ca="1">IFERROR(__xludf.DUMMYFUNCTION("IFNA(vlookup(H4633,IMPORTRANGE(""1vUGwO1n0QQGx9kKbO0_M5gmuhXZ6-LaxQxgrmJnzgP0"",""'TP# look up'!A:C""),3,0),"""")"),"")</f>
        <v/>
      </c>
      <c r="AH4633" s="49" t="str">
        <f t="shared" si="72"/>
        <v/>
      </c>
    </row>
    <row r="4634" spans="8:34" ht="12.75">
      <c r="H4634" s="43"/>
      <c r="AG4634" s="49" t="str">
        <f ca="1">IFERROR(__xludf.DUMMYFUNCTION("IFNA(vlookup(H4634,IMPORTRANGE(""1vUGwO1n0QQGx9kKbO0_M5gmuhXZ6-LaxQxgrmJnzgP0"",""'TP# look up'!A:C""),3,0),"""")"),"")</f>
        <v/>
      </c>
      <c r="AH4634" s="49" t="str">
        <f t="shared" si="72"/>
        <v/>
      </c>
    </row>
    <row r="4635" spans="8:34" ht="12.75">
      <c r="H4635" s="43"/>
      <c r="AG4635" s="49" t="str">
        <f ca="1">IFERROR(__xludf.DUMMYFUNCTION("IFNA(vlookup(H4635,IMPORTRANGE(""1vUGwO1n0QQGx9kKbO0_M5gmuhXZ6-LaxQxgrmJnzgP0"",""'TP# look up'!A:C""),3,0),"""")"),"")</f>
        <v/>
      </c>
      <c r="AH4635" s="49" t="str">
        <f t="shared" si="72"/>
        <v/>
      </c>
    </row>
    <row r="4636" spans="8:34" ht="12.75">
      <c r="H4636" s="43"/>
      <c r="AG4636" s="49" t="str">
        <f ca="1">IFERROR(__xludf.DUMMYFUNCTION("IFNA(vlookup(H4636,IMPORTRANGE(""1vUGwO1n0QQGx9kKbO0_M5gmuhXZ6-LaxQxgrmJnzgP0"",""'TP# look up'!A:C""),3,0),"""")"),"")</f>
        <v/>
      </c>
      <c r="AH4636" s="49" t="str">
        <f t="shared" si="72"/>
        <v/>
      </c>
    </row>
    <row r="4637" spans="8:34" ht="12.75">
      <c r="H4637" s="43"/>
      <c r="AG4637" s="49" t="str">
        <f ca="1">IFERROR(__xludf.DUMMYFUNCTION("IFNA(vlookup(H4637,IMPORTRANGE(""1vUGwO1n0QQGx9kKbO0_M5gmuhXZ6-LaxQxgrmJnzgP0"",""'TP# look up'!A:C""),3,0),"""")"),"")</f>
        <v/>
      </c>
      <c r="AH4637" s="49" t="str">
        <f t="shared" si="72"/>
        <v/>
      </c>
    </row>
    <row r="4638" spans="8:34" ht="12.75">
      <c r="H4638" s="43"/>
      <c r="AG4638" s="49" t="str">
        <f ca="1">IFERROR(__xludf.DUMMYFUNCTION("IFNA(vlookup(H4638,IMPORTRANGE(""1vUGwO1n0QQGx9kKbO0_M5gmuhXZ6-LaxQxgrmJnzgP0"",""'TP# look up'!A:C""),3,0),"""")"),"")</f>
        <v/>
      </c>
      <c r="AH4638" s="49" t="str">
        <f t="shared" si="72"/>
        <v/>
      </c>
    </row>
    <row r="4639" spans="8:34" ht="12.75">
      <c r="H4639" s="43"/>
      <c r="AG4639" s="49" t="str">
        <f ca="1">IFERROR(__xludf.DUMMYFUNCTION("IFNA(vlookup(H4639,IMPORTRANGE(""1vUGwO1n0QQGx9kKbO0_M5gmuhXZ6-LaxQxgrmJnzgP0"",""'TP# look up'!A:C""),3,0),"""")"),"")</f>
        <v/>
      </c>
      <c r="AH4639" s="49" t="str">
        <f t="shared" si="72"/>
        <v/>
      </c>
    </row>
    <row r="4640" spans="8:34" ht="12.75">
      <c r="H4640" s="43"/>
      <c r="AG4640" s="49" t="str">
        <f ca="1">IFERROR(__xludf.DUMMYFUNCTION("IFNA(vlookup(H4640,IMPORTRANGE(""1vUGwO1n0QQGx9kKbO0_M5gmuhXZ6-LaxQxgrmJnzgP0"",""'TP# look up'!A:C""),3,0),"""")"),"")</f>
        <v/>
      </c>
      <c r="AH4640" s="49" t="str">
        <f t="shared" si="72"/>
        <v/>
      </c>
    </row>
    <row r="4641" spans="8:34" ht="12.75">
      <c r="H4641" s="43"/>
      <c r="AG4641" s="49" t="str">
        <f ca="1">IFERROR(__xludf.DUMMYFUNCTION("IFNA(vlookup(H4641,IMPORTRANGE(""1vUGwO1n0QQGx9kKbO0_M5gmuhXZ6-LaxQxgrmJnzgP0"",""'TP# look up'!A:C""),3,0),"""")"),"")</f>
        <v/>
      </c>
      <c r="AH4641" s="49" t="str">
        <f t="shared" si="72"/>
        <v/>
      </c>
    </row>
    <row r="4642" spans="8:34" ht="12.75">
      <c r="H4642" s="43"/>
      <c r="AG4642" s="49" t="str">
        <f ca="1">IFERROR(__xludf.DUMMYFUNCTION("IFNA(vlookup(H4642,IMPORTRANGE(""1vUGwO1n0QQGx9kKbO0_M5gmuhXZ6-LaxQxgrmJnzgP0"",""'TP# look up'!A:C""),3,0),"""")"),"")</f>
        <v/>
      </c>
      <c r="AH4642" s="49" t="str">
        <f t="shared" si="72"/>
        <v/>
      </c>
    </row>
    <row r="4643" spans="8:34" ht="12.75">
      <c r="H4643" s="43"/>
      <c r="AG4643" s="49" t="str">
        <f ca="1">IFERROR(__xludf.DUMMYFUNCTION("IFNA(vlookup(H4643,IMPORTRANGE(""1vUGwO1n0QQGx9kKbO0_M5gmuhXZ6-LaxQxgrmJnzgP0"",""'TP# look up'!A:C""),3,0),"""")"),"")</f>
        <v/>
      </c>
      <c r="AH4643" s="49" t="str">
        <f t="shared" si="72"/>
        <v/>
      </c>
    </row>
    <row r="4644" spans="8:34" ht="12.75">
      <c r="H4644" s="43"/>
      <c r="AG4644" s="49" t="str">
        <f ca="1">IFERROR(__xludf.DUMMYFUNCTION("IFNA(vlookup(H4644,IMPORTRANGE(""1vUGwO1n0QQGx9kKbO0_M5gmuhXZ6-LaxQxgrmJnzgP0"",""'TP# look up'!A:C""),3,0),"""")"),"")</f>
        <v/>
      </c>
      <c r="AH4644" s="49" t="str">
        <f t="shared" si="72"/>
        <v/>
      </c>
    </row>
    <row r="4645" spans="8:34" ht="12.75">
      <c r="H4645" s="43"/>
      <c r="AG4645" s="49" t="str">
        <f ca="1">IFERROR(__xludf.DUMMYFUNCTION("IFNA(vlookup(H4645,IMPORTRANGE(""1vUGwO1n0QQGx9kKbO0_M5gmuhXZ6-LaxQxgrmJnzgP0"",""'TP# look up'!A:C""),3,0),"""")"),"")</f>
        <v/>
      </c>
      <c r="AH4645" s="49" t="str">
        <f t="shared" si="72"/>
        <v/>
      </c>
    </row>
    <row r="4646" spans="8:34" ht="12.75">
      <c r="H4646" s="43"/>
      <c r="AG4646" s="49" t="str">
        <f ca="1">IFERROR(__xludf.DUMMYFUNCTION("IFNA(vlookup(H4646,IMPORTRANGE(""1vUGwO1n0QQGx9kKbO0_M5gmuhXZ6-LaxQxgrmJnzgP0"",""'TP# look up'!A:C""),3,0),"""")"),"")</f>
        <v/>
      </c>
      <c r="AH4646" s="49" t="str">
        <f t="shared" si="72"/>
        <v/>
      </c>
    </row>
    <row r="4647" spans="8:34" ht="12.75">
      <c r="H4647" s="43"/>
      <c r="AG4647" s="49" t="str">
        <f ca="1">IFERROR(__xludf.DUMMYFUNCTION("IFNA(vlookup(H4647,IMPORTRANGE(""1vUGwO1n0QQGx9kKbO0_M5gmuhXZ6-LaxQxgrmJnzgP0"",""'TP# look up'!A:C""),3,0),"""")"),"")</f>
        <v/>
      </c>
      <c r="AH4647" s="49" t="str">
        <f t="shared" si="72"/>
        <v/>
      </c>
    </row>
    <row r="4648" spans="8:34" ht="12.75">
      <c r="H4648" s="43"/>
      <c r="AG4648" s="49" t="str">
        <f ca="1">IFERROR(__xludf.DUMMYFUNCTION("IFNA(vlookup(H4648,IMPORTRANGE(""1vUGwO1n0QQGx9kKbO0_M5gmuhXZ6-LaxQxgrmJnzgP0"",""'TP# look up'!A:C""),3,0),"""")"),"")</f>
        <v/>
      </c>
      <c r="AH4648" s="49" t="str">
        <f t="shared" si="72"/>
        <v/>
      </c>
    </row>
    <row r="4649" spans="8:34" ht="12.75">
      <c r="H4649" s="43"/>
      <c r="AG4649" s="49" t="str">
        <f ca="1">IFERROR(__xludf.DUMMYFUNCTION("IFNA(vlookup(H4649,IMPORTRANGE(""1vUGwO1n0QQGx9kKbO0_M5gmuhXZ6-LaxQxgrmJnzgP0"",""'TP# look up'!A:C""),3,0),"""")"),"")</f>
        <v/>
      </c>
      <c r="AH4649" s="49" t="str">
        <f t="shared" si="72"/>
        <v/>
      </c>
    </row>
    <row r="4650" spans="8:34" ht="12.75">
      <c r="H4650" s="43"/>
      <c r="AG4650" s="49" t="str">
        <f ca="1">IFERROR(__xludf.DUMMYFUNCTION("IFNA(vlookup(H4650,IMPORTRANGE(""1vUGwO1n0QQGx9kKbO0_M5gmuhXZ6-LaxQxgrmJnzgP0"",""'TP# look up'!A:C""),3,0),"""")"),"")</f>
        <v/>
      </c>
      <c r="AH4650" s="49" t="str">
        <f t="shared" si="72"/>
        <v/>
      </c>
    </row>
    <row r="4651" spans="8:34" ht="12.75">
      <c r="H4651" s="43"/>
      <c r="AG4651" s="49" t="str">
        <f ca="1">IFERROR(__xludf.DUMMYFUNCTION("IFNA(vlookup(H4651,IMPORTRANGE(""1vUGwO1n0QQGx9kKbO0_M5gmuhXZ6-LaxQxgrmJnzgP0"",""'TP# look up'!A:C""),3,0),"""")"),"")</f>
        <v/>
      </c>
      <c r="AH4651" s="49" t="str">
        <f t="shared" si="72"/>
        <v/>
      </c>
    </row>
    <row r="4652" spans="8:34" ht="12.75">
      <c r="H4652" s="43"/>
      <c r="AG4652" s="49" t="str">
        <f ca="1">IFERROR(__xludf.DUMMYFUNCTION("IFNA(vlookup(H4652,IMPORTRANGE(""1vUGwO1n0QQGx9kKbO0_M5gmuhXZ6-LaxQxgrmJnzgP0"",""'TP# look up'!A:C""),3,0),"""")"),"")</f>
        <v/>
      </c>
      <c r="AH4652" s="49" t="str">
        <f t="shared" si="72"/>
        <v/>
      </c>
    </row>
    <row r="4653" spans="8:34" ht="12.75">
      <c r="H4653" s="43"/>
      <c r="AG4653" s="49" t="str">
        <f ca="1">IFERROR(__xludf.DUMMYFUNCTION("IFNA(vlookup(H4653,IMPORTRANGE(""1vUGwO1n0QQGx9kKbO0_M5gmuhXZ6-LaxQxgrmJnzgP0"",""'TP# look up'!A:C""),3,0),"""")"),"")</f>
        <v/>
      </c>
      <c r="AH4653" s="49" t="str">
        <f t="shared" si="72"/>
        <v/>
      </c>
    </row>
    <row r="4654" spans="8:34" ht="12.75">
      <c r="H4654" s="43"/>
      <c r="AG4654" s="49" t="str">
        <f ca="1">IFERROR(__xludf.DUMMYFUNCTION("IFNA(vlookup(H4654,IMPORTRANGE(""1vUGwO1n0QQGx9kKbO0_M5gmuhXZ6-LaxQxgrmJnzgP0"",""'TP# look up'!A:C""),3,0),"""")"),"")</f>
        <v/>
      </c>
      <c r="AH4654" s="49" t="str">
        <f t="shared" si="72"/>
        <v/>
      </c>
    </row>
    <row r="4655" spans="8:34" ht="12.75">
      <c r="H4655" s="43"/>
      <c r="AG4655" s="49" t="str">
        <f ca="1">IFERROR(__xludf.DUMMYFUNCTION("IFNA(vlookup(H4655,IMPORTRANGE(""1vUGwO1n0QQGx9kKbO0_M5gmuhXZ6-LaxQxgrmJnzgP0"",""'TP# look up'!A:C""),3,0),"""")"),"")</f>
        <v/>
      </c>
      <c r="AH4655" s="49" t="str">
        <f t="shared" si="72"/>
        <v/>
      </c>
    </row>
    <row r="4656" spans="8:34" ht="12.75">
      <c r="H4656" s="43"/>
      <c r="AG4656" s="49" t="str">
        <f ca="1">IFERROR(__xludf.DUMMYFUNCTION("IFNA(vlookup(H4656,IMPORTRANGE(""1vUGwO1n0QQGx9kKbO0_M5gmuhXZ6-LaxQxgrmJnzgP0"",""'TP# look up'!A:C""),3,0),"""")"),"")</f>
        <v/>
      </c>
      <c r="AH4656" s="49" t="str">
        <f t="shared" si="72"/>
        <v/>
      </c>
    </row>
    <row r="4657" spans="8:34" ht="12.75">
      <c r="H4657" s="43"/>
      <c r="AG4657" s="49" t="str">
        <f ca="1">IFERROR(__xludf.DUMMYFUNCTION("IFNA(vlookup(H4657,IMPORTRANGE(""1vUGwO1n0QQGx9kKbO0_M5gmuhXZ6-LaxQxgrmJnzgP0"",""'TP# look up'!A:C""),3,0),"""")"),"")</f>
        <v/>
      </c>
      <c r="AH4657" s="49" t="str">
        <f t="shared" si="72"/>
        <v/>
      </c>
    </row>
    <row r="4658" spans="8:34" ht="12.75">
      <c r="H4658" s="43"/>
      <c r="AG4658" s="49" t="str">
        <f ca="1">IFERROR(__xludf.DUMMYFUNCTION("IFNA(vlookup(H4658,IMPORTRANGE(""1vUGwO1n0QQGx9kKbO0_M5gmuhXZ6-LaxQxgrmJnzgP0"",""'TP# look up'!A:C""),3,0),"""")"),"")</f>
        <v/>
      </c>
      <c r="AH4658" s="49" t="str">
        <f t="shared" si="72"/>
        <v/>
      </c>
    </row>
    <row r="4659" spans="8:34" ht="12.75">
      <c r="H4659" s="43"/>
      <c r="AG4659" s="49" t="str">
        <f ca="1">IFERROR(__xludf.DUMMYFUNCTION("IFNA(vlookup(H4659,IMPORTRANGE(""1vUGwO1n0QQGx9kKbO0_M5gmuhXZ6-LaxQxgrmJnzgP0"",""'TP# look up'!A:C""),3,0),"""")"),"")</f>
        <v/>
      </c>
      <c r="AH4659" s="49" t="str">
        <f t="shared" si="72"/>
        <v/>
      </c>
    </row>
    <row r="4660" spans="8:34" ht="12.75">
      <c r="H4660" s="43"/>
      <c r="AG4660" s="49" t="str">
        <f ca="1">IFERROR(__xludf.DUMMYFUNCTION("IFNA(vlookup(H4660,IMPORTRANGE(""1vUGwO1n0QQGx9kKbO0_M5gmuhXZ6-LaxQxgrmJnzgP0"",""'TP# look up'!A:C""),3,0),"""")"),"")</f>
        <v/>
      </c>
      <c r="AH4660" s="49" t="str">
        <f t="shared" si="72"/>
        <v/>
      </c>
    </row>
    <row r="4661" spans="8:34" ht="12.75">
      <c r="H4661" s="43"/>
      <c r="AG4661" s="49" t="str">
        <f ca="1">IFERROR(__xludf.DUMMYFUNCTION("IFNA(vlookup(H4661,IMPORTRANGE(""1vUGwO1n0QQGx9kKbO0_M5gmuhXZ6-LaxQxgrmJnzgP0"",""'TP# look up'!A:C""),3,0),"""")"),"")</f>
        <v/>
      </c>
      <c r="AH4661" s="49" t="str">
        <f t="shared" si="72"/>
        <v/>
      </c>
    </row>
    <row r="4662" spans="8:34" ht="12.75">
      <c r="H4662" s="43"/>
      <c r="AG4662" s="49" t="str">
        <f ca="1">IFERROR(__xludf.DUMMYFUNCTION("IFNA(vlookup(H4662,IMPORTRANGE(""1vUGwO1n0QQGx9kKbO0_M5gmuhXZ6-LaxQxgrmJnzgP0"",""'TP# look up'!A:C""),3,0),"""")"),"")</f>
        <v/>
      </c>
      <c r="AH4662" s="49" t="str">
        <f t="shared" si="72"/>
        <v/>
      </c>
    </row>
    <row r="4663" spans="8:34" ht="12.75">
      <c r="H4663" s="43"/>
      <c r="AG4663" s="49" t="str">
        <f ca="1">IFERROR(__xludf.DUMMYFUNCTION("IFNA(vlookup(H4663,IMPORTRANGE(""1vUGwO1n0QQGx9kKbO0_M5gmuhXZ6-LaxQxgrmJnzgP0"",""'TP# look up'!A:C""),3,0),"""")"),"")</f>
        <v/>
      </c>
      <c r="AH4663" s="49" t="str">
        <f t="shared" si="72"/>
        <v/>
      </c>
    </row>
    <row r="4664" spans="8:34" ht="12.75">
      <c r="H4664" s="43"/>
      <c r="AG4664" s="49" t="str">
        <f ca="1">IFERROR(__xludf.DUMMYFUNCTION("IFNA(vlookup(H4664,IMPORTRANGE(""1vUGwO1n0QQGx9kKbO0_M5gmuhXZ6-LaxQxgrmJnzgP0"",""'TP# look up'!A:C""),3,0),"""")"),"")</f>
        <v/>
      </c>
      <c r="AH4664" s="49" t="str">
        <f t="shared" si="72"/>
        <v/>
      </c>
    </row>
    <row r="4665" spans="8:34" ht="12.75">
      <c r="H4665" s="43"/>
      <c r="AG4665" s="49" t="str">
        <f ca="1">IFERROR(__xludf.DUMMYFUNCTION("IFNA(vlookup(H4665,IMPORTRANGE(""1vUGwO1n0QQGx9kKbO0_M5gmuhXZ6-LaxQxgrmJnzgP0"",""'TP# look up'!A:C""),3,0),"""")"),"")</f>
        <v/>
      </c>
      <c r="AH4665" s="49" t="str">
        <f t="shared" si="72"/>
        <v/>
      </c>
    </row>
    <row r="4666" spans="8:34" ht="12.75">
      <c r="H4666" s="43"/>
      <c r="AG4666" s="49" t="str">
        <f ca="1">IFERROR(__xludf.DUMMYFUNCTION("IFNA(vlookup(H4666,IMPORTRANGE(""1vUGwO1n0QQGx9kKbO0_M5gmuhXZ6-LaxQxgrmJnzgP0"",""'TP# look up'!A:C""),3,0),"""")"),"")</f>
        <v/>
      </c>
      <c r="AH4666" s="49" t="str">
        <f t="shared" si="72"/>
        <v/>
      </c>
    </row>
    <row r="4667" spans="8:34" ht="12.75">
      <c r="H4667" s="43"/>
      <c r="AG4667" s="49" t="str">
        <f ca="1">IFERROR(__xludf.DUMMYFUNCTION("IFNA(vlookup(H4667,IMPORTRANGE(""1vUGwO1n0QQGx9kKbO0_M5gmuhXZ6-LaxQxgrmJnzgP0"",""'TP# look up'!A:C""),3,0),"""")"),"")</f>
        <v/>
      </c>
      <c r="AH4667" s="49" t="str">
        <f t="shared" si="72"/>
        <v/>
      </c>
    </row>
    <row r="4668" spans="8:34" ht="12.75">
      <c r="H4668" s="43"/>
      <c r="AG4668" s="49" t="str">
        <f ca="1">IFERROR(__xludf.DUMMYFUNCTION("IFNA(vlookup(H4668,IMPORTRANGE(""1vUGwO1n0QQGx9kKbO0_M5gmuhXZ6-LaxQxgrmJnzgP0"",""'TP# look up'!A:C""),3,0),"""")"),"")</f>
        <v/>
      </c>
      <c r="AH4668" s="49" t="str">
        <f t="shared" si="72"/>
        <v/>
      </c>
    </row>
    <row r="4669" spans="8:34" ht="12.75">
      <c r="H4669" s="43"/>
      <c r="AG4669" s="49" t="str">
        <f ca="1">IFERROR(__xludf.DUMMYFUNCTION("IFNA(vlookup(H4669,IMPORTRANGE(""1vUGwO1n0QQGx9kKbO0_M5gmuhXZ6-LaxQxgrmJnzgP0"",""'TP# look up'!A:C""),3,0),"""")"),"")</f>
        <v/>
      </c>
      <c r="AH4669" s="49" t="str">
        <f t="shared" si="72"/>
        <v/>
      </c>
    </row>
    <row r="4670" spans="8:34" ht="12.75">
      <c r="H4670" s="43"/>
      <c r="AG4670" s="49" t="str">
        <f ca="1">IFERROR(__xludf.DUMMYFUNCTION("IFNA(vlookup(H4670,IMPORTRANGE(""1vUGwO1n0QQGx9kKbO0_M5gmuhXZ6-LaxQxgrmJnzgP0"",""'TP# look up'!A:C""),3,0),"""")"),"")</f>
        <v/>
      </c>
      <c r="AH4670" s="49" t="str">
        <f t="shared" si="72"/>
        <v/>
      </c>
    </row>
    <row r="4671" spans="8:34" ht="12.75">
      <c r="H4671" s="43"/>
      <c r="AG4671" s="49" t="str">
        <f ca="1">IFERROR(__xludf.DUMMYFUNCTION("IFNA(vlookup(H4671,IMPORTRANGE(""1vUGwO1n0QQGx9kKbO0_M5gmuhXZ6-LaxQxgrmJnzgP0"",""'TP# look up'!A:C""),3,0),"""")"),"")</f>
        <v/>
      </c>
      <c r="AH4671" s="49" t="str">
        <f t="shared" si="72"/>
        <v/>
      </c>
    </row>
    <row r="4672" spans="8:34" ht="12.75">
      <c r="H4672" s="43"/>
      <c r="AG4672" s="49" t="str">
        <f ca="1">IFERROR(__xludf.DUMMYFUNCTION("IFNA(vlookup(H4672,IMPORTRANGE(""1vUGwO1n0QQGx9kKbO0_M5gmuhXZ6-LaxQxgrmJnzgP0"",""'TP# look up'!A:C""),3,0),"""")"),"")</f>
        <v/>
      </c>
      <c r="AH4672" s="49" t="str">
        <f t="shared" si="72"/>
        <v/>
      </c>
    </row>
    <row r="4673" spans="8:34" ht="12.75">
      <c r="H4673" s="43"/>
      <c r="AG4673" s="49" t="str">
        <f ca="1">IFERROR(__xludf.DUMMYFUNCTION("IFNA(vlookup(H4673,IMPORTRANGE(""1vUGwO1n0QQGx9kKbO0_M5gmuhXZ6-LaxQxgrmJnzgP0"",""'TP# look up'!A:C""),3,0),"""")"),"")</f>
        <v/>
      </c>
      <c r="AH4673" s="49" t="str">
        <f t="shared" si="72"/>
        <v/>
      </c>
    </row>
    <row r="4674" spans="8:34" ht="12.75">
      <c r="H4674" s="43"/>
      <c r="AG4674" s="49" t="str">
        <f ca="1">IFERROR(__xludf.DUMMYFUNCTION("IFNA(vlookup(H4674,IMPORTRANGE(""1vUGwO1n0QQGx9kKbO0_M5gmuhXZ6-LaxQxgrmJnzgP0"",""'TP# look up'!A:C""),3,0),"""")"),"")</f>
        <v/>
      </c>
      <c r="AH4674" s="49" t="str">
        <f t="shared" ref="AH4674:AH4737" si="73">LEFT(J4674,2)</f>
        <v/>
      </c>
    </row>
    <row r="4675" spans="8:34" ht="12.75">
      <c r="H4675" s="43"/>
      <c r="AG4675" s="49" t="str">
        <f ca="1">IFERROR(__xludf.DUMMYFUNCTION("IFNA(vlookup(H4675,IMPORTRANGE(""1vUGwO1n0QQGx9kKbO0_M5gmuhXZ6-LaxQxgrmJnzgP0"",""'TP# look up'!A:C""),3,0),"""")"),"")</f>
        <v/>
      </c>
      <c r="AH4675" s="49" t="str">
        <f t="shared" si="73"/>
        <v/>
      </c>
    </row>
    <row r="4676" spans="8:34" ht="12.75">
      <c r="H4676" s="43"/>
      <c r="AG4676" s="49" t="str">
        <f ca="1">IFERROR(__xludf.DUMMYFUNCTION("IFNA(vlookup(H4676,IMPORTRANGE(""1vUGwO1n0QQGx9kKbO0_M5gmuhXZ6-LaxQxgrmJnzgP0"",""'TP# look up'!A:C""),3,0),"""")"),"")</f>
        <v/>
      </c>
      <c r="AH4676" s="49" t="str">
        <f t="shared" si="73"/>
        <v/>
      </c>
    </row>
    <row r="4677" spans="8:34" ht="12.75">
      <c r="H4677" s="43"/>
      <c r="AG4677" s="49" t="str">
        <f ca="1">IFERROR(__xludf.DUMMYFUNCTION("IFNA(vlookup(H4677,IMPORTRANGE(""1vUGwO1n0QQGx9kKbO0_M5gmuhXZ6-LaxQxgrmJnzgP0"",""'TP# look up'!A:C""),3,0),"""")"),"")</f>
        <v/>
      </c>
      <c r="AH4677" s="49" t="str">
        <f t="shared" si="73"/>
        <v/>
      </c>
    </row>
    <row r="4678" spans="8:34" ht="12.75">
      <c r="H4678" s="43"/>
      <c r="AG4678" s="49" t="str">
        <f ca="1">IFERROR(__xludf.DUMMYFUNCTION("IFNA(vlookup(H4678,IMPORTRANGE(""1vUGwO1n0QQGx9kKbO0_M5gmuhXZ6-LaxQxgrmJnzgP0"",""'TP# look up'!A:C""),3,0),"""")"),"")</f>
        <v/>
      </c>
      <c r="AH4678" s="49" t="str">
        <f t="shared" si="73"/>
        <v/>
      </c>
    </row>
    <row r="4679" spans="8:34" ht="12.75">
      <c r="H4679" s="43"/>
      <c r="AG4679" s="49" t="str">
        <f ca="1">IFERROR(__xludf.DUMMYFUNCTION("IFNA(vlookup(H4679,IMPORTRANGE(""1vUGwO1n0QQGx9kKbO0_M5gmuhXZ6-LaxQxgrmJnzgP0"",""'TP# look up'!A:C""),3,0),"""")"),"")</f>
        <v/>
      </c>
      <c r="AH4679" s="49" t="str">
        <f t="shared" si="73"/>
        <v/>
      </c>
    </row>
    <row r="4680" spans="8:34" ht="12.75">
      <c r="H4680" s="43"/>
      <c r="AG4680" s="49" t="str">
        <f ca="1">IFERROR(__xludf.DUMMYFUNCTION("IFNA(vlookup(H4680,IMPORTRANGE(""1vUGwO1n0QQGx9kKbO0_M5gmuhXZ6-LaxQxgrmJnzgP0"",""'TP# look up'!A:C""),3,0),"""")"),"")</f>
        <v/>
      </c>
      <c r="AH4680" s="49" t="str">
        <f t="shared" si="73"/>
        <v/>
      </c>
    </row>
    <row r="4681" spans="8:34" ht="12.75">
      <c r="H4681" s="43"/>
      <c r="AG4681" s="49" t="str">
        <f ca="1">IFERROR(__xludf.DUMMYFUNCTION("IFNA(vlookup(H4681,IMPORTRANGE(""1vUGwO1n0QQGx9kKbO0_M5gmuhXZ6-LaxQxgrmJnzgP0"",""'TP# look up'!A:C""),3,0),"""")"),"")</f>
        <v/>
      </c>
      <c r="AH4681" s="49" t="str">
        <f t="shared" si="73"/>
        <v/>
      </c>
    </row>
    <row r="4682" spans="8:34" ht="12.75">
      <c r="H4682" s="43"/>
      <c r="AG4682" s="49" t="str">
        <f ca="1">IFERROR(__xludf.DUMMYFUNCTION("IFNA(vlookup(H4682,IMPORTRANGE(""1vUGwO1n0QQGx9kKbO0_M5gmuhXZ6-LaxQxgrmJnzgP0"",""'TP# look up'!A:C""),3,0),"""")"),"")</f>
        <v/>
      </c>
      <c r="AH4682" s="49" t="str">
        <f t="shared" si="73"/>
        <v/>
      </c>
    </row>
    <row r="4683" spans="8:34" ht="12.75">
      <c r="H4683" s="43"/>
      <c r="AG4683" s="49" t="str">
        <f ca="1">IFERROR(__xludf.DUMMYFUNCTION("IFNA(vlookup(H4683,IMPORTRANGE(""1vUGwO1n0QQGx9kKbO0_M5gmuhXZ6-LaxQxgrmJnzgP0"",""'TP# look up'!A:C""),3,0),"""")"),"")</f>
        <v/>
      </c>
      <c r="AH4683" s="49" t="str">
        <f t="shared" si="73"/>
        <v/>
      </c>
    </row>
    <row r="4684" spans="8:34" ht="12.75">
      <c r="H4684" s="43"/>
      <c r="AG4684" s="49" t="str">
        <f ca="1">IFERROR(__xludf.DUMMYFUNCTION("IFNA(vlookup(H4684,IMPORTRANGE(""1vUGwO1n0QQGx9kKbO0_M5gmuhXZ6-LaxQxgrmJnzgP0"",""'TP# look up'!A:C""),3,0),"""")"),"")</f>
        <v/>
      </c>
      <c r="AH4684" s="49" t="str">
        <f t="shared" si="73"/>
        <v/>
      </c>
    </row>
    <row r="4685" spans="8:34" ht="12.75">
      <c r="H4685" s="43"/>
      <c r="AG4685" s="49" t="str">
        <f ca="1">IFERROR(__xludf.DUMMYFUNCTION("IFNA(vlookup(H4685,IMPORTRANGE(""1vUGwO1n0QQGx9kKbO0_M5gmuhXZ6-LaxQxgrmJnzgP0"",""'TP# look up'!A:C""),3,0),"""")"),"")</f>
        <v/>
      </c>
      <c r="AH4685" s="49" t="str">
        <f t="shared" si="73"/>
        <v/>
      </c>
    </row>
    <row r="4686" spans="8:34" ht="12.75">
      <c r="H4686" s="43"/>
      <c r="AG4686" s="49" t="str">
        <f ca="1">IFERROR(__xludf.DUMMYFUNCTION("IFNA(vlookup(H4686,IMPORTRANGE(""1vUGwO1n0QQGx9kKbO0_M5gmuhXZ6-LaxQxgrmJnzgP0"",""'TP# look up'!A:C""),3,0),"""")"),"")</f>
        <v/>
      </c>
      <c r="AH4686" s="49" t="str">
        <f t="shared" si="73"/>
        <v/>
      </c>
    </row>
    <row r="4687" spans="8:34" ht="12.75">
      <c r="H4687" s="43"/>
      <c r="AG4687" s="49" t="str">
        <f ca="1">IFERROR(__xludf.DUMMYFUNCTION("IFNA(vlookup(H4687,IMPORTRANGE(""1vUGwO1n0QQGx9kKbO0_M5gmuhXZ6-LaxQxgrmJnzgP0"",""'TP# look up'!A:C""),3,0),"""")"),"")</f>
        <v/>
      </c>
      <c r="AH4687" s="49" t="str">
        <f t="shared" si="73"/>
        <v/>
      </c>
    </row>
    <row r="4688" spans="8:34" ht="12.75">
      <c r="H4688" s="43"/>
      <c r="AG4688" s="49" t="str">
        <f ca="1">IFERROR(__xludf.DUMMYFUNCTION("IFNA(vlookup(H4688,IMPORTRANGE(""1vUGwO1n0QQGx9kKbO0_M5gmuhXZ6-LaxQxgrmJnzgP0"",""'TP# look up'!A:C""),3,0),"""")"),"")</f>
        <v/>
      </c>
      <c r="AH4688" s="49" t="str">
        <f t="shared" si="73"/>
        <v/>
      </c>
    </row>
    <row r="4689" spans="8:34" ht="12.75">
      <c r="H4689" s="43"/>
      <c r="AG4689" s="49" t="str">
        <f ca="1">IFERROR(__xludf.DUMMYFUNCTION("IFNA(vlookup(H4689,IMPORTRANGE(""1vUGwO1n0QQGx9kKbO0_M5gmuhXZ6-LaxQxgrmJnzgP0"",""'TP# look up'!A:C""),3,0),"""")"),"")</f>
        <v/>
      </c>
      <c r="AH4689" s="49" t="str">
        <f t="shared" si="73"/>
        <v/>
      </c>
    </row>
    <row r="4690" spans="8:34" ht="12.75">
      <c r="H4690" s="43"/>
      <c r="AG4690" s="49" t="str">
        <f ca="1">IFERROR(__xludf.DUMMYFUNCTION("IFNA(vlookup(H4690,IMPORTRANGE(""1vUGwO1n0QQGx9kKbO0_M5gmuhXZ6-LaxQxgrmJnzgP0"",""'TP# look up'!A:C""),3,0),"""")"),"")</f>
        <v/>
      </c>
      <c r="AH4690" s="49" t="str">
        <f t="shared" si="73"/>
        <v/>
      </c>
    </row>
    <row r="4691" spans="8:34" ht="12.75">
      <c r="H4691" s="43"/>
      <c r="AG4691" s="49" t="str">
        <f ca="1">IFERROR(__xludf.DUMMYFUNCTION("IFNA(vlookup(H4691,IMPORTRANGE(""1vUGwO1n0QQGx9kKbO0_M5gmuhXZ6-LaxQxgrmJnzgP0"",""'TP# look up'!A:C""),3,0),"""")"),"")</f>
        <v/>
      </c>
      <c r="AH4691" s="49" t="str">
        <f t="shared" si="73"/>
        <v/>
      </c>
    </row>
    <row r="4692" spans="8:34" ht="12.75">
      <c r="H4692" s="43"/>
      <c r="AG4692" s="49" t="str">
        <f ca="1">IFERROR(__xludf.DUMMYFUNCTION("IFNA(vlookup(H4692,IMPORTRANGE(""1vUGwO1n0QQGx9kKbO0_M5gmuhXZ6-LaxQxgrmJnzgP0"",""'TP# look up'!A:C""),3,0),"""")"),"")</f>
        <v/>
      </c>
      <c r="AH4692" s="49" t="str">
        <f t="shared" si="73"/>
        <v/>
      </c>
    </row>
    <row r="4693" spans="8:34" ht="12.75">
      <c r="H4693" s="43"/>
      <c r="AG4693" s="49" t="str">
        <f ca="1">IFERROR(__xludf.DUMMYFUNCTION("IFNA(vlookup(H4693,IMPORTRANGE(""1vUGwO1n0QQGx9kKbO0_M5gmuhXZ6-LaxQxgrmJnzgP0"",""'TP# look up'!A:C""),3,0),"""")"),"")</f>
        <v/>
      </c>
      <c r="AH4693" s="49" t="str">
        <f t="shared" si="73"/>
        <v/>
      </c>
    </row>
    <row r="4694" spans="8:34" ht="12.75">
      <c r="H4694" s="43"/>
      <c r="AG4694" s="49" t="str">
        <f ca="1">IFERROR(__xludf.DUMMYFUNCTION("IFNA(vlookup(H4694,IMPORTRANGE(""1vUGwO1n0QQGx9kKbO0_M5gmuhXZ6-LaxQxgrmJnzgP0"",""'TP# look up'!A:C""),3,0),"""")"),"")</f>
        <v/>
      </c>
      <c r="AH4694" s="49" t="str">
        <f t="shared" si="73"/>
        <v/>
      </c>
    </row>
    <row r="4695" spans="8:34" ht="12.75">
      <c r="H4695" s="43"/>
      <c r="AG4695" s="49" t="str">
        <f ca="1">IFERROR(__xludf.DUMMYFUNCTION("IFNA(vlookup(H4695,IMPORTRANGE(""1vUGwO1n0QQGx9kKbO0_M5gmuhXZ6-LaxQxgrmJnzgP0"",""'TP# look up'!A:C""),3,0),"""")"),"")</f>
        <v/>
      </c>
      <c r="AH4695" s="49" t="str">
        <f t="shared" si="73"/>
        <v/>
      </c>
    </row>
    <row r="4696" spans="8:34" ht="12.75">
      <c r="H4696" s="43"/>
      <c r="AG4696" s="49" t="str">
        <f ca="1">IFERROR(__xludf.DUMMYFUNCTION("IFNA(vlookup(H4696,IMPORTRANGE(""1vUGwO1n0QQGx9kKbO0_M5gmuhXZ6-LaxQxgrmJnzgP0"",""'TP# look up'!A:C""),3,0),"""")"),"")</f>
        <v/>
      </c>
      <c r="AH4696" s="49" t="str">
        <f t="shared" si="73"/>
        <v/>
      </c>
    </row>
    <row r="4697" spans="8:34" ht="12.75">
      <c r="H4697" s="43"/>
      <c r="AG4697" s="49" t="str">
        <f ca="1">IFERROR(__xludf.DUMMYFUNCTION("IFNA(vlookup(H4697,IMPORTRANGE(""1vUGwO1n0QQGx9kKbO0_M5gmuhXZ6-LaxQxgrmJnzgP0"",""'TP# look up'!A:C""),3,0),"""")"),"")</f>
        <v/>
      </c>
      <c r="AH4697" s="49" t="str">
        <f t="shared" si="73"/>
        <v/>
      </c>
    </row>
    <row r="4698" spans="8:34" ht="12.75">
      <c r="H4698" s="43"/>
      <c r="AG4698" s="49" t="str">
        <f ca="1">IFERROR(__xludf.DUMMYFUNCTION("IFNA(vlookup(H4698,IMPORTRANGE(""1vUGwO1n0QQGx9kKbO0_M5gmuhXZ6-LaxQxgrmJnzgP0"",""'TP# look up'!A:C""),3,0),"""")"),"")</f>
        <v/>
      </c>
      <c r="AH4698" s="49" t="str">
        <f t="shared" si="73"/>
        <v/>
      </c>
    </row>
    <row r="4699" spans="8:34" ht="12.75">
      <c r="H4699" s="43"/>
      <c r="AG4699" s="49" t="str">
        <f ca="1">IFERROR(__xludf.DUMMYFUNCTION("IFNA(vlookup(H4699,IMPORTRANGE(""1vUGwO1n0QQGx9kKbO0_M5gmuhXZ6-LaxQxgrmJnzgP0"",""'TP# look up'!A:C""),3,0),"""")"),"")</f>
        <v/>
      </c>
      <c r="AH4699" s="49" t="str">
        <f t="shared" si="73"/>
        <v/>
      </c>
    </row>
    <row r="4700" spans="8:34" ht="12.75">
      <c r="H4700" s="43"/>
      <c r="AG4700" s="49" t="str">
        <f ca="1">IFERROR(__xludf.DUMMYFUNCTION("IFNA(vlookup(H4700,IMPORTRANGE(""1vUGwO1n0QQGx9kKbO0_M5gmuhXZ6-LaxQxgrmJnzgP0"",""'TP# look up'!A:C""),3,0),"""")"),"")</f>
        <v/>
      </c>
      <c r="AH4700" s="49" t="str">
        <f t="shared" si="73"/>
        <v/>
      </c>
    </row>
    <row r="4701" spans="8:34" ht="12.75">
      <c r="H4701" s="43"/>
      <c r="AG4701" s="49" t="str">
        <f ca="1">IFERROR(__xludf.DUMMYFUNCTION("IFNA(vlookup(H4701,IMPORTRANGE(""1vUGwO1n0QQGx9kKbO0_M5gmuhXZ6-LaxQxgrmJnzgP0"",""'TP# look up'!A:C""),3,0),"""")"),"")</f>
        <v/>
      </c>
      <c r="AH4701" s="49" t="str">
        <f t="shared" si="73"/>
        <v/>
      </c>
    </row>
    <row r="4702" spans="8:34" ht="12.75">
      <c r="H4702" s="43"/>
      <c r="AG4702" s="49" t="str">
        <f ca="1">IFERROR(__xludf.DUMMYFUNCTION("IFNA(vlookup(H4702,IMPORTRANGE(""1vUGwO1n0QQGx9kKbO0_M5gmuhXZ6-LaxQxgrmJnzgP0"",""'TP# look up'!A:C""),3,0),"""")"),"")</f>
        <v/>
      </c>
      <c r="AH4702" s="49" t="str">
        <f t="shared" si="73"/>
        <v/>
      </c>
    </row>
    <row r="4703" spans="8:34" ht="12.75">
      <c r="H4703" s="43"/>
      <c r="AG4703" s="49" t="str">
        <f ca="1">IFERROR(__xludf.DUMMYFUNCTION("IFNA(vlookup(H4703,IMPORTRANGE(""1vUGwO1n0QQGx9kKbO0_M5gmuhXZ6-LaxQxgrmJnzgP0"",""'TP# look up'!A:C""),3,0),"""")"),"")</f>
        <v/>
      </c>
      <c r="AH4703" s="49" t="str">
        <f t="shared" si="73"/>
        <v/>
      </c>
    </row>
    <row r="4704" spans="8:34" ht="12.75">
      <c r="H4704" s="43"/>
      <c r="AG4704" s="49" t="str">
        <f ca="1">IFERROR(__xludf.DUMMYFUNCTION("IFNA(vlookup(H4704,IMPORTRANGE(""1vUGwO1n0QQGx9kKbO0_M5gmuhXZ6-LaxQxgrmJnzgP0"",""'TP# look up'!A:C""),3,0),"""")"),"")</f>
        <v/>
      </c>
      <c r="AH4704" s="49" t="str">
        <f t="shared" si="73"/>
        <v/>
      </c>
    </row>
    <row r="4705" spans="8:34" ht="12.75">
      <c r="H4705" s="43"/>
      <c r="AG4705" s="49" t="str">
        <f ca="1">IFERROR(__xludf.DUMMYFUNCTION("IFNA(vlookup(H4705,IMPORTRANGE(""1vUGwO1n0QQGx9kKbO0_M5gmuhXZ6-LaxQxgrmJnzgP0"",""'TP# look up'!A:C""),3,0),"""")"),"")</f>
        <v/>
      </c>
      <c r="AH4705" s="49" t="str">
        <f t="shared" si="73"/>
        <v/>
      </c>
    </row>
    <row r="4706" spans="8:34" ht="12.75">
      <c r="H4706" s="43"/>
      <c r="AG4706" s="49" t="str">
        <f ca="1">IFERROR(__xludf.DUMMYFUNCTION("IFNA(vlookup(H4706,IMPORTRANGE(""1vUGwO1n0QQGx9kKbO0_M5gmuhXZ6-LaxQxgrmJnzgP0"",""'TP# look up'!A:C""),3,0),"""")"),"")</f>
        <v/>
      </c>
      <c r="AH4706" s="49" t="str">
        <f t="shared" si="73"/>
        <v/>
      </c>
    </row>
    <row r="4707" spans="8:34" ht="12.75">
      <c r="H4707" s="43"/>
      <c r="AG4707" s="49" t="str">
        <f ca="1">IFERROR(__xludf.DUMMYFUNCTION("IFNA(vlookup(H4707,IMPORTRANGE(""1vUGwO1n0QQGx9kKbO0_M5gmuhXZ6-LaxQxgrmJnzgP0"",""'TP# look up'!A:C""),3,0),"""")"),"")</f>
        <v/>
      </c>
      <c r="AH4707" s="49" t="str">
        <f t="shared" si="73"/>
        <v/>
      </c>
    </row>
    <row r="4708" spans="8:34" ht="12.75">
      <c r="H4708" s="43"/>
      <c r="AG4708" s="49" t="str">
        <f ca="1">IFERROR(__xludf.DUMMYFUNCTION("IFNA(vlookup(H4708,IMPORTRANGE(""1vUGwO1n0QQGx9kKbO0_M5gmuhXZ6-LaxQxgrmJnzgP0"",""'TP# look up'!A:C""),3,0),"""")"),"")</f>
        <v/>
      </c>
      <c r="AH4708" s="49" t="str">
        <f t="shared" si="73"/>
        <v/>
      </c>
    </row>
    <row r="4709" spans="8:34" ht="12.75">
      <c r="H4709" s="43"/>
      <c r="AG4709" s="49" t="str">
        <f ca="1">IFERROR(__xludf.DUMMYFUNCTION("IFNA(vlookup(H4709,IMPORTRANGE(""1vUGwO1n0QQGx9kKbO0_M5gmuhXZ6-LaxQxgrmJnzgP0"",""'TP# look up'!A:C""),3,0),"""")"),"")</f>
        <v/>
      </c>
      <c r="AH4709" s="49" t="str">
        <f t="shared" si="73"/>
        <v/>
      </c>
    </row>
    <row r="4710" spans="8:34" ht="12.75">
      <c r="H4710" s="43"/>
      <c r="AG4710" s="49" t="str">
        <f ca="1">IFERROR(__xludf.DUMMYFUNCTION("IFNA(vlookup(H4710,IMPORTRANGE(""1vUGwO1n0QQGx9kKbO0_M5gmuhXZ6-LaxQxgrmJnzgP0"",""'TP# look up'!A:C""),3,0),"""")"),"")</f>
        <v/>
      </c>
      <c r="AH4710" s="49" t="str">
        <f t="shared" si="73"/>
        <v/>
      </c>
    </row>
    <row r="4711" spans="8:34" ht="12.75">
      <c r="H4711" s="43"/>
      <c r="AG4711" s="49" t="str">
        <f ca="1">IFERROR(__xludf.DUMMYFUNCTION("IFNA(vlookup(H4711,IMPORTRANGE(""1vUGwO1n0QQGx9kKbO0_M5gmuhXZ6-LaxQxgrmJnzgP0"",""'TP# look up'!A:C""),3,0),"""")"),"")</f>
        <v/>
      </c>
      <c r="AH4711" s="49" t="str">
        <f t="shared" si="73"/>
        <v/>
      </c>
    </row>
    <row r="4712" spans="8:34" ht="12.75">
      <c r="H4712" s="43"/>
      <c r="AG4712" s="49" t="str">
        <f ca="1">IFERROR(__xludf.DUMMYFUNCTION("IFNA(vlookup(H4712,IMPORTRANGE(""1vUGwO1n0QQGx9kKbO0_M5gmuhXZ6-LaxQxgrmJnzgP0"",""'TP# look up'!A:C""),3,0),"""")"),"")</f>
        <v/>
      </c>
      <c r="AH4712" s="49" t="str">
        <f t="shared" si="73"/>
        <v/>
      </c>
    </row>
    <row r="4713" spans="8:34" ht="12.75">
      <c r="H4713" s="43"/>
      <c r="AG4713" s="49" t="str">
        <f ca="1">IFERROR(__xludf.DUMMYFUNCTION("IFNA(vlookup(H4713,IMPORTRANGE(""1vUGwO1n0QQGx9kKbO0_M5gmuhXZ6-LaxQxgrmJnzgP0"",""'TP# look up'!A:C""),3,0),"""")"),"")</f>
        <v/>
      </c>
      <c r="AH4713" s="49" t="str">
        <f t="shared" si="73"/>
        <v/>
      </c>
    </row>
    <row r="4714" spans="8:34" ht="12.75">
      <c r="H4714" s="43"/>
      <c r="AG4714" s="49" t="str">
        <f ca="1">IFERROR(__xludf.DUMMYFUNCTION("IFNA(vlookup(H4714,IMPORTRANGE(""1vUGwO1n0QQGx9kKbO0_M5gmuhXZ6-LaxQxgrmJnzgP0"",""'TP# look up'!A:C""),3,0),"""")"),"")</f>
        <v/>
      </c>
      <c r="AH4714" s="49" t="str">
        <f t="shared" si="73"/>
        <v/>
      </c>
    </row>
    <row r="4715" spans="8:34" ht="12.75">
      <c r="H4715" s="43"/>
      <c r="AG4715" s="49" t="str">
        <f ca="1">IFERROR(__xludf.DUMMYFUNCTION("IFNA(vlookup(H4715,IMPORTRANGE(""1vUGwO1n0QQGx9kKbO0_M5gmuhXZ6-LaxQxgrmJnzgP0"",""'TP# look up'!A:C""),3,0),"""")"),"")</f>
        <v/>
      </c>
      <c r="AH4715" s="49" t="str">
        <f t="shared" si="73"/>
        <v/>
      </c>
    </row>
    <row r="4716" spans="8:34" ht="12.75">
      <c r="H4716" s="43"/>
      <c r="AG4716" s="49" t="str">
        <f ca="1">IFERROR(__xludf.DUMMYFUNCTION("IFNA(vlookup(H4716,IMPORTRANGE(""1vUGwO1n0QQGx9kKbO0_M5gmuhXZ6-LaxQxgrmJnzgP0"",""'TP# look up'!A:C""),3,0),"""")"),"")</f>
        <v/>
      </c>
      <c r="AH4716" s="49" t="str">
        <f t="shared" si="73"/>
        <v/>
      </c>
    </row>
    <row r="4717" spans="8:34" ht="12.75">
      <c r="H4717" s="43"/>
      <c r="AG4717" s="49" t="str">
        <f ca="1">IFERROR(__xludf.DUMMYFUNCTION("IFNA(vlookup(H4717,IMPORTRANGE(""1vUGwO1n0QQGx9kKbO0_M5gmuhXZ6-LaxQxgrmJnzgP0"",""'TP# look up'!A:C""),3,0),"""")"),"")</f>
        <v/>
      </c>
      <c r="AH4717" s="49" t="str">
        <f t="shared" si="73"/>
        <v/>
      </c>
    </row>
    <row r="4718" spans="8:34" ht="12.75">
      <c r="H4718" s="43"/>
      <c r="AG4718" s="49" t="str">
        <f ca="1">IFERROR(__xludf.DUMMYFUNCTION("IFNA(vlookup(H4718,IMPORTRANGE(""1vUGwO1n0QQGx9kKbO0_M5gmuhXZ6-LaxQxgrmJnzgP0"",""'TP# look up'!A:C""),3,0),"""")"),"")</f>
        <v/>
      </c>
      <c r="AH4718" s="49" t="str">
        <f t="shared" si="73"/>
        <v/>
      </c>
    </row>
    <row r="4719" spans="8:34" ht="12.75">
      <c r="H4719" s="43"/>
      <c r="AG4719" s="49" t="str">
        <f ca="1">IFERROR(__xludf.DUMMYFUNCTION("IFNA(vlookup(H4719,IMPORTRANGE(""1vUGwO1n0QQGx9kKbO0_M5gmuhXZ6-LaxQxgrmJnzgP0"",""'TP# look up'!A:C""),3,0),"""")"),"")</f>
        <v/>
      </c>
      <c r="AH4719" s="49" t="str">
        <f t="shared" si="73"/>
        <v/>
      </c>
    </row>
    <row r="4720" spans="8:34" ht="12.75">
      <c r="H4720" s="43"/>
      <c r="AG4720" s="49" t="str">
        <f ca="1">IFERROR(__xludf.DUMMYFUNCTION("IFNA(vlookup(H4720,IMPORTRANGE(""1vUGwO1n0QQGx9kKbO0_M5gmuhXZ6-LaxQxgrmJnzgP0"",""'TP# look up'!A:C""),3,0),"""")"),"")</f>
        <v/>
      </c>
      <c r="AH4720" s="49" t="str">
        <f t="shared" si="73"/>
        <v/>
      </c>
    </row>
    <row r="4721" spans="8:34" ht="12.75">
      <c r="H4721" s="43"/>
      <c r="AG4721" s="49" t="str">
        <f ca="1">IFERROR(__xludf.DUMMYFUNCTION("IFNA(vlookup(H4721,IMPORTRANGE(""1vUGwO1n0QQGx9kKbO0_M5gmuhXZ6-LaxQxgrmJnzgP0"",""'TP# look up'!A:C""),3,0),"""")"),"")</f>
        <v/>
      </c>
      <c r="AH4721" s="49" t="str">
        <f t="shared" si="73"/>
        <v/>
      </c>
    </row>
    <row r="4722" spans="8:34" ht="12.75">
      <c r="H4722" s="43"/>
      <c r="AG4722" s="49" t="str">
        <f ca="1">IFERROR(__xludf.DUMMYFUNCTION("IFNA(vlookup(H4722,IMPORTRANGE(""1vUGwO1n0QQGx9kKbO0_M5gmuhXZ6-LaxQxgrmJnzgP0"",""'TP# look up'!A:C""),3,0),"""")"),"")</f>
        <v/>
      </c>
      <c r="AH4722" s="49" t="str">
        <f t="shared" si="73"/>
        <v/>
      </c>
    </row>
    <row r="4723" spans="8:34" ht="12.75">
      <c r="H4723" s="43"/>
      <c r="AG4723" s="49" t="str">
        <f ca="1">IFERROR(__xludf.DUMMYFUNCTION("IFNA(vlookup(H4723,IMPORTRANGE(""1vUGwO1n0QQGx9kKbO0_M5gmuhXZ6-LaxQxgrmJnzgP0"",""'TP# look up'!A:C""),3,0),"""")"),"")</f>
        <v/>
      </c>
      <c r="AH4723" s="49" t="str">
        <f t="shared" si="73"/>
        <v/>
      </c>
    </row>
    <row r="4724" spans="8:34" ht="12.75">
      <c r="H4724" s="43"/>
      <c r="AG4724" s="49" t="str">
        <f ca="1">IFERROR(__xludf.DUMMYFUNCTION("IFNA(vlookup(H4724,IMPORTRANGE(""1vUGwO1n0QQGx9kKbO0_M5gmuhXZ6-LaxQxgrmJnzgP0"",""'TP# look up'!A:C""),3,0),"""")"),"")</f>
        <v/>
      </c>
      <c r="AH4724" s="49" t="str">
        <f t="shared" si="73"/>
        <v/>
      </c>
    </row>
    <row r="4725" spans="8:34" ht="12.75">
      <c r="H4725" s="43"/>
      <c r="AG4725" s="49" t="str">
        <f ca="1">IFERROR(__xludf.DUMMYFUNCTION("IFNA(vlookup(H4725,IMPORTRANGE(""1vUGwO1n0QQGx9kKbO0_M5gmuhXZ6-LaxQxgrmJnzgP0"",""'TP# look up'!A:C""),3,0),"""")"),"")</f>
        <v/>
      </c>
      <c r="AH4725" s="49" t="str">
        <f t="shared" si="73"/>
        <v/>
      </c>
    </row>
    <row r="4726" spans="8:34" ht="12.75">
      <c r="H4726" s="43"/>
      <c r="AG4726" s="49" t="str">
        <f ca="1">IFERROR(__xludf.DUMMYFUNCTION("IFNA(vlookup(H4726,IMPORTRANGE(""1vUGwO1n0QQGx9kKbO0_M5gmuhXZ6-LaxQxgrmJnzgP0"",""'TP# look up'!A:C""),3,0),"""")"),"")</f>
        <v/>
      </c>
      <c r="AH4726" s="49" t="str">
        <f t="shared" si="73"/>
        <v/>
      </c>
    </row>
    <row r="4727" spans="8:34" ht="12.75">
      <c r="H4727" s="43"/>
      <c r="AG4727" s="49" t="str">
        <f ca="1">IFERROR(__xludf.DUMMYFUNCTION("IFNA(vlookup(H4727,IMPORTRANGE(""1vUGwO1n0QQGx9kKbO0_M5gmuhXZ6-LaxQxgrmJnzgP0"",""'TP# look up'!A:C""),3,0),"""")"),"")</f>
        <v/>
      </c>
      <c r="AH4727" s="49" t="str">
        <f t="shared" si="73"/>
        <v/>
      </c>
    </row>
    <row r="4728" spans="8:34" ht="12.75">
      <c r="H4728" s="43"/>
      <c r="AG4728" s="49" t="str">
        <f ca="1">IFERROR(__xludf.DUMMYFUNCTION("IFNA(vlookup(H4728,IMPORTRANGE(""1vUGwO1n0QQGx9kKbO0_M5gmuhXZ6-LaxQxgrmJnzgP0"",""'TP# look up'!A:C""),3,0),"""")"),"")</f>
        <v/>
      </c>
      <c r="AH4728" s="49" t="str">
        <f t="shared" si="73"/>
        <v/>
      </c>
    </row>
    <row r="4729" spans="8:34" ht="12.75">
      <c r="H4729" s="43"/>
      <c r="AG4729" s="49" t="str">
        <f ca="1">IFERROR(__xludf.DUMMYFUNCTION("IFNA(vlookup(H4729,IMPORTRANGE(""1vUGwO1n0QQGx9kKbO0_M5gmuhXZ6-LaxQxgrmJnzgP0"",""'TP# look up'!A:C""),3,0),"""")"),"")</f>
        <v/>
      </c>
      <c r="AH4729" s="49" t="str">
        <f t="shared" si="73"/>
        <v/>
      </c>
    </row>
    <row r="4730" spans="8:34" ht="12.75">
      <c r="H4730" s="43"/>
      <c r="AG4730" s="49" t="str">
        <f ca="1">IFERROR(__xludf.DUMMYFUNCTION("IFNA(vlookup(H4730,IMPORTRANGE(""1vUGwO1n0QQGx9kKbO0_M5gmuhXZ6-LaxQxgrmJnzgP0"",""'TP# look up'!A:C""),3,0),"""")"),"")</f>
        <v/>
      </c>
      <c r="AH4730" s="49" t="str">
        <f t="shared" si="73"/>
        <v/>
      </c>
    </row>
    <row r="4731" spans="8:34" ht="12.75">
      <c r="H4731" s="43"/>
      <c r="AG4731" s="49" t="str">
        <f ca="1">IFERROR(__xludf.DUMMYFUNCTION("IFNA(vlookup(H4731,IMPORTRANGE(""1vUGwO1n0QQGx9kKbO0_M5gmuhXZ6-LaxQxgrmJnzgP0"",""'TP# look up'!A:C""),3,0),"""")"),"")</f>
        <v/>
      </c>
      <c r="AH4731" s="49" t="str">
        <f t="shared" si="73"/>
        <v/>
      </c>
    </row>
    <row r="4732" spans="8:34" ht="12.75">
      <c r="H4732" s="43"/>
      <c r="AG4732" s="49" t="str">
        <f ca="1">IFERROR(__xludf.DUMMYFUNCTION("IFNA(vlookup(H4732,IMPORTRANGE(""1vUGwO1n0QQGx9kKbO0_M5gmuhXZ6-LaxQxgrmJnzgP0"",""'TP# look up'!A:C""),3,0),"""")"),"")</f>
        <v/>
      </c>
      <c r="AH4732" s="49" t="str">
        <f t="shared" si="73"/>
        <v/>
      </c>
    </row>
    <row r="4733" spans="8:34" ht="12.75">
      <c r="H4733" s="43"/>
      <c r="AG4733" s="49" t="str">
        <f ca="1">IFERROR(__xludf.DUMMYFUNCTION("IFNA(vlookup(H4733,IMPORTRANGE(""1vUGwO1n0QQGx9kKbO0_M5gmuhXZ6-LaxQxgrmJnzgP0"",""'TP# look up'!A:C""),3,0),"""")"),"")</f>
        <v/>
      </c>
      <c r="AH4733" s="49" t="str">
        <f t="shared" si="73"/>
        <v/>
      </c>
    </row>
    <row r="4734" spans="8:34" ht="12.75">
      <c r="H4734" s="43"/>
      <c r="AG4734" s="49" t="str">
        <f ca="1">IFERROR(__xludf.DUMMYFUNCTION("IFNA(vlookup(H4734,IMPORTRANGE(""1vUGwO1n0QQGx9kKbO0_M5gmuhXZ6-LaxQxgrmJnzgP0"",""'TP# look up'!A:C""),3,0),"""")"),"")</f>
        <v/>
      </c>
      <c r="AH4734" s="49" t="str">
        <f t="shared" si="73"/>
        <v/>
      </c>
    </row>
    <row r="4735" spans="8:34" ht="12.75">
      <c r="H4735" s="43"/>
      <c r="AG4735" s="49" t="str">
        <f ca="1">IFERROR(__xludf.DUMMYFUNCTION("IFNA(vlookup(H4735,IMPORTRANGE(""1vUGwO1n0QQGx9kKbO0_M5gmuhXZ6-LaxQxgrmJnzgP0"",""'TP# look up'!A:C""),3,0),"""")"),"")</f>
        <v/>
      </c>
      <c r="AH4735" s="49" t="str">
        <f t="shared" si="73"/>
        <v/>
      </c>
    </row>
    <row r="4736" spans="8:34" ht="12.75">
      <c r="H4736" s="43"/>
      <c r="AG4736" s="49" t="str">
        <f ca="1">IFERROR(__xludf.DUMMYFUNCTION("IFNA(vlookup(H4736,IMPORTRANGE(""1vUGwO1n0QQGx9kKbO0_M5gmuhXZ6-LaxQxgrmJnzgP0"",""'TP# look up'!A:C""),3,0),"""")"),"")</f>
        <v/>
      </c>
      <c r="AH4736" s="49" t="str">
        <f t="shared" si="73"/>
        <v/>
      </c>
    </row>
    <row r="4737" spans="8:34" ht="12.75">
      <c r="H4737" s="43"/>
      <c r="AG4737" s="49" t="str">
        <f ca="1">IFERROR(__xludf.DUMMYFUNCTION("IFNA(vlookup(H4737,IMPORTRANGE(""1vUGwO1n0QQGx9kKbO0_M5gmuhXZ6-LaxQxgrmJnzgP0"",""'TP# look up'!A:C""),3,0),"""")"),"")</f>
        <v/>
      </c>
      <c r="AH4737" s="49" t="str">
        <f t="shared" si="73"/>
        <v/>
      </c>
    </row>
    <row r="4738" spans="8:34" ht="12.75">
      <c r="H4738" s="43"/>
      <c r="AG4738" s="49" t="str">
        <f ca="1">IFERROR(__xludf.DUMMYFUNCTION("IFNA(vlookup(H4738,IMPORTRANGE(""1vUGwO1n0QQGx9kKbO0_M5gmuhXZ6-LaxQxgrmJnzgP0"",""'TP# look up'!A:C""),3,0),"""")"),"")</f>
        <v/>
      </c>
      <c r="AH4738" s="49" t="str">
        <f t="shared" ref="AH4738:AH4801" si="74">LEFT(J4738,2)</f>
        <v/>
      </c>
    </row>
    <row r="4739" spans="8:34" ht="12.75">
      <c r="H4739" s="43"/>
      <c r="AG4739" s="49" t="str">
        <f ca="1">IFERROR(__xludf.DUMMYFUNCTION("IFNA(vlookup(H4739,IMPORTRANGE(""1vUGwO1n0QQGx9kKbO0_M5gmuhXZ6-LaxQxgrmJnzgP0"",""'TP# look up'!A:C""),3,0),"""")"),"")</f>
        <v/>
      </c>
      <c r="AH4739" s="49" t="str">
        <f t="shared" si="74"/>
        <v/>
      </c>
    </row>
    <row r="4740" spans="8:34" ht="12.75">
      <c r="H4740" s="43"/>
      <c r="AG4740" s="49" t="str">
        <f ca="1">IFERROR(__xludf.DUMMYFUNCTION("IFNA(vlookup(H4740,IMPORTRANGE(""1vUGwO1n0QQGx9kKbO0_M5gmuhXZ6-LaxQxgrmJnzgP0"",""'TP# look up'!A:C""),3,0),"""")"),"")</f>
        <v/>
      </c>
      <c r="AH4740" s="49" t="str">
        <f t="shared" si="74"/>
        <v/>
      </c>
    </row>
    <row r="4741" spans="8:34" ht="12.75">
      <c r="H4741" s="43"/>
      <c r="AG4741" s="49" t="str">
        <f ca="1">IFERROR(__xludf.DUMMYFUNCTION("IFNA(vlookup(H4741,IMPORTRANGE(""1vUGwO1n0QQGx9kKbO0_M5gmuhXZ6-LaxQxgrmJnzgP0"",""'TP# look up'!A:C""),3,0),"""")"),"")</f>
        <v/>
      </c>
      <c r="AH4741" s="49" t="str">
        <f t="shared" si="74"/>
        <v/>
      </c>
    </row>
    <row r="4742" spans="8:34" ht="12.75">
      <c r="H4742" s="43"/>
      <c r="AG4742" s="49" t="str">
        <f ca="1">IFERROR(__xludf.DUMMYFUNCTION("IFNA(vlookup(H4742,IMPORTRANGE(""1vUGwO1n0QQGx9kKbO0_M5gmuhXZ6-LaxQxgrmJnzgP0"",""'TP# look up'!A:C""),3,0),"""")"),"")</f>
        <v/>
      </c>
      <c r="AH4742" s="49" t="str">
        <f t="shared" si="74"/>
        <v/>
      </c>
    </row>
    <row r="4743" spans="8:34" ht="12.75">
      <c r="H4743" s="43"/>
      <c r="AG4743" s="49" t="str">
        <f ca="1">IFERROR(__xludf.DUMMYFUNCTION("IFNA(vlookup(H4743,IMPORTRANGE(""1vUGwO1n0QQGx9kKbO0_M5gmuhXZ6-LaxQxgrmJnzgP0"",""'TP# look up'!A:C""),3,0),"""")"),"")</f>
        <v/>
      </c>
      <c r="AH4743" s="49" t="str">
        <f t="shared" si="74"/>
        <v/>
      </c>
    </row>
    <row r="4744" spans="8:34" ht="12.75">
      <c r="H4744" s="43"/>
      <c r="AG4744" s="49" t="str">
        <f ca="1">IFERROR(__xludf.DUMMYFUNCTION("IFNA(vlookup(H4744,IMPORTRANGE(""1vUGwO1n0QQGx9kKbO0_M5gmuhXZ6-LaxQxgrmJnzgP0"",""'TP# look up'!A:C""),3,0),"""")"),"")</f>
        <v/>
      </c>
      <c r="AH4744" s="49" t="str">
        <f t="shared" si="74"/>
        <v/>
      </c>
    </row>
    <row r="4745" spans="8:34" ht="12.75">
      <c r="H4745" s="43"/>
      <c r="AG4745" s="49" t="str">
        <f ca="1">IFERROR(__xludf.DUMMYFUNCTION("IFNA(vlookup(H4745,IMPORTRANGE(""1vUGwO1n0QQGx9kKbO0_M5gmuhXZ6-LaxQxgrmJnzgP0"",""'TP# look up'!A:C""),3,0),"""")"),"")</f>
        <v/>
      </c>
      <c r="AH4745" s="49" t="str">
        <f t="shared" si="74"/>
        <v/>
      </c>
    </row>
    <row r="4746" spans="8:34" ht="12.75">
      <c r="H4746" s="43"/>
      <c r="AG4746" s="49" t="str">
        <f ca="1">IFERROR(__xludf.DUMMYFUNCTION("IFNA(vlookup(H4746,IMPORTRANGE(""1vUGwO1n0QQGx9kKbO0_M5gmuhXZ6-LaxQxgrmJnzgP0"",""'TP# look up'!A:C""),3,0),"""")"),"")</f>
        <v/>
      </c>
      <c r="AH4746" s="49" t="str">
        <f t="shared" si="74"/>
        <v/>
      </c>
    </row>
    <row r="4747" spans="8:34" ht="12.75">
      <c r="H4747" s="43"/>
      <c r="AG4747" s="49" t="str">
        <f ca="1">IFERROR(__xludf.DUMMYFUNCTION("IFNA(vlookup(H4747,IMPORTRANGE(""1vUGwO1n0QQGx9kKbO0_M5gmuhXZ6-LaxQxgrmJnzgP0"",""'TP# look up'!A:C""),3,0),"""")"),"")</f>
        <v/>
      </c>
      <c r="AH4747" s="49" t="str">
        <f t="shared" si="74"/>
        <v/>
      </c>
    </row>
    <row r="4748" spans="8:34" ht="12.75">
      <c r="H4748" s="43"/>
      <c r="AG4748" s="49" t="str">
        <f ca="1">IFERROR(__xludf.DUMMYFUNCTION("IFNA(vlookup(H4748,IMPORTRANGE(""1vUGwO1n0QQGx9kKbO0_M5gmuhXZ6-LaxQxgrmJnzgP0"",""'TP# look up'!A:C""),3,0),"""")"),"")</f>
        <v/>
      </c>
      <c r="AH4748" s="49" t="str">
        <f t="shared" si="74"/>
        <v/>
      </c>
    </row>
    <row r="4749" spans="8:34" ht="12.75">
      <c r="H4749" s="43"/>
      <c r="AG4749" s="49" t="str">
        <f ca="1">IFERROR(__xludf.DUMMYFUNCTION("IFNA(vlookup(H4749,IMPORTRANGE(""1vUGwO1n0QQGx9kKbO0_M5gmuhXZ6-LaxQxgrmJnzgP0"",""'TP# look up'!A:C""),3,0),"""")"),"")</f>
        <v/>
      </c>
      <c r="AH4749" s="49" t="str">
        <f t="shared" si="74"/>
        <v/>
      </c>
    </row>
    <row r="4750" spans="8:34" ht="12.75">
      <c r="H4750" s="43"/>
      <c r="AG4750" s="49" t="str">
        <f ca="1">IFERROR(__xludf.DUMMYFUNCTION("IFNA(vlookup(H4750,IMPORTRANGE(""1vUGwO1n0QQGx9kKbO0_M5gmuhXZ6-LaxQxgrmJnzgP0"",""'TP# look up'!A:C""),3,0),"""")"),"")</f>
        <v/>
      </c>
      <c r="AH4750" s="49" t="str">
        <f t="shared" si="74"/>
        <v/>
      </c>
    </row>
    <row r="4751" spans="8:34" ht="12.75">
      <c r="H4751" s="43"/>
      <c r="AG4751" s="49" t="str">
        <f ca="1">IFERROR(__xludf.DUMMYFUNCTION("IFNA(vlookup(H4751,IMPORTRANGE(""1vUGwO1n0QQGx9kKbO0_M5gmuhXZ6-LaxQxgrmJnzgP0"",""'TP# look up'!A:C""),3,0),"""")"),"")</f>
        <v/>
      </c>
      <c r="AH4751" s="49" t="str">
        <f t="shared" si="74"/>
        <v/>
      </c>
    </row>
    <row r="4752" spans="8:34" ht="12.75">
      <c r="H4752" s="43"/>
      <c r="AG4752" s="49" t="str">
        <f ca="1">IFERROR(__xludf.DUMMYFUNCTION("IFNA(vlookup(H4752,IMPORTRANGE(""1vUGwO1n0QQGx9kKbO0_M5gmuhXZ6-LaxQxgrmJnzgP0"",""'TP# look up'!A:C""),3,0),"""")"),"")</f>
        <v/>
      </c>
      <c r="AH4752" s="49" t="str">
        <f t="shared" si="74"/>
        <v/>
      </c>
    </row>
    <row r="4753" spans="8:34" ht="12.75">
      <c r="H4753" s="43"/>
      <c r="AG4753" s="49" t="str">
        <f ca="1">IFERROR(__xludf.DUMMYFUNCTION("IFNA(vlookup(H4753,IMPORTRANGE(""1vUGwO1n0QQGx9kKbO0_M5gmuhXZ6-LaxQxgrmJnzgP0"",""'TP# look up'!A:C""),3,0),"""")"),"")</f>
        <v/>
      </c>
      <c r="AH4753" s="49" t="str">
        <f t="shared" si="74"/>
        <v/>
      </c>
    </row>
    <row r="4754" spans="8:34" ht="12.75">
      <c r="H4754" s="43"/>
      <c r="AG4754" s="49" t="str">
        <f ca="1">IFERROR(__xludf.DUMMYFUNCTION("IFNA(vlookup(H4754,IMPORTRANGE(""1vUGwO1n0QQGx9kKbO0_M5gmuhXZ6-LaxQxgrmJnzgP0"",""'TP# look up'!A:C""),3,0),"""")"),"")</f>
        <v/>
      </c>
      <c r="AH4754" s="49" t="str">
        <f t="shared" si="74"/>
        <v/>
      </c>
    </row>
    <row r="4755" spans="8:34" ht="12.75">
      <c r="H4755" s="43"/>
      <c r="AG4755" s="49" t="str">
        <f ca="1">IFERROR(__xludf.DUMMYFUNCTION("IFNA(vlookup(H4755,IMPORTRANGE(""1vUGwO1n0QQGx9kKbO0_M5gmuhXZ6-LaxQxgrmJnzgP0"",""'TP# look up'!A:C""),3,0),"""")"),"")</f>
        <v/>
      </c>
      <c r="AH4755" s="49" t="str">
        <f t="shared" si="74"/>
        <v/>
      </c>
    </row>
    <row r="4756" spans="8:34" ht="12.75">
      <c r="H4756" s="43"/>
      <c r="AG4756" s="49" t="str">
        <f ca="1">IFERROR(__xludf.DUMMYFUNCTION("IFNA(vlookup(H4756,IMPORTRANGE(""1vUGwO1n0QQGx9kKbO0_M5gmuhXZ6-LaxQxgrmJnzgP0"",""'TP# look up'!A:C""),3,0),"""")"),"")</f>
        <v/>
      </c>
      <c r="AH4756" s="49" t="str">
        <f t="shared" si="74"/>
        <v/>
      </c>
    </row>
    <row r="4757" spans="8:34" ht="12.75">
      <c r="H4757" s="43"/>
      <c r="AG4757" s="49" t="str">
        <f ca="1">IFERROR(__xludf.DUMMYFUNCTION("IFNA(vlookup(H4757,IMPORTRANGE(""1vUGwO1n0QQGx9kKbO0_M5gmuhXZ6-LaxQxgrmJnzgP0"",""'TP# look up'!A:C""),3,0),"""")"),"")</f>
        <v/>
      </c>
      <c r="AH4757" s="49" t="str">
        <f t="shared" si="74"/>
        <v/>
      </c>
    </row>
    <row r="4758" spans="8:34" ht="12.75">
      <c r="H4758" s="43"/>
      <c r="AG4758" s="49" t="str">
        <f ca="1">IFERROR(__xludf.DUMMYFUNCTION("IFNA(vlookup(H4758,IMPORTRANGE(""1vUGwO1n0QQGx9kKbO0_M5gmuhXZ6-LaxQxgrmJnzgP0"",""'TP# look up'!A:C""),3,0),"""")"),"")</f>
        <v/>
      </c>
      <c r="AH4758" s="49" t="str">
        <f t="shared" si="74"/>
        <v/>
      </c>
    </row>
    <row r="4759" spans="8:34" ht="12.75">
      <c r="H4759" s="43"/>
      <c r="AG4759" s="49" t="str">
        <f ca="1">IFERROR(__xludf.DUMMYFUNCTION("IFNA(vlookup(H4759,IMPORTRANGE(""1vUGwO1n0QQGx9kKbO0_M5gmuhXZ6-LaxQxgrmJnzgP0"",""'TP# look up'!A:C""),3,0),"""")"),"")</f>
        <v/>
      </c>
      <c r="AH4759" s="49" t="str">
        <f t="shared" si="74"/>
        <v/>
      </c>
    </row>
    <row r="4760" spans="8:34" ht="12.75">
      <c r="H4760" s="43"/>
      <c r="AG4760" s="49" t="str">
        <f ca="1">IFERROR(__xludf.DUMMYFUNCTION("IFNA(vlookup(H4760,IMPORTRANGE(""1vUGwO1n0QQGx9kKbO0_M5gmuhXZ6-LaxQxgrmJnzgP0"",""'TP# look up'!A:C""),3,0),"""")"),"")</f>
        <v/>
      </c>
      <c r="AH4760" s="49" t="str">
        <f t="shared" si="74"/>
        <v/>
      </c>
    </row>
    <row r="4761" spans="8:34" ht="12.75">
      <c r="H4761" s="43"/>
      <c r="AG4761" s="49" t="str">
        <f ca="1">IFERROR(__xludf.DUMMYFUNCTION("IFNA(vlookup(H4761,IMPORTRANGE(""1vUGwO1n0QQGx9kKbO0_M5gmuhXZ6-LaxQxgrmJnzgP0"",""'TP# look up'!A:C""),3,0),"""")"),"")</f>
        <v/>
      </c>
      <c r="AH4761" s="49" t="str">
        <f t="shared" si="74"/>
        <v/>
      </c>
    </row>
    <row r="4762" spans="8:34" ht="12.75">
      <c r="H4762" s="43"/>
      <c r="AG4762" s="49" t="str">
        <f ca="1">IFERROR(__xludf.DUMMYFUNCTION("IFNA(vlookup(H4762,IMPORTRANGE(""1vUGwO1n0QQGx9kKbO0_M5gmuhXZ6-LaxQxgrmJnzgP0"",""'TP# look up'!A:C""),3,0),"""")"),"")</f>
        <v/>
      </c>
      <c r="AH4762" s="49" t="str">
        <f t="shared" si="74"/>
        <v/>
      </c>
    </row>
    <row r="4763" spans="8:34" ht="12.75">
      <c r="H4763" s="43"/>
      <c r="AG4763" s="49" t="str">
        <f ca="1">IFERROR(__xludf.DUMMYFUNCTION("IFNA(vlookup(H4763,IMPORTRANGE(""1vUGwO1n0QQGx9kKbO0_M5gmuhXZ6-LaxQxgrmJnzgP0"",""'TP# look up'!A:C""),3,0),"""")"),"")</f>
        <v/>
      </c>
      <c r="AH4763" s="49" t="str">
        <f t="shared" si="74"/>
        <v/>
      </c>
    </row>
    <row r="4764" spans="8:34" ht="12.75">
      <c r="H4764" s="43"/>
      <c r="AG4764" s="49" t="str">
        <f ca="1">IFERROR(__xludf.DUMMYFUNCTION("IFNA(vlookup(H4764,IMPORTRANGE(""1vUGwO1n0QQGx9kKbO0_M5gmuhXZ6-LaxQxgrmJnzgP0"",""'TP# look up'!A:C""),3,0),"""")"),"")</f>
        <v/>
      </c>
      <c r="AH4764" s="49" t="str">
        <f t="shared" si="74"/>
        <v/>
      </c>
    </row>
    <row r="4765" spans="8:34" ht="12.75">
      <c r="H4765" s="43"/>
      <c r="AG4765" s="49" t="str">
        <f ca="1">IFERROR(__xludf.DUMMYFUNCTION("IFNA(vlookup(H4765,IMPORTRANGE(""1vUGwO1n0QQGx9kKbO0_M5gmuhXZ6-LaxQxgrmJnzgP0"",""'TP# look up'!A:C""),3,0),"""")"),"")</f>
        <v/>
      </c>
      <c r="AH4765" s="49" t="str">
        <f t="shared" si="74"/>
        <v/>
      </c>
    </row>
    <row r="4766" spans="8:34" ht="12.75">
      <c r="H4766" s="43"/>
      <c r="AG4766" s="49" t="str">
        <f ca="1">IFERROR(__xludf.DUMMYFUNCTION("IFNA(vlookup(H4766,IMPORTRANGE(""1vUGwO1n0QQGx9kKbO0_M5gmuhXZ6-LaxQxgrmJnzgP0"",""'TP# look up'!A:C""),3,0),"""")"),"")</f>
        <v/>
      </c>
      <c r="AH4766" s="49" t="str">
        <f t="shared" si="74"/>
        <v/>
      </c>
    </row>
    <row r="4767" spans="8:34" ht="12.75">
      <c r="H4767" s="43"/>
      <c r="AG4767" s="49" t="str">
        <f ca="1">IFERROR(__xludf.DUMMYFUNCTION("IFNA(vlookup(H4767,IMPORTRANGE(""1vUGwO1n0QQGx9kKbO0_M5gmuhXZ6-LaxQxgrmJnzgP0"",""'TP# look up'!A:C""),3,0),"""")"),"")</f>
        <v/>
      </c>
      <c r="AH4767" s="49" t="str">
        <f t="shared" si="74"/>
        <v/>
      </c>
    </row>
    <row r="4768" spans="8:34" ht="12.75">
      <c r="H4768" s="43"/>
      <c r="AG4768" s="49" t="str">
        <f ca="1">IFERROR(__xludf.DUMMYFUNCTION("IFNA(vlookup(H4768,IMPORTRANGE(""1vUGwO1n0QQGx9kKbO0_M5gmuhXZ6-LaxQxgrmJnzgP0"",""'TP# look up'!A:C""),3,0),"""")"),"")</f>
        <v/>
      </c>
      <c r="AH4768" s="49" t="str">
        <f t="shared" si="74"/>
        <v/>
      </c>
    </row>
    <row r="4769" spans="8:34" ht="12.75">
      <c r="H4769" s="43"/>
      <c r="AG4769" s="49" t="str">
        <f ca="1">IFERROR(__xludf.DUMMYFUNCTION("IFNA(vlookup(H4769,IMPORTRANGE(""1vUGwO1n0QQGx9kKbO0_M5gmuhXZ6-LaxQxgrmJnzgP0"",""'TP# look up'!A:C""),3,0),"""")"),"")</f>
        <v/>
      </c>
      <c r="AH4769" s="49" t="str">
        <f t="shared" si="74"/>
        <v/>
      </c>
    </row>
    <row r="4770" spans="8:34" ht="12.75">
      <c r="H4770" s="43"/>
      <c r="AG4770" s="49" t="str">
        <f ca="1">IFERROR(__xludf.DUMMYFUNCTION("IFNA(vlookup(H4770,IMPORTRANGE(""1vUGwO1n0QQGx9kKbO0_M5gmuhXZ6-LaxQxgrmJnzgP0"",""'TP# look up'!A:C""),3,0),"""")"),"")</f>
        <v/>
      </c>
      <c r="AH4770" s="49" t="str">
        <f t="shared" si="74"/>
        <v/>
      </c>
    </row>
    <row r="4771" spans="8:34" ht="12.75">
      <c r="H4771" s="43"/>
      <c r="AG4771" s="49" t="str">
        <f ca="1">IFERROR(__xludf.DUMMYFUNCTION("IFNA(vlookup(H4771,IMPORTRANGE(""1vUGwO1n0QQGx9kKbO0_M5gmuhXZ6-LaxQxgrmJnzgP0"",""'TP# look up'!A:C""),3,0),"""")"),"")</f>
        <v/>
      </c>
      <c r="AH4771" s="49" t="str">
        <f t="shared" si="74"/>
        <v/>
      </c>
    </row>
    <row r="4772" spans="8:34" ht="12.75">
      <c r="H4772" s="43"/>
      <c r="AG4772" s="49" t="str">
        <f ca="1">IFERROR(__xludf.DUMMYFUNCTION("IFNA(vlookup(H4772,IMPORTRANGE(""1vUGwO1n0QQGx9kKbO0_M5gmuhXZ6-LaxQxgrmJnzgP0"",""'TP# look up'!A:C""),3,0),"""")"),"")</f>
        <v/>
      </c>
      <c r="AH4772" s="49" t="str">
        <f t="shared" si="74"/>
        <v/>
      </c>
    </row>
    <row r="4773" spans="8:34" ht="12.75">
      <c r="H4773" s="43"/>
      <c r="AG4773" s="49" t="str">
        <f ca="1">IFERROR(__xludf.DUMMYFUNCTION("IFNA(vlookup(H4773,IMPORTRANGE(""1vUGwO1n0QQGx9kKbO0_M5gmuhXZ6-LaxQxgrmJnzgP0"",""'TP# look up'!A:C""),3,0),"""")"),"")</f>
        <v/>
      </c>
      <c r="AH4773" s="49" t="str">
        <f t="shared" si="74"/>
        <v/>
      </c>
    </row>
    <row r="4774" spans="8:34" ht="12.75">
      <c r="H4774" s="43"/>
      <c r="AG4774" s="49" t="str">
        <f ca="1">IFERROR(__xludf.DUMMYFUNCTION("IFNA(vlookup(H4774,IMPORTRANGE(""1vUGwO1n0QQGx9kKbO0_M5gmuhXZ6-LaxQxgrmJnzgP0"",""'TP# look up'!A:C""),3,0),"""")"),"")</f>
        <v/>
      </c>
      <c r="AH4774" s="49" t="str">
        <f t="shared" si="74"/>
        <v/>
      </c>
    </row>
    <row r="4775" spans="8:34" ht="12.75">
      <c r="H4775" s="43"/>
      <c r="AG4775" s="49" t="str">
        <f ca="1">IFERROR(__xludf.DUMMYFUNCTION("IFNA(vlookup(H4775,IMPORTRANGE(""1vUGwO1n0QQGx9kKbO0_M5gmuhXZ6-LaxQxgrmJnzgP0"",""'TP# look up'!A:C""),3,0),"""")"),"")</f>
        <v/>
      </c>
      <c r="AH4775" s="49" t="str">
        <f t="shared" si="74"/>
        <v/>
      </c>
    </row>
    <row r="4776" spans="8:34" ht="12.75">
      <c r="H4776" s="43"/>
      <c r="AG4776" s="49" t="str">
        <f ca="1">IFERROR(__xludf.DUMMYFUNCTION("IFNA(vlookup(H4776,IMPORTRANGE(""1vUGwO1n0QQGx9kKbO0_M5gmuhXZ6-LaxQxgrmJnzgP0"",""'TP# look up'!A:C""),3,0),"""")"),"")</f>
        <v/>
      </c>
      <c r="AH4776" s="49" t="str">
        <f t="shared" si="74"/>
        <v/>
      </c>
    </row>
    <row r="4777" spans="8:34" ht="12.75">
      <c r="H4777" s="43"/>
      <c r="AG4777" s="49" t="str">
        <f ca="1">IFERROR(__xludf.DUMMYFUNCTION("IFNA(vlookup(H4777,IMPORTRANGE(""1vUGwO1n0QQGx9kKbO0_M5gmuhXZ6-LaxQxgrmJnzgP0"",""'TP# look up'!A:C""),3,0),"""")"),"")</f>
        <v/>
      </c>
      <c r="AH4777" s="49" t="str">
        <f t="shared" si="74"/>
        <v/>
      </c>
    </row>
    <row r="4778" spans="8:34" ht="12.75">
      <c r="H4778" s="43"/>
      <c r="AG4778" s="49" t="str">
        <f ca="1">IFERROR(__xludf.DUMMYFUNCTION("IFNA(vlookup(H4778,IMPORTRANGE(""1vUGwO1n0QQGx9kKbO0_M5gmuhXZ6-LaxQxgrmJnzgP0"",""'TP# look up'!A:C""),3,0),"""")"),"")</f>
        <v/>
      </c>
      <c r="AH4778" s="49" t="str">
        <f t="shared" si="74"/>
        <v/>
      </c>
    </row>
    <row r="4779" spans="8:34" ht="12.75">
      <c r="H4779" s="43"/>
      <c r="AG4779" s="49" t="str">
        <f ca="1">IFERROR(__xludf.DUMMYFUNCTION("IFNA(vlookup(H4779,IMPORTRANGE(""1vUGwO1n0QQGx9kKbO0_M5gmuhXZ6-LaxQxgrmJnzgP0"",""'TP# look up'!A:C""),3,0),"""")"),"")</f>
        <v/>
      </c>
      <c r="AH4779" s="49" t="str">
        <f t="shared" si="74"/>
        <v/>
      </c>
    </row>
    <row r="4780" spans="8:34" ht="12.75">
      <c r="H4780" s="43"/>
      <c r="AG4780" s="49" t="str">
        <f ca="1">IFERROR(__xludf.DUMMYFUNCTION("IFNA(vlookup(H4780,IMPORTRANGE(""1vUGwO1n0QQGx9kKbO0_M5gmuhXZ6-LaxQxgrmJnzgP0"",""'TP# look up'!A:C""),3,0),"""")"),"")</f>
        <v/>
      </c>
      <c r="AH4780" s="49" t="str">
        <f t="shared" si="74"/>
        <v/>
      </c>
    </row>
    <row r="4781" spans="8:34" ht="12.75">
      <c r="H4781" s="43"/>
      <c r="AG4781" s="49" t="str">
        <f ca="1">IFERROR(__xludf.DUMMYFUNCTION("IFNA(vlookup(H4781,IMPORTRANGE(""1vUGwO1n0QQGx9kKbO0_M5gmuhXZ6-LaxQxgrmJnzgP0"",""'TP# look up'!A:C""),3,0),"""")"),"")</f>
        <v/>
      </c>
      <c r="AH4781" s="49" t="str">
        <f t="shared" si="74"/>
        <v/>
      </c>
    </row>
    <row r="4782" spans="8:34" ht="12.75">
      <c r="H4782" s="43"/>
      <c r="AG4782" s="49" t="str">
        <f ca="1">IFERROR(__xludf.DUMMYFUNCTION("IFNA(vlookup(H4782,IMPORTRANGE(""1vUGwO1n0QQGx9kKbO0_M5gmuhXZ6-LaxQxgrmJnzgP0"",""'TP# look up'!A:C""),3,0),"""")"),"")</f>
        <v/>
      </c>
      <c r="AH4782" s="49" t="str">
        <f t="shared" si="74"/>
        <v/>
      </c>
    </row>
    <row r="4783" spans="8:34" ht="12.75">
      <c r="H4783" s="43"/>
      <c r="AG4783" s="49" t="str">
        <f ca="1">IFERROR(__xludf.DUMMYFUNCTION("IFNA(vlookup(H4783,IMPORTRANGE(""1vUGwO1n0QQGx9kKbO0_M5gmuhXZ6-LaxQxgrmJnzgP0"",""'TP# look up'!A:C""),3,0),"""")"),"")</f>
        <v/>
      </c>
      <c r="AH4783" s="49" t="str">
        <f t="shared" si="74"/>
        <v/>
      </c>
    </row>
    <row r="4784" spans="8:34" ht="12.75">
      <c r="H4784" s="43"/>
      <c r="AG4784" s="49" t="str">
        <f ca="1">IFERROR(__xludf.DUMMYFUNCTION("IFNA(vlookup(H4784,IMPORTRANGE(""1vUGwO1n0QQGx9kKbO0_M5gmuhXZ6-LaxQxgrmJnzgP0"",""'TP# look up'!A:C""),3,0),"""")"),"")</f>
        <v/>
      </c>
      <c r="AH4784" s="49" t="str">
        <f t="shared" si="74"/>
        <v/>
      </c>
    </row>
    <row r="4785" spans="8:34" ht="12.75">
      <c r="H4785" s="43"/>
      <c r="AG4785" s="49" t="str">
        <f ca="1">IFERROR(__xludf.DUMMYFUNCTION("IFNA(vlookup(H4785,IMPORTRANGE(""1vUGwO1n0QQGx9kKbO0_M5gmuhXZ6-LaxQxgrmJnzgP0"",""'TP# look up'!A:C""),3,0),"""")"),"")</f>
        <v/>
      </c>
      <c r="AH4785" s="49" t="str">
        <f t="shared" si="74"/>
        <v/>
      </c>
    </row>
    <row r="4786" spans="8:34" ht="12.75">
      <c r="H4786" s="43"/>
      <c r="AG4786" s="49" t="str">
        <f ca="1">IFERROR(__xludf.DUMMYFUNCTION("IFNA(vlookup(H4786,IMPORTRANGE(""1vUGwO1n0QQGx9kKbO0_M5gmuhXZ6-LaxQxgrmJnzgP0"",""'TP# look up'!A:C""),3,0),"""")"),"")</f>
        <v/>
      </c>
      <c r="AH4786" s="49" t="str">
        <f t="shared" si="74"/>
        <v/>
      </c>
    </row>
    <row r="4787" spans="8:34" ht="12.75">
      <c r="H4787" s="43"/>
      <c r="AG4787" s="49" t="str">
        <f ca="1">IFERROR(__xludf.DUMMYFUNCTION("IFNA(vlookup(H4787,IMPORTRANGE(""1vUGwO1n0QQGx9kKbO0_M5gmuhXZ6-LaxQxgrmJnzgP0"",""'TP# look up'!A:C""),3,0),"""")"),"")</f>
        <v/>
      </c>
      <c r="AH4787" s="49" t="str">
        <f t="shared" si="74"/>
        <v/>
      </c>
    </row>
    <row r="4788" spans="8:34" ht="12.75">
      <c r="H4788" s="43"/>
      <c r="AG4788" s="49" t="str">
        <f ca="1">IFERROR(__xludf.DUMMYFUNCTION("IFNA(vlookup(H4788,IMPORTRANGE(""1vUGwO1n0QQGx9kKbO0_M5gmuhXZ6-LaxQxgrmJnzgP0"",""'TP# look up'!A:C""),3,0),"""")"),"")</f>
        <v/>
      </c>
      <c r="AH4788" s="49" t="str">
        <f t="shared" si="74"/>
        <v/>
      </c>
    </row>
    <row r="4789" spans="8:34" ht="12.75">
      <c r="H4789" s="43"/>
      <c r="AG4789" s="49" t="str">
        <f ca="1">IFERROR(__xludf.DUMMYFUNCTION("IFNA(vlookup(H4789,IMPORTRANGE(""1vUGwO1n0QQGx9kKbO0_M5gmuhXZ6-LaxQxgrmJnzgP0"",""'TP# look up'!A:C""),3,0),"""")"),"")</f>
        <v/>
      </c>
      <c r="AH4789" s="49" t="str">
        <f t="shared" si="74"/>
        <v/>
      </c>
    </row>
    <row r="4790" spans="8:34" ht="12.75">
      <c r="H4790" s="43"/>
      <c r="AG4790" s="49" t="str">
        <f ca="1">IFERROR(__xludf.DUMMYFUNCTION("IFNA(vlookup(H4790,IMPORTRANGE(""1vUGwO1n0QQGx9kKbO0_M5gmuhXZ6-LaxQxgrmJnzgP0"",""'TP# look up'!A:C""),3,0),"""")"),"")</f>
        <v/>
      </c>
      <c r="AH4790" s="49" t="str">
        <f t="shared" si="74"/>
        <v/>
      </c>
    </row>
    <row r="4791" spans="8:34" ht="12.75">
      <c r="H4791" s="43"/>
      <c r="AG4791" s="49" t="str">
        <f ca="1">IFERROR(__xludf.DUMMYFUNCTION("IFNA(vlookup(H4791,IMPORTRANGE(""1vUGwO1n0QQGx9kKbO0_M5gmuhXZ6-LaxQxgrmJnzgP0"",""'TP# look up'!A:C""),3,0),"""")"),"")</f>
        <v/>
      </c>
      <c r="AH4791" s="49" t="str">
        <f t="shared" si="74"/>
        <v/>
      </c>
    </row>
    <row r="4792" spans="8:34" ht="12.75">
      <c r="H4792" s="43"/>
      <c r="AG4792" s="49" t="str">
        <f ca="1">IFERROR(__xludf.DUMMYFUNCTION("IFNA(vlookup(H4792,IMPORTRANGE(""1vUGwO1n0QQGx9kKbO0_M5gmuhXZ6-LaxQxgrmJnzgP0"",""'TP# look up'!A:C""),3,0),"""")"),"")</f>
        <v/>
      </c>
      <c r="AH4792" s="49" t="str">
        <f t="shared" si="74"/>
        <v/>
      </c>
    </row>
    <row r="4793" spans="8:34" ht="12.75">
      <c r="H4793" s="43"/>
      <c r="AG4793" s="49" t="str">
        <f ca="1">IFERROR(__xludf.DUMMYFUNCTION("IFNA(vlookup(H4793,IMPORTRANGE(""1vUGwO1n0QQGx9kKbO0_M5gmuhXZ6-LaxQxgrmJnzgP0"",""'TP# look up'!A:C""),3,0),"""")"),"")</f>
        <v/>
      </c>
      <c r="AH4793" s="49" t="str">
        <f t="shared" si="74"/>
        <v/>
      </c>
    </row>
    <row r="4794" spans="8:34" ht="12.75">
      <c r="H4794" s="43"/>
      <c r="AG4794" s="49" t="str">
        <f ca="1">IFERROR(__xludf.DUMMYFUNCTION("IFNA(vlookup(H4794,IMPORTRANGE(""1vUGwO1n0QQGx9kKbO0_M5gmuhXZ6-LaxQxgrmJnzgP0"",""'TP# look up'!A:C""),3,0),"""")"),"")</f>
        <v/>
      </c>
      <c r="AH4794" s="49" t="str">
        <f t="shared" si="74"/>
        <v/>
      </c>
    </row>
    <row r="4795" spans="8:34" ht="12.75">
      <c r="H4795" s="43"/>
      <c r="AG4795" s="49" t="str">
        <f ca="1">IFERROR(__xludf.DUMMYFUNCTION("IFNA(vlookup(H4795,IMPORTRANGE(""1vUGwO1n0QQGx9kKbO0_M5gmuhXZ6-LaxQxgrmJnzgP0"",""'TP# look up'!A:C""),3,0),"""")"),"")</f>
        <v/>
      </c>
      <c r="AH4795" s="49" t="str">
        <f t="shared" si="74"/>
        <v/>
      </c>
    </row>
    <row r="4796" spans="8:34" ht="12.75">
      <c r="H4796" s="43"/>
      <c r="AG4796" s="49" t="str">
        <f ca="1">IFERROR(__xludf.DUMMYFUNCTION("IFNA(vlookup(H4796,IMPORTRANGE(""1vUGwO1n0QQGx9kKbO0_M5gmuhXZ6-LaxQxgrmJnzgP0"",""'TP# look up'!A:C""),3,0),"""")"),"")</f>
        <v/>
      </c>
      <c r="AH4796" s="49" t="str">
        <f t="shared" si="74"/>
        <v/>
      </c>
    </row>
    <row r="4797" spans="8:34" ht="12.75">
      <c r="H4797" s="43"/>
      <c r="AG4797" s="49" t="str">
        <f ca="1">IFERROR(__xludf.DUMMYFUNCTION("IFNA(vlookup(H4797,IMPORTRANGE(""1vUGwO1n0QQGx9kKbO0_M5gmuhXZ6-LaxQxgrmJnzgP0"",""'TP# look up'!A:C""),3,0),"""")"),"")</f>
        <v/>
      </c>
      <c r="AH4797" s="49" t="str">
        <f t="shared" si="74"/>
        <v/>
      </c>
    </row>
    <row r="4798" spans="8:34" ht="12.75">
      <c r="H4798" s="43"/>
      <c r="AG4798" s="49" t="str">
        <f ca="1">IFERROR(__xludf.DUMMYFUNCTION("IFNA(vlookup(H4798,IMPORTRANGE(""1vUGwO1n0QQGx9kKbO0_M5gmuhXZ6-LaxQxgrmJnzgP0"",""'TP# look up'!A:C""),3,0),"""")"),"")</f>
        <v/>
      </c>
      <c r="AH4798" s="49" t="str">
        <f t="shared" si="74"/>
        <v/>
      </c>
    </row>
    <row r="4799" spans="8:34" ht="12.75">
      <c r="H4799" s="43"/>
      <c r="AG4799" s="49" t="str">
        <f ca="1">IFERROR(__xludf.DUMMYFUNCTION("IFNA(vlookup(H4799,IMPORTRANGE(""1vUGwO1n0QQGx9kKbO0_M5gmuhXZ6-LaxQxgrmJnzgP0"",""'TP# look up'!A:C""),3,0),"""")"),"")</f>
        <v/>
      </c>
      <c r="AH4799" s="49" t="str">
        <f t="shared" si="74"/>
        <v/>
      </c>
    </row>
    <row r="4800" spans="8:34" ht="12.75">
      <c r="H4800" s="43"/>
      <c r="AG4800" s="49" t="str">
        <f ca="1">IFERROR(__xludf.DUMMYFUNCTION("IFNA(vlookup(H4800,IMPORTRANGE(""1vUGwO1n0QQGx9kKbO0_M5gmuhXZ6-LaxQxgrmJnzgP0"",""'TP# look up'!A:C""),3,0),"""")"),"")</f>
        <v/>
      </c>
      <c r="AH4800" s="49" t="str">
        <f t="shared" si="74"/>
        <v/>
      </c>
    </row>
    <row r="4801" spans="8:34" ht="12.75">
      <c r="H4801" s="43"/>
      <c r="AG4801" s="49" t="str">
        <f ca="1">IFERROR(__xludf.DUMMYFUNCTION("IFNA(vlookup(H4801,IMPORTRANGE(""1vUGwO1n0QQGx9kKbO0_M5gmuhXZ6-LaxQxgrmJnzgP0"",""'TP# look up'!A:C""),3,0),"""")"),"")</f>
        <v/>
      </c>
      <c r="AH4801" s="49" t="str">
        <f t="shared" si="74"/>
        <v/>
      </c>
    </row>
    <row r="4802" spans="8:34" ht="12.75">
      <c r="H4802" s="43"/>
      <c r="AG4802" s="49" t="str">
        <f ca="1">IFERROR(__xludf.DUMMYFUNCTION("IFNA(vlookup(H4802,IMPORTRANGE(""1vUGwO1n0QQGx9kKbO0_M5gmuhXZ6-LaxQxgrmJnzgP0"",""'TP# look up'!A:C""),3,0),"""")"),"")</f>
        <v/>
      </c>
      <c r="AH4802" s="49" t="str">
        <f t="shared" ref="AH4802:AH4865" si="75">LEFT(J4802,2)</f>
        <v/>
      </c>
    </row>
    <row r="4803" spans="8:34" ht="12.75">
      <c r="H4803" s="43"/>
      <c r="AG4803" s="49" t="str">
        <f ca="1">IFERROR(__xludf.DUMMYFUNCTION("IFNA(vlookup(H4803,IMPORTRANGE(""1vUGwO1n0QQGx9kKbO0_M5gmuhXZ6-LaxQxgrmJnzgP0"",""'TP# look up'!A:C""),3,0),"""")"),"")</f>
        <v/>
      </c>
      <c r="AH4803" s="49" t="str">
        <f t="shared" si="75"/>
        <v/>
      </c>
    </row>
    <row r="4804" spans="8:34" ht="12.75">
      <c r="H4804" s="43"/>
      <c r="AG4804" s="49" t="str">
        <f ca="1">IFERROR(__xludf.DUMMYFUNCTION("IFNA(vlookup(H4804,IMPORTRANGE(""1vUGwO1n0QQGx9kKbO0_M5gmuhXZ6-LaxQxgrmJnzgP0"",""'TP# look up'!A:C""),3,0),"""")"),"")</f>
        <v/>
      </c>
      <c r="AH4804" s="49" t="str">
        <f t="shared" si="75"/>
        <v/>
      </c>
    </row>
    <row r="4805" spans="8:34" ht="12.75">
      <c r="H4805" s="43"/>
      <c r="AG4805" s="49" t="str">
        <f ca="1">IFERROR(__xludf.DUMMYFUNCTION("IFNA(vlookup(H4805,IMPORTRANGE(""1vUGwO1n0QQGx9kKbO0_M5gmuhXZ6-LaxQxgrmJnzgP0"",""'TP# look up'!A:C""),3,0),"""")"),"")</f>
        <v/>
      </c>
      <c r="AH4805" s="49" t="str">
        <f t="shared" si="75"/>
        <v/>
      </c>
    </row>
    <row r="4806" spans="8:34" ht="12.75">
      <c r="H4806" s="43"/>
      <c r="AG4806" s="49" t="str">
        <f ca="1">IFERROR(__xludf.DUMMYFUNCTION("IFNA(vlookup(H4806,IMPORTRANGE(""1vUGwO1n0QQGx9kKbO0_M5gmuhXZ6-LaxQxgrmJnzgP0"",""'TP# look up'!A:C""),3,0),"""")"),"")</f>
        <v/>
      </c>
      <c r="AH4806" s="49" t="str">
        <f t="shared" si="75"/>
        <v/>
      </c>
    </row>
    <row r="4807" spans="8:34" ht="12.75">
      <c r="H4807" s="43"/>
      <c r="AG4807" s="49" t="str">
        <f ca="1">IFERROR(__xludf.DUMMYFUNCTION("IFNA(vlookup(H4807,IMPORTRANGE(""1vUGwO1n0QQGx9kKbO0_M5gmuhXZ6-LaxQxgrmJnzgP0"",""'TP# look up'!A:C""),3,0),"""")"),"")</f>
        <v/>
      </c>
      <c r="AH4807" s="49" t="str">
        <f t="shared" si="75"/>
        <v/>
      </c>
    </row>
    <row r="4808" spans="8:34" ht="12.75">
      <c r="H4808" s="43"/>
      <c r="AG4808" s="49" t="str">
        <f ca="1">IFERROR(__xludf.DUMMYFUNCTION("IFNA(vlookup(H4808,IMPORTRANGE(""1vUGwO1n0QQGx9kKbO0_M5gmuhXZ6-LaxQxgrmJnzgP0"",""'TP# look up'!A:C""),3,0),"""")"),"")</f>
        <v/>
      </c>
      <c r="AH4808" s="49" t="str">
        <f t="shared" si="75"/>
        <v/>
      </c>
    </row>
    <row r="4809" spans="8:34" ht="12.75">
      <c r="H4809" s="43"/>
      <c r="AG4809" s="49" t="str">
        <f ca="1">IFERROR(__xludf.DUMMYFUNCTION("IFNA(vlookup(H4809,IMPORTRANGE(""1vUGwO1n0QQGx9kKbO0_M5gmuhXZ6-LaxQxgrmJnzgP0"",""'TP# look up'!A:C""),3,0),"""")"),"")</f>
        <v/>
      </c>
      <c r="AH4809" s="49" t="str">
        <f t="shared" si="75"/>
        <v/>
      </c>
    </row>
    <row r="4810" spans="8:34" ht="12.75">
      <c r="H4810" s="43"/>
      <c r="AG4810" s="49" t="str">
        <f ca="1">IFERROR(__xludf.DUMMYFUNCTION("IFNA(vlookup(H4810,IMPORTRANGE(""1vUGwO1n0QQGx9kKbO0_M5gmuhXZ6-LaxQxgrmJnzgP0"",""'TP# look up'!A:C""),3,0),"""")"),"")</f>
        <v/>
      </c>
      <c r="AH4810" s="49" t="str">
        <f t="shared" si="75"/>
        <v/>
      </c>
    </row>
    <row r="4811" spans="8:34" ht="12.75">
      <c r="H4811" s="43"/>
      <c r="AG4811" s="49" t="str">
        <f ca="1">IFERROR(__xludf.DUMMYFUNCTION("IFNA(vlookup(H4811,IMPORTRANGE(""1vUGwO1n0QQGx9kKbO0_M5gmuhXZ6-LaxQxgrmJnzgP0"",""'TP# look up'!A:C""),3,0),"""")"),"")</f>
        <v/>
      </c>
      <c r="AH4811" s="49" t="str">
        <f t="shared" si="75"/>
        <v/>
      </c>
    </row>
    <row r="4812" spans="8:34" ht="12.75">
      <c r="H4812" s="43"/>
      <c r="AG4812" s="49" t="str">
        <f ca="1">IFERROR(__xludf.DUMMYFUNCTION("IFNA(vlookup(H4812,IMPORTRANGE(""1vUGwO1n0QQGx9kKbO0_M5gmuhXZ6-LaxQxgrmJnzgP0"",""'TP# look up'!A:C""),3,0),"""")"),"")</f>
        <v/>
      </c>
      <c r="AH4812" s="49" t="str">
        <f t="shared" si="75"/>
        <v/>
      </c>
    </row>
    <row r="4813" spans="8:34" ht="12.75">
      <c r="H4813" s="43"/>
      <c r="AG4813" s="49" t="str">
        <f ca="1">IFERROR(__xludf.DUMMYFUNCTION("IFNA(vlookup(H4813,IMPORTRANGE(""1vUGwO1n0QQGx9kKbO0_M5gmuhXZ6-LaxQxgrmJnzgP0"",""'TP# look up'!A:C""),3,0),"""")"),"")</f>
        <v/>
      </c>
      <c r="AH4813" s="49" t="str">
        <f t="shared" si="75"/>
        <v/>
      </c>
    </row>
    <row r="4814" spans="8:34" ht="12.75">
      <c r="H4814" s="43"/>
      <c r="AG4814" s="49" t="str">
        <f ca="1">IFERROR(__xludf.DUMMYFUNCTION("IFNA(vlookup(H4814,IMPORTRANGE(""1vUGwO1n0QQGx9kKbO0_M5gmuhXZ6-LaxQxgrmJnzgP0"",""'TP# look up'!A:C""),3,0),"""")"),"")</f>
        <v/>
      </c>
      <c r="AH4814" s="49" t="str">
        <f t="shared" si="75"/>
        <v/>
      </c>
    </row>
    <row r="4815" spans="8:34" ht="12.75">
      <c r="H4815" s="43"/>
      <c r="AG4815" s="49" t="str">
        <f ca="1">IFERROR(__xludf.DUMMYFUNCTION("IFNA(vlookup(H4815,IMPORTRANGE(""1vUGwO1n0QQGx9kKbO0_M5gmuhXZ6-LaxQxgrmJnzgP0"",""'TP# look up'!A:C""),3,0),"""")"),"")</f>
        <v/>
      </c>
      <c r="AH4815" s="49" t="str">
        <f t="shared" si="75"/>
        <v/>
      </c>
    </row>
    <row r="4816" spans="8:34" ht="12.75">
      <c r="H4816" s="43"/>
      <c r="AG4816" s="49" t="str">
        <f ca="1">IFERROR(__xludf.DUMMYFUNCTION("IFNA(vlookup(H4816,IMPORTRANGE(""1vUGwO1n0QQGx9kKbO0_M5gmuhXZ6-LaxQxgrmJnzgP0"",""'TP# look up'!A:C""),3,0),"""")"),"")</f>
        <v/>
      </c>
      <c r="AH4816" s="49" t="str">
        <f t="shared" si="75"/>
        <v/>
      </c>
    </row>
    <row r="4817" spans="8:34" ht="12.75">
      <c r="H4817" s="43"/>
      <c r="AG4817" s="49" t="str">
        <f ca="1">IFERROR(__xludf.DUMMYFUNCTION("IFNA(vlookup(H4817,IMPORTRANGE(""1vUGwO1n0QQGx9kKbO0_M5gmuhXZ6-LaxQxgrmJnzgP0"",""'TP# look up'!A:C""),3,0),"""")"),"")</f>
        <v/>
      </c>
      <c r="AH4817" s="49" t="str">
        <f t="shared" si="75"/>
        <v/>
      </c>
    </row>
    <row r="4818" spans="8:34" ht="12.75">
      <c r="H4818" s="43"/>
      <c r="AG4818" s="49" t="str">
        <f ca="1">IFERROR(__xludf.DUMMYFUNCTION("IFNA(vlookup(H4818,IMPORTRANGE(""1vUGwO1n0QQGx9kKbO0_M5gmuhXZ6-LaxQxgrmJnzgP0"",""'TP# look up'!A:C""),3,0),"""")"),"")</f>
        <v/>
      </c>
      <c r="AH4818" s="49" t="str">
        <f t="shared" si="75"/>
        <v/>
      </c>
    </row>
    <row r="4819" spans="8:34" ht="12.75">
      <c r="H4819" s="43"/>
      <c r="AG4819" s="49" t="str">
        <f ca="1">IFERROR(__xludf.DUMMYFUNCTION("IFNA(vlookup(H4819,IMPORTRANGE(""1vUGwO1n0QQGx9kKbO0_M5gmuhXZ6-LaxQxgrmJnzgP0"",""'TP# look up'!A:C""),3,0),"""")"),"")</f>
        <v/>
      </c>
      <c r="AH4819" s="49" t="str">
        <f t="shared" si="75"/>
        <v/>
      </c>
    </row>
    <row r="4820" spans="8:34" ht="12.75">
      <c r="H4820" s="43"/>
      <c r="AG4820" s="49" t="str">
        <f ca="1">IFERROR(__xludf.DUMMYFUNCTION("IFNA(vlookup(H4820,IMPORTRANGE(""1vUGwO1n0QQGx9kKbO0_M5gmuhXZ6-LaxQxgrmJnzgP0"",""'TP# look up'!A:C""),3,0),"""")"),"")</f>
        <v/>
      </c>
      <c r="AH4820" s="49" t="str">
        <f t="shared" si="75"/>
        <v/>
      </c>
    </row>
    <row r="4821" spans="8:34" ht="12.75">
      <c r="H4821" s="43"/>
      <c r="AG4821" s="49" t="str">
        <f ca="1">IFERROR(__xludf.DUMMYFUNCTION("IFNA(vlookup(H4821,IMPORTRANGE(""1vUGwO1n0QQGx9kKbO0_M5gmuhXZ6-LaxQxgrmJnzgP0"",""'TP# look up'!A:C""),3,0),"""")"),"")</f>
        <v/>
      </c>
      <c r="AH4821" s="49" t="str">
        <f t="shared" si="75"/>
        <v/>
      </c>
    </row>
    <row r="4822" spans="8:34" ht="12.75">
      <c r="H4822" s="43"/>
      <c r="AG4822" s="49" t="str">
        <f ca="1">IFERROR(__xludf.DUMMYFUNCTION("IFNA(vlookup(H4822,IMPORTRANGE(""1vUGwO1n0QQGx9kKbO0_M5gmuhXZ6-LaxQxgrmJnzgP0"",""'TP# look up'!A:C""),3,0),"""")"),"")</f>
        <v/>
      </c>
      <c r="AH4822" s="49" t="str">
        <f t="shared" si="75"/>
        <v/>
      </c>
    </row>
    <row r="4823" spans="8:34" ht="12.75">
      <c r="H4823" s="43"/>
      <c r="AG4823" s="49" t="str">
        <f ca="1">IFERROR(__xludf.DUMMYFUNCTION("IFNA(vlookup(H4823,IMPORTRANGE(""1vUGwO1n0QQGx9kKbO0_M5gmuhXZ6-LaxQxgrmJnzgP0"",""'TP# look up'!A:C""),3,0),"""")"),"")</f>
        <v/>
      </c>
      <c r="AH4823" s="49" t="str">
        <f t="shared" si="75"/>
        <v/>
      </c>
    </row>
    <row r="4824" spans="8:34" ht="12.75">
      <c r="H4824" s="43"/>
      <c r="AG4824" s="49" t="str">
        <f ca="1">IFERROR(__xludf.DUMMYFUNCTION("IFNA(vlookup(H4824,IMPORTRANGE(""1vUGwO1n0QQGx9kKbO0_M5gmuhXZ6-LaxQxgrmJnzgP0"",""'TP# look up'!A:C""),3,0),"""")"),"")</f>
        <v/>
      </c>
      <c r="AH4824" s="49" t="str">
        <f t="shared" si="75"/>
        <v/>
      </c>
    </row>
    <row r="4825" spans="8:34" ht="12.75">
      <c r="H4825" s="43"/>
      <c r="AG4825" s="49" t="str">
        <f ca="1">IFERROR(__xludf.DUMMYFUNCTION("IFNA(vlookup(H4825,IMPORTRANGE(""1vUGwO1n0QQGx9kKbO0_M5gmuhXZ6-LaxQxgrmJnzgP0"",""'TP# look up'!A:C""),3,0),"""")"),"")</f>
        <v/>
      </c>
      <c r="AH4825" s="49" t="str">
        <f t="shared" si="75"/>
        <v/>
      </c>
    </row>
    <row r="4826" spans="8:34" ht="12.75">
      <c r="H4826" s="43"/>
      <c r="AG4826" s="49" t="str">
        <f ca="1">IFERROR(__xludf.DUMMYFUNCTION("IFNA(vlookup(H4826,IMPORTRANGE(""1vUGwO1n0QQGx9kKbO0_M5gmuhXZ6-LaxQxgrmJnzgP0"",""'TP# look up'!A:C""),3,0),"""")"),"")</f>
        <v/>
      </c>
      <c r="AH4826" s="49" t="str">
        <f t="shared" si="75"/>
        <v/>
      </c>
    </row>
    <row r="4827" spans="8:34" ht="12.75">
      <c r="H4827" s="43"/>
      <c r="AG4827" s="49" t="str">
        <f ca="1">IFERROR(__xludf.DUMMYFUNCTION("IFNA(vlookup(H4827,IMPORTRANGE(""1vUGwO1n0QQGx9kKbO0_M5gmuhXZ6-LaxQxgrmJnzgP0"",""'TP# look up'!A:C""),3,0),"""")"),"")</f>
        <v/>
      </c>
      <c r="AH4827" s="49" t="str">
        <f t="shared" si="75"/>
        <v/>
      </c>
    </row>
    <row r="4828" spans="8:34" ht="12.75">
      <c r="H4828" s="43"/>
      <c r="AG4828" s="49" t="str">
        <f ca="1">IFERROR(__xludf.DUMMYFUNCTION("IFNA(vlookup(H4828,IMPORTRANGE(""1vUGwO1n0QQGx9kKbO0_M5gmuhXZ6-LaxQxgrmJnzgP0"",""'TP# look up'!A:C""),3,0),"""")"),"")</f>
        <v/>
      </c>
      <c r="AH4828" s="49" t="str">
        <f t="shared" si="75"/>
        <v/>
      </c>
    </row>
    <row r="4829" spans="8:34" ht="12.75">
      <c r="H4829" s="43"/>
      <c r="AG4829" s="49" t="str">
        <f ca="1">IFERROR(__xludf.DUMMYFUNCTION("IFNA(vlookup(H4829,IMPORTRANGE(""1vUGwO1n0QQGx9kKbO0_M5gmuhXZ6-LaxQxgrmJnzgP0"",""'TP# look up'!A:C""),3,0),"""")"),"")</f>
        <v/>
      </c>
      <c r="AH4829" s="49" t="str">
        <f t="shared" si="75"/>
        <v/>
      </c>
    </row>
    <row r="4830" spans="8:34" ht="12.75">
      <c r="H4830" s="43"/>
      <c r="AG4830" s="49" t="str">
        <f ca="1">IFERROR(__xludf.DUMMYFUNCTION("IFNA(vlookup(H4830,IMPORTRANGE(""1vUGwO1n0QQGx9kKbO0_M5gmuhXZ6-LaxQxgrmJnzgP0"",""'TP# look up'!A:C""),3,0),"""")"),"")</f>
        <v/>
      </c>
      <c r="AH4830" s="49" t="str">
        <f t="shared" si="75"/>
        <v/>
      </c>
    </row>
    <row r="4831" spans="8:34" ht="12.75">
      <c r="H4831" s="43"/>
      <c r="AG4831" s="49" t="str">
        <f ca="1">IFERROR(__xludf.DUMMYFUNCTION("IFNA(vlookup(H4831,IMPORTRANGE(""1vUGwO1n0QQGx9kKbO0_M5gmuhXZ6-LaxQxgrmJnzgP0"",""'TP# look up'!A:C""),3,0),"""")"),"")</f>
        <v/>
      </c>
      <c r="AH4831" s="49" t="str">
        <f t="shared" si="75"/>
        <v/>
      </c>
    </row>
    <row r="4832" spans="8:34" ht="12.75">
      <c r="H4832" s="43"/>
      <c r="AG4832" s="49" t="str">
        <f ca="1">IFERROR(__xludf.DUMMYFUNCTION("IFNA(vlookup(H4832,IMPORTRANGE(""1vUGwO1n0QQGx9kKbO0_M5gmuhXZ6-LaxQxgrmJnzgP0"",""'TP# look up'!A:C""),3,0),"""")"),"")</f>
        <v/>
      </c>
      <c r="AH4832" s="49" t="str">
        <f t="shared" si="75"/>
        <v/>
      </c>
    </row>
    <row r="4833" spans="8:34" ht="12.75">
      <c r="H4833" s="43"/>
      <c r="AG4833" s="49" t="str">
        <f ca="1">IFERROR(__xludf.DUMMYFUNCTION("IFNA(vlookup(H4833,IMPORTRANGE(""1vUGwO1n0QQGx9kKbO0_M5gmuhXZ6-LaxQxgrmJnzgP0"",""'TP# look up'!A:C""),3,0),"""")"),"")</f>
        <v/>
      </c>
      <c r="AH4833" s="49" t="str">
        <f t="shared" si="75"/>
        <v/>
      </c>
    </row>
    <row r="4834" spans="8:34" ht="12.75">
      <c r="H4834" s="43"/>
      <c r="AG4834" s="49" t="str">
        <f ca="1">IFERROR(__xludf.DUMMYFUNCTION("IFNA(vlookup(H4834,IMPORTRANGE(""1vUGwO1n0QQGx9kKbO0_M5gmuhXZ6-LaxQxgrmJnzgP0"",""'TP# look up'!A:C""),3,0),"""")"),"")</f>
        <v/>
      </c>
      <c r="AH4834" s="49" t="str">
        <f t="shared" si="75"/>
        <v/>
      </c>
    </row>
    <row r="4835" spans="8:34" ht="12.75">
      <c r="H4835" s="43"/>
      <c r="AG4835" s="49" t="str">
        <f ca="1">IFERROR(__xludf.DUMMYFUNCTION("IFNA(vlookup(H4835,IMPORTRANGE(""1vUGwO1n0QQGx9kKbO0_M5gmuhXZ6-LaxQxgrmJnzgP0"",""'TP# look up'!A:C""),3,0),"""")"),"")</f>
        <v/>
      </c>
      <c r="AH4835" s="49" t="str">
        <f t="shared" si="75"/>
        <v/>
      </c>
    </row>
    <row r="4836" spans="8:34" ht="12.75">
      <c r="H4836" s="43"/>
      <c r="AG4836" s="49" t="str">
        <f ca="1">IFERROR(__xludf.DUMMYFUNCTION("IFNA(vlookup(H4836,IMPORTRANGE(""1vUGwO1n0QQGx9kKbO0_M5gmuhXZ6-LaxQxgrmJnzgP0"",""'TP# look up'!A:C""),3,0),"""")"),"")</f>
        <v/>
      </c>
      <c r="AH4836" s="49" t="str">
        <f t="shared" si="75"/>
        <v/>
      </c>
    </row>
    <row r="4837" spans="8:34" ht="12.75">
      <c r="H4837" s="43"/>
      <c r="AG4837" s="49" t="str">
        <f ca="1">IFERROR(__xludf.DUMMYFUNCTION("IFNA(vlookup(H4837,IMPORTRANGE(""1vUGwO1n0QQGx9kKbO0_M5gmuhXZ6-LaxQxgrmJnzgP0"",""'TP# look up'!A:C""),3,0),"""")"),"")</f>
        <v/>
      </c>
      <c r="AH4837" s="49" t="str">
        <f t="shared" si="75"/>
        <v/>
      </c>
    </row>
    <row r="4838" spans="8:34" ht="12.75">
      <c r="H4838" s="43"/>
      <c r="AG4838" s="49" t="str">
        <f ca="1">IFERROR(__xludf.DUMMYFUNCTION("IFNA(vlookup(H4838,IMPORTRANGE(""1vUGwO1n0QQGx9kKbO0_M5gmuhXZ6-LaxQxgrmJnzgP0"",""'TP# look up'!A:C""),3,0),"""")"),"")</f>
        <v/>
      </c>
      <c r="AH4838" s="49" t="str">
        <f t="shared" si="75"/>
        <v/>
      </c>
    </row>
    <row r="4839" spans="8:34" ht="12.75">
      <c r="H4839" s="43"/>
      <c r="AG4839" s="49" t="str">
        <f ca="1">IFERROR(__xludf.DUMMYFUNCTION("IFNA(vlookup(H4839,IMPORTRANGE(""1vUGwO1n0QQGx9kKbO0_M5gmuhXZ6-LaxQxgrmJnzgP0"",""'TP# look up'!A:C""),3,0),"""")"),"")</f>
        <v/>
      </c>
      <c r="AH4839" s="49" t="str">
        <f t="shared" si="75"/>
        <v/>
      </c>
    </row>
    <row r="4840" spans="8:34" ht="12.75">
      <c r="H4840" s="43"/>
      <c r="AG4840" s="49" t="str">
        <f ca="1">IFERROR(__xludf.DUMMYFUNCTION("IFNA(vlookup(H4840,IMPORTRANGE(""1vUGwO1n0QQGx9kKbO0_M5gmuhXZ6-LaxQxgrmJnzgP0"",""'TP# look up'!A:C""),3,0),"""")"),"")</f>
        <v/>
      </c>
      <c r="AH4840" s="49" t="str">
        <f t="shared" si="75"/>
        <v/>
      </c>
    </row>
    <row r="4841" spans="8:34" ht="12.75">
      <c r="H4841" s="43"/>
      <c r="AG4841" s="49" t="str">
        <f ca="1">IFERROR(__xludf.DUMMYFUNCTION("IFNA(vlookup(H4841,IMPORTRANGE(""1vUGwO1n0QQGx9kKbO0_M5gmuhXZ6-LaxQxgrmJnzgP0"",""'TP# look up'!A:C""),3,0),"""")"),"")</f>
        <v/>
      </c>
      <c r="AH4841" s="49" t="str">
        <f t="shared" si="75"/>
        <v/>
      </c>
    </row>
    <row r="4842" spans="8:34" ht="12.75">
      <c r="H4842" s="43"/>
      <c r="AG4842" s="49" t="str">
        <f ca="1">IFERROR(__xludf.DUMMYFUNCTION("IFNA(vlookup(H4842,IMPORTRANGE(""1vUGwO1n0QQGx9kKbO0_M5gmuhXZ6-LaxQxgrmJnzgP0"",""'TP# look up'!A:C""),3,0),"""")"),"")</f>
        <v/>
      </c>
      <c r="AH4842" s="49" t="str">
        <f t="shared" si="75"/>
        <v/>
      </c>
    </row>
    <row r="4843" spans="8:34" ht="12.75">
      <c r="H4843" s="43"/>
      <c r="AG4843" s="49" t="str">
        <f ca="1">IFERROR(__xludf.DUMMYFUNCTION("IFNA(vlookup(H4843,IMPORTRANGE(""1vUGwO1n0QQGx9kKbO0_M5gmuhXZ6-LaxQxgrmJnzgP0"",""'TP# look up'!A:C""),3,0),"""")"),"")</f>
        <v/>
      </c>
      <c r="AH4843" s="49" t="str">
        <f t="shared" si="75"/>
        <v/>
      </c>
    </row>
    <row r="4844" spans="8:34" ht="12.75">
      <c r="H4844" s="43"/>
      <c r="AG4844" s="49" t="str">
        <f ca="1">IFERROR(__xludf.DUMMYFUNCTION("IFNA(vlookup(H4844,IMPORTRANGE(""1vUGwO1n0QQGx9kKbO0_M5gmuhXZ6-LaxQxgrmJnzgP0"",""'TP# look up'!A:C""),3,0),"""")"),"")</f>
        <v/>
      </c>
      <c r="AH4844" s="49" t="str">
        <f t="shared" si="75"/>
        <v/>
      </c>
    </row>
    <row r="4845" spans="8:34" ht="12.75">
      <c r="H4845" s="43"/>
      <c r="AG4845" s="49" t="str">
        <f ca="1">IFERROR(__xludf.DUMMYFUNCTION("IFNA(vlookup(H4845,IMPORTRANGE(""1vUGwO1n0QQGx9kKbO0_M5gmuhXZ6-LaxQxgrmJnzgP0"",""'TP# look up'!A:C""),3,0),"""")"),"")</f>
        <v/>
      </c>
      <c r="AH4845" s="49" t="str">
        <f t="shared" si="75"/>
        <v/>
      </c>
    </row>
    <row r="4846" spans="8:34" ht="12.75">
      <c r="H4846" s="43"/>
      <c r="AG4846" s="49" t="str">
        <f ca="1">IFERROR(__xludf.DUMMYFUNCTION("IFNA(vlookup(H4846,IMPORTRANGE(""1vUGwO1n0QQGx9kKbO0_M5gmuhXZ6-LaxQxgrmJnzgP0"",""'TP# look up'!A:C""),3,0),"""")"),"")</f>
        <v/>
      </c>
      <c r="AH4846" s="49" t="str">
        <f t="shared" si="75"/>
        <v/>
      </c>
    </row>
    <row r="4847" spans="8:34" ht="12.75">
      <c r="H4847" s="43"/>
      <c r="AG4847" s="49" t="str">
        <f ca="1">IFERROR(__xludf.DUMMYFUNCTION("IFNA(vlookup(H4847,IMPORTRANGE(""1vUGwO1n0QQGx9kKbO0_M5gmuhXZ6-LaxQxgrmJnzgP0"",""'TP# look up'!A:C""),3,0),"""")"),"")</f>
        <v/>
      </c>
      <c r="AH4847" s="49" t="str">
        <f t="shared" si="75"/>
        <v/>
      </c>
    </row>
    <row r="4848" spans="8:34" ht="12.75">
      <c r="H4848" s="43"/>
      <c r="AG4848" s="49" t="str">
        <f ca="1">IFERROR(__xludf.DUMMYFUNCTION("IFNA(vlookup(H4848,IMPORTRANGE(""1vUGwO1n0QQGx9kKbO0_M5gmuhXZ6-LaxQxgrmJnzgP0"",""'TP# look up'!A:C""),3,0),"""")"),"")</f>
        <v/>
      </c>
      <c r="AH4848" s="49" t="str">
        <f t="shared" si="75"/>
        <v/>
      </c>
    </row>
    <row r="4849" spans="8:34" ht="12.75">
      <c r="H4849" s="43"/>
      <c r="AG4849" s="49" t="str">
        <f ca="1">IFERROR(__xludf.DUMMYFUNCTION("IFNA(vlookup(H4849,IMPORTRANGE(""1vUGwO1n0QQGx9kKbO0_M5gmuhXZ6-LaxQxgrmJnzgP0"",""'TP# look up'!A:C""),3,0),"""")"),"")</f>
        <v/>
      </c>
      <c r="AH4849" s="49" t="str">
        <f t="shared" si="75"/>
        <v/>
      </c>
    </row>
    <row r="4850" spans="8:34" ht="12.75">
      <c r="H4850" s="43"/>
      <c r="AG4850" s="49" t="str">
        <f ca="1">IFERROR(__xludf.DUMMYFUNCTION("IFNA(vlookup(H4850,IMPORTRANGE(""1vUGwO1n0QQGx9kKbO0_M5gmuhXZ6-LaxQxgrmJnzgP0"",""'TP# look up'!A:C""),3,0),"""")"),"")</f>
        <v/>
      </c>
      <c r="AH4850" s="49" t="str">
        <f t="shared" si="75"/>
        <v/>
      </c>
    </row>
    <row r="4851" spans="8:34" ht="12.75">
      <c r="H4851" s="43"/>
      <c r="AG4851" s="49" t="str">
        <f ca="1">IFERROR(__xludf.DUMMYFUNCTION("IFNA(vlookup(H4851,IMPORTRANGE(""1vUGwO1n0QQGx9kKbO0_M5gmuhXZ6-LaxQxgrmJnzgP0"",""'TP# look up'!A:C""),3,0),"""")"),"")</f>
        <v/>
      </c>
      <c r="AH4851" s="49" t="str">
        <f t="shared" si="75"/>
        <v/>
      </c>
    </row>
    <row r="4852" spans="8:34" ht="12.75">
      <c r="H4852" s="43"/>
      <c r="AG4852" s="49" t="str">
        <f ca="1">IFERROR(__xludf.DUMMYFUNCTION("IFNA(vlookup(H4852,IMPORTRANGE(""1vUGwO1n0QQGx9kKbO0_M5gmuhXZ6-LaxQxgrmJnzgP0"",""'TP# look up'!A:C""),3,0),"""")"),"")</f>
        <v/>
      </c>
      <c r="AH4852" s="49" t="str">
        <f t="shared" si="75"/>
        <v/>
      </c>
    </row>
    <row r="4853" spans="8:34" ht="12.75">
      <c r="H4853" s="43"/>
      <c r="AG4853" s="49" t="str">
        <f ca="1">IFERROR(__xludf.DUMMYFUNCTION("IFNA(vlookup(H4853,IMPORTRANGE(""1vUGwO1n0QQGx9kKbO0_M5gmuhXZ6-LaxQxgrmJnzgP0"",""'TP# look up'!A:C""),3,0),"""")"),"")</f>
        <v/>
      </c>
      <c r="AH4853" s="49" t="str">
        <f t="shared" si="75"/>
        <v/>
      </c>
    </row>
    <row r="4854" spans="8:34" ht="12.75">
      <c r="H4854" s="43"/>
      <c r="AG4854" s="49" t="str">
        <f ca="1">IFERROR(__xludf.DUMMYFUNCTION("IFNA(vlookup(H4854,IMPORTRANGE(""1vUGwO1n0QQGx9kKbO0_M5gmuhXZ6-LaxQxgrmJnzgP0"",""'TP# look up'!A:C""),3,0),"""")"),"")</f>
        <v/>
      </c>
      <c r="AH4854" s="49" t="str">
        <f t="shared" si="75"/>
        <v/>
      </c>
    </row>
    <row r="4855" spans="8:34" ht="12.75">
      <c r="H4855" s="43"/>
      <c r="AG4855" s="49" t="str">
        <f ca="1">IFERROR(__xludf.DUMMYFUNCTION("IFNA(vlookup(H4855,IMPORTRANGE(""1vUGwO1n0QQGx9kKbO0_M5gmuhXZ6-LaxQxgrmJnzgP0"",""'TP# look up'!A:C""),3,0),"""")"),"")</f>
        <v/>
      </c>
      <c r="AH4855" s="49" t="str">
        <f t="shared" si="75"/>
        <v/>
      </c>
    </row>
    <row r="4856" spans="8:34" ht="12.75">
      <c r="H4856" s="43"/>
      <c r="AG4856" s="49" t="str">
        <f ca="1">IFERROR(__xludf.DUMMYFUNCTION("IFNA(vlookup(H4856,IMPORTRANGE(""1vUGwO1n0QQGx9kKbO0_M5gmuhXZ6-LaxQxgrmJnzgP0"",""'TP# look up'!A:C""),3,0),"""")"),"")</f>
        <v/>
      </c>
      <c r="AH4856" s="49" t="str">
        <f t="shared" si="75"/>
        <v/>
      </c>
    </row>
    <row r="4857" spans="8:34" ht="12.75">
      <c r="H4857" s="43"/>
      <c r="AG4857" s="49" t="str">
        <f ca="1">IFERROR(__xludf.DUMMYFUNCTION("IFNA(vlookup(H4857,IMPORTRANGE(""1vUGwO1n0QQGx9kKbO0_M5gmuhXZ6-LaxQxgrmJnzgP0"",""'TP# look up'!A:C""),3,0),"""")"),"")</f>
        <v/>
      </c>
      <c r="AH4857" s="49" t="str">
        <f t="shared" si="75"/>
        <v/>
      </c>
    </row>
    <row r="4858" spans="8:34" ht="12.75">
      <c r="H4858" s="43"/>
      <c r="AG4858" s="49" t="str">
        <f ca="1">IFERROR(__xludf.DUMMYFUNCTION("IFNA(vlookup(H4858,IMPORTRANGE(""1vUGwO1n0QQGx9kKbO0_M5gmuhXZ6-LaxQxgrmJnzgP0"",""'TP# look up'!A:C""),3,0),"""")"),"")</f>
        <v/>
      </c>
      <c r="AH4858" s="49" t="str">
        <f t="shared" si="75"/>
        <v/>
      </c>
    </row>
    <row r="4859" spans="8:34" ht="12.75">
      <c r="H4859" s="43"/>
      <c r="AG4859" s="49" t="str">
        <f ca="1">IFERROR(__xludf.DUMMYFUNCTION("IFNA(vlookup(H4859,IMPORTRANGE(""1vUGwO1n0QQGx9kKbO0_M5gmuhXZ6-LaxQxgrmJnzgP0"",""'TP# look up'!A:C""),3,0),"""")"),"")</f>
        <v/>
      </c>
      <c r="AH4859" s="49" t="str">
        <f t="shared" si="75"/>
        <v/>
      </c>
    </row>
    <row r="4860" spans="8:34" ht="12.75">
      <c r="H4860" s="43"/>
      <c r="AG4860" s="49" t="str">
        <f ca="1">IFERROR(__xludf.DUMMYFUNCTION("IFNA(vlookup(H4860,IMPORTRANGE(""1vUGwO1n0QQGx9kKbO0_M5gmuhXZ6-LaxQxgrmJnzgP0"",""'TP# look up'!A:C""),3,0),"""")"),"")</f>
        <v/>
      </c>
      <c r="AH4860" s="49" t="str">
        <f t="shared" si="75"/>
        <v/>
      </c>
    </row>
    <row r="4861" spans="8:34" ht="12.75">
      <c r="H4861" s="43"/>
      <c r="AG4861" s="49" t="str">
        <f ca="1">IFERROR(__xludf.DUMMYFUNCTION("IFNA(vlookup(H4861,IMPORTRANGE(""1vUGwO1n0QQGx9kKbO0_M5gmuhXZ6-LaxQxgrmJnzgP0"",""'TP# look up'!A:C""),3,0),"""")"),"")</f>
        <v/>
      </c>
      <c r="AH4861" s="49" t="str">
        <f t="shared" si="75"/>
        <v/>
      </c>
    </row>
    <row r="4862" spans="8:34" ht="12.75">
      <c r="H4862" s="43"/>
      <c r="AG4862" s="49" t="str">
        <f ca="1">IFERROR(__xludf.DUMMYFUNCTION("IFNA(vlookup(H4862,IMPORTRANGE(""1vUGwO1n0QQGx9kKbO0_M5gmuhXZ6-LaxQxgrmJnzgP0"",""'TP# look up'!A:C""),3,0),"""")"),"")</f>
        <v/>
      </c>
      <c r="AH4862" s="49" t="str">
        <f t="shared" si="75"/>
        <v/>
      </c>
    </row>
    <row r="4863" spans="8:34" ht="12.75">
      <c r="H4863" s="43"/>
      <c r="AG4863" s="49" t="str">
        <f ca="1">IFERROR(__xludf.DUMMYFUNCTION("IFNA(vlookup(H4863,IMPORTRANGE(""1vUGwO1n0QQGx9kKbO0_M5gmuhXZ6-LaxQxgrmJnzgP0"",""'TP# look up'!A:C""),3,0),"""")"),"")</f>
        <v/>
      </c>
      <c r="AH4863" s="49" t="str">
        <f t="shared" si="75"/>
        <v/>
      </c>
    </row>
    <row r="4864" spans="8:34" ht="12.75">
      <c r="H4864" s="43"/>
      <c r="AG4864" s="49" t="str">
        <f ca="1">IFERROR(__xludf.DUMMYFUNCTION("IFNA(vlookup(H4864,IMPORTRANGE(""1vUGwO1n0QQGx9kKbO0_M5gmuhXZ6-LaxQxgrmJnzgP0"",""'TP# look up'!A:C""),3,0),"""")"),"")</f>
        <v/>
      </c>
      <c r="AH4864" s="49" t="str">
        <f t="shared" si="75"/>
        <v/>
      </c>
    </row>
    <row r="4865" spans="8:34" ht="12.75">
      <c r="H4865" s="43"/>
      <c r="AG4865" s="49" t="str">
        <f ca="1">IFERROR(__xludf.DUMMYFUNCTION("IFNA(vlookup(H4865,IMPORTRANGE(""1vUGwO1n0QQGx9kKbO0_M5gmuhXZ6-LaxQxgrmJnzgP0"",""'TP# look up'!A:C""),3,0),"""")"),"")</f>
        <v/>
      </c>
      <c r="AH4865" s="49" t="str">
        <f t="shared" si="75"/>
        <v/>
      </c>
    </row>
    <row r="4866" spans="8:34" ht="12.75">
      <c r="H4866" s="43"/>
      <c r="AG4866" s="49" t="str">
        <f ca="1">IFERROR(__xludf.DUMMYFUNCTION("IFNA(vlookup(H4866,IMPORTRANGE(""1vUGwO1n0QQGx9kKbO0_M5gmuhXZ6-LaxQxgrmJnzgP0"",""'TP# look up'!A:C""),3,0),"""")"),"")</f>
        <v/>
      </c>
      <c r="AH4866" s="49" t="str">
        <f t="shared" ref="AH4866:AH4929" si="76">LEFT(J4866,2)</f>
        <v/>
      </c>
    </row>
    <row r="4867" spans="8:34" ht="12.75">
      <c r="H4867" s="43"/>
      <c r="AG4867" s="49" t="str">
        <f ca="1">IFERROR(__xludf.DUMMYFUNCTION("IFNA(vlookup(H4867,IMPORTRANGE(""1vUGwO1n0QQGx9kKbO0_M5gmuhXZ6-LaxQxgrmJnzgP0"",""'TP# look up'!A:C""),3,0),"""")"),"")</f>
        <v/>
      </c>
      <c r="AH4867" s="49" t="str">
        <f t="shared" si="76"/>
        <v/>
      </c>
    </row>
    <row r="4868" spans="8:34" ht="12.75">
      <c r="H4868" s="43"/>
      <c r="AG4868" s="49" t="str">
        <f ca="1">IFERROR(__xludf.DUMMYFUNCTION("IFNA(vlookup(H4868,IMPORTRANGE(""1vUGwO1n0QQGx9kKbO0_M5gmuhXZ6-LaxQxgrmJnzgP0"",""'TP# look up'!A:C""),3,0),"""")"),"")</f>
        <v/>
      </c>
      <c r="AH4868" s="49" t="str">
        <f t="shared" si="76"/>
        <v/>
      </c>
    </row>
    <row r="4869" spans="8:34" ht="12.75">
      <c r="H4869" s="43"/>
      <c r="AG4869" s="49" t="str">
        <f ca="1">IFERROR(__xludf.DUMMYFUNCTION("IFNA(vlookup(H4869,IMPORTRANGE(""1vUGwO1n0QQGx9kKbO0_M5gmuhXZ6-LaxQxgrmJnzgP0"",""'TP# look up'!A:C""),3,0),"""")"),"")</f>
        <v/>
      </c>
      <c r="AH4869" s="49" t="str">
        <f t="shared" si="76"/>
        <v/>
      </c>
    </row>
    <row r="4870" spans="8:34" ht="12.75">
      <c r="H4870" s="43"/>
      <c r="AG4870" s="49" t="str">
        <f ca="1">IFERROR(__xludf.DUMMYFUNCTION("IFNA(vlookup(H4870,IMPORTRANGE(""1vUGwO1n0QQGx9kKbO0_M5gmuhXZ6-LaxQxgrmJnzgP0"",""'TP# look up'!A:C""),3,0),"""")"),"")</f>
        <v/>
      </c>
      <c r="AH4870" s="49" t="str">
        <f t="shared" si="76"/>
        <v/>
      </c>
    </row>
    <row r="4871" spans="8:34" ht="12.75">
      <c r="H4871" s="43"/>
      <c r="AG4871" s="49" t="str">
        <f ca="1">IFERROR(__xludf.DUMMYFUNCTION("IFNA(vlookup(H4871,IMPORTRANGE(""1vUGwO1n0QQGx9kKbO0_M5gmuhXZ6-LaxQxgrmJnzgP0"",""'TP# look up'!A:C""),3,0),"""")"),"")</f>
        <v/>
      </c>
      <c r="AH4871" s="49" t="str">
        <f t="shared" si="76"/>
        <v/>
      </c>
    </row>
    <row r="4872" spans="8:34" ht="12.75">
      <c r="H4872" s="43"/>
      <c r="AG4872" s="49" t="str">
        <f ca="1">IFERROR(__xludf.DUMMYFUNCTION("IFNA(vlookup(H4872,IMPORTRANGE(""1vUGwO1n0QQGx9kKbO0_M5gmuhXZ6-LaxQxgrmJnzgP0"",""'TP# look up'!A:C""),3,0),"""")"),"")</f>
        <v/>
      </c>
      <c r="AH4872" s="49" t="str">
        <f t="shared" si="76"/>
        <v/>
      </c>
    </row>
    <row r="4873" spans="8:34" ht="12.75">
      <c r="H4873" s="43"/>
      <c r="AG4873" s="49" t="str">
        <f ca="1">IFERROR(__xludf.DUMMYFUNCTION("IFNA(vlookup(H4873,IMPORTRANGE(""1vUGwO1n0QQGx9kKbO0_M5gmuhXZ6-LaxQxgrmJnzgP0"",""'TP# look up'!A:C""),3,0),"""")"),"")</f>
        <v/>
      </c>
      <c r="AH4873" s="49" t="str">
        <f t="shared" si="76"/>
        <v/>
      </c>
    </row>
    <row r="4874" spans="8:34" ht="12.75">
      <c r="H4874" s="43"/>
      <c r="AG4874" s="49" t="str">
        <f ca="1">IFERROR(__xludf.DUMMYFUNCTION("IFNA(vlookup(H4874,IMPORTRANGE(""1vUGwO1n0QQGx9kKbO0_M5gmuhXZ6-LaxQxgrmJnzgP0"",""'TP# look up'!A:C""),3,0),"""")"),"")</f>
        <v/>
      </c>
      <c r="AH4874" s="49" t="str">
        <f t="shared" si="76"/>
        <v/>
      </c>
    </row>
    <row r="4875" spans="8:34" ht="12.75">
      <c r="H4875" s="43"/>
      <c r="AG4875" s="49" t="str">
        <f ca="1">IFERROR(__xludf.DUMMYFUNCTION("IFNA(vlookup(H4875,IMPORTRANGE(""1vUGwO1n0QQGx9kKbO0_M5gmuhXZ6-LaxQxgrmJnzgP0"",""'TP# look up'!A:C""),3,0),"""")"),"")</f>
        <v/>
      </c>
      <c r="AH4875" s="49" t="str">
        <f t="shared" si="76"/>
        <v/>
      </c>
    </row>
    <row r="4876" spans="8:34" ht="12.75">
      <c r="H4876" s="43"/>
      <c r="AG4876" s="49" t="str">
        <f ca="1">IFERROR(__xludf.DUMMYFUNCTION("IFNA(vlookup(H4876,IMPORTRANGE(""1vUGwO1n0QQGx9kKbO0_M5gmuhXZ6-LaxQxgrmJnzgP0"",""'TP# look up'!A:C""),3,0),"""")"),"")</f>
        <v/>
      </c>
      <c r="AH4876" s="49" t="str">
        <f t="shared" si="76"/>
        <v/>
      </c>
    </row>
    <row r="4877" spans="8:34" ht="12.75">
      <c r="H4877" s="43"/>
      <c r="AG4877" s="49" t="str">
        <f ca="1">IFERROR(__xludf.DUMMYFUNCTION("IFNA(vlookup(H4877,IMPORTRANGE(""1vUGwO1n0QQGx9kKbO0_M5gmuhXZ6-LaxQxgrmJnzgP0"",""'TP# look up'!A:C""),3,0),"""")"),"")</f>
        <v/>
      </c>
      <c r="AH4877" s="49" t="str">
        <f t="shared" si="76"/>
        <v/>
      </c>
    </row>
    <row r="4878" spans="8:34" ht="12.75">
      <c r="H4878" s="43"/>
      <c r="AG4878" s="49" t="str">
        <f ca="1">IFERROR(__xludf.DUMMYFUNCTION("IFNA(vlookup(H4878,IMPORTRANGE(""1vUGwO1n0QQGx9kKbO0_M5gmuhXZ6-LaxQxgrmJnzgP0"",""'TP# look up'!A:C""),3,0),"""")"),"")</f>
        <v/>
      </c>
      <c r="AH4878" s="49" t="str">
        <f t="shared" si="76"/>
        <v/>
      </c>
    </row>
    <row r="4879" spans="8:34" ht="12.75">
      <c r="H4879" s="43"/>
      <c r="AG4879" s="49" t="str">
        <f ca="1">IFERROR(__xludf.DUMMYFUNCTION("IFNA(vlookup(H4879,IMPORTRANGE(""1vUGwO1n0QQGx9kKbO0_M5gmuhXZ6-LaxQxgrmJnzgP0"",""'TP# look up'!A:C""),3,0),"""")"),"")</f>
        <v/>
      </c>
      <c r="AH4879" s="49" t="str">
        <f t="shared" si="76"/>
        <v/>
      </c>
    </row>
    <row r="4880" spans="8:34" ht="12.75">
      <c r="H4880" s="43"/>
      <c r="AG4880" s="49" t="str">
        <f ca="1">IFERROR(__xludf.DUMMYFUNCTION("IFNA(vlookup(H4880,IMPORTRANGE(""1vUGwO1n0QQGx9kKbO0_M5gmuhXZ6-LaxQxgrmJnzgP0"",""'TP# look up'!A:C""),3,0),"""")"),"")</f>
        <v/>
      </c>
      <c r="AH4880" s="49" t="str">
        <f t="shared" si="76"/>
        <v/>
      </c>
    </row>
    <row r="4881" spans="8:34" ht="12.75">
      <c r="H4881" s="43"/>
      <c r="AG4881" s="49" t="str">
        <f ca="1">IFERROR(__xludf.DUMMYFUNCTION("IFNA(vlookup(H4881,IMPORTRANGE(""1vUGwO1n0QQGx9kKbO0_M5gmuhXZ6-LaxQxgrmJnzgP0"",""'TP# look up'!A:C""),3,0),"""")"),"")</f>
        <v/>
      </c>
      <c r="AH4881" s="49" t="str">
        <f t="shared" si="76"/>
        <v/>
      </c>
    </row>
    <row r="4882" spans="8:34" ht="12.75">
      <c r="H4882" s="43"/>
      <c r="AG4882" s="49" t="str">
        <f ca="1">IFERROR(__xludf.DUMMYFUNCTION("IFNA(vlookup(H4882,IMPORTRANGE(""1vUGwO1n0QQGx9kKbO0_M5gmuhXZ6-LaxQxgrmJnzgP0"",""'TP# look up'!A:C""),3,0),"""")"),"")</f>
        <v/>
      </c>
      <c r="AH4882" s="49" t="str">
        <f t="shared" si="76"/>
        <v/>
      </c>
    </row>
    <row r="4883" spans="8:34" ht="12.75">
      <c r="H4883" s="43"/>
      <c r="AG4883" s="49" t="str">
        <f ca="1">IFERROR(__xludf.DUMMYFUNCTION("IFNA(vlookup(H4883,IMPORTRANGE(""1vUGwO1n0QQGx9kKbO0_M5gmuhXZ6-LaxQxgrmJnzgP0"",""'TP# look up'!A:C""),3,0),"""")"),"")</f>
        <v/>
      </c>
      <c r="AH4883" s="49" t="str">
        <f t="shared" si="76"/>
        <v/>
      </c>
    </row>
    <row r="4884" spans="8:34" ht="12.75">
      <c r="H4884" s="43"/>
      <c r="AG4884" s="49" t="str">
        <f ca="1">IFERROR(__xludf.DUMMYFUNCTION("IFNA(vlookup(H4884,IMPORTRANGE(""1vUGwO1n0QQGx9kKbO0_M5gmuhXZ6-LaxQxgrmJnzgP0"",""'TP# look up'!A:C""),3,0),"""")"),"")</f>
        <v/>
      </c>
      <c r="AH4884" s="49" t="str">
        <f t="shared" si="76"/>
        <v/>
      </c>
    </row>
    <row r="4885" spans="8:34" ht="12.75">
      <c r="H4885" s="43"/>
      <c r="AG4885" s="49" t="str">
        <f ca="1">IFERROR(__xludf.DUMMYFUNCTION("IFNA(vlookup(H4885,IMPORTRANGE(""1vUGwO1n0QQGx9kKbO0_M5gmuhXZ6-LaxQxgrmJnzgP0"",""'TP# look up'!A:C""),3,0),"""")"),"")</f>
        <v/>
      </c>
      <c r="AH4885" s="49" t="str">
        <f t="shared" si="76"/>
        <v/>
      </c>
    </row>
    <row r="4886" spans="8:34" ht="12.75">
      <c r="H4886" s="43"/>
      <c r="AG4886" s="49" t="str">
        <f ca="1">IFERROR(__xludf.DUMMYFUNCTION("IFNA(vlookup(H4886,IMPORTRANGE(""1vUGwO1n0QQGx9kKbO0_M5gmuhXZ6-LaxQxgrmJnzgP0"",""'TP# look up'!A:C""),3,0),"""")"),"")</f>
        <v/>
      </c>
      <c r="AH4886" s="49" t="str">
        <f t="shared" si="76"/>
        <v/>
      </c>
    </row>
    <row r="4887" spans="8:34" ht="12.75">
      <c r="H4887" s="43"/>
      <c r="AG4887" s="49" t="str">
        <f ca="1">IFERROR(__xludf.DUMMYFUNCTION("IFNA(vlookup(H4887,IMPORTRANGE(""1vUGwO1n0QQGx9kKbO0_M5gmuhXZ6-LaxQxgrmJnzgP0"",""'TP# look up'!A:C""),3,0),"""")"),"")</f>
        <v/>
      </c>
      <c r="AH4887" s="49" t="str">
        <f t="shared" si="76"/>
        <v/>
      </c>
    </row>
    <row r="4888" spans="8:34" ht="12.75">
      <c r="H4888" s="43"/>
      <c r="AG4888" s="49" t="str">
        <f ca="1">IFERROR(__xludf.DUMMYFUNCTION("IFNA(vlookup(H4888,IMPORTRANGE(""1vUGwO1n0QQGx9kKbO0_M5gmuhXZ6-LaxQxgrmJnzgP0"",""'TP# look up'!A:C""),3,0),"""")"),"")</f>
        <v/>
      </c>
      <c r="AH4888" s="49" t="str">
        <f t="shared" si="76"/>
        <v/>
      </c>
    </row>
    <row r="4889" spans="8:34" ht="12.75">
      <c r="H4889" s="43"/>
      <c r="AG4889" s="49" t="str">
        <f ca="1">IFERROR(__xludf.DUMMYFUNCTION("IFNA(vlookup(H4889,IMPORTRANGE(""1vUGwO1n0QQGx9kKbO0_M5gmuhXZ6-LaxQxgrmJnzgP0"",""'TP# look up'!A:C""),3,0),"""")"),"")</f>
        <v/>
      </c>
      <c r="AH4889" s="49" t="str">
        <f t="shared" si="76"/>
        <v/>
      </c>
    </row>
    <row r="4890" spans="8:34" ht="12.75">
      <c r="H4890" s="43"/>
      <c r="AG4890" s="49" t="str">
        <f ca="1">IFERROR(__xludf.DUMMYFUNCTION("IFNA(vlookup(H4890,IMPORTRANGE(""1vUGwO1n0QQGx9kKbO0_M5gmuhXZ6-LaxQxgrmJnzgP0"",""'TP# look up'!A:C""),3,0),"""")"),"")</f>
        <v/>
      </c>
      <c r="AH4890" s="49" t="str">
        <f t="shared" si="76"/>
        <v/>
      </c>
    </row>
    <row r="4891" spans="8:34" ht="12.75">
      <c r="H4891" s="43"/>
      <c r="AG4891" s="49" t="str">
        <f ca="1">IFERROR(__xludf.DUMMYFUNCTION("IFNA(vlookup(H4891,IMPORTRANGE(""1vUGwO1n0QQGx9kKbO0_M5gmuhXZ6-LaxQxgrmJnzgP0"",""'TP# look up'!A:C""),3,0),"""")"),"")</f>
        <v/>
      </c>
      <c r="AH4891" s="49" t="str">
        <f t="shared" si="76"/>
        <v/>
      </c>
    </row>
    <row r="4892" spans="8:34" ht="12.75">
      <c r="H4892" s="43"/>
      <c r="AG4892" s="49" t="str">
        <f ca="1">IFERROR(__xludf.DUMMYFUNCTION("IFNA(vlookup(H4892,IMPORTRANGE(""1vUGwO1n0QQGx9kKbO0_M5gmuhXZ6-LaxQxgrmJnzgP0"",""'TP# look up'!A:C""),3,0),"""")"),"")</f>
        <v/>
      </c>
      <c r="AH4892" s="49" t="str">
        <f t="shared" si="76"/>
        <v/>
      </c>
    </row>
    <row r="4893" spans="8:34" ht="12.75">
      <c r="H4893" s="43"/>
      <c r="AG4893" s="49" t="str">
        <f ca="1">IFERROR(__xludf.DUMMYFUNCTION("IFNA(vlookup(H4893,IMPORTRANGE(""1vUGwO1n0QQGx9kKbO0_M5gmuhXZ6-LaxQxgrmJnzgP0"",""'TP# look up'!A:C""),3,0),"""")"),"")</f>
        <v/>
      </c>
      <c r="AH4893" s="49" t="str">
        <f t="shared" si="76"/>
        <v/>
      </c>
    </row>
    <row r="4894" spans="8:34" ht="12.75">
      <c r="H4894" s="43"/>
      <c r="AG4894" s="49" t="str">
        <f ca="1">IFERROR(__xludf.DUMMYFUNCTION("IFNA(vlookup(H4894,IMPORTRANGE(""1vUGwO1n0QQGx9kKbO0_M5gmuhXZ6-LaxQxgrmJnzgP0"",""'TP# look up'!A:C""),3,0),"""")"),"")</f>
        <v/>
      </c>
      <c r="AH4894" s="49" t="str">
        <f t="shared" si="76"/>
        <v/>
      </c>
    </row>
    <row r="4895" spans="8:34" ht="12.75">
      <c r="H4895" s="43"/>
      <c r="AG4895" s="49" t="str">
        <f ca="1">IFERROR(__xludf.DUMMYFUNCTION("IFNA(vlookup(H4895,IMPORTRANGE(""1vUGwO1n0QQGx9kKbO0_M5gmuhXZ6-LaxQxgrmJnzgP0"",""'TP# look up'!A:C""),3,0),"""")"),"")</f>
        <v/>
      </c>
      <c r="AH4895" s="49" t="str">
        <f t="shared" si="76"/>
        <v/>
      </c>
    </row>
    <row r="4896" spans="8:34" ht="12.75">
      <c r="H4896" s="43"/>
      <c r="AG4896" s="49" t="str">
        <f ca="1">IFERROR(__xludf.DUMMYFUNCTION("IFNA(vlookup(H4896,IMPORTRANGE(""1vUGwO1n0QQGx9kKbO0_M5gmuhXZ6-LaxQxgrmJnzgP0"",""'TP# look up'!A:C""),3,0),"""")"),"")</f>
        <v/>
      </c>
      <c r="AH4896" s="49" t="str">
        <f t="shared" si="76"/>
        <v/>
      </c>
    </row>
    <row r="4897" spans="8:34" ht="12.75">
      <c r="H4897" s="43"/>
      <c r="AG4897" s="49" t="str">
        <f ca="1">IFERROR(__xludf.DUMMYFUNCTION("IFNA(vlookup(H4897,IMPORTRANGE(""1vUGwO1n0QQGx9kKbO0_M5gmuhXZ6-LaxQxgrmJnzgP0"",""'TP# look up'!A:C""),3,0),"""")"),"")</f>
        <v/>
      </c>
      <c r="AH4897" s="49" t="str">
        <f t="shared" si="76"/>
        <v/>
      </c>
    </row>
    <row r="4898" spans="8:34" ht="12.75">
      <c r="H4898" s="43"/>
      <c r="AG4898" s="49" t="str">
        <f ca="1">IFERROR(__xludf.DUMMYFUNCTION("IFNA(vlookup(H4898,IMPORTRANGE(""1vUGwO1n0QQGx9kKbO0_M5gmuhXZ6-LaxQxgrmJnzgP0"",""'TP# look up'!A:C""),3,0),"""")"),"")</f>
        <v/>
      </c>
      <c r="AH4898" s="49" t="str">
        <f t="shared" si="76"/>
        <v/>
      </c>
    </row>
    <row r="4899" spans="8:34" ht="12.75">
      <c r="H4899" s="43"/>
      <c r="AG4899" s="49" t="str">
        <f ca="1">IFERROR(__xludf.DUMMYFUNCTION("IFNA(vlookup(H4899,IMPORTRANGE(""1vUGwO1n0QQGx9kKbO0_M5gmuhXZ6-LaxQxgrmJnzgP0"",""'TP# look up'!A:C""),3,0),"""")"),"")</f>
        <v/>
      </c>
      <c r="AH4899" s="49" t="str">
        <f t="shared" si="76"/>
        <v/>
      </c>
    </row>
    <row r="4900" spans="8:34" ht="12.75">
      <c r="H4900" s="43"/>
      <c r="AG4900" s="49" t="str">
        <f ca="1">IFERROR(__xludf.DUMMYFUNCTION("IFNA(vlookup(H4900,IMPORTRANGE(""1vUGwO1n0QQGx9kKbO0_M5gmuhXZ6-LaxQxgrmJnzgP0"",""'TP# look up'!A:C""),3,0),"""")"),"")</f>
        <v/>
      </c>
      <c r="AH4900" s="49" t="str">
        <f t="shared" si="76"/>
        <v/>
      </c>
    </row>
    <row r="4901" spans="8:34" ht="12.75">
      <c r="H4901" s="43"/>
      <c r="AG4901" s="49" t="str">
        <f ca="1">IFERROR(__xludf.DUMMYFUNCTION("IFNA(vlookup(H4901,IMPORTRANGE(""1vUGwO1n0QQGx9kKbO0_M5gmuhXZ6-LaxQxgrmJnzgP0"",""'TP# look up'!A:C""),3,0),"""")"),"")</f>
        <v/>
      </c>
      <c r="AH4901" s="49" t="str">
        <f t="shared" si="76"/>
        <v/>
      </c>
    </row>
    <row r="4902" spans="8:34" ht="12.75">
      <c r="H4902" s="43"/>
      <c r="AG4902" s="49" t="str">
        <f ca="1">IFERROR(__xludf.DUMMYFUNCTION("IFNA(vlookup(H4902,IMPORTRANGE(""1vUGwO1n0QQGx9kKbO0_M5gmuhXZ6-LaxQxgrmJnzgP0"",""'TP# look up'!A:C""),3,0),"""")"),"")</f>
        <v/>
      </c>
      <c r="AH4902" s="49" t="str">
        <f t="shared" si="76"/>
        <v/>
      </c>
    </row>
    <row r="4903" spans="8:34" ht="12.75">
      <c r="H4903" s="43"/>
      <c r="AG4903" s="49" t="str">
        <f ca="1">IFERROR(__xludf.DUMMYFUNCTION("IFNA(vlookup(H4903,IMPORTRANGE(""1vUGwO1n0QQGx9kKbO0_M5gmuhXZ6-LaxQxgrmJnzgP0"",""'TP# look up'!A:C""),3,0),"""")"),"")</f>
        <v/>
      </c>
      <c r="AH4903" s="49" t="str">
        <f t="shared" si="76"/>
        <v/>
      </c>
    </row>
    <row r="4904" spans="8:34" ht="12.75">
      <c r="H4904" s="43"/>
      <c r="AG4904" s="49" t="str">
        <f ca="1">IFERROR(__xludf.DUMMYFUNCTION("IFNA(vlookup(H4904,IMPORTRANGE(""1vUGwO1n0QQGx9kKbO0_M5gmuhXZ6-LaxQxgrmJnzgP0"",""'TP# look up'!A:C""),3,0),"""")"),"")</f>
        <v/>
      </c>
      <c r="AH4904" s="49" t="str">
        <f t="shared" si="76"/>
        <v/>
      </c>
    </row>
    <row r="4905" spans="8:34" ht="12.75">
      <c r="H4905" s="43"/>
      <c r="AG4905" s="49" t="str">
        <f ca="1">IFERROR(__xludf.DUMMYFUNCTION("IFNA(vlookup(H4905,IMPORTRANGE(""1vUGwO1n0QQGx9kKbO0_M5gmuhXZ6-LaxQxgrmJnzgP0"",""'TP# look up'!A:C""),3,0),"""")"),"")</f>
        <v/>
      </c>
      <c r="AH4905" s="49" t="str">
        <f t="shared" si="76"/>
        <v/>
      </c>
    </row>
    <row r="4906" spans="8:34" ht="12.75">
      <c r="H4906" s="43"/>
      <c r="AG4906" s="49" t="str">
        <f ca="1">IFERROR(__xludf.DUMMYFUNCTION("IFNA(vlookup(H4906,IMPORTRANGE(""1vUGwO1n0QQGx9kKbO0_M5gmuhXZ6-LaxQxgrmJnzgP0"",""'TP# look up'!A:C""),3,0),"""")"),"")</f>
        <v/>
      </c>
      <c r="AH4906" s="49" t="str">
        <f t="shared" si="76"/>
        <v/>
      </c>
    </row>
    <row r="4907" spans="8:34" ht="12.75">
      <c r="H4907" s="43"/>
      <c r="AG4907" s="49" t="str">
        <f ca="1">IFERROR(__xludf.DUMMYFUNCTION("IFNA(vlookup(H4907,IMPORTRANGE(""1vUGwO1n0QQGx9kKbO0_M5gmuhXZ6-LaxQxgrmJnzgP0"",""'TP# look up'!A:C""),3,0),"""")"),"")</f>
        <v/>
      </c>
      <c r="AH4907" s="49" t="str">
        <f t="shared" si="76"/>
        <v/>
      </c>
    </row>
    <row r="4908" spans="8:34" ht="12.75">
      <c r="H4908" s="43"/>
      <c r="AG4908" s="49" t="str">
        <f ca="1">IFERROR(__xludf.DUMMYFUNCTION("IFNA(vlookup(H4908,IMPORTRANGE(""1vUGwO1n0QQGx9kKbO0_M5gmuhXZ6-LaxQxgrmJnzgP0"",""'TP# look up'!A:C""),3,0),"""")"),"")</f>
        <v/>
      </c>
      <c r="AH4908" s="49" t="str">
        <f t="shared" si="76"/>
        <v/>
      </c>
    </row>
    <row r="4909" spans="8:34" ht="12.75">
      <c r="H4909" s="43"/>
      <c r="AG4909" s="49" t="str">
        <f ca="1">IFERROR(__xludf.DUMMYFUNCTION("IFNA(vlookup(H4909,IMPORTRANGE(""1vUGwO1n0QQGx9kKbO0_M5gmuhXZ6-LaxQxgrmJnzgP0"",""'TP# look up'!A:C""),3,0),"""")"),"")</f>
        <v/>
      </c>
      <c r="AH4909" s="49" t="str">
        <f t="shared" si="76"/>
        <v/>
      </c>
    </row>
    <row r="4910" spans="8:34" ht="12.75">
      <c r="H4910" s="43"/>
      <c r="AG4910" s="49" t="str">
        <f ca="1">IFERROR(__xludf.DUMMYFUNCTION("IFNA(vlookup(H4910,IMPORTRANGE(""1vUGwO1n0QQGx9kKbO0_M5gmuhXZ6-LaxQxgrmJnzgP0"",""'TP# look up'!A:C""),3,0),"""")"),"")</f>
        <v/>
      </c>
      <c r="AH4910" s="49" t="str">
        <f t="shared" si="76"/>
        <v/>
      </c>
    </row>
    <row r="4911" spans="8:34" ht="12.75">
      <c r="H4911" s="43"/>
      <c r="AG4911" s="49" t="str">
        <f ca="1">IFERROR(__xludf.DUMMYFUNCTION("IFNA(vlookup(H4911,IMPORTRANGE(""1vUGwO1n0QQGx9kKbO0_M5gmuhXZ6-LaxQxgrmJnzgP0"",""'TP# look up'!A:C""),3,0),"""")"),"")</f>
        <v/>
      </c>
      <c r="AH4911" s="49" t="str">
        <f t="shared" si="76"/>
        <v/>
      </c>
    </row>
    <row r="4912" spans="8:34" ht="12.75">
      <c r="H4912" s="43"/>
      <c r="AG4912" s="49" t="str">
        <f ca="1">IFERROR(__xludf.DUMMYFUNCTION("IFNA(vlookup(H4912,IMPORTRANGE(""1vUGwO1n0QQGx9kKbO0_M5gmuhXZ6-LaxQxgrmJnzgP0"",""'TP# look up'!A:C""),3,0),"""")"),"")</f>
        <v/>
      </c>
      <c r="AH4912" s="49" t="str">
        <f t="shared" si="76"/>
        <v/>
      </c>
    </row>
    <row r="4913" spans="8:34" ht="12.75">
      <c r="H4913" s="43"/>
      <c r="AG4913" s="49" t="str">
        <f ca="1">IFERROR(__xludf.DUMMYFUNCTION("IFNA(vlookup(H4913,IMPORTRANGE(""1vUGwO1n0QQGx9kKbO0_M5gmuhXZ6-LaxQxgrmJnzgP0"",""'TP# look up'!A:C""),3,0),"""")"),"")</f>
        <v/>
      </c>
      <c r="AH4913" s="49" t="str">
        <f t="shared" si="76"/>
        <v/>
      </c>
    </row>
    <row r="4914" spans="8:34" ht="12.75">
      <c r="H4914" s="43"/>
      <c r="AG4914" s="49" t="str">
        <f ca="1">IFERROR(__xludf.DUMMYFUNCTION("IFNA(vlookup(H4914,IMPORTRANGE(""1vUGwO1n0QQGx9kKbO0_M5gmuhXZ6-LaxQxgrmJnzgP0"",""'TP# look up'!A:C""),3,0),"""")"),"")</f>
        <v/>
      </c>
      <c r="AH4914" s="49" t="str">
        <f t="shared" si="76"/>
        <v/>
      </c>
    </row>
    <row r="4915" spans="8:34" ht="12.75">
      <c r="H4915" s="43"/>
      <c r="AG4915" s="49" t="str">
        <f ca="1">IFERROR(__xludf.DUMMYFUNCTION("IFNA(vlookup(H4915,IMPORTRANGE(""1vUGwO1n0QQGx9kKbO0_M5gmuhXZ6-LaxQxgrmJnzgP0"",""'TP# look up'!A:C""),3,0),"""")"),"")</f>
        <v/>
      </c>
      <c r="AH4915" s="49" t="str">
        <f t="shared" si="76"/>
        <v/>
      </c>
    </row>
    <row r="4916" spans="8:34" ht="12.75">
      <c r="H4916" s="43"/>
      <c r="AG4916" s="49" t="str">
        <f ca="1">IFERROR(__xludf.DUMMYFUNCTION("IFNA(vlookup(H4916,IMPORTRANGE(""1vUGwO1n0QQGx9kKbO0_M5gmuhXZ6-LaxQxgrmJnzgP0"",""'TP# look up'!A:C""),3,0),"""")"),"")</f>
        <v/>
      </c>
      <c r="AH4916" s="49" t="str">
        <f t="shared" si="76"/>
        <v/>
      </c>
    </row>
    <row r="4917" spans="8:34" ht="12.75">
      <c r="H4917" s="43"/>
      <c r="AG4917" s="49" t="str">
        <f ca="1">IFERROR(__xludf.DUMMYFUNCTION("IFNA(vlookup(H4917,IMPORTRANGE(""1vUGwO1n0QQGx9kKbO0_M5gmuhXZ6-LaxQxgrmJnzgP0"",""'TP# look up'!A:C""),3,0),"""")"),"")</f>
        <v/>
      </c>
      <c r="AH4917" s="49" t="str">
        <f t="shared" si="76"/>
        <v/>
      </c>
    </row>
    <row r="4918" spans="8:34" ht="12.75">
      <c r="H4918" s="43"/>
      <c r="AG4918" s="49" t="str">
        <f ca="1">IFERROR(__xludf.DUMMYFUNCTION("IFNA(vlookup(H4918,IMPORTRANGE(""1vUGwO1n0QQGx9kKbO0_M5gmuhXZ6-LaxQxgrmJnzgP0"",""'TP# look up'!A:C""),3,0),"""")"),"")</f>
        <v/>
      </c>
      <c r="AH4918" s="49" t="str">
        <f t="shared" si="76"/>
        <v/>
      </c>
    </row>
    <row r="4919" spans="8:34" ht="12.75">
      <c r="H4919" s="43"/>
      <c r="AG4919" s="49" t="str">
        <f ca="1">IFERROR(__xludf.DUMMYFUNCTION("IFNA(vlookup(H4919,IMPORTRANGE(""1vUGwO1n0QQGx9kKbO0_M5gmuhXZ6-LaxQxgrmJnzgP0"",""'TP# look up'!A:C""),3,0),"""")"),"")</f>
        <v/>
      </c>
      <c r="AH4919" s="49" t="str">
        <f t="shared" si="76"/>
        <v/>
      </c>
    </row>
    <row r="4920" spans="8:34" ht="12.75">
      <c r="H4920" s="43"/>
      <c r="AG4920" s="49" t="str">
        <f ca="1">IFERROR(__xludf.DUMMYFUNCTION("IFNA(vlookup(H4920,IMPORTRANGE(""1vUGwO1n0QQGx9kKbO0_M5gmuhXZ6-LaxQxgrmJnzgP0"",""'TP# look up'!A:C""),3,0),"""")"),"")</f>
        <v/>
      </c>
      <c r="AH4920" s="49" t="str">
        <f t="shared" si="76"/>
        <v/>
      </c>
    </row>
    <row r="4921" spans="8:34" ht="12.75">
      <c r="H4921" s="43"/>
      <c r="AG4921" s="49" t="str">
        <f ca="1">IFERROR(__xludf.DUMMYFUNCTION("IFNA(vlookup(H4921,IMPORTRANGE(""1vUGwO1n0QQGx9kKbO0_M5gmuhXZ6-LaxQxgrmJnzgP0"",""'TP# look up'!A:C""),3,0),"""")"),"")</f>
        <v/>
      </c>
      <c r="AH4921" s="49" t="str">
        <f t="shared" si="76"/>
        <v/>
      </c>
    </row>
    <row r="4922" spans="8:34" ht="12.75">
      <c r="H4922" s="43"/>
      <c r="AG4922" s="49" t="str">
        <f ca="1">IFERROR(__xludf.DUMMYFUNCTION("IFNA(vlookup(H4922,IMPORTRANGE(""1vUGwO1n0QQGx9kKbO0_M5gmuhXZ6-LaxQxgrmJnzgP0"",""'TP# look up'!A:C""),3,0),"""")"),"")</f>
        <v/>
      </c>
      <c r="AH4922" s="49" t="str">
        <f t="shared" si="76"/>
        <v/>
      </c>
    </row>
    <row r="4923" spans="8:34" ht="12.75">
      <c r="H4923" s="43"/>
      <c r="AG4923" s="49" t="str">
        <f ca="1">IFERROR(__xludf.DUMMYFUNCTION("IFNA(vlookup(H4923,IMPORTRANGE(""1vUGwO1n0QQGx9kKbO0_M5gmuhXZ6-LaxQxgrmJnzgP0"",""'TP# look up'!A:C""),3,0),"""")"),"")</f>
        <v/>
      </c>
      <c r="AH4923" s="49" t="str">
        <f t="shared" si="76"/>
        <v/>
      </c>
    </row>
    <row r="4924" spans="8:34" ht="12.75">
      <c r="H4924" s="43"/>
      <c r="AG4924" s="49" t="str">
        <f ca="1">IFERROR(__xludf.DUMMYFUNCTION("IFNA(vlookup(H4924,IMPORTRANGE(""1vUGwO1n0QQGx9kKbO0_M5gmuhXZ6-LaxQxgrmJnzgP0"",""'TP# look up'!A:C""),3,0),"""")"),"")</f>
        <v/>
      </c>
      <c r="AH4924" s="49" t="str">
        <f t="shared" si="76"/>
        <v/>
      </c>
    </row>
    <row r="4925" spans="8:34" ht="12.75">
      <c r="H4925" s="43"/>
      <c r="AG4925" s="49" t="str">
        <f ca="1">IFERROR(__xludf.DUMMYFUNCTION("IFNA(vlookup(H4925,IMPORTRANGE(""1vUGwO1n0QQGx9kKbO0_M5gmuhXZ6-LaxQxgrmJnzgP0"",""'TP# look up'!A:C""),3,0),"""")"),"")</f>
        <v/>
      </c>
      <c r="AH4925" s="49" t="str">
        <f t="shared" si="76"/>
        <v/>
      </c>
    </row>
    <row r="4926" spans="8:34" ht="12.75">
      <c r="H4926" s="43"/>
      <c r="AG4926" s="49" t="str">
        <f ca="1">IFERROR(__xludf.DUMMYFUNCTION("IFNA(vlookup(H4926,IMPORTRANGE(""1vUGwO1n0QQGx9kKbO0_M5gmuhXZ6-LaxQxgrmJnzgP0"",""'TP# look up'!A:C""),3,0),"""")"),"")</f>
        <v/>
      </c>
      <c r="AH4926" s="49" t="str">
        <f t="shared" si="76"/>
        <v/>
      </c>
    </row>
    <row r="4927" spans="8:34" ht="12.75">
      <c r="H4927" s="43"/>
      <c r="AG4927" s="49" t="str">
        <f ca="1">IFERROR(__xludf.DUMMYFUNCTION("IFNA(vlookup(H4927,IMPORTRANGE(""1vUGwO1n0QQGx9kKbO0_M5gmuhXZ6-LaxQxgrmJnzgP0"",""'TP# look up'!A:C""),3,0),"""")"),"")</f>
        <v/>
      </c>
      <c r="AH4927" s="49" t="str">
        <f t="shared" si="76"/>
        <v/>
      </c>
    </row>
    <row r="4928" spans="8:34" ht="12.75">
      <c r="H4928" s="43"/>
      <c r="AG4928" s="49" t="str">
        <f ca="1">IFERROR(__xludf.DUMMYFUNCTION("IFNA(vlookup(H4928,IMPORTRANGE(""1vUGwO1n0QQGx9kKbO0_M5gmuhXZ6-LaxQxgrmJnzgP0"",""'TP# look up'!A:C""),3,0),"""")"),"")</f>
        <v/>
      </c>
      <c r="AH4928" s="49" t="str">
        <f t="shared" si="76"/>
        <v/>
      </c>
    </row>
    <row r="4929" spans="8:34" ht="12.75">
      <c r="H4929" s="43"/>
      <c r="AG4929" s="49" t="str">
        <f ca="1">IFERROR(__xludf.DUMMYFUNCTION("IFNA(vlookup(H4929,IMPORTRANGE(""1vUGwO1n0QQGx9kKbO0_M5gmuhXZ6-LaxQxgrmJnzgP0"",""'TP# look up'!A:C""),3,0),"""")"),"")</f>
        <v/>
      </c>
      <c r="AH4929" s="49" t="str">
        <f t="shared" si="76"/>
        <v/>
      </c>
    </row>
    <row r="4930" spans="8:34" ht="12.75">
      <c r="H4930" s="43"/>
      <c r="AG4930" s="49" t="str">
        <f ca="1">IFERROR(__xludf.DUMMYFUNCTION("IFNA(vlookup(H4930,IMPORTRANGE(""1vUGwO1n0QQGx9kKbO0_M5gmuhXZ6-LaxQxgrmJnzgP0"",""'TP# look up'!A:C""),3,0),"""")"),"")</f>
        <v/>
      </c>
      <c r="AH4930" s="49" t="str">
        <f t="shared" ref="AH4930:AH4993" si="77">LEFT(J4930,2)</f>
        <v/>
      </c>
    </row>
    <row r="4931" spans="8:34" ht="12.75">
      <c r="H4931" s="43"/>
      <c r="AG4931" s="49" t="str">
        <f ca="1">IFERROR(__xludf.DUMMYFUNCTION("IFNA(vlookup(H4931,IMPORTRANGE(""1vUGwO1n0QQGx9kKbO0_M5gmuhXZ6-LaxQxgrmJnzgP0"",""'TP# look up'!A:C""),3,0),"""")"),"")</f>
        <v/>
      </c>
      <c r="AH4931" s="49" t="str">
        <f t="shared" si="77"/>
        <v/>
      </c>
    </row>
    <row r="4932" spans="8:34" ht="12.75">
      <c r="H4932" s="43"/>
      <c r="AG4932" s="49" t="str">
        <f ca="1">IFERROR(__xludf.DUMMYFUNCTION("IFNA(vlookup(H4932,IMPORTRANGE(""1vUGwO1n0QQGx9kKbO0_M5gmuhXZ6-LaxQxgrmJnzgP0"",""'TP# look up'!A:C""),3,0),"""")"),"")</f>
        <v/>
      </c>
      <c r="AH4932" s="49" t="str">
        <f t="shared" si="77"/>
        <v/>
      </c>
    </row>
    <row r="4933" spans="8:34" ht="12.75">
      <c r="H4933" s="43"/>
      <c r="AG4933" s="49" t="str">
        <f ca="1">IFERROR(__xludf.DUMMYFUNCTION("IFNA(vlookup(H4933,IMPORTRANGE(""1vUGwO1n0QQGx9kKbO0_M5gmuhXZ6-LaxQxgrmJnzgP0"",""'TP# look up'!A:C""),3,0),"""")"),"")</f>
        <v/>
      </c>
      <c r="AH4933" s="49" t="str">
        <f t="shared" si="77"/>
        <v/>
      </c>
    </row>
    <row r="4934" spans="8:34" ht="12.75">
      <c r="H4934" s="43"/>
      <c r="AG4934" s="49" t="str">
        <f ca="1">IFERROR(__xludf.DUMMYFUNCTION("IFNA(vlookup(H4934,IMPORTRANGE(""1vUGwO1n0QQGx9kKbO0_M5gmuhXZ6-LaxQxgrmJnzgP0"",""'TP# look up'!A:C""),3,0),"""")"),"")</f>
        <v/>
      </c>
      <c r="AH4934" s="49" t="str">
        <f t="shared" si="77"/>
        <v/>
      </c>
    </row>
    <row r="4935" spans="8:34" ht="12.75">
      <c r="H4935" s="43"/>
      <c r="AG4935" s="49" t="str">
        <f ca="1">IFERROR(__xludf.DUMMYFUNCTION("IFNA(vlookup(H4935,IMPORTRANGE(""1vUGwO1n0QQGx9kKbO0_M5gmuhXZ6-LaxQxgrmJnzgP0"",""'TP# look up'!A:C""),3,0),"""")"),"")</f>
        <v/>
      </c>
      <c r="AH4935" s="49" t="str">
        <f t="shared" si="77"/>
        <v/>
      </c>
    </row>
    <row r="4936" spans="8:34" ht="12.75">
      <c r="H4936" s="43"/>
      <c r="AG4936" s="49" t="str">
        <f ca="1">IFERROR(__xludf.DUMMYFUNCTION("IFNA(vlookup(H4936,IMPORTRANGE(""1vUGwO1n0QQGx9kKbO0_M5gmuhXZ6-LaxQxgrmJnzgP0"",""'TP# look up'!A:C""),3,0),"""")"),"")</f>
        <v/>
      </c>
      <c r="AH4936" s="49" t="str">
        <f t="shared" si="77"/>
        <v/>
      </c>
    </row>
    <row r="4937" spans="8:34" ht="12.75">
      <c r="H4937" s="43"/>
      <c r="AG4937" s="49" t="str">
        <f ca="1">IFERROR(__xludf.DUMMYFUNCTION("IFNA(vlookup(H4937,IMPORTRANGE(""1vUGwO1n0QQGx9kKbO0_M5gmuhXZ6-LaxQxgrmJnzgP0"",""'TP# look up'!A:C""),3,0),"""")"),"")</f>
        <v/>
      </c>
      <c r="AH4937" s="49" t="str">
        <f t="shared" si="77"/>
        <v/>
      </c>
    </row>
    <row r="4938" spans="8:34" ht="12.75">
      <c r="H4938" s="43"/>
      <c r="AG4938" s="49" t="str">
        <f ca="1">IFERROR(__xludf.DUMMYFUNCTION("IFNA(vlookup(H4938,IMPORTRANGE(""1vUGwO1n0QQGx9kKbO0_M5gmuhXZ6-LaxQxgrmJnzgP0"",""'TP# look up'!A:C""),3,0),"""")"),"")</f>
        <v/>
      </c>
      <c r="AH4938" s="49" t="str">
        <f t="shared" si="77"/>
        <v/>
      </c>
    </row>
    <row r="4939" spans="8:34" ht="12.75">
      <c r="H4939" s="43"/>
      <c r="AG4939" s="49" t="str">
        <f ca="1">IFERROR(__xludf.DUMMYFUNCTION("IFNA(vlookup(H4939,IMPORTRANGE(""1vUGwO1n0QQGx9kKbO0_M5gmuhXZ6-LaxQxgrmJnzgP0"",""'TP# look up'!A:C""),3,0),"""")"),"")</f>
        <v/>
      </c>
      <c r="AH4939" s="49" t="str">
        <f t="shared" si="77"/>
        <v/>
      </c>
    </row>
    <row r="4940" spans="8:34" ht="12.75">
      <c r="H4940" s="43"/>
      <c r="AG4940" s="49" t="str">
        <f ca="1">IFERROR(__xludf.DUMMYFUNCTION("IFNA(vlookup(H4940,IMPORTRANGE(""1vUGwO1n0QQGx9kKbO0_M5gmuhXZ6-LaxQxgrmJnzgP0"",""'TP# look up'!A:C""),3,0),"""")"),"")</f>
        <v/>
      </c>
      <c r="AH4940" s="49" t="str">
        <f t="shared" si="77"/>
        <v/>
      </c>
    </row>
    <row r="4941" spans="8:34" ht="12.75">
      <c r="H4941" s="43"/>
      <c r="AG4941" s="49" t="str">
        <f ca="1">IFERROR(__xludf.DUMMYFUNCTION("IFNA(vlookup(H4941,IMPORTRANGE(""1vUGwO1n0QQGx9kKbO0_M5gmuhXZ6-LaxQxgrmJnzgP0"",""'TP# look up'!A:C""),3,0),"""")"),"")</f>
        <v/>
      </c>
      <c r="AH4941" s="49" t="str">
        <f t="shared" si="77"/>
        <v/>
      </c>
    </row>
    <row r="4942" spans="8:34" ht="12.75">
      <c r="H4942" s="43"/>
      <c r="AG4942" s="49" t="str">
        <f ca="1">IFERROR(__xludf.DUMMYFUNCTION("IFNA(vlookup(H4942,IMPORTRANGE(""1vUGwO1n0QQGx9kKbO0_M5gmuhXZ6-LaxQxgrmJnzgP0"",""'TP# look up'!A:C""),3,0),"""")"),"")</f>
        <v/>
      </c>
      <c r="AH4942" s="49" t="str">
        <f t="shared" si="77"/>
        <v/>
      </c>
    </row>
    <row r="4943" spans="8:34" ht="12.75">
      <c r="H4943" s="43"/>
      <c r="AG4943" s="49" t="str">
        <f ca="1">IFERROR(__xludf.DUMMYFUNCTION("IFNA(vlookup(H4943,IMPORTRANGE(""1vUGwO1n0QQGx9kKbO0_M5gmuhXZ6-LaxQxgrmJnzgP0"",""'TP# look up'!A:C""),3,0),"""")"),"")</f>
        <v/>
      </c>
      <c r="AH4943" s="49" t="str">
        <f t="shared" si="77"/>
        <v/>
      </c>
    </row>
    <row r="4944" spans="8:34" ht="12.75">
      <c r="H4944" s="43"/>
      <c r="AG4944" s="49" t="str">
        <f ca="1">IFERROR(__xludf.DUMMYFUNCTION("IFNA(vlookup(H4944,IMPORTRANGE(""1vUGwO1n0QQGx9kKbO0_M5gmuhXZ6-LaxQxgrmJnzgP0"",""'TP# look up'!A:C""),3,0),"""")"),"")</f>
        <v/>
      </c>
      <c r="AH4944" s="49" t="str">
        <f t="shared" si="77"/>
        <v/>
      </c>
    </row>
    <row r="4945" spans="8:34" ht="12.75">
      <c r="H4945" s="43"/>
      <c r="AG4945" s="49" t="str">
        <f ca="1">IFERROR(__xludf.DUMMYFUNCTION("IFNA(vlookup(H4945,IMPORTRANGE(""1vUGwO1n0QQGx9kKbO0_M5gmuhXZ6-LaxQxgrmJnzgP0"",""'TP# look up'!A:C""),3,0),"""")"),"")</f>
        <v/>
      </c>
      <c r="AH4945" s="49" t="str">
        <f t="shared" si="77"/>
        <v/>
      </c>
    </row>
    <row r="4946" spans="8:34" ht="12.75">
      <c r="H4946" s="43"/>
      <c r="AG4946" s="49" t="str">
        <f ca="1">IFERROR(__xludf.DUMMYFUNCTION("IFNA(vlookup(H4946,IMPORTRANGE(""1vUGwO1n0QQGx9kKbO0_M5gmuhXZ6-LaxQxgrmJnzgP0"",""'TP# look up'!A:C""),3,0),"""")"),"")</f>
        <v/>
      </c>
      <c r="AH4946" s="49" t="str">
        <f t="shared" si="77"/>
        <v/>
      </c>
    </row>
    <row r="4947" spans="8:34" ht="12.75">
      <c r="H4947" s="43"/>
      <c r="AG4947" s="49" t="str">
        <f ca="1">IFERROR(__xludf.DUMMYFUNCTION("IFNA(vlookup(H4947,IMPORTRANGE(""1vUGwO1n0QQGx9kKbO0_M5gmuhXZ6-LaxQxgrmJnzgP0"",""'TP# look up'!A:C""),3,0),"""")"),"")</f>
        <v/>
      </c>
      <c r="AH4947" s="49" t="str">
        <f t="shared" si="77"/>
        <v/>
      </c>
    </row>
    <row r="4948" spans="8:34" ht="12.75">
      <c r="H4948" s="43"/>
      <c r="AG4948" s="49" t="str">
        <f ca="1">IFERROR(__xludf.DUMMYFUNCTION("IFNA(vlookup(H4948,IMPORTRANGE(""1vUGwO1n0QQGx9kKbO0_M5gmuhXZ6-LaxQxgrmJnzgP0"",""'TP# look up'!A:C""),3,0),"""")"),"")</f>
        <v/>
      </c>
      <c r="AH4948" s="49" t="str">
        <f t="shared" si="77"/>
        <v/>
      </c>
    </row>
    <row r="4949" spans="8:34" ht="12.75">
      <c r="H4949" s="43"/>
      <c r="AG4949" s="49" t="str">
        <f ca="1">IFERROR(__xludf.DUMMYFUNCTION("IFNA(vlookup(H4949,IMPORTRANGE(""1vUGwO1n0QQGx9kKbO0_M5gmuhXZ6-LaxQxgrmJnzgP0"",""'TP# look up'!A:C""),3,0),"""")"),"")</f>
        <v/>
      </c>
      <c r="AH4949" s="49" t="str">
        <f t="shared" si="77"/>
        <v/>
      </c>
    </row>
    <row r="4950" spans="8:34" ht="12.75">
      <c r="H4950" s="43"/>
      <c r="AG4950" s="49" t="str">
        <f ca="1">IFERROR(__xludf.DUMMYFUNCTION("IFNA(vlookup(H4950,IMPORTRANGE(""1vUGwO1n0QQGx9kKbO0_M5gmuhXZ6-LaxQxgrmJnzgP0"",""'TP# look up'!A:C""),3,0),"""")"),"")</f>
        <v/>
      </c>
      <c r="AH4950" s="49" t="str">
        <f t="shared" si="77"/>
        <v/>
      </c>
    </row>
    <row r="4951" spans="8:34" ht="12.75">
      <c r="H4951" s="43"/>
      <c r="AG4951" s="49" t="str">
        <f ca="1">IFERROR(__xludf.DUMMYFUNCTION("IFNA(vlookup(H4951,IMPORTRANGE(""1vUGwO1n0QQGx9kKbO0_M5gmuhXZ6-LaxQxgrmJnzgP0"",""'TP# look up'!A:C""),3,0),"""")"),"")</f>
        <v/>
      </c>
      <c r="AH4951" s="49" t="str">
        <f t="shared" si="77"/>
        <v/>
      </c>
    </row>
    <row r="4952" spans="8:34" ht="12.75">
      <c r="H4952" s="43"/>
      <c r="AG4952" s="49" t="str">
        <f ca="1">IFERROR(__xludf.DUMMYFUNCTION("IFNA(vlookup(H4952,IMPORTRANGE(""1vUGwO1n0QQGx9kKbO0_M5gmuhXZ6-LaxQxgrmJnzgP0"",""'TP# look up'!A:C""),3,0),"""")"),"")</f>
        <v/>
      </c>
      <c r="AH4952" s="49" t="str">
        <f t="shared" si="77"/>
        <v/>
      </c>
    </row>
    <row r="4953" spans="8:34" ht="12.75">
      <c r="H4953" s="43"/>
      <c r="AG4953" s="49" t="str">
        <f ca="1">IFERROR(__xludf.DUMMYFUNCTION("IFNA(vlookup(H4953,IMPORTRANGE(""1vUGwO1n0QQGx9kKbO0_M5gmuhXZ6-LaxQxgrmJnzgP0"",""'TP# look up'!A:C""),3,0),"""")"),"")</f>
        <v/>
      </c>
      <c r="AH4953" s="49" t="str">
        <f t="shared" si="77"/>
        <v/>
      </c>
    </row>
    <row r="4954" spans="8:34" ht="12.75">
      <c r="H4954" s="43"/>
      <c r="AG4954" s="49" t="str">
        <f ca="1">IFERROR(__xludf.DUMMYFUNCTION("IFNA(vlookup(H4954,IMPORTRANGE(""1vUGwO1n0QQGx9kKbO0_M5gmuhXZ6-LaxQxgrmJnzgP0"",""'TP# look up'!A:C""),3,0),"""")"),"")</f>
        <v/>
      </c>
      <c r="AH4954" s="49" t="str">
        <f t="shared" si="77"/>
        <v/>
      </c>
    </row>
    <row r="4955" spans="8:34" ht="12.75">
      <c r="H4955" s="43"/>
      <c r="AG4955" s="49" t="str">
        <f ca="1">IFERROR(__xludf.DUMMYFUNCTION("IFNA(vlookup(H4955,IMPORTRANGE(""1vUGwO1n0QQGx9kKbO0_M5gmuhXZ6-LaxQxgrmJnzgP0"",""'TP# look up'!A:C""),3,0),"""")"),"")</f>
        <v/>
      </c>
      <c r="AH4955" s="49" t="str">
        <f t="shared" si="77"/>
        <v/>
      </c>
    </row>
    <row r="4956" spans="8:34" ht="12.75">
      <c r="H4956" s="43"/>
      <c r="AG4956" s="49" t="str">
        <f ca="1">IFERROR(__xludf.DUMMYFUNCTION("IFNA(vlookup(H4956,IMPORTRANGE(""1vUGwO1n0QQGx9kKbO0_M5gmuhXZ6-LaxQxgrmJnzgP0"",""'TP# look up'!A:C""),3,0),"""")"),"")</f>
        <v/>
      </c>
      <c r="AH4956" s="49" t="str">
        <f t="shared" si="77"/>
        <v/>
      </c>
    </row>
    <row r="4957" spans="8:34" ht="12.75">
      <c r="H4957" s="43"/>
      <c r="AG4957" s="49" t="str">
        <f ca="1">IFERROR(__xludf.DUMMYFUNCTION("IFNA(vlookup(H4957,IMPORTRANGE(""1vUGwO1n0QQGx9kKbO0_M5gmuhXZ6-LaxQxgrmJnzgP0"",""'TP# look up'!A:C""),3,0),"""")"),"")</f>
        <v/>
      </c>
      <c r="AH4957" s="49" t="str">
        <f t="shared" si="77"/>
        <v/>
      </c>
    </row>
    <row r="4958" spans="8:34" ht="12.75">
      <c r="H4958" s="43"/>
      <c r="AG4958" s="49" t="str">
        <f ca="1">IFERROR(__xludf.DUMMYFUNCTION("IFNA(vlookup(H4958,IMPORTRANGE(""1vUGwO1n0QQGx9kKbO0_M5gmuhXZ6-LaxQxgrmJnzgP0"",""'TP# look up'!A:C""),3,0),"""")"),"")</f>
        <v/>
      </c>
      <c r="AH4958" s="49" t="str">
        <f t="shared" si="77"/>
        <v/>
      </c>
    </row>
    <row r="4959" spans="8:34" ht="12.75">
      <c r="H4959" s="43"/>
      <c r="AG4959" s="49" t="str">
        <f ca="1">IFERROR(__xludf.DUMMYFUNCTION("IFNA(vlookup(H4959,IMPORTRANGE(""1vUGwO1n0QQGx9kKbO0_M5gmuhXZ6-LaxQxgrmJnzgP0"",""'TP# look up'!A:C""),3,0),"""")"),"")</f>
        <v/>
      </c>
      <c r="AH4959" s="49" t="str">
        <f t="shared" si="77"/>
        <v/>
      </c>
    </row>
    <row r="4960" spans="8:34" ht="12.75">
      <c r="H4960" s="43"/>
      <c r="AG4960" s="49" t="str">
        <f ca="1">IFERROR(__xludf.DUMMYFUNCTION("IFNA(vlookup(H4960,IMPORTRANGE(""1vUGwO1n0QQGx9kKbO0_M5gmuhXZ6-LaxQxgrmJnzgP0"",""'TP# look up'!A:C""),3,0),"""")"),"")</f>
        <v/>
      </c>
      <c r="AH4960" s="49" t="str">
        <f t="shared" si="77"/>
        <v/>
      </c>
    </row>
    <row r="4961" spans="8:34" ht="12.75">
      <c r="H4961" s="43"/>
      <c r="AG4961" s="49" t="str">
        <f ca="1">IFERROR(__xludf.DUMMYFUNCTION("IFNA(vlookup(H4961,IMPORTRANGE(""1vUGwO1n0QQGx9kKbO0_M5gmuhXZ6-LaxQxgrmJnzgP0"",""'TP# look up'!A:C""),3,0),"""")"),"")</f>
        <v/>
      </c>
      <c r="AH4961" s="49" t="str">
        <f t="shared" si="77"/>
        <v/>
      </c>
    </row>
    <row r="4962" spans="8:34" ht="12.75">
      <c r="H4962" s="43"/>
      <c r="AG4962" s="49" t="str">
        <f ca="1">IFERROR(__xludf.DUMMYFUNCTION("IFNA(vlookup(H4962,IMPORTRANGE(""1vUGwO1n0QQGx9kKbO0_M5gmuhXZ6-LaxQxgrmJnzgP0"",""'TP# look up'!A:C""),3,0),"""")"),"")</f>
        <v/>
      </c>
      <c r="AH4962" s="49" t="str">
        <f t="shared" si="77"/>
        <v/>
      </c>
    </row>
    <row r="4963" spans="8:34" ht="12.75">
      <c r="H4963" s="43"/>
      <c r="AG4963" s="49" t="str">
        <f ca="1">IFERROR(__xludf.DUMMYFUNCTION("IFNA(vlookup(H4963,IMPORTRANGE(""1vUGwO1n0QQGx9kKbO0_M5gmuhXZ6-LaxQxgrmJnzgP0"",""'TP# look up'!A:C""),3,0),"""")"),"")</f>
        <v/>
      </c>
      <c r="AH4963" s="49" t="str">
        <f t="shared" si="77"/>
        <v/>
      </c>
    </row>
    <row r="4964" spans="8:34" ht="12.75">
      <c r="H4964" s="43"/>
      <c r="AG4964" s="49" t="str">
        <f ca="1">IFERROR(__xludf.DUMMYFUNCTION("IFNA(vlookup(H4964,IMPORTRANGE(""1vUGwO1n0QQGx9kKbO0_M5gmuhXZ6-LaxQxgrmJnzgP0"",""'TP# look up'!A:C""),3,0),"""")"),"")</f>
        <v/>
      </c>
      <c r="AH4964" s="49" t="str">
        <f t="shared" si="77"/>
        <v/>
      </c>
    </row>
    <row r="4965" spans="8:34" ht="12.75">
      <c r="H4965" s="43"/>
      <c r="AG4965" s="49" t="str">
        <f ca="1">IFERROR(__xludf.DUMMYFUNCTION("IFNA(vlookup(H4965,IMPORTRANGE(""1vUGwO1n0QQGx9kKbO0_M5gmuhXZ6-LaxQxgrmJnzgP0"",""'TP# look up'!A:C""),3,0),"""")"),"")</f>
        <v/>
      </c>
      <c r="AH4965" s="49" t="str">
        <f t="shared" si="77"/>
        <v/>
      </c>
    </row>
    <row r="4966" spans="8:34" ht="12.75">
      <c r="H4966" s="43"/>
      <c r="AG4966" s="49" t="str">
        <f ca="1">IFERROR(__xludf.DUMMYFUNCTION("IFNA(vlookup(H4966,IMPORTRANGE(""1vUGwO1n0QQGx9kKbO0_M5gmuhXZ6-LaxQxgrmJnzgP0"",""'TP# look up'!A:C""),3,0),"""")"),"")</f>
        <v/>
      </c>
      <c r="AH4966" s="49" t="str">
        <f t="shared" si="77"/>
        <v/>
      </c>
    </row>
    <row r="4967" spans="8:34" ht="12.75">
      <c r="H4967" s="43"/>
      <c r="AG4967" s="49" t="str">
        <f ca="1">IFERROR(__xludf.DUMMYFUNCTION("IFNA(vlookup(H4967,IMPORTRANGE(""1vUGwO1n0QQGx9kKbO0_M5gmuhXZ6-LaxQxgrmJnzgP0"",""'TP# look up'!A:C""),3,0),"""")"),"")</f>
        <v/>
      </c>
      <c r="AH4967" s="49" t="str">
        <f t="shared" si="77"/>
        <v/>
      </c>
    </row>
    <row r="4968" spans="8:34" ht="12.75">
      <c r="H4968" s="43"/>
      <c r="AG4968" s="49" t="str">
        <f ca="1">IFERROR(__xludf.DUMMYFUNCTION("IFNA(vlookup(H4968,IMPORTRANGE(""1vUGwO1n0QQGx9kKbO0_M5gmuhXZ6-LaxQxgrmJnzgP0"",""'TP# look up'!A:C""),3,0),"""")"),"")</f>
        <v/>
      </c>
      <c r="AH4968" s="49" t="str">
        <f t="shared" si="77"/>
        <v/>
      </c>
    </row>
    <row r="4969" spans="8:34" ht="12.75">
      <c r="H4969" s="43"/>
      <c r="AG4969" s="49" t="str">
        <f ca="1">IFERROR(__xludf.DUMMYFUNCTION("IFNA(vlookup(H4969,IMPORTRANGE(""1vUGwO1n0QQGx9kKbO0_M5gmuhXZ6-LaxQxgrmJnzgP0"",""'TP# look up'!A:C""),3,0),"""")"),"")</f>
        <v/>
      </c>
      <c r="AH4969" s="49" t="str">
        <f t="shared" si="77"/>
        <v/>
      </c>
    </row>
    <row r="4970" spans="8:34" ht="12.75">
      <c r="H4970" s="43"/>
      <c r="AG4970" s="49" t="str">
        <f ca="1">IFERROR(__xludf.DUMMYFUNCTION("IFNA(vlookup(H4970,IMPORTRANGE(""1vUGwO1n0QQGx9kKbO0_M5gmuhXZ6-LaxQxgrmJnzgP0"",""'TP# look up'!A:C""),3,0),"""")"),"")</f>
        <v/>
      </c>
      <c r="AH4970" s="49" t="str">
        <f t="shared" si="77"/>
        <v/>
      </c>
    </row>
    <row r="4971" spans="8:34" ht="12.75">
      <c r="H4971" s="43"/>
      <c r="AG4971" s="49" t="str">
        <f ca="1">IFERROR(__xludf.DUMMYFUNCTION("IFNA(vlookup(H4971,IMPORTRANGE(""1vUGwO1n0QQGx9kKbO0_M5gmuhXZ6-LaxQxgrmJnzgP0"",""'TP# look up'!A:C""),3,0),"""")"),"")</f>
        <v/>
      </c>
      <c r="AH4971" s="49" t="str">
        <f t="shared" si="77"/>
        <v/>
      </c>
    </row>
    <row r="4972" spans="8:34" ht="12.75">
      <c r="H4972" s="43"/>
      <c r="AG4972" s="49" t="str">
        <f ca="1">IFERROR(__xludf.DUMMYFUNCTION("IFNA(vlookup(H4972,IMPORTRANGE(""1vUGwO1n0QQGx9kKbO0_M5gmuhXZ6-LaxQxgrmJnzgP0"",""'TP# look up'!A:C""),3,0),"""")"),"")</f>
        <v/>
      </c>
      <c r="AH4972" s="49" t="str">
        <f t="shared" si="77"/>
        <v/>
      </c>
    </row>
    <row r="4973" spans="8:34" ht="12.75">
      <c r="H4973" s="43"/>
      <c r="AG4973" s="49" t="str">
        <f ca="1">IFERROR(__xludf.DUMMYFUNCTION("IFNA(vlookup(H4973,IMPORTRANGE(""1vUGwO1n0QQGx9kKbO0_M5gmuhXZ6-LaxQxgrmJnzgP0"",""'TP# look up'!A:C""),3,0),"""")"),"")</f>
        <v/>
      </c>
      <c r="AH4973" s="49" t="str">
        <f t="shared" si="77"/>
        <v/>
      </c>
    </row>
    <row r="4974" spans="8:34" ht="12.75">
      <c r="H4974" s="43"/>
      <c r="AG4974" s="49" t="str">
        <f ca="1">IFERROR(__xludf.DUMMYFUNCTION("IFNA(vlookup(H4974,IMPORTRANGE(""1vUGwO1n0QQGx9kKbO0_M5gmuhXZ6-LaxQxgrmJnzgP0"",""'TP# look up'!A:C""),3,0),"""")"),"")</f>
        <v/>
      </c>
      <c r="AH4974" s="49" t="str">
        <f t="shared" si="77"/>
        <v/>
      </c>
    </row>
    <row r="4975" spans="8:34" ht="12.75">
      <c r="H4975" s="43"/>
      <c r="AG4975" s="49" t="str">
        <f ca="1">IFERROR(__xludf.DUMMYFUNCTION("IFNA(vlookup(H4975,IMPORTRANGE(""1vUGwO1n0QQGx9kKbO0_M5gmuhXZ6-LaxQxgrmJnzgP0"",""'TP# look up'!A:C""),3,0),"""")"),"")</f>
        <v/>
      </c>
      <c r="AH4975" s="49" t="str">
        <f t="shared" si="77"/>
        <v/>
      </c>
    </row>
    <row r="4976" spans="8:34" ht="12.75">
      <c r="H4976" s="43"/>
      <c r="AG4976" s="49" t="str">
        <f ca="1">IFERROR(__xludf.DUMMYFUNCTION("IFNA(vlookup(H4976,IMPORTRANGE(""1vUGwO1n0QQGx9kKbO0_M5gmuhXZ6-LaxQxgrmJnzgP0"",""'TP# look up'!A:C""),3,0),"""")"),"")</f>
        <v/>
      </c>
      <c r="AH4976" s="49" t="str">
        <f t="shared" si="77"/>
        <v/>
      </c>
    </row>
    <row r="4977" spans="8:34" ht="12.75">
      <c r="H4977" s="43"/>
      <c r="AG4977" s="49" t="str">
        <f ca="1">IFERROR(__xludf.DUMMYFUNCTION("IFNA(vlookup(H4977,IMPORTRANGE(""1vUGwO1n0QQGx9kKbO0_M5gmuhXZ6-LaxQxgrmJnzgP0"",""'TP# look up'!A:C""),3,0),"""")"),"")</f>
        <v/>
      </c>
      <c r="AH4977" s="49" t="str">
        <f t="shared" si="77"/>
        <v/>
      </c>
    </row>
    <row r="4978" spans="8:34" ht="12.75">
      <c r="H4978" s="43"/>
      <c r="AG4978" s="49" t="str">
        <f ca="1">IFERROR(__xludf.DUMMYFUNCTION("IFNA(vlookup(H4978,IMPORTRANGE(""1vUGwO1n0QQGx9kKbO0_M5gmuhXZ6-LaxQxgrmJnzgP0"",""'TP# look up'!A:C""),3,0),"""")"),"")</f>
        <v/>
      </c>
      <c r="AH4978" s="49" t="str">
        <f t="shared" si="77"/>
        <v/>
      </c>
    </row>
    <row r="4979" spans="8:34" ht="12.75">
      <c r="H4979" s="43"/>
      <c r="AG4979" s="49" t="str">
        <f ca="1">IFERROR(__xludf.DUMMYFUNCTION("IFNA(vlookup(H4979,IMPORTRANGE(""1vUGwO1n0QQGx9kKbO0_M5gmuhXZ6-LaxQxgrmJnzgP0"",""'TP# look up'!A:C""),3,0),"""")"),"")</f>
        <v/>
      </c>
      <c r="AH4979" s="49" t="str">
        <f t="shared" si="77"/>
        <v/>
      </c>
    </row>
    <row r="4980" spans="8:34" ht="12.75">
      <c r="H4980" s="43"/>
      <c r="AG4980" s="49" t="str">
        <f ca="1">IFERROR(__xludf.DUMMYFUNCTION("IFNA(vlookup(H4980,IMPORTRANGE(""1vUGwO1n0QQGx9kKbO0_M5gmuhXZ6-LaxQxgrmJnzgP0"",""'TP# look up'!A:C""),3,0),"""")"),"")</f>
        <v/>
      </c>
      <c r="AH4980" s="49" t="str">
        <f t="shared" si="77"/>
        <v/>
      </c>
    </row>
    <row r="4981" spans="8:34" ht="12.75">
      <c r="H4981" s="43"/>
      <c r="AG4981" s="49" t="str">
        <f ca="1">IFERROR(__xludf.DUMMYFUNCTION("IFNA(vlookup(H4981,IMPORTRANGE(""1vUGwO1n0QQGx9kKbO0_M5gmuhXZ6-LaxQxgrmJnzgP0"",""'TP# look up'!A:C""),3,0),"""")"),"")</f>
        <v/>
      </c>
      <c r="AH4981" s="49" t="str">
        <f t="shared" si="77"/>
        <v/>
      </c>
    </row>
    <row r="4982" spans="8:34" ht="12.75">
      <c r="H4982" s="43"/>
      <c r="AG4982" s="49" t="str">
        <f ca="1">IFERROR(__xludf.DUMMYFUNCTION("IFNA(vlookup(H4982,IMPORTRANGE(""1vUGwO1n0QQGx9kKbO0_M5gmuhXZ6-LaxQxgrmJnzgP0"",""'TP# look up'!A:C""),3,0),"""")"),"")</f>
        <v/>
      </c>
      <c r="AH4982" s="49" t="str">
        <f t="shared" si="77"/>
        <v/>
      </c>
    </row>
    <row r="4983" spans="8:34" ht="12.75">
      <c r="H4983" s="43"/>
      <c r="AG4983" s="49" t="str">
        <f ca="1">IFERROR(__xludf.DUMMYFUNCTION("IFNA(vlookup(H4983,IMPORTRANGE(""1vUGwO1n0QQGx9kKbO0_M5gmuhXZ6-LaxQxgrmJnzgP0"",""'TP# look up'!A:C""),3,0),"""")"),"")</f>
        <v/>
      </c>
      <c r="AH4983" s="49" t="str">
        <f t="shared" si="77"/>
        <v/>
      </c>
    </row>
    <row r="4984" spans="8:34" ht="12.75">
      <c r="H4984" s="43"/>
      <c r="AG4984" s="49" t="str">
        <f ca="1">IFERROR(__xludf.DUMMYFUNCTION("IFNA(vlookup(H4984,IMPORTRANGE(""1vUGwO1n0QQGx9kKbO0_M5gmuhXZ6-LaxQxgrmJnzgP0"",""'TP# look up'!A:C""),3,0),"""")"),"")</f>
        <v/>
      </c>
      <c r="AH4984" s="49" t="str">
        <f t="shared" si="77"/>
        <v/>
      </c>
    </row>
    <row r="4985" spans="8:34" ht="12.75">
      <c r="H4985" s="43"/>
      <c r="AG4985" s="49" t="str">
        <f ca="1">IFERROR(__xludf.DUMMYFUNCTION("IFNA(vlookup(H4985,IMPORTRANGE(""1vUGwO1n0QQGx9kKbO0_M5gmuhXZ6-LaxQxgrmJnzgP0"",""'TP# look up'!A:C""),3,0),"""")"),"")</f>
        <v/>
      </c>
      <c r="AH4985" s="49" t="str">
        <f t="shared" si="77"/>
        <v/>
      </c>
    </row>
    <row r="4986" spans="8:34" ht="12.75">
      <c r="H4986" s="43"/>
      <c r="AG4986" s="49" t="str">
        <f ca="1">IFERROR(__xludf.DUMMYFUNCTION("IFNA(vlookup(H4986,IMPORTRANGE(""1vUGwO1n0QQGx9kKbO0_M5gmuhXZ6-LaxQxgrmJnzgP0"",""'TP# look up'!A:C""),3,0),"""")"),"")</f>
        <v/>
      </c>
      <c r="AH4986" s="49" t="str">
        <f t="shared" si="77"/>
        <v/>
      </c>
    </row>
    <row r="4987" spans="8:34" ht="12.75">
      <c r="H4987" s="43"/>
      <c r="AG4987" s="49" t="str">
        <f ca="1">IFERROR(__xludf.DUMMYFUNCTION("IFNA(vlookup(H4987,IMPORTRANGE(""1vUGwO1n0QQGx9kKbO0_M5gmuhXZ6-LaxQxgrmJnzgP0"",""'TP# look up'!A:C""),3,0),"""")"),"")</f>
        <v/>
      </c>
      <c r="AH4987" s="49" t="str">
        <f t="shared" si="77"/>
        <v/>
      </c>
    </row>
    <row r="4988" spans="8:34" ht="12.75">
      <c r="H4988" s="43"/>
      <c r="AG4988" s="49" t="str">
        <f ca="1">IFERROR(__xludf.DUMMYFUNCTION("IFNA(vlookup(H4988,IMPORTRANGE(""1vUGwO1n0QQGx9kKbO0_M5gmuhXZ6-LaxQxgrmJnzgP0"",""'TP# look up'!A:C""),3,0),"""")"),"")</f>
        <v/>
      </c>
      <c r="AH4988" s="49" t="str">
        <f t="shared" si="77"/>
        <v/>
      </c>
    </row>
    <row r="4989" spans="8:34" ht="12.75">
      <c r="H4989" s="43"/>
      <c r="AG4989" s="49" t="str">
        <f ca="1">IFERROR(__xludf.DUMMYFUNCTION("IFNA(vlookup(H4989,IMPORTRANGE(""1vUGwO1n0QQGx9kKbO0_M5gmuhXZ6-LaxQxgrmJnzgP0"",""'TP# look up'!A:C""),3,0),"""")"),"")</f>
        <v/>
      </c>
      <c r="AH4989" s="49" t="str">
        <f t="shared" si="77"/>
        <v/>
      </c>
    </row>
    <row r="4990" spans="8:34" ht="12.75">
      <c r="H4990" s="43"/>
      <c r="AG4990" s="49" t="str">
        <f ca="1">IFERROR(__xludf.DUMMYFUNCTION("IFNA(vlookup(H4990,IMPORTRANGE(""1vUGwO1n0QQGx9kKbO0_M5gmuhXZ6-LaxQxgrmJnzgP0"",""'TP# look up'!A:C""),3,0),"""")"),"")</f>
        <v/>
      </c>
      <c r="AH4990" s="49" t="str">
        <f t="shared" si="77"/>
        <v/>
      </c>
    </row>
    <row r="4991" spans="8:34" ht="12.75">
      <c r="H4991" s="43"/>
      <c r="AG4991" s="49" t="str">
        <f ca="1">IFERROR(__xludf.DUMMYFUNCTION("IFNA(vlookup(H4991,IMPORTRANGE(""1vUGwO1n0QQGx9kKbO0_M5gmuhXZ6-LaxQxgrmJnzgP0"",""'TP# look up'!A:C""),3,0),"""")"),"")</f>
        <v/>
      </c>
      <c r="AH4991" s="49" t="str">
        <f t="shared" si="77"/>
        <v/>
      </c>
    </row>
    <row r="4992" spans="8:34" ht="12.75">
      <c r="H4992" s="43"/>
      <c r="AG4992" s="49" t="str">
        <f ca="1">IFERROR(__xludf.DUMMYFUNCTION("IFNA(vlookup(H4992,IMPORTRANGE(""1vUGwO1n0QQGx9kKbO0_M5gmuhXZ6-LaxQxgrmJnzgP0"",""'TP# look up'!A:C""),3,0),"""")"),"")</f>
        <v/>
      </c>
      <c r="AH4992" s="49" t="str">
        <f t="shared" si="77"/>
        <v/>
      </c>
    </row>
    <row r="4993" spans="8:34" ht="12.75">
      <c r="H4993" s="43"/>
      <c r="AG4993" s="49" t="str">
        <f ca="1">IFERROR(__xludf.DUMMYFUNCTION("IFNA(vlookup(H4993,IMPORTRANGE(""1vUGwO1n0QQGx9kKbO0_M5gmuhXZ6-LaxQxgrmJnzgP0"",""'TP# look up'!A:C""),3,0),"""")"),"")</f>
        <v/>
      </c>
      <c r="AH4993" s="49" t="str">
        <f t="shared" si="77"/>
        <v/>
      </c>
    </row>
    <row r="4994" spans="8:34" ht="12.75">
      <c r="H4994" s="43"/>
      <c r="AG4994" s="49" t="str">
        <f ca="1">IFERROR(__xludf.DUMMYFUNCTION("IFNA(vlookup(H4994,IMPORTRANGE(""1vUGwO1n0QQGx9kKbO0_M5gmuhXZ6-LaxQxgrmJnzgP0"",""'TP# look up'!A:C""),3,0),"""")"),"")</f>
        <v/>
      </c>
      <c r="AH4994" s="49" t="str">
        <f t="shared" ref="AH4994:AH5057" si="78">LEFT(J4994,2)</f>
        <v/>
      </c>
    </row>
    <row r="4995" spans="8:34" ht="12.75">
      <c r="H4995" s="43"/>
      <c r="AG4995" s="49" t="str">
        <f ca="1">IFERROR(__xludf.DUMMYFUNCTION("IFNA(vlookup(H4995,IMPORTRANGE(""1vUGwO1n0QQGx9kKbO0_M5gmuhXZ6-LaxQxgrmJnzgP0"",""'TP# look up'!A:C""),3,0),"""")"),"")</f>
        <v/>
      </c>
      <c r="AH4995" s="49" t="str">
        <f t="shared" si="78"/>
        <v/>
      </c>
    </row>
    <row r="4996" spans="8:34" ht="12.75">
      <c r="H4996" s="43"/>
      <c r="AG4996" s="49" t="str">
        <f ca="1">IFERROR(__xludf.DUMMYFUNCTION("IFNA(vlookup(H4996,IMPORTRANGE(""1vUGwO1n0QQGx9kKbO0_M5gmuhXZ6-LaxQxgrmJnzgP0"",""'TP# look up'!A:C""),3,0),"""")"),"")</f>
        <v/>
      </c>
      <c r="AH4996" s="49" t="str">
        <f t="shared" si="78"/>
        <v/>
      </c>
    </row>
    <row r="4997" spans="8:34" ht="12.75">
      <c r="H4997" s="43"/>
      <c r="AG4997" s="49" t="str">
        <f ca="1">IFERROR(__xludf.DUMMYFUNCTION("IFNA(vlookup(H4997,IMPORTRANGE(""1vUGwO1n0QQGx9kKbO0_M5gmuhXZ6-LaxQxgrmJnzgP0"",""'TP# look up'!A:C""),3,0),"""")"),"")</f>
        <v/>
      </c>
      <c r="AH4997" s="49" t="str">
        <f t="shared" si="78"/>
        <v/>
      </c>
    </row>
    <row r="4998" spans="8:34" ht="12.75">
      <c r="H4998" s="43"/>
      <c r="AG4998" s="49" t="str">
        <f ca="1">IFERROR(__xludf.DUMMYFUNCTION("IFNA(vlookup(H4998,IMPORTRANGE(""1vUGwO1n0QQGx9kKbO0_M5gmuhXZ6-LaxQxgrmJnzgP0"",""'TP# look up'!A:C""),3,0),"""")"),"")</f>
        <v/>
      </c>
      <c r="AH4998" s="49" t="str">
        <f t="shared" si="78"/>
        <v/>
      </c>
    </row>
    <row r="4999" spans="8:34" ht="12.75">
      <c r="H4999" s="43"/>
      <c r="AG4999" s="49" t="str">
        <f ca="1">IFERROR(__xludf.DUMMYFUNCTION("IFNA(vlookup(H4999,IMPORTRANGE(""1vUGwO1n0QQGx9kKbO0_M5gmuhXZ6-LaxQxgrmJnzgP0"",""'TP# look up'!A:C""),3,0),"""")"),"")</f>
        <v/>
      </c>
      <c r="AH4999" s="49" t="str">
        <f t="shared" si="78"/>
        <v/>
      </c>
    </row>
    <row r="5000" spans="8:34" ht="12.75">
      <c r="H5000" s="43"/>
      <c r="AG5000" s="49" t="str">
        <f ca="1">IFERROR(__xludf.DUMMYFUNCTION("IFNA(vlookup(H5000,IMPORTRANGE(""1vUGwO1n0QQGx9kKbO0_M5gmuhXZ6-LaxQxgrmJnzgP0"",""'TP# look up'!A:C""),3,0),"""")"),"")</f>
        <v/>
      </c>
      <c r="AH5000" s="49" t="str">
        <f t="shared" si="78"/>
        <v/>
      </c>
    </row>
    <row r="5001" spans="8:34" ht="12.75">
      <c r="H5001" s="43"/>
      <c r="AG5001" s="49" t="str">
        <f ca="1">IFERROR(__xludf.DUMMYFUNCTION("IFNA(vlookup(H5001,IMPORTRANGE(""1vUGwO1n0QQGx9kKbO0_M5gmuhXZ6-LaxQxgrmJnzgP0"",""'TP# look up'!A:C""),3,0),"""")"),"")</f>
        <v/>
      </c>
      <c r="AH5001" s="49" t="str">
        <f t="shared" si="78"/>
        <v/>
      </c>
    </row>
    <row r="5002" spans="8:34" ht="12.75">
      <c r="H5002" s="43"/>
      <c r="AG5002" s="49" t="str">
        <f ca="1">IFERROR(__xludf.DUMMYFUNCTION("IFNA(vlookup(H5002,IMPORTRANGE(""1vUGwO1n0QQGx9kKbO0_M5gmuhXZ6-LaxQxgrmJnzgP0"",""'TP# look up'!A:C""),3,0),"""")"),"")</f>
        <v/>
      </c>
      <c r="AH5002" s="49" t="str">
        <f t="shared" si="78"/>
        <v/>
      </c>
    </row>
    <row r="5003" spans="8:34" ht="12.75">
      <c r="H5003" s="43"/>
      <c r="AG5003" s="49" t="str">
        <f ca="1">IFERROR(__xludf.DUMMYFUNCTION("IFNA(vlookup(H5003,IMPORTRANGE(""1vUGwO1n0QQGx9kKbO0_M5gmuhXZ6-LaxQxgrmJnzgP0"",""'TP# look up'!A:C""),3,0),"""")"),"")</f>
        <v/>
      </c>
      <c r="AH5003" s="49" t="str">
        <f t="shared" si="78"/>
        <v/>
      </c>
    </row>
    <row r="5004" spans="8:34" ht="12.75">
      <c r="H5004" s="43"/>
      <c r="AG5004" s="49" t="str">
        <f ca="1">IFERROR(__xludf.DUMMYFUNCTION("IFNA(vlookup(H5004,IMPORTRANGE(""1vUGwO1n0QQGx9kKbO0_M5gmuhXZ6-LaxQxgrmJnzgP0"",""'TP# look up'!A:C""),3,0),"""")"),"")</f>
        <v/>
      </c>
      <c r="AH5004" s="49" t="str">
        <f t="shared" si="78"/>
        <v/>
      </c>
    </row>
    <row r="5005" spans="8:34" ht="12.75">
      <c r="H5005" s="43"/>
      <c r="AG5005" s="49" t="str">
        <f ca="1">IFERROR(__xludf.DUMMYFUNCTION("IFNA(vlookup(H5005,IMPORTRANGE(""1vUGwO1n0QQGx9kKbO0_M5gmuhXZ6-LaxQxgrmJnzgP0"",""'TP# look up'!A:C""),3,0),"""")"),"")</f>
        <v/>
      </c>
      <c r="AH5005" s="49" t="str">
        <f t="shared" si="78"/>
        <v/>
      </c>
    </row>
    <row r="5006" spans="8:34" ht="12.75">
      <c r="H5006" s="43"/>
      <c r="AG5006" s="49" t="str">
        <f ca="1">IFERROR(__xludf.DUMMYFUNCTION("IFNA(vlookup(H5006,IMPORTRANGE(""1vUGwO1n0QQGx9kKbO0_M5gmuhXZ6-LaxQxgrmJnzgP0"",""'TP# look up'!A:C""),3,0),"""")"),"")</f>
        <v/>
      </c>
      <c r="AH5006" s="49" t="str">
        <f t="shared" si="78"/>
        <v/>
      </c>
    </row>
    <row r="5007" spans="8:34" ht="12.75">
      <c r="H5007" s="43"/>
      <c r="AG5007" s="49" t="str">
        <f ca="1">IFERROR(__xludf.DUMMYFUNCTION("IFNA(vlookup(H5007,IMPORTRANGE(""1vUGwO1n0QQGx9kKbO0_M5gmuhXZ6-LaxQxgrmJnzgP0"",""'TP# look up'!A:C""),3,0),"""")"),"")</f>
        <v/>
      </c>
      <c r="AH5007" s="49" t="str">
        <f t="shared" si="78"/>
        <v/>
      </c>
    </row>
    <row r="5008" spans="8:34" ht="12.75">
      <c r="H5008" s="43"/>
      <c r="AG5008" s="49" t="str">
        <f ca="1">IFERROR(__xludf.DUMMYFUNCTION("IFNA(vlookup(H5008,IMPORTRANGE(""1vUGwO1n0QQGx9kKbO0_M5gmuhXZ6-LaxQxgrmJnzgP0"",""'TP# look up'!A:C""),3,0),"""")"),"")</f>
        <v/>
      </c>
      <c r="AH5008" s="49" t="str">
        <f t="shared" si="78"/>
        <v/>
      </c>
    </row>
    <row r="5009" spans="8:34" ht="12.75">
      <c r="H5009" s="43"/>
      <c r="AG5009" s="49" t="str">
        <f ca="1">IFERROR(__xludf.DUMMYFUNCTION("IFNA(vlookup(H5009,IMPORTRANGE(""1vUGwO1n0QQGx9kKbO0_M5gmuhXZ6-LaxQxgrmJnzgP0"",""'TP# look up'!A:C""),3,0),"""")"),"")</f>
        <v/>
      </c>
      <c r="AH5009" s="49" t="str">
        <f t="shared" si="78"/>
        <v/>
      </c>
    </row>
    <row r="5010" spans="8:34" ht="12.75">
      <c r="H5010" s="43"/>
      <c r="AG5010" s="49" t="str">
        <f ca="1">IFERROR(__xludf.DUMMYFUNCTION("IFNA(vlookup(H5010,IMPORTRANGE(""1vUGwO1n0QQGx9kKbO0_M5gmuhXZ6-LaxQxgrmJnzgP0"",""'TP# look up'!A:C""),3,0),"""")"),"")</f>
        <v/>
      </c>
      <c r="AH5010" s="49" t="str">
        <f t="shared" si="78"/>
        <v/>
      </c>
    </row>
    <row r="5011" spans="8:34" ht="12.75">
      <c r="H5011" s="43"/>
      <c r="AG5011" s="49" t="str">
        <f ca="1">IFERROR(__xludf.DUMMYFUNCTION("IFNA(vlookup(H5011,IMPORTRANGE(""1vUGwO1n0QQGx9kKbO0_M5gmuhXZ6-LaxQxgrmJnzgP0"",""'TP# look up'!A:C""),3,0),"""")"),"")</f>
        <v/>
      </c>
      <c r="AH5011" s="49" t="str">
        <f t="shared" si="78"/>
        <v/>
      </c>
    </row>
    <row r="5012" spans="8:34" ht="12.75">
      <c r="H5012" s="43"/>
      <c r="AG5012" s="49" t="str">
        <f ca="1">IFERROR(__xludf.DUMMYFUNCTION("IFNA(vlookup(H5012,IMPORTRANGE(""1vUGwO1n0QQGx9kKbO0_M5gmuhXZ6-LaxQxgrmJnzgP0"",""'TP# look up'!A:C""),3,0),"""")"),"")</f>
        <v/>
      </c>
      <c r="AH5012" s="49" t="str">
        <f t="shared" si="78"/>
        <v/>
      </c>
    </row>
    <row r="5013" spans="8:34" ht="12.75">
      <c r="H5013" s="43"/>
      <c r="AG5013" s="49" t="str">
        <f ca="1">IFERROR(__xludf.DUMMYFUNCTION("IFNA(vlookup(H5013,IMPORTRANGE(""1vUGwO1n0QQGx9kKbO0_M5gmuhXZ6-LaxQxgrmJnzgP0"",""'TP# look up'!A:C""),3,0),"""")"),"")</f>
        <v/>
      </c>
      <c r="AH5013" s="49" t="str">
        <f t="shared" si="78"/>
        <v/>
      </c>
    </row>
    <row r="5014" spans="8:34" ht="12.75">
      <c r="H5014" s="43"/>
      <c r="AG5014" s="49" t="str">
        <f ca="1">IFERROR(__xludf.DUMMYFUNCTION("IFNA(vlookup(H5014,IMPORTRANGE(""1vUGwO1n0QQGx9kKbO0_M5gmuhXZ6-LaxQxgrmJnzgP0"",""'TP# look up'!A:C""),3,0),"""")"),"")</f>
        <v/>
      </c>
      <c r="AH5014" s="49" t="str">
        <f t="shared" si="78"/>
        <v/>
      </c>
    </row>
    <row r="5015" spans="8:34" ht="12.75">
      <c r="H5015" s="43"/>
      <c r="AG5015" s="49" t="str">
        <f ca="1">IFERROR(__xludf.DUMMYFUNCTION("IFNA(vlookup(H5015,IMPORTRANGE(""1vUGwO1n0QQGx9kKbO0_M5gmuhXZ6-LaxQxgrmJnzgP0"",""'TP# look up'!A:C""),3,0),"""")"),"")</f>
        <v/>
      </c>
      <c r="AH5015" s="49" t="str">
        <f t="shared" si="78"/>
        <v/>
      </c>
    </row>
    <row r="5016" spans="8:34" ht="12.75">
      <c r="H5016" s="43"/>
      <c r="AG5016" s="49" t="str">
        <f ca="1">IFERROR(__xludf.DUMMYFUNCTION("IFNA(vlookup(H5016,IMPORTRANGE(""1vUGwO1n0QQGx9kKbO0_M5gmuhXZ6-LaxQxgrmJnzgP0"",""'TP# look up'!A:C""),3,0),"""")"),"")</f>
        <v/>
      </c>
      <c r="AH5016" s="49" t="str">
        <f t="shared" si="78"/>
        <v/>
      </c>
    </row>
    <row r="5017" spans="8:34" ht="12.75">
      <c r="H5017" s="43"/>
      <c r="AG5017" s="49" t="str">
        <f ca="1">IFERROR(__xludf.DUMMYFUNCTION("IFNA(vlookup(H5017,IMPORTRANGE(""1vUGwO1n0QQGx9kKbO0_M5gmuhXZ6-LaxQxgrmJnzgP0"",""'TP# look up'!A:C""),3,0),"""")"),"")</f>
        <v/>
      </c>
      <c r="AH5017" s="49" t="str">
        <f t="shared" si="78"/>
        <v/>
      </c>
    </row>
    <row r="5018" spans="8:34" ht="12.75">
      <c r="H5018" s="43"/>
      <c r="AG5018" s="49" t="str">
        <f ca="1">IFERROR(__xludf.DUMMYFUNCTION("IFNA(vlookup(H5018,IMPORTRANGE(""1vUGwO1n0QQGx9kKbO0_M5gmuhXZ6-LaxQxgrmJnzgP0"",""'TP# look up'!A:C""),3,0),"""")"),"")</f>
        <v/>
      </c>
      <c r="AH5018" s="49" t="str">
        <f t="shared" si="78"/>
        <v/>
      </c>
    </row>
    <row r="5019" spans="8:34" ht="12.75">
      <c r="H5019" s="43"/>
      <c r="AG5019" s="49" t="str">
        <f ca="1">IFERROR(__xludf.DUMMYFUNCTION("IFNA(vlookup(H5019,IMPORTRANGE(""1vUGwO1n0QQGx9kKbO0_M5gmuhXZ6-LaxQxgrmJnzgP0"",""'TP# look up'!A:C""),3,0),"""")"),"")</f>
        <v/>
      </c>
      <c r="AH5019" s="49" t="str">
        <f t="shared" si="78"/>
        <v/>
      </c>
    </row>
    <row r="5020" spans="8:34" ht="12.75">
      <c r="H5020" s="43"/>
      <c r="AG5020" s="49" t="str">
        <f ca="1">IFERROR(__xludf.DUMMYFUNCTION("IFNA(vlookup(H5020,IMPORTRANGE(""1vUGwO1n0QQGx9kKbO0_M5gmuhXZ6-LaxQxgrmJnzgP0"",""'TP# look up'!A:C""),3,0),"""")"),"")</f>
        <v/>
      </c>
      <c r="AH5020" s="49" t="str">
        <f t="shared" si="78"/>
        <v/>
      </c>
    </row>
    <row r="5021" spans="8:34" ht="12.75">
      <c r="H5021" s="43"/>
      <c r="AG5021" s="49" t="str">
        <f ca="1">IFERROR(__xludf.DUMMYFUNCTION("IFNA(vlookup(H5021,IMPORTRANGE(""1vUGwO1n0QQGx9kKbO0_M5gmuhXZ6-LaxQxgrmJnzgP0"",""'TP# look up'!A:C""),3,0),"""")"),"")</f>
        <v/>
      </c>
      <c r="AH5021" s="49" t="str">
        <f t="shared" si="78"/>
        <v/>
      </c>
    </row>
    <row r="5022" spans="8:34" ht="12.75">
      <c r="H5022" s="43"/>
      <c r="AG5022" s="49" t="str">
        <f ca="1">IFERROR(__xludf.DUMMYFUNCTION("IFNA(vlookup(H5022,IMPORTRANGE(""1vUGwO1n0QQGx9kKbO0_M5gmuhXZ6-LaxQxgrmJnzgP0"",""'TP# look up'!A:C""),3,0),"""")"),"")</f>
        <v/>
      </c>
      <c r="AH5022" s="49" t="str">
        <f t="shared" si="78"/>
        <v/>
      </c>
    </row>
    <row r="5023" spans="8:34" ht="12.75">
      <c r="H5023" s="43"/>
      <c r="AG5023" s="49" t="str">
        <f ca="1">IFERROR(__xludf.DUMMYFUNCTION("IFNA(vlookup(H5023,IMPORTRANGE(""1vUGwO1n0QQGx9kKbO0_M5gmuhXZ6-LaxQxgrmJnzgP0"",""'TP# look up'!A:C""),3,0),"""")"),"")</f>
        <v/>
      </c>
      <c r="AH5023" s="49" t="str">
        <f t="shared" si="78"/>
        <v/>
      </c>
    </row>
    <row r="5024" spans="8:34" ht="12.75">
      <c r="H5024" s="43"/>
      <c r="AG5024" s="49" t="str">
        <f ca="1">IFERROR(__xludf.DUMMYFUNCTION("IFNA(vlookup(H5024,IMPORTRANGE(""1vUGwO1n0QQGx9kKbO0_M5gmuhXZ6-LaxQxgrmJnzgP0"",""'TP# look up'!A:C""),3,0),"""")"),"")</f>
        <v/>
      </c>
      <c r="AH5024" s="49" t="str">
        <f t="shared" si="78"/>
        <v/>
      </c>
    </row>
    <row r="5025" spans="8:34" ht="12.75">
      <c r="H5025" s="43"/>
      <c r="AG5025" s="49" t="str">
        <f ca="1">IFERROR(__xludf.DUMMYFUNCTION("IFNA(vlookup(H5025,IMPORTRANGE(""1vUGwO1n0QQGx9kKbO0_M5gmuhXZ6-LaxQxgrmJnzgP0"",""'TP# look up'!A:C""),3,0),"""")"),"")</f>
        <v/>
      </c>
      <c r="AH5025" s="49" t="str">
        <f t="shared" si="78"/>
        <v/>
      </c>
    </row>
    <row r="5026" spans="8:34" ht="12.75">
      <c r="H5026" s="43"/>
      <c r="AG5026" s="49" t="str">
        <f ca="1">IFERROR(__xludf.DUMMYFUNCTION("IFNA(vlookup(H5026,IMPORTRANGE(""1vUGwO1n0QQGx9kKbO0_M5gmuhXZ6-LaxQxgrmJnzgP0"",""'TP# look up'!A:C""),3,0),"""")"),"")</f>
        <v/>
      </c>
      <c r="AH5026" s="49" t="str">
        <f t="shared" si="78"/>
        <v/>
      </c>
    </row>
    <row r="5027" spans="8:34" ht="12.75">
      <c r="H5027" s="43"/>
      <c r="AG5027" s="49" t="str">
        <f ca="1">IFERROR(__xludf.DUMMYFUNCTION("IFNA(vlookup(H5027,IMPORTRANGE(""1vUGwO1n0QQGx9kKbO0_M5gmuhXZ6-LaxQxgrmJnzgP0"",""'TP# look up'!A:C""),3,0),"""")"),"")</f>
        <v/>
      </c>
      <c r="AH5027" s="49" t="str">
        <f t="shared" si="78"/>
        <v/>
      </c>
    </row>
    <row r="5028" spans="8:34" ht="12.75">
      <c r="H5028" s="43"/>
      <c r="AG5028" s="49" t="str">
        <f ca="1">IFERROR(__xludf.DUMMYFUNCTION("IFNA(vlookup(H5028,IMPORTRANGE(""1vUGwO1n0QQGx9kKbO0_M5gmuhXZ6-LaxQxgrmJnzgP0"",""'TP# look up'!A:C""),3,0),"""")"),"")</f>
        <v/>
      </c>
      <c r="AH5028" s="49" t="str">
        <f t="shared" si="78"/>
        <v/>
      </c>
    </row>
    <row r="5029" spans="8:34" ht="12.75">
      <c r="H5029" s="43"/>
      <c r="AG5029" s="49" t="str">
        <f ca="1">IFERROR(__xludf.DUMMYFUNCTION("IFNA(vlookup(H5029,IMPORTRANGE(""1vUGwO1n0QQGx9kKbO0_M5gmuhXZ6-LaxQxgrmJnzgP0"",""'TP# look up'!A:C""),3,0),"""")"),"")</f>
        <v/>
      </c>
      <c r="AH5029" s="49" t="str">
        <f t="shared" si="78"/>
        <v/>
      </c>
    </row>
    <row r="5030" spans="8:34" ht="12.75">
      <c r="H5030" s="43"/>
      <c r="AG5030" s="49" t="str">
        <f ca="1">IFERROR(__xludf.DUMMYFUNCTION("IFNA(vlookup(H5030,IMPORTRANGE(""1vUGwO1n0QQGx9kKbO0_M5gmuhXZ6-LaxQxgrmJnzgP0"",""'TP# look up'!A:C""),3,0),"""")"),"")</f>
        <v/>
      </c>
      <c r="AH5030" s="49" t="str">
        <f t="shared" si="78"/>
        <v/>
      </c>
    </row>
    <row r="5031" spans="8:34" ht="12.75">
      <c r="H5031" s="43"/>
      <c r="AG5031" s="49" t="str">
        <f ca="1">IFERROR(__xludf.DUMMYFUNCTION("IFNA(vlookup(H5031,IMPORTRANGE(""1vUGwO1n0QQGx9kKbO0_M5gmuhXZ6-LaxQxgrmJnzgP0"",""'TP# look up'!A:C""),3,0),"""")"),"")</f>
        <v/>
      </c>
      <c r="AH5031" s="49" t="str">
        <f t="shared" si="78"/>
        <v/>
      </c>
    </row>
    <row r="5032" spans="8:34" ht="12.75">
      <c r="H5032" s="43"/>
      <c r="AG5032" s="49" t="str">
        <f ca="1">IFERROR(__xludf.DUMMYFUNCTION("IFNA(vlookup(H5032,IMPORTRANGE(""1vUGwO1n0QQGx9kKbO0_M5gmuhXZ6-LaxQxgrmJnzgP0"",""'TP# look up'!A:C""),3,0),"""")"),"")</f>
        <v/>
      </c>
      <c r="AH5032" s="49" t="str">
        <f t="shared" si="78"/>
        <v/>
      </c>
    </row>
    <row r="5033" spans="8:34" ht="12.75">
      <c r="H5033" s="43"/>
      <c r="AG5033" s="49" t="str">
        <f ca="1">IFERROR(__xludf.DUMMYFUNCTION("IFNA(vlookup(H5033,IMPORTRANGE(""1vUGwO1n0QQGx9kKbO0_M5gmuhXZ6-LaxQxgrmJnzgP0"",""'TP# look up'!A:C""),3,0),"""")"),"")</f>
        <v/>
      </c>
      <c r="AH5033" s="49" t="str">
        <f t="shared" si="78"/>
        <v/>
      </c>
    </row>
    <row r="5034" spans="8:34" ht="12.75">
      <c r="H5034" s="43"/>
      <c r="AG5034" s="49" t="str">
        <f ca="1">IFERROR(__xludf.DUMMYFUNCTION("IFNA(vlookup(H5034,IMPORTRANGE(""1vUGwO1n0QQGx9kKbO0_M5gmuhXZ6-LaxQxgrmJnzgP0"",""'TP# look up'!A:C""),3,0),"""")"),"")</f>
        <v/>
      </c>
      <c r="AH5034" s="49" t="str">
        <f t="shared" si="78"/>
        <v/>
      </c>
    </row>
    <row r="5035" spans="8:34" ht="12.75">
      <c r="H5035" s="43"/>
      <c r="AG5035" s="49" t="str">
        <f ca="1">IFERROR(__xludf.DUMMYFUNCTION("IFNA(vlookup(H5035,IMPORTRANGE(""1vUGwO1n0QQGx9kKbO0_M5gmuhXZ6-LaxQxgrmJnzgP0"",""'TP# look up'!A:C""),3,0),"""")"),"")</f>
        <v/>
      </c>
      <c r="AH5035" s="49" t="str">
        <f t="shared" si="78"/>
        <v/>
      </c>
    </row>
    <row r="5036" spans="8:34" ht="12.75">
      <c r="H5036" s="43"/>
      <c r="AG5036" s="49" t="str">
        <f ca="1">IFERROR(__xludf.DUMMYFUNCTION("IFNA(vlookup(H5036,IMPORTRANGE(""1vUGwO1n0QQGx9kKbO0_M5gmuhXZ6-LaxQxgrmJnzgP0"",""'TP# look up'!A:C""),3,0),"""")"),"")</f>
        <v/>
      </c>
      <c r="AH5036" s="49" t="str">
        <f t="shared" si="78"/>
        <v/>
      </c>
    </row>
    <row r="5037" spans="8:34" ht="12.75">
      <c r="H5037" s="43"/>
      <c r="AG5037" s="49" t="str">
        <f ca="1">IFERROR(__xludf.DUMMYFUNCTION("IFNA(vlookup(H5037,IMPORTRANGE(""1vUGwO1n0QQGx9kKbO0_M5gmuhXZ6-LaxQxgrmJnzgP0"",""'TP# look up'!A:C""),3,0),"""")"),"")</f>
        <v/>
      </c>
      <c r="AH5037" s="49" t="str">
        <f t="shared" si="78"/>
        <v/>
      </c>
    </row>
    <row r="5038" spans="8:34" ht="12.75">
      <c r="H5038" s="43"/>
      <c r="AG5038" s="49" t="str">
        <f ca="1">IFERROR(__xludf.DUMMYFUNCTION("IFNA(vlookup(H5038,IMPORTRANGE(""1vUGwO1n0QQGx9kKbO0_M5gmuhXZ6-LaxQxgrmJnzgP0"",""'TP# look up'!A:C""),3,0),"""")"),"")</f>
        <v/>
      </c>
      <c r="AH5038" s="49" t="str">
        <f t="shared" si="78"/>
        <v/>
      </c>
    </row>
    <row r="5039" spans="8:34" ht="12.75">
      <c r="H5039" s="43"/>
      <c r="AG5039" s="49" t="str">
        <f ca="1">IFERROR(__xludf.DUMMYFUNCTION("IFNA(vlookup(H5039,IMPORTRANGE(""1vUGwO1n0QQGx9kKbO0_M5gmuhXZ6-LaxQxgrmJnzgP0"",""'TP# look up'!A:C""),3,0),"""")"),"")</f>
        <v/>
      </c>
      <c r="AH5039" s="49" t="str">
        <f t="shared" si="78"/>
        <v/>
      </c>
    </row>
    <row r="5040" spans="8:34" ht="12.75">
      <c r="H5040" s="43"/>
      <c r="AG5040" s="49" t="str">
        <f ca="1">IFERROR(__xludf.DUMMYFUNCTION("IFNA(vlookup(H5040,IMPORTRANGE(""1vUGwO1n0QQGx9kKbO0_M5gmuhXZ6-LaxQxgrmJnzgP0"",""'TP# look up'!A:C""),3,0),"""")"),"")</f>
        <v/>
      </c>
      <c r="AH5040" s="49" t="str">
        <f t="shared" si="78"/>
        <v/>
      </c>
    </row>
    <row r="5041" spans="8:34" ht="12.75">
      <c r="H5041" s="43"/>
      <c r="AG5041" s="49" t="str">
        <f ca="1">IFERROR(__xludf.DUMMYFUNCTION("IFNA(vlookup(H5041,IMPORTRANGE(""1vUGwO1n0QQGx9kKbO0_M5gmuhXZ6-LaxQxgrmJnzgP0"",""'TP# look up'!A:C""),3,0),"""")"),"")</f>
        <v/>
      </c>
      <c r="AH5041" s="49" t="str">
        <f t="shared" si="78"/>
        <v/>
      </c>
    </row>
    <row r="5042" spans="8:34" ht="12.75">
      <c r="H5042" s="43"/>
      <c r="AG5042" s="49" t="str">
        <f ca="1">IFERROR(__xludf.DUMMYFUNCTION("IFNA(vlookup(H5042,IMPORTRANGE(""1vUGwO1n0QQGx9kKbO0_M5gmuhXZ6-LaxQxgrmJnzgP0"",""'TP# look up'!A:C""),3,0),"""")"),"")</f>
        <v/>
      </c>
      <c r="AH5042" s="49" t="str">
        <f t="shared" si="78"/>
        <v/>
      </c>
    </row>
    <row r="5043" spans="8:34" ht="12.75">
      <c r="H5043" s="43"/>
      <c r="AG5043" s="49" t="str">
        <f ca="1">IFERROR(__xludf.DUMMYFUNCTION("IFNA(vlookup(H5043,IMPORTRANGE(""1vUGwO1n0QQGx9kKbO0_M5gmuhXZ6-LaxQxgrmJnzgP0"",""'TP# look up'!A:C""),3,0),"""")"),"")</f>
        <v/>
      </c>
      <c r="AH5043" s="49" t="str">
        <f t="shared" si="78"/>
        <v/>
      </c>
    </row>
    <row r="5044" spans="8:34" ht="12.75">
      <c r="H5044" s="43"/>
      <c r="AG5044" s="49" t="str">
        <f ca="1">IFERROR(__xludf.DUMMYFUNCTION("IFNA(vlookup(H5044,IMPORTRANGE(""1vUGwO1n0QQGx9kKbO0_M5gmuhXZ6-LaxQxgrmJnzgP0"",""'TP# look up'!A:C""),3,0),"""")"),"")</f>
        <v/>
      </c>
      <c r="AH5044" s="49" t="str">
        <f t="shared" si="78"/>
        <v/>
      </c>
    </row>
    <row r="5045" spans="8:34" ht="12.75">
      <c r="H5045" s="43"/>
      <c r="AG5045" s="49" t="str">
        <f ca="1">IFERROR(__xludf.DUMMYFUNCTION("IFNA(vlookup(H5045,IMPORTRANGE(""1vUGwO1n0QQGx9kKbO0_M5gmuhXZ6-LaxQxgrmJnzgP0"",""'TP# look up'!A:C""),3,0),"""")"),"")</f>
        <v/>
      </c>
      <c r="AH5045" s="49" t="str">
        <f t="shared" si="78"/>
        <v/>
      </c>
    </row>
    <row r="5046" spans="8:34" ht="12.75">
      <c r="H5046" s="43"/>
      <c r="AG5046" s="49" t="str">
        <f ca="1">IFERROR(__xludf.DUMMYFUNCTION("IFNA(vlookup(H5046,IMPORTRANGE(""1vUGwO1n0QQGx9kKbO0_M5gmuhXZ6-LaxQxgrmJnzgP0"",""'TP# look up'!A:C""),3,0),"""")"),"")</f>
        <v/>
      </c>
      <c r="AH5046" s="49" t="str">
        <f t="shared" si="78"/>
        <v/>
      </c>
    </row>
    <row r="5047" spans="8:34" ht="12.75">
      <c r="H5047" s="43"/>
      <c r="AG5047" s="49" t="str">
        <f ca="1">IFERROR(__xludf.DUMMYFUNCTION("IFNA(vlookup(H5047,IMPORTRANGE(""1vUGwO1n0QQGx9kKbO0_M5gmuhXZ6-LaxQxgrmJnzgP0"",""'TP# look up'!A:C""),3,0),"""")"),"")</f>
        <v/>
      </c>
      <c r="AH5047" s="49" t="str">
        <f t="shared" si="78"/>
        <v/>
      </c>
    </row>
    <row r="5048" spans="8:34" ht="12.75">
      <c r="H5048" s="43"/>
      <c r="AG5048" s="49" t="str">
        <f ca="1">IFERROR(__xludf.DUMMYFUNCTION("IFNA(vlookup(H5048,IMPORTRANGE(""1vUGwO1n0QQGx9kKbO0_M5gmuhXZ6-LaxQxgrmJnzgP0"",""'TP# look up'!A:C""),3,0),"""")"),"")</f>
        <v/>
      </c>
      <c r="AH5048" s="49" t="str">
        <f t="shared" si="78"/>
        <v/>
      </c>
    </row>
    <row r="5049" spans="8:34" ht="12.75">
      <c r="H5049" s="43"/>
      <c r="AG5049" s="49" t="str">
        <f ca="1">IFERROR(__xludf.DUMMYFUNCTION("IFNA(vlookup(H5049,IMPORTRANGE(""1vUGwO1n0QQGx9kKbO0_M5gmuhXZ6-LaxQxgrmJnzgP0"",""'TP# look up'!A:C""),3,0),"""")"),"")</f>
        <v/>
      </c>
      <c r="AH5049" s="49" t="str">
        <f t="shared" si="78"/>
        <v/>
      </c>
    </row>
    <row r="5050" spans="8:34" ht="12.75">
      <c r="H5050" s="43"/>
      <c r="AG5050" s="49" t="str">
        <f ca="1">IFERROR(__xludf.DUMMYFUNCTION("IFNA(vlookup(H5050,IMPORTRANGE(""1vUGwO1n0QQGx9kKbO0_M5gmuhXZ6-LaxQxgrmJnzgP0"",""'TP# look up'!A:C""),3,0),"""")"),"")</f>
        <v/>
      </c>
      <c r="AH5050" s="49" t="str">
        <f t="shared" si="78"/>
        <v/>
      </c>
    </row>
    <row r="5051" spans="8:34" ht="12.75">
      <c r="H5051" s="43"/>
      <c r="AG5051" s="49" t="str">
        <f ca="1">IFERROR(__xludf.DUMMYFUNCTION("IFNA(vlookup(H5051,IMPORTRANGE(""1vUGwO1n0QQGx9kKbO0_M5gmuhXZ6-LaxQxgrmJnzgP0"",""'TP# look up'!A:C""),3,0),"""")"),"")</f>
        <v/>
      </c>
      <c r="AH5051" s="49" t="str">
        <f t="shared" si="78"/>
        <v/>
      </c>
    </row>
    <row r="5052" spans="8:34" ht="12.75">
      <c r="H5052" s="43"/>
      <c r="AG5052" s="49" t="str">
        <f ca="1">IFERROR(__xludf.DUMMYFUNCTION("IFNA(vlookup(H5052,IMPORTRANGE(""1vUGwO1n0QQGx9kKbO0_M5gmuhXZ6-LaxQxgrmJnzgP0"",""'TP# look up'!A:C""),3,0),"""")"),"")</f>
        <v/>
      </c>
      <c r="AH5052" s="49" t="str">
        <f t="shared" si="78"/>
        <v/>
      </c>
    </row>
    <row r="5053" spans="8:34" ht="12.75">
      <c r="H5053" s="43"/>
      <c r="AG5053" s="49" t="str">
        <f ca="1">IFERROR(__xludf.DUMMYFUNCTION("IFNA(vlookup(H5053,IMPORTRANGE(""1vUGwO1n0QQGx9kKbO0_M5gmuhXZ6-LaxQxgrmJnzgP0"",""'TP# look up'!A:C""),3,0),"""")"),"")</f>
        <v/>
      </c>
      <c r="AH5053" s="49" t="str">
        <f t="shared" si="78"/>
        <v/>
      </c>
    </row>
    <row r="5054" spans="8:34" ht="12.75">
      <c r="H5054" s="43"/>
      <c r="AG5054" s="49" t="str">
        <f ca="1">IFERROR(__xludf.DUMMYFUNCTION("IFNA(vlookup(H5054,IMPORTRANGE(""1vUGwO1n0QQGx9kKbO0_M5gmuhXZ6-LaxQxgrmJnzgP0"",""'TP# look up'!A:C""),3,0),"""")"),"")</f>
        <v/>
      </c>
      <c r="AH5054" s="49" t="str">
        <f t="shared" si="78"/>
        <v/>
      </c>
    </row>
    <row r="5055" spans="8:34" ht="12.75">
      <c r="H5055" s="43"/>
      <c r="AG5055" s="49" t="str">
        <f ca="1">IFERROR(__xludf.DUMMYFUNCTION("IFNA(vlookup(H5055,IMPORTRANGE(""1vUGwO1n0QQGx9kKbO0_M5gmuhXZ6-LaxQxgrmJnzgP0"",""'TP# look up'!A:C""),3,0),"""")"),"")</f>
        <v/>
      </c>
      <c r="AH5055" s="49" t="str">
        <f t="shared" si="78"/>
        <v/>
      </c>
    </row>
    <row r="5056" spans="8:34" ht="12.75">
      <c r="H5056" s="43"/>
      <c r="AG5056" s="49" t="str">
        <f ca="1">IFERROR(__xludf.DUMMYFUNCTION("IFNA(vlookup(H5056,IMPORTRANGE(""1vUGwO1n0QQGx9kKbO0_M5gmuhXZ6-LaxQxgrmJnzgP0"",""'TP# look up'!A:C""),3,0),"""")"),"")</f>
        <v/>
      </c>
      <c r="AH5056" s="49" t="str">
        <f t="shared" si="78"/>
        <v/>
      </c>
    </row>
    <row r="5057" spans="8:34" ht="12.75">
      <c r="H5057" s="43"/>
      <c r="AG5057" s="49" t="str">
        <f ca="1">IFERROR(__xludf.DUMMYFUNCTION("IFNA(vlookup(H5057,IMPORTRANGE(""1vUGwO1n0QQGx9kKbO0_M5gmuhXZ6-LaxQxgrmJnzgP0"",""'TP# look up'!A:C""),3,0),"""")"),"")</f>
        <v/>
      </c>
      <c r="AH5057" s="49" t="str">
        <f t="shared" si="78"/>
        <v/>
      </c>
    </row>
    <row r="5058" spans="8:34" ht="12.75">
      <c r="H5058" s="43"/>
      <c r="AG5058" s="49" t="str">
        <f ca="1">IFERROR(__xludf.DUMMYFUNCTION("IFNA(vlookup(H5058,IMPORTRANGE(""1vUGwO1n0QQGx9kKbO0_M5gmuhXZ6-LaxQxgrmJnzgP0"",""'TP# look up'!A:C""),3,0),"""")"),"")</f>
        <v/>
      </c>
      <c r="AH5058" s="49" t="str">
        <f t="shared" ref="AH5058:AH5121" si="79">LEFT(J5058,2)</f>
        <v/>
      </c>
    </row>
    <row r="5059" spans="8:34" ht="12.75">
      <c r="H5059" s="43"/>
      <c r="AG5059" s="49" t="str">
        <f ca="1">IFERROR(__xludf.DUMMYFUNCTION("IFNA(vlookup(H5059,IMPORTRANGE(""1vUGwO1n0QQGx9kKbO0_M5gmuhXZ6-LaxQxgrmJnzgP0"",""'TP# look up'!A:C""),3,0),"""")"),"")</f>
        <v/>
      </c>
      <c r="AH5059" s="49" t="str">
        <f t="shared" si="79"/>
        <v/>
      </c>
    </row>
    <row r="5060" spans="8:34" ht="12.75">
      <c r="H5060" s="43"/>
      <c r="AG5060" s="49" t="str">
        <f ca="1">IFERROR(__xludf.DUMMYFUNCTION("IFNA(vlookup(H5060,IMPORTRANGE(""1vUGwO1n0QQGx9kKbO0_M5gmuhXZ6-LaxQxgrmJnzgP0"",""'TP# look up'!A:C""),3,0),"""")"),"")</f>
        <v/>
      </c>
      <c r="AH5060" s="49" t="str">
        <f t="shared" si="79"/>
        <v/>
      </c>
    </row>
    <row r="5061" spans="8:34" ht="12.75">
      <c r="H5061" s="43"/>
      <c r="AG5061" s="49" t="str">
        <f ca="1">IFERROR(__xludf.DUMMYFUNCTION("IFNA(vlookup(H5061,IMPORTRANGE(""1vUGwO1n0QQGx9kKbO0_M5gmuhXZ6-LaxQxgrmJnzgP0"",""'TP# look up'!A:C""),3,0),"""")"),"")</f>
        <v/>
      </c>
      <c r="AH5061" s="49" t="str">
        <f t="shared" si="79"/>
        <v/>
      </c>
    </row>
    <row r="5062" spans="8:34" ht="12.75">
      <c r="H5062" s="43"/>
      <c r="AG5062" s="49" t="str">
        <f ca="1">IFERROR(__xludf.DUMMYFUNCTION("IFNA(vlookup(H5062,IMPORTRANGE(""1vUGwO1n0QQGx9kKbO0_M5gmuhXZ6-LaxQxgrmJnzgP0"",""'TP# look up'!A:C""),3,0),"""")"),"")</f>
        <v/>
      </c>
      <c r="AH5062" s="49" t="str">
        <f t="shared" si="79"/>
        <v/>
      </c>
    </row>
    <row r="5063" spans="8:34" ht="12.75">
      <c r="H5063" s="43"/>
      <c r="AG5063" s="49" t="str">
        <f ca="1">IFERROR(__xludf.DUMMYFUNCTION("IFNA(vlookup(H5063,IMPORTRANGE(""1vUGwO1n0QQGx9kKbO0_M5gmuhXZ6-LaxQxgrmJnzgP0"",""'TP# look up'!A:C""),3,0),"""")"),"")</f>
        <v/>
      </c>
      <c r="AH5063" s="49" t="str">
        <f t="shared" si="79"/>
        <v/>
      </c>
    </row>
    <row r="5064" spans="8:34" ht="12.75">
      <c r="H5064" s="43"/>
      <c r="AG5064" s="49" t="str">
        <f ca="1">IFERROR(__xludf.DUMMYFUNCTION("IFNA(vlookup(H5064,IMPORTRANGE(""1vUGwO1n0QQGx9kKbO0_M5gmuhXZ6-LaxQxgrmJnzgP0"",""'TP# look up'!A:C""),3,0),"""")"),"")</f>
        <v/>
      </c>
      <c r="AH5064" s="49" t="str">
        <f t="shared" si="79"/>
        <v/>
      </c>
    </row>
    <row r="5065" spans="8:34" ht="12.75">
      <c r="H5065" s="43"/>
      <c r="AG5065" s="49" t="str">
        <f ca="1">IFERROR(__xludf.DUMMYFUNCTION("IFNA(vlookup(H5065,IMPORTRANGE(""1vUGwO1n0QQGx9kKbO0_M5gmuhXZ6-LaxQxgrmJnzgP0"",""'TP# look up'!A:C""),3,0),"""")"),"")</f>
        <v/>
      </c>
      <c r="AH5065" s="49" t="str">
        <f t="shared" si="79"/>
        <v/>
      </c>
    </row>
    <row r="5066" spans="8:34" ht="12.75">
      <c r="H5066" s="43"/>
      <c r="AG5066" s="49" t="str">
        <f ca="1">IFERROR(__xludf.DUMMYFUNCTION("IFNA(vlookup(H5066,IMPORTRANGE(""1vUGwO1n0QQGx9kKbO0_M5gmuhXZ6-LaxQxgrmJnzgP0"",""'TP# look up'!A:C""),3,0),"""")"),"")</f>
        <v/>
      </c>
      <c r="AH5066" s="49" t="str">
        <f t="shared" si="79"/>
        <v/>
      </c>
    </row>
    <row r="5067" spans="8:34" ht="12.75">
      <c r="H5067" s="43"/>
      <c r="AG5067" s="49" t="str">
        <f ca="1">IFERROR(__xludf.DUMMYFUNCTION("IFNA(vlookup(H5067,IMPORTRANGE(""1vUGwO1n0QQGx9kKbO0_M5gmuhXZ6-LaxQxgrmJnzgP0"",""'TP# look up'!A:C""),3,0),"""")"),"")</f>
        <v/>
      </c>
      <c r="AH5067" s="49" t="str">
        <f t="shared" si="79"/>
        <v/>
      </c>
    </row>
    <row r="5068" spans="8:34" ht="12.75">
      <c r="H5068" s="43"/>
      <c r="AG5068" s="49" t="str">
        <f ca="1">IFERROR(__xludf.DUMMYFUNCTION("IFNA(vlookup(H5068,IMPORTRANGE(""1vUGwO1n0QQGx9kKbO0_M5gmuhXZ6-LaxQxgrmJnzgP0"",""'TP# look up'!A:C""),3,0),"""")"),"")</f>
        <v/>
      </c>
      <c r="AH5068" s="49" t="str">
        <f t="shared" si="79"/>
        <v/>
      </c>
    </row>
    <row r="5069" spans="8:34" ht="12.75">
      <c r="H5069" s="43"/>
      <c r="AG5069" s="49" t="str">
        <f ca="1">IFERROR(__xludf.DUMMYFUNCTION("IFNA(vlookup(H5069,IMPORTRANGE(""1vUGwO1n0QQGx9kKbO0_M5gmuhXZ6-LaxQxgrmJnzgP0"",""'TP# look up'!A:C""),3,0),"""")"),"")</f>
        <v/>
      </c>
      <c r="AH5069" s="49" t="str">
        <f t="shared" si="79"/>
        <v/>
      </c>
    </row>
    <row r="5070" spans="8:34" ht="12.75">
      <c r="H5070" s="43"/>
      <c r="AG5070" s="49" t="str">
        <f ca="1">IFERROR(__xludf.DUMMYFUNCTION("IFNA(vlookup(H5070,IMPORTRANGE(""1vUGwO1n0QQGx9kKbO0_M5gmuhXZ6-LaxQxgrmJnzgP0"",""'TP# look up'!A:C""),3,0),"""")"),"")</f>
        <v/>
      </c>
      <c r="AH5070" s="49" t="str">
        <f t="shared" si="79"/>
        <v/>
      </c>
    </row>
    <row r="5071" spans="8:34" ht="12.75">
      <c r="H5071" s="43"/>
      <c r="AG5071" s="49" t="str">
        <f ca="1">IFERROR(__xludf.DUMMYFUNCTION("IFNA(vlookup(H5071,IMPORTRANGE(""1vUGwO1n0QQGx9kKbO0_M5gmuhXZ6-LaxQxgrmJnzgP0"",""'TP# look up'!A:C""),3,0),"""")"),"")</f>
        <v/>
      </c>
      <c r="AH5071" s="49" t="str">
        <f t="shared" si="79"/>
        <v/>
      </c>
    </row>
    <row r="5072" spans="8:34" ht="12.75">
      <c r="H5072" s="43"/>
      <c r="AG5072" s="49" t="str">
        <f ca="1">IFERROR(__xludf.DUMMYFUNCTION("IFNA(vlookup(H5072,IMPORTRANGE(""1vUGwO1n0QQGx9kKbO0_M5gmuhXZ6-LaxQxgrmJnzgP0"",""'TP# look up'!A:C""),3,0),"""")"),"")</f>
        <v/>
      </c>
      <c r="AH5072" s="49" t="str">
        <f t="shared" si="79"/>
        <v/>
      </c>
    </row>
    <row r="5073" spans="8:34" ht="12.75">
      <c r="H5073" s="43"/>
      <c r="AG5073" s="49" t="str">
        <f ca="1">IFERROR(__xludf.DUMMYFUNCTION("IFNA(vlookup(H5073,IMPORTRANGE(""1vUGwO1n0QQGx9kKbO0_M5gmuhXZ6-LaxQxgrmJnzgP0"",""'TP# look up'!A:C""),3,0),"""")"),"")</f>
        <v/>
      </c>
      <c r="AH5073" s="49" t="str">
        <f t="shared" si="79"/>
        <v/>
      </c>
    </row>
    <row r="5074" spans="8:34" ht="12.75">
      <c r="H5074" s="43"/>
      <c r="AG5074" s="49" t="str">
        <f ca="1">IFERROR(__xludf.DUMMYFUNCTION("IFNA(vlookup(H5074,IMPORTRANGE(""1vUGwO1n0QQGx9kKbO0_M5gmuhXZ6-LaxQxgrmJnzgP0"",""'TP# look up'!A:C""),3,0),"""")"),"")</f>
        <v/>
      </c>
      <c r="AH5074" s="49" t="str">
        <f t="shared" si="79"/>
        <v/>
      </c>
    </row>
    <row r="5075" spans="8:34" ht="12.75">
      <c r="H5075" s="43"/>
      <c r="AG5075" s="49" t="str">
        <f ca="1">IFERROR(__xludf.DUMMYFUNCTION("IFNA(vlookup(H5075,IMPORTRANGE(""1vUGwO1n0QQGx9kKbO0_M5gmuhXZ6-LaxQxgrmJnzgP0"",""'TP# look up'!A:C""),3,0),"""")"),"")</f>
        <v/>
      </c>
      <c r="AH5075" s="49" t="str">
        <f t="shared" si="79"/>
        <v/>
      </c>
    </row>
    <row r="5076" spans="8:34" ht="12.75">
      <c r="H5076" s="43"/>
      <c r="AG5076" s="49" t="str">
        <f ca="1">IFERROR(__xludf.DUMMYFUNCTION("IFNA(vlookup(H5076,IMPORTRANGE(""1vUGwO1n0QQGx9kKbO0_M5gmuhXZ6-LaxQxgrmJnzgP0"",""'TP# look up'!A:C""),3,0),"""")"),"")</f>
        <v/>
      </c>
      <c r="AH5076" s="49" t="str">
        <f t="shared" si="79"/>
        <v/>
      </c>
    </row>
    <row r="5077" spans="8:34" ht="12.75">
      <c r="H5077" s="43"/>
      <c r="AG5077" s="49" t="str">
        <f ca="1">IFERROR(__xludf.DUMMYFUNCTION("IFNA(vlookup(H5077,IMPORTRANGE(""1vUGwO1n0QQGx9kKbO0_M5gmuhXZ6-LaxQxgrmJnzgP0"",""'TP# look up'!A:C""),3,0),"""")"),"")</f>
        <v/>
      </c>
      <c r="AH5077" s="49" t="str">
        <f t="shared" si="79"/>
        <v/>
      </c>
    </row>
    <row r="5078" spans="8:34" ht="12.75">
      <c r="H5078" s="43"/>
      <c r="AG5078" s="49" t="str">
        <f ca="1">IFERROR(__xludf.DUMMYFUNCTION("IFNA(vlookup(H5078,IMPORTRANGE(""1vUGwO1n0QQGx9kKbO0_M5gmuhXZ6-LaxQxgrmJnzgP0"",""'TP# look up'!A:C""),3,0),"""")"),"")</f>
        <v/>
      </c>
      <c r="AH5078" s="49" t="str">
        <f t="shared" si="79"/>
        <v/>
      </c>
    </row>
    <row r="5079" spans="8:34" ht="12.75">
      <c r="H5079" s="43"/>
      <c r="AG5079" s="49" t="str">
        <f ca="1">IFERROR(__xludf.DUMMYFUNCTION("IFNA(vlookup(H5079,IMPORTRANGE(""1vUGwO1n0QQGx9kKbO0_M5gmuhXZ6-LaxQxgrmJnzgP0"",""'TP# look up'!A:C""),3,0),"""")"),"")</f>
        <v/>
      </c>
      <c r="AH5079" s="49" t="str">
        <f t="shared" si="79"/>
        <v/>
      </c>
    </row>
    <row r="5080" spans="8:34" ht="12.75">
      <c r="H5080" s="43"/>
      <c r="AG5080" s="49" t="str">
        <f ca="1">IFERROR(__xludf.DUMMYFUNCTION("IFNA(vlookup(H5080,IMPORTRANGE(""1vUGwO1n0QQGx9kKbO0_M5gmuhXZ6-LaxQxgrmJnzgP0"",""'TP# look up'!A:C""),3,0),"""")"),"")</f>
        <v/>
      </c>
      <c r="AH5080" s="49" t="str">
        <f t="shared" si="79"/>
        <v/>
      </c>
    </row>
    <row r="5081" spans="8:34" ht="12.75">
      <c r="H5081" s="43"/>
      <c r="AG5081" s="49" t="str">
        <f ca="1">IFERROR(__xludf.DUMMYFUNCTION("IFNA(vlookup(H5081,IMPORTRANGE(""1vUGwO1n0QQGx9kKbO0_M5gmuhXZ6-LaxQxgrmJnzgP0"",""'TP# look up'!A:C""),3,0),"""")"),"")</f>
        <v/>
      </c>
      <c r="AH5081" s="49" t="str">
        <f t="shared" si="79"/>
        <v/>
      </c>
    </row>
    <row r="5082" spans="8:34" ht="12.75">
      <c r="H5082" s="43"/>
      <c r="AG5082" s="49" t="str">
        <f ca="1">IFERROR(__xludf.DUMMYFUNCTION("IFNA(vlookup(H5082,IMPORTRANGE(""1vUGwO1n0QQGx9kKbO0_M5gmuhXZ6-LaxQxgrmJnzgP0"",""'TP# look up'!A:C""),3,0),"""")"),"")</f>
        <v/>
      </c>
      <c r="AH5082" s="49" t="str">
        <f t="shared" si="79"/>
        <v/>
      </c>
    </row>
    <row r="5083" spans="8:34" ht="12.75">
      <c r="H5083" s="43"/>
      <c r="AG5083" s="49" t="str">
        <f ca="1">IFERROR(__xludf.DUMMYFUNCTION("IFNA(vlookup(H5083,IMPORTRANGE(""1vUGwO1n0QQGx9kKbO0_M5gmuhXZ6-LaxQxgrmJnzgP0"",""'TP# look up'!A:C""),3,0),"""")"),"")</f>
        <v/>
      </c>
      <c r="AH5083" s="49" t="str">
        <f t="shared" si="79"/>
        <v/>
      </c>
    </row>
    <row r="5084" spans="8:34" ht="12.75">
      <c r="H5084" s="43"/>
      <c r="AG5084" s="49" t="str">
        <f ca="1">IFERROR(__xludf.DUMMYFUNCTION("IFNA(vlookup(H5084,IMPORTRANGE(""1vUGwO1n0QQGx9kKbO0_M5gmuhXZ6-LaxQxgrmJnzgP0"",""'TP# look up'!A:C""),3,0),"""")"),"")</f>
        <v/>
      </c>
      <c r="AH5084" s="49" t="str">
        <f t="shared" si="79"/>
        <v/>
      </c>
    </row>
    <row r="5085" spans="8:34" ht="12.75">
      <c r="H5085" s="43"/>
      <c r="AG5085" s="49" t="str">
        <f ca="1">IFERROR(__xludf.DUMMYFUNCTION("IFNA(vlookup(H5085,IMPORTRANGE(""1vUGwO1n0QQGx9kKbO0_M5gmuhXZ6-LaxQxgrmJnzgP0"",""'TP# look up'!A:C""),3,0),"""")"),"")</f>
        <v/>
      </c>
      <c r="AH5085" s="49" t="str">
        <f t="shared" si="79"/>
        <v/>
      </c>
    </row>
    <row r="5086" spans="8:34" ht="12.75">
      <c r="H5086" s="43"/>
      <c r="AG5086" s="49" t="str">
        <f ca="1">IFERROR(__xludf.DUMMYFUNCTION("IFNA(vlookup(H5086,IMPORTRANGE(""1vUGwO1n0QQGx9kKbO0_M5gmuhXZ6-LaxQxgrmJnzgP0"",""'TP# look up'!A:C""),3,0),"""")"),"")</f>
        <v/>
      </c>
      <c r="AH5086" s="49" t="str">
        <f t="shared" si="79"/>
        <v/>
      </c>
    </row>
    <row r="5087" spans="8:34" ht="12.75">
      <c r="H5087" s="43"/>
      <c r="AG5087" s="49" t="str">
        <f ca="1">IFERROR(__xludf.DUMMYFUNCTION("IFNA(vlookup(H5087,IMPORTRANGE(""1vUGwO1n0QQGx9kKbO0_M5gmuhXZ6-LaxQxgrmJnzgP0"",""'TP# look up'!A:C""),3,0),"""")"),"")</f>
        <v/>
      </c>
      <c r="AH5087" s="49" t="str">
        <f t="shared" si="79"/>
        <v/>
      </c>
    </row>
    <row r="5088" spans="8:34" ht="12.75">
      <c r="H5088" s="43"/>
      <c r="AG5088" s="49" t="str">
        <f ca="1">IFERROR(__xludf.DUMMYFUNCTION("IFNA(vlookup(H5088,IMPORTRANGE(""1vUGwO1n0QQGx9kKbO0_M5gmuhXZ6-LaxQxgrmJnzgP0"",""'TP# look up'!A:C""),3,0),"""")"),"")</f>
        <v/>
      </c>
      <c r="AH5088" s="49" t="str">
        <f t="shared" si="79"/>
        <v/>
      </c>
    </row>
    <row r="5089" spans="8:34" ht="12.75">
      <c r="H5089" s="43"/>
      <c r="AG5089" s="49" t="str">
        <f ca="1">IFERROR(__xludf.DUMMYFUNCTION("IFNA(vlookup(H5089,IMPORTRANGE(""1vUGwO1n0QQGx9kKbO0_M5gmuhXZ6-LaxQxgrmJnzgP0"",""'TP# look up'!A:C""),3,0),"""")"),"")</f>
        <v/>
      </c>
      <c r="AH5089" s="49" t="str">
        <f t="shared" si="79"/>
        <v/>
      </c>
    </row>
    <row r="5090" spans="8:34" ht="12.75">
      <c r="H5090" s="43"/>
      <c r="AG5090" s="49" t="str">
        <f ca="1">IFERROR(__xludf.DUMMYFUNCTION("IFNA(vlookup(H5090,IMPORTRANGE(""1vUGwO1n0QQGx9kKbO0_M5gmuhXZ6-LaxQxgrmJnzgP0"",""'TP# look up'!A:C""),3,0),"""")"),"")</f>
        <v/>
      </c>
      <c r="AH5090" s="49" t="str">
        <f t="shared" si="79"/>
        <v/>
      </c>
    </row>
    <row r="5091" spans="8:34" ht="12.75">
      <c r="H5091" s="43"/>
      <c r="AG5091" s="49" t="str">
        <f ca="1">IFERROR(__xludf.DUMMYFUNCTION("IFNA(vlookup(H5091,IMPORTRANGE(""1vUGwO1n0QQGx9kKbO0_M5gmuhXZ6-LaxQxgrmJnzgP0"",""'TP# look up'!A:C""),3,0),"""")"),"")</f>
        <v/>
      </c>
      <c r="AH5091" s="49" t="str">
        <f t="shared" si="79"/>
        <v/>
      </c>
    </row>
    <row r="5092" spans="8:34" ht="12.75">
      <c r="H5092" s="43"/>
      <c r="AG5092" s="49" t="str">
        <f ca="1">IFERROR(__xludf.DUMMYFUNCTION("IFNA(vlookup(H5092,IMPORTRANGE(""1vUGwO1n0QQGx9kKbO0_M5gmuhXZ6-LaxQxgrmJnzgP0"",""'TP# look up'!A:C""),3,0),"""")"),"")</f>
        <v/>
      </c>
      <c r="AH5092" s="49" t="str">
        <f t="shared" si="79"/>
        <v/>
      </c>
    </row>
    <row r="5093" spans="8:34" ht="12.75">
      <c r="H5093" s="43"/>
      <c r="AG5093" s="49" t="str">
        <f ca="1">IFERROR(__xludf.DUMMYFUNCTION("IFNA(vlookup(H5093,IMPORTRANGE(""1vUGwO1n0QQGx9kKbO0_M5gmuhXZ6-LaxQxgrmJnzgP0"",""'TP# look up'!A:C""),3,0),"""")"),"")</f>
        <v/>
      </c>
      <c r="AH5093" s="49" t="str">
        <f t="shared" si="79"/>
        <v/>
      </c>
    </row>
    <row r="5094" spans="8:34" ht="12.75">
      <c r="H5094" s="43"/>
      <c r="AG5094" s="49" t="str">
        <f ca="1">IFERROR(__xludf.DUMMYFUNCTION("IFNA(vlookup(H5094,IMPORTRANGE(""1vUGwO1n0QQGx9kKbO0_M5gmuhXZ6-LaxQxgrmJnzgP0"",""'TP# look up'!A:C""),3,0),"""")"),"")</f>
        <v/>
      </c>
      <c r="AH5094" s="49" t="str">
        <f t="shared" si="79"/>
        <v/>
      </c>
    </row>
    <row r="5095" spans="8:34" ht="12.75">
      <c r="H5095" s="43"/>
      <c r="AG5095" s="49" t="str">
        <f ca="1">IFERROR(__xludf.DUMMYFUNCTION("IFNA(vlookup(H5095,IMPORTRANGE(""1vUGwO1n0QQGx9kKbO0_M5gmuhXZ6-LaxQxgrmJnzgP0"",""'TP# look up'!A:C""),3,0),"""")"),"")</f>
        <v/>
      </c>
      <c r="AH5095" s="49" t="str">
        <f t="shared" si="79"/>
        <v/>
      </c>
    </row>
    <row r="5096" spans="8:34" ht="12.75">
      <c r="H5096" s="43"/>
      <c r="AG5096" s="49" t="str">
        <f ca="1">IFERROR(__xludf.DUMMYFUNCTION("IFNA(vlookup(H5096,IMPORTRANGE(""1vUGwO1n0QQGx9kKbO0_M5gmuhXZ6-LaxQxgrmJnzgP0"",""'TP# look up'!A:C""),3,0),"""")"),"")</f>
        <v/>
      </c>
      <c r="AH5096" s="49" t="str">
        <f t="shared" si="79"/>
        <v/>
      </c>
    </row>
    <row r="5097" spans="8:34" ht="12.75">
      <c r="H5097" s="43"/>
      <c r="AG5097" s="49" t="str">
        <f ca="1">IFERROR(__xludf.DUMMYFUNCTION("IFNA(vlookup(H5097,IMPORTRANGE(""1vUGwO1n0QQGx9kKbO0_M5gmuhXZ6-LaxQxgrmJnzgP0"",""'TP# look up'!A:C""),3,0),"""")"),"")</f>
        <v/>
      </c>
      <c r="AH5097" s="49" t="str">
        <f t="shared" si="79"/>
        <v/>
      </c>
    </row>
    <row r="5098" spans="8:34" ht="12.75">
      <c r="H5098" s="43"/>
      <c r="AG5098" s="49" t="str">
        <f ca="1">IFERROR(__xludf.DUMMYFUNCTION("IFNA(vlookup(H5098,IMPORTRANGE(""1vUGwO1n0QQGx9kKbO0_M5gmuhXZ6-LaxQxgrmJnzgP0"",""'TP# look up'!A:C""),3,0),"""")"),"")</f>
        <v/>
      </c>
      <c r="AH5098" s="49" t="str">
        <f t="shared" si="79"/>
        <v/>
      </c>
    </row>
    <row r="5099" spans="8:34" ht="12.75">
      <c r="H5099" s="43"/>
      <c r="AG5099" s="49" t="str">
        <f ca="1">IFERROR(__xludf.DUMMYFUNCTION("IFNA(vlookup(H5099,IMPORTRANGE(""1vUGwO1n0QQGx9kKbO0_M5gmuhXZ6-LaxQxgrmJnzgP0"",""'TP# look up'!A:C""),3,0),"""")"),"")</f>
        <v/>
      </c>
      <c r="AH5099" s="49" t="str">
        <f t="shared" si="79"/>
        <v/>
      </c>
    </row>
    <row r="5100" spans="8:34" ht="12.75">
      <c r="H5100" s="43"/>
      <c r="AG5100" s="49" t="str">
        <f ca="1">IFERROR(__xludf.DUMMYFUNCTION("IFNA(vlookup(H5100,IMPORTRANGE(""1vUGwO1n0QQGx9kKbO0_M5gmuhXZ6-LaxQxgrmJnzgP0"",""'TP# look up'!A:C""),3,0),"""")"),"")</f>
        <v/>
      </c>
      <c r="AH5100" s="49" t="str">
        <f t="shared" si="79"/>
        <v/>
      </c>
    </row>
    <row r="5101" spans="8:34" ht="12.75">
      <c r="H5101" s="43"/>
      <c r="AG5101" s="49" t="str">
        <f ca="1">IFERROR(__xludf.DUMMYFUNCTION("IFNA(vlookup(H5101,IMPORTRANGE(""1vUGwO1n0QQGx9kKbO0_M5gmuhXZ6-LaxQxgrmJnzgP0"",""'TP# look up'!A:C""),3,0),"""")"),"")</f>
        <v/>
      </c>
      <c r="AH5101" s="49" t="str">
        <f t="shared" si="79"/>
        <v/>
      </c>
    </row>
    <row r="5102" spans="8:34" ht="12.75">
      <c r="H5102" s="43"/>
      <c r="AG5102" s="49" t="str">
        <f ca="1">IFERROR(__xludf.DUMMYFUNCTION("IFNA(vlookup(H5102,IMPORTRANGE(""1vUGwO1n0QQGx9kKbO0_M5gmuhXZ6-LaxQxgrmJnzgP0"",""'TP# look up'!A:C""),3,0),"""")"),"")</f>
        <v/>
      </c>
      <c r="AH5102" s="49" t="str">
        <f t="shared" si="79"/>
        <v/>
      </c>
    </row>
    <row r="5103" spans="8:34" ht="12.75">
      <c r="H5103" s="43"/>
      <c r="AG5103" s="49" t="str">
        <f ca="1">IFERROR(__xludf.DUMMYFUNCTION("IFNA(vlookup(H5103,IMPORTRANGE(""1vUGwO1n0QQGx9kKbO0_M5gmuhXZ6-LaxQxgrmJnzgP0"",""'TP# look up'!A:C""),3,0),"""")"),"")</f>
        <v/>
      </c>
      <c r="AH5103" s="49" t="str">
        <f t="shared" si="79"/>
        <v/>
      </c>
    </row>
    <row r="5104" spans="8:34" ht="12.75">
      <c r="H5104" s="43"/>
      <c r="AG5104" s="49" t="str">
        <f ca="1">IFERROR(__xludf.DUMMYFUNCTION("IFNA(vlookup(H5104,IMPORTRANGE(""1vUGwO1n0QQGx9kKbO0_M5gmuhXZ6-LaxQxgrmJnzgP0"",""'TP# look up'!A:C""),3,0),"""")"),"")</f>
        <v/>
      </c>
      <c r="AH5104" s="49" t="str">
        <f t="shared" si="79"/>
        <v/>
      </c>
    </row>
    <row r="5105" spans="8:34" ht="12.75">
      <c r="H5105" s="43"/>
      <c r="AG5105" s="49" t="str">
        <f ca="1">IFERROR(__xludf.DUMMYFUNCTION("IFNA(vlookup(H5105,IMPORTRANGE(""1vUGwO1n0QQGx9kKbO0_M5gmuhXZ6-LaxQxgrmJnzgP0"",""'TP# look up'!A:C""),3,0),"""")"),"")</f>
        <v/>
      </c>
      <c r="AH5105" s="49" t="str">
        <f t="shared" si="79"/>
        <v/>
      </c>
    </row>
    <row r="5106" spans="8:34" ht="12.75">
      <c r="H5106" s="43"/>
      <c r="AG5106" s="49" t="str">
        <f ca="1">IFERROR(__xludf.DUMMYFUNCTION("IFNA(vlookup(H5106,IMPORTRANGE(""1vUGwO1n0QQGx9kKbO0_M5gmuhXZ6-LaxQxgrmJnzgP0"",""'TP# look up'!A:C""),3,0),"""")"),"")</f>
        <v/>
      </c>
      <c r="AH5106" s="49" t="str">
        <f t="shared" si="79"/>
        <v/>
      </c>
    </row>
    <row r="5107" spans="8:34" ht="12.75">
      <c r="H5107" s="43"/>
      <c r="AG5107" s="49" t="str">
        <f ca="1">IFERROR(__xludf.DUMMYFUNCTION("IFNA(vlookup(H5107,IMPORTRANGE(""1vUGwO1n0QQGx9kKbO0_M5gmuhXZ6-LaxQxgrmJnzgP0"",""'TP# look up'!A:C""),3,0),"""")"),"")</f>
        <v/>
      </c>
      <c r="AH5107" s="49" t="str">
        <f t="shared" si="79"/>
        <v/>
      </c>
    </row>
    <row r="5108" spans="8:34" ht="12.75">
      <c r="H5108" s="43"/>
      <c r="AG5108" s="49" t="str">
        <f ca="1">IFERROR(__xludf.DUMMYFUNCTION("IFNA(vlookup(H5108,IMPORTRANGE(""1vUGwO1n0QQGx9kKbO0_M5gmuhXZ6-LaxQxgrmJnzgP0"",""'TP# look up'!A:C""),3,0),"""")"),"")</f>
        <v/>
      </c>
      <c r="AH5108" s="49" t="str">
        <f t="shared" si="79"/>
        <v/>
      </c>
    </row>
    <row r="5109" spans="8:34" ht="12.75">
      <c r="H5109" s="43"/>
      <c r="AG5109" s="49" t="str">
        <f ca="1">IFERROR(__xludf.DUMMYFUNCTION("IFNA(vlookup(H5109,IMPORTRANGE(""1vUGwO1n0QQGx9kKbO0_M5gmuhXZ6-LaxQxgrmJnzgP0"",""'TP# look up'!A:C""),3,0),"""")"),"")</f>
        <v/>
      </c>
      <c r="AH5109" s="49" t="str">
        <f t="shared" si="79"/>
        <v/>
      </c>
    </row>
    <row r="5110" spans="8:34" ht="12.75">
      <c r="H5110" s="43"/>
      <c r="AG5110" s="49" t="str">
        <f ca="1">IFERROR(__xludf.DUMMYFUNCTION("IFNA(vlookup(H5110,IMPORTRANGE(""1vUGwO1n0QQGx9kKbO0_M5gmuhXZ6-LaxQxgrmJnzgP0"",""'TP# look up'!A:C""),3,0),"""")"),"")</f>
        <v/>
      </c>
      <c r="AH5110" s="49" t="str">
        <f t="shared" si="79"/>
        <v/>
      </c>
    </row>
    <row r="5111" spans="8:34" ht="12.75">
      <c r="H5111" s="43"/>
      <c r="AG5111" s="49" t="str">
        <f ca="1">IFERROR(__xludf.DUMMYFUNCTION("IFNA(vlookup(H5111,IMPORTRANGE(""1vUGwO1n0QQGx9kKbO0_M5gmuhXZ6-LaxQxgrmJnzgP0"",""'TP# look up'!A:C""),3,0),"""")"),"")</f>
        <v/>
      </c>
      <c r="AH5111" s="49" t="str">
        <f t="shared" si="79"/>
        <v/>
      </c>
    </row>
    <row r="5112" spans="8:34" ht="12.75">
      <c r="H5112" s="43"/>
      <c r="AG5112" s="49" t="str">
        <f ca="1">IFERROR(__xludf.DUMMYFUNCTION("IFNA(vlookup(H5112,IMPORTRANGE(""1vUGwO1n0QQGx9kKbO0_M5gmuhXZ6-LaxQxgrmJnzgP0"",""'TP# look up'!A:C""),3,0),"""")"),"")</f>
        <v/>
      </c>
      <c r="AH5112" s="49" t="str">
        <f t="shared" si="79"/>
        <v/>
      </c>
    </row>
    <row r="5113" spans="8:34" ht="12.75">
      <c r="H5113" s="43"/>
      <c r="AG5113" s="49" t="str">
        <f ca="1">IFERROR(__xludf.DUMMYFUNCTION("IFNA(vlookup(H5113,IMPORTRANGE(""1vUGwO1n0QQGx9kKbO0_M5gmuhXZ6-LaxQxgrmJnzgP0"",""'TP# look up'!A:C""),3,0),"""")"),"")</f>
        <v/>
      </c>
      <c r="AH5113" s="49" t="str">
        <f t="shared" si="79"/>
        <v/>
      </c>
    </row>
    <row r="5114" spans="8:34" ht="12.75">
      <c r="H5114" s="43"/>
      <c r="AG5114" s="49" t="str">
        <f ca="1">IFERROR(__xludf.DUMMYFUNCTION("IFNA(vlookup(H5114,IMPORTRANGE(""1vUGwO1n0QQGx9kKbO0_M5gmuhXZ6-LaxQxgrmJnzgP0"",""'TP# look up'!A:C""),3,0),"""")"),"")</f>
        <v/>
      </c>
      <c r="AH5114" s="49" t="str">
        <f t="shared" si="79"/>
        <v/>
      </c>
    </row>
    <row r="5115" spans="8:34" ht="12.75">
      <c r="H5115" s="43"/>
      <c r="AG5115" s="49" t="str">
        <f ca="1">IFERROR(__xludf.DUMMYFUNCTION("IFNA(vlookup(H5115,IMPORTRANGE(""1vUGwO1n0QQGx9kKbO0_M5gmuhXZ6-LaxQxgrmJnzgP0"",""'TP# look up'!A:C""),3,0),"""")"),"")</f>
        <v/>
      </c>
      <c r="AH5115" s="49" t="str">
        <f t="shared" si="79"/>
        <v/>
      </c>
    </row>
    <row r="5116" spans="8:34" ht="12.75">
      <c r="H5116" s="43"/>
      <c r="AG5116" s="49" t="str">
        <f ca="1">IFERROR(__xludf.DUMMYFUNCTION("IFNA(vlookup(H5116,IMPORTRANGE(""1vUGwO1n0QQGx9kKbO0_M5gmuhXZ6-LaxQxgrmJnzgP0"",""'TP# look up'!A:C""),3,0),"""")"),"")</f>
        <v/>
      </c>
      <c r="AH5116" s="49" t="str">
        <f t="shared" si="79"/>
        <v/>
      </c>
    </row>
    <row r="5117" spans="8:34" ht="12.75">
      <c r="H5117" s="43"/>
      <c r="AG5117" s="49" t="str">
        <f ca="1">IFERROR(__xludf.DUMMYFUNCTION("IFNA(vlookup(H5117,IMPORTRANGE(""1vUGwO1n0QQGx9kKbO0_M5gmuhXZ6-LaxQxgrmJnzgP0"",""'TP# look up'!A:C""),3,0),"""")"),"")</f>
        <v/>
      </c>
      <c r="AH5117" s="49" t="str">
        <f t="shared" si="79"/>
        <v/>
      </c>
    </row>
    <row r="5118" spans="8:34" ht="12.75">
      <c r="H5118" s="43"/>
      <c r="AG5118" s="49" t="str">
        <f ca="1">IFERROR(__xludf.DUMMYFUNCTION("IFNA(vlookup(H5118,IMPORTRANGE(""1vUGwO1n0QQGx9kKbO0_M5gmuhXZ6-LaxQxgrmJnzgP0"",""'TP# look up'!A:C""),3,0),"""")"),"")</f>
        <v/>
      </c>
      <c r="AH5118" s="49" t="str">
        <f t="shared" si="79"/>
        <v/>
      </c>
    </row>
    <row r="5119" spans="8:34" ht="12.75">
      <c r="H5119" s="43"/>
      <c r="AG5119" s="49" t="str">
        <f ca="1">IFERROR(__xludf.DUMMYFUNCTION("IFNA(vlookup(H5119,IMPORTRANGE(""1vUGwO1n0QQGx9kKbO0_M5gmuhXZ6-LaxQxgrmJnzgP0"",""'TP# look up'!A:C""),3,0),"""")"),"")</f>
        <v/>
      </c>
      <c r="AH5119" s="49" t="str">
        <f t="shared" si="79"/>
        <v/>
      </c>
    </row>
    <row r="5120" spans="8:34" ht="12.75">
      <c r="H5120" s="43"/>
      <c r="AG5120" s="49" t="str">
        <f ca="1">IFERROR(__xludf.DUMMYFUNCTION("IFNA(vlookup(H5120,IMPORTRANGE(""1vUGwO1n0QQGx9kKbO0_M5gmuhXZ6-LaxQxgrmJnzgP0"",""'TP# look up'!A:C""),3,0),"""")"),"")</f>
        <v/>
      </c>
      <c r="AH5120" s="49" t="str">
        <f t="shared" si="79"/>
        <v/>
      </c>
    </row>
    <row r="5121" spans="8:34" ht="12.75">
      <c r="H5121" s="43"/>
      <c r="AG5121" s="49" t="str">
        <f ca="1">IFERROR(__xludf.DUMMYFUNCTION("IFNA(vlookup(H5121,IMPORTRANGE(""1vUGwO1n0QQGx9kKbO0_M5gmuhXZ6-LaxQxgrmJnzgP0"",""'TP# look up'!A:C""),3,0),"""")"),"")</f>
        <v/>
      </c>
      <c r="AH5121" s="49" t="str">
        <f t="shared" si="79"/>
        <v/>
      </c>
    </row>
    <row r="5122" spans="8:34" ht="12.75">
      <c r="H5122" s="43"/>
      <c r="AG5122" s="49" t="str">
        <f ca="1">IFERROR(__xludf.DUMMYFUNCTION("IFNA(vlookup(H5122,IMPORTRANGE(""1vUGwO1n0QQGx9kKbO0_M5gmuhXZ6-LaxQxgrmJnzgP0"",""'TP# look up'!A:C""),3,0),"""")"),"")</f>
        <v/>
      </c>
      <c r="AH5122" s="49" t="str">
        <f t="shared" ref="AH5122:AH5185" si="80">LEFT(J5122,2)</f>
        <v/>
      </c>
    </row>
    <row r="5123" spans="8:34" ht="12.75">
      <c r="H5123" s="43"/>
      <c r="AG5123" s="49" t="str">
        <f ca="1">IFERROR(__xludf.DUMMYFUNCTION("IFNA(vlookup(H5123,IMPORTRANGE(""1vUGwO1n0QQGx9kKbO0_M5gmuhXZ6-LaxQxgrmJnzgP0"",""'TP# look up'!A:C""),3,0),"""")"),"")</f>
        <v/>
      </c>
      <c r="AH5123" s="49" t="str">
        <f t="shared" si="80"/>
        <v/>
      </c>
    </row>
    <row r="5124" spans="8:34" ht="12.75">
      <c r="H5124" s="43"/>
      <c r="AG5124" s="49" t="str">
        <f ca="1">IFERROR(__xludf.DUMMYFUNCTION("IFNA(vlookup(H5124,IMPORTRANGE(""1vUGwO1n0QQGx9kKbO0_M5gmuhXZ6-LaxQxgrmJnzgP0"",""'TP# look up'!A:C""),3,0),"""")"),"")</f>
        <v/>
      </c>
      <c r="AH5124" s="49" t="str">
        <f t="shared" si="80"/>
        <v/>
      </c>
    </row>
    <row r="5125" spans="8:34" ht="12.75">
      <c r="H5125" s="43"/>
      <c r="AG5125" s="49" t="str">
        <f ca="1">IFERROR(__xludf.DUMMYFUNCTION("IFNA(vlookup(H5125,IMPORTRANGE(""1vUGwO1n0QQGx9kKbO0_M5gmuhXZ6-LaxQxgrmJnzgP0"",""'TP# look up'!A:C""),3,0),"""")"),"")</f>
        <v/>
      </c>
      <c r="AH5125" s="49" t="str">
        <f t="shared" si="80"/>
        <v/>
      </c>
    </row>
    <row r="5126" spans="8:34" ht="12.75">
      <c r="H5126" s="43"/>
      <c r="AG5126" s="49" t="str">
        <f ca="1">IFERROR(__xludf.DUMMYFUNCTION("IFNA(vlookup(H5126,IMPORTRANGE(""1vUGwO1n0QQGx9kKbO0_M5gmuhXZ6-LaxQxgrmJnzgP0"",""'TP# look up'!A:C""),3,0),"""")"),"")</f>
        <v/>
      </c>
      <c r="AH5126" s="49" t="str">
        <f t="shared" si="80"/>
        <v/>
      </c>
    </row>
    <row r="5127" spans="8:34" ht="12.75">
      <c r="H5127" s="43"/>
      <c r="AG5127" s="49" t="str">
        <f ca="1">IFERROR(__xludf.DUMMYFUNCTION("IFNA(vlookup(H5127,IMPORTRANGE(""1vUGwO1n0QQGx9kKbO0_M5gmuhXZ6-LaxQxgrmJnzgP0"",""'TP# look up'!A:C""),3,0),"""")"),"")</f>
        <v/>
      </c>
      <c r="AH5127" s="49" t="str">
        <f t="shared" si="80"/>
        <v/>
      </c>
    </row>
    <row r="5128" spans="8:34" ht="12.75">
      <c r="H5128" s="43"/>
      <c r="AG5128" s="49" t="str">
        <f ca="1">IFERROR(__xludf.DUMMYFUNCTION("IFNA(vlookup(H5128,IMPORTRANGE(""1vUGwO1n0QQGx9kKbO0_M5gmuhXZ6-LaxQxgrmJnzgP0"",""'TP# look up'!A:C""),3,0),"""")"),"")</f>
        <v/>
      </c>
      <c r="AH5128" s="49" t="str">
        <f t="shared" si="80"/>
        <v/>
      </c>
    </row>
    <row r="5129" spans="8:34" ht="12.75">
      <c r="H5129" s="43"/>
      <c r="AG5129" s="49" t="str">
        <f ca="1">IFERROR(__xludf.DUMMYFUNCTION("IFNA(vlookup(H5129,IMPORTRANGE(""1vUGwO1n0QQGx9kKbO0_M5gmuhXZ6-LaxQxgrmJnzgP0"",""'TP# look up'!A:C""),3,0),"""")"),"")</f>
        <v/>
      </c>
      <c r="AH5129" s="49" t="str">
        <f t="shared" si="80"/>
        <v/>
      </c>
    </row>
    <row r="5130" spans="8:34" ht="12.75">
      <c r="H5130" s="43"/>
      <c r="AG5130" s="49" t="str">
        <f ca="1">IFERROR(__xludf.DUMMYFUNCTION("IFNA(vlookup(H5130,IMPORTRANGE(""1vUGwO1n0QQGx9kKbO0_M5gmuhXZ6-LaxQxgrmJnzgP0"",""'TP# look up'!A:C""),3,0),"""")"),"")</f>
        <v/>
      </c>
      <c r="AH5130" s="49" t="str">
        <f t="shared" si="80"/>
        <v/>
      </c>
    </row>
    <row r="5131" spans="8:34" ht="12.75">
      <c r="H5131" s="43"/>
      <c r="AG5131" s="49" t="str">
        <f ca="1">IFERROR(__xludf.DUMMYFUNCTION("IFNA(vlookup(H5131,IMPORTRANGE(""1vUGwO1n0QQGx9kKbO0_M5gmuhXZ6-LaxQxgrmJnzgP0"",""'TP# look up'!A:C""),3,0),"""")"),"")</f>
        <v/>
      </c>
      <c r="AH5131" s="49" t="str">
        <f t="shared" si="80"/>
        <v/>
      </c>
    </row>
    <row r="5132" spans="8:34" ht="12.75">
      <c r="H5132" s="43"/>
      <c r="AG5132" s="49" t="str">
        <f ca="1">IFERROR(__xludf.DUMMYFUNCTION("IFNA(vlookup(H5132,IMPORTRANGE(""1vUGwO1n0QQGx9kKbO0_M5gmuhXZ6-LaxQxgrmJnzgP0"",""'TP# look up'!A:C""),3,0),"""")"),"")</f>
        <v/>
      </c>
      <c r="AH5132" s="49" t="str">
        <f t="shared" si="80"/>
        <v/>
      </c>
    </row>
    <row r="5133" spans="8:34" ht="12.75">
      <c r="H5133" s="43"/>
      <c r="AG5133" s="49" t="str">
        <f ca="1">IFERROR(__xludf.DUMMYFUNCTION("IFNA(vlookup(H5133,IMPORTRANGE(""1vUGwO1n0QQGx9kKbO0_M5gmuhXZ6-LaxQxgrmJnzgP0"",""'TP# look up'!A:C""),3,0),"""")"),"")</f>
        <v/>
      </c>
      <c r="AH5133" s="49" t="str">
        <f t="shared" si="80"/>
        <v/>
      </c>
    </row>
    <row r="5134" spans="8:34" ht="12.75">
      <c r="H5134" s="43"/>
      <c r="AG5134" s="49" t="str">
        <f ca="1">IFERROR(__xludf.DUMMYFUNCTION("IFNA(vlookup(H5134,IMPORTRANGE(""1vUGwO1n0QQGx9kKbO0_M5gmuhXZ6-LaxQxgrmJnzgP0"",""'TP# look up'!A:C""),3,0),"""")"),"")</f>
        <v/>
      </c>
      <c r="AH5134" s="49" t="str">
        <f t="shared" si="80"/>
        <v/>
      </c>
    </row>
    <row r="5135" spans="8:34" ht="12.75">
      <c r="H5135" s="43"/>
      <c r="AG5135" s="49" t="str">
        <f ca="1">IFERROR(__xludf.DUMMYFUNCTION("IFNA(vlookup(H5135,IMPORTRANGE(""1vUGwO1n0QQGx9kKbO0_M5gmuhXZ6-LaxQxgrmJnzgP0"",""'TP# look up'!A:C""),3,0),"""")"),"")</f>
        <v/>
      </c>
      <c r="AH5135" s="49" t="str">
        <f t="shared" si="80"/>
        <v/>
      </c>
    </row>
    <row r="5136" spans="8:34" ht="12.75">
      <c r="H5136" s="43"/>
      <c r="AG5136" s="49" t="str">
        <f ca="1">IFERROR(__xludf.DUMMYFUNCTION("IFNA(vlookup(H5136,IMPORTRANGE(""1vUGwO1n0QQGx9kKbO0_M5gmuhXZ6-LaxQxgrmJnzgP0"",""'TP# look up'!A:C""),3,0),"""")"),"")</f>
        <v/>
      </c>
      <c r="AH5136" s="49" t="str">
        <f t="shared" si="80"/>
        <v/>
      </c>
    </row>
    <row r="5137" spans="8:34" ht="12.75">
      <c r="H5137" s="43"/>
      <c r="AG5137" s="49" t="str">
        <f ca="1">IFERROR(__xludf.DUMMYFUNCTION("IFNA(vlookup(H5137,IMPORTRANGE(""1vUGwO1n0QQGx9kKbO0_M5gmuhXZ6-LaxQxgrmJnzgP0"",""'TP# look up'!A:C""),3,0),"""")"),"")</f>
        <v/>
      </c>
      <c r="AH5137" s="49" t="str">
        <f t="shared" si="80"/>
        <v/>
      </c>
    </row>
    <row r="5138" spans="8:34" ht="12.75">
      <c r="H5138" s="43"/>
      <c r="AG5138" s="49" t="str">
        <f ca="1">IFERROR(__xludf.DUMMYFUNCTION("IFNA(vlookup(H5138,IMPORTRANGE(""1vUGwO1n0QQGx9kKbO0_M5gmuhXZ6-LaxQxgrmJnzgP0"",""'TP# look up'!A:C""),3,0),"""")"),"")</f>
        <v/>
      </c>
      <c r="AH5138" s="49" t="str">
        <f t="shared" si="80"/>
        <v/>
      </c>
    </row>
    <row r="5139" spans="8:34" ht="12.75">
      <c r="H5139" s="43"/>
      <c r="AG5139" s="49" t="str">
        <f ca="1">IFERROR(__xludf.DUMMYFUNCTION("IFNA(vlookup(H5139,IMPORTRANGE(""1vUGwO1n0QQGx9kKbO0_M5gmuhXZ6-LaxQxgrmJnzgP0"",""'TP# look up'!A:C""),3,0),"""")"),"")</f>
        <v/>
      </c>
      <c r="AH5139" s="49" t="str">
        <f t="shared" si="80"/>
        <v/>
      </c>
    </row>
    <row r="5140" spans="8:34" ht="12.75">
      <c r="H5140" s="43"/>
      <c r="AG5140" s="49" t="str">
        <f ca="1">IFERROR(__xludf.DUMMYFUNCTION("IFNA(vlookup(H5140,IMPORTRANGE(""1vUGwO1n0QQGx9kKbO0_M5gmuhXZ6-LaxQxgrmJnzgP0"",""'TP# look up'!A:C""),3,0),"""")"),"")</f>
        <v/>
      </c>
      <c r="AH5140" s="49" t="str">
        <f t="shared" si="80"/>
        <v/>
      </c>
    </row>
    <row r="5141" spans="8:34" ht="12.75">
      <c r="H5141" s="43"/>
      <c r="AG5141" s="49" t="str">
        <f ca="1">IFERROR(__xludf.DUMMYFUNCTION("IFNA(vlookup(H5141,IMPORTRANGE(""1vUGwO1n0QQGx9kKbO0_M5gmuhXZ6-LaxQxgrmJnzgP0"",""'TP# look up'!A:C""),3,0),"""")"),"")</f>
        <v/>
      </c>
      <c r="AH5141" s="49" t="str">
        <f t="shared" si="80"/>
        <v/>
      </c>
    </row>
    <row r="5142" spans="8:34" ht="12.75">
      <c r="H5142" s="43"/>
      <c r="AG5142" s="49" t="str">
        <f ca="1">IFERROR(__xludf.DUMMYFUNCTION("IFNA(vlookup(H5142,IMPORTRANGE(""1vUGwO1n0QQGx9kKbO0_M5gmuhXZ6-LaxQxgrmJnzgP0"",""'TP# look up'!A:C""),3,0),"""")"),"")</f>
        <v/>
      </c>
      <c r="AH5142" s="49" t="str">
        <f t="shared" si="80"/>
        <v/>
      </c>
    </row>
    <row r="5143" spans="8:34" ht="12.75">
      <c r="H5143" s="43"/>
      <c r="AG5143" s="49" t="str">
        <f ca="1">IFERROR(__xludf.DUMMYFUNCTION("IFNA(vlookup(H5143,IMPORTRANGE(""1vUGwO1n0QQGx9kKbO0_M5gmuhXZ6-LaxQxgrmJnzgP0"",""'TP# look up'!A:C""),3,0),"""")"),"")</f>
        <v/>
      </c>
      <c r="AH5143" s="49" t="str">
        <f t="shared" si="80"/>
        <v/>
      </c>
    </row>
    <row r="5144" spans="8:34" ht="12.75">
      <c r="H5144" s="43"/>
      <c r="AG5144" s="49" t="str">
        <f ca="1">IFERROR(__xludf.DUMMYFUNCTION("IFNA(vlookup(H5144,IMPORTRANGE(""1vUGwO1n0QQGx9kKbO0_M5gmuhXZ6-LaxQxgrmJnzgP0"",""'TP# look up'!A:C""),3,0),"""")"),"")</f>
        <v/>
      </c>
      <c r="AH5144" s="49" t="str">
        <f t="shared" si="80"/>
        <v/>
      </c>
    </row>
    <row r="5145" spans="8:34" ht="12.75">
      <c r="H5145" s="43"/>
      <c r="AG5145" s="49" t="str">
        <f ca="1">IFERROR(__xludf.DUMMYFUNCTION("IFNA(vlookup(H5145,IMPORTRANGE(""1vUGwO1n0QQGx9kKbO0_M5gmuhXZ6-LaxQxgrmJnzgP0"",""'TP# look up'!A:C""),3,0),"""")"),"")</f>
        <v/>
      </c>
      <c r="AH5145" s="49" t="str">
        <f t="shared" si="80"/>
        <v/>
      </c>
    </row>
    <row r="5146" spans="8:34" ht="12.75">
      <c r="H5146" s="43"/>
      <c r="AG5146" s="49" t="str">
        <f ca="1">IFERROR(__xludf.DUMMYFUNCTION("IFNA(vlookup(H5146,IMPORTRANGE(""1vUGwO1n0QQGx9kKbO0_M5gmuhXZ6-LaxQxgrmJnzgP0"",""'TP# look up'!A:C""),3,0),"""")"),"")</f>
        <v/>
      </c>
      <c r="AH5146" s="49" t="str">
        <f t="shared" si="80"/>
        <v/>
      </c>
    </row>
    <row r="5147" spans="8:34" ht="12.75">
      <c r="H5147" s="43"/>
      <c r="AG5147" s="49" t="str">
        <f ca="1">IFERROR(__xludf.DUMMYFUNCTION("IFNA(vlookup(H5147,IMPORTRANGE(""1vUGwO1n0QQGx9kKbO0_M5gmuhXZ6-LaxQxgrmJnzgP0"",""'TP# look up'!A:C""),3,0),"""")"),"")</f>
        <v/>
      </c>
      <c r="AH5147" s="49" t="str">
        <f t="shared" si="80"/>
        <v/>
      </c>
    </row>
    <row r="5148" spans="8:34" ht="12.75">
      <c r="H5148" s="43"/>
      <c r="AG5148" s="49" t="str">
        <f ca="1">IFERROR(__xludf.DUMMYFUNCTION("IFNA(vlookup(H5148,IMPORTRANGE(""1vUGwO1n0QQGx9kKbO0_M5gmuhXZ6-LaxQxgrmJnzgP0"",""'TP# look up'!A:C""),3,0),"""")"),"")</f>
        <v/>
      </c>
      <c r="AH5148" s="49" t="str">
        <f t="shared" si="80"/>
        <v/>
      </c>
    </row>
    <row r="5149" spans="8:34" ht="12.75">
      <c r="H5149" s="43"/>
      <c r="AG5149" s="49" t="str">
        <f ca="1">IFERROR(__xludf.DUMMYFUNCTION("IFNA(vlookup(H5149,IMPORTRANGE(""1vUGwO1n0QQGx9kKbO0_M5gmuhXZ6-LaxQxgrmJnzgP0"",""'TP# look up'!A:C""),3,0),"""")"),"")</f>
        <v/>
      </c>
      <c r="AH5149" s="49" t="str">
        <f t="shared" si="80"/>
        <v/>
      </c>
    </row>
    <row r="5150" spans="8:34" ht="12.75">
      <c r="H5150" s="43"/>
      <c r="AG5150" s="49" t="str">
        <f ca="1">IFERROR(__xludf.DUMMYFUNCTION("IFNA(vlookup(H5150,IMPORTRANGE(""1vUGwO1n0QQGx9kKbO0_M5gmuhXZ6-LaxQxgrmJnzgP0"",""'TP# look up'!A:C""),3,0),"""")"),"")</f>
        <v/>
      </c>
      <c r="AH5150" s="49" t="str">
        <f t="shared" si="80"/>
        <v/>
      </c>
    </row>
    <row r="5151" spans="8:34" ht="12.75">
      <c r="H5151" s="43"/>
      <c r="AG5151" s="49" t="str">
        <f ca="1">IFERROR(__xludf.DUMMYFUNCTION("IFNA(vlookup(H5151,IMPORTRANGE(""1vUGwO1n0QQGx9kKbO0_M5gmuhXZ6-LaxQxgrmJnzgP0"",""'TP# look up'!A:C""),3,0),"""")"),"")</f>
        <v/>
      </c>
      <c r="AH5151" s="49" t="str">
        <f t="shared" si="80"/>
        <v/>
      </c>
    </row>
    <row r="5152" spans="8:34" ht="12.75">
      <c r="H5152" s="43"/>
      <c r="AG5152" s="49" t="str">
        <f ca="1">IFERROR(__xludf.DUMMYFUNCTION("IFNA(vlookup(H5152,IMPORTRANGE(""1vUGwO1n0QQGx9kKbO0_M5gmuhXZ6-LaxQxgrmJnzgP0"",""'TP# look up'!A:C""),3,0),"""")"),"")</f>
        <v/>
      </c>
      <c r="AH5152" s="49" t="str">
        <f t="shared" si="80"/>
        <v/>
      </c>
    </row>
    <row r="5153" spans="8:34" ht="12.75">
      <c r="H5153" s="43"/>
      <c r="AG5153" s="49" t="str">
        <f ca="1">IFERROR(__xludf.DUMMYFUNCTION("IFNA(vlookup(H5153,IMPORTRANGE(""1vUGwO1n0QQGx9kKbO0_M5gmuhXZ6-LaxQxgrmJnzgP0"",""'TP# look up'!A:C""),3,0),"""")"),"")</f>
        <v/>
      </c>
      <c r="AH5153" s="49" t="str">
        <f t="shared" si="80"/>
        <v/>
      </c>
    </row>
    <row r="5154" spans="8:34" ht="12.75">
      <c r="H5154" s="43"/>
      <c r="AG5154" s="49" t="str">
        <f ca="1">IFERROR(__xludf.DUMMYFUNCTION("IFNA(vlookup(H5154,IMPORTRANGE(""1vUGwO1n0QQGx9kKbO0_M5gmuhXZ6-LaxQxgrmJnzgP0"",""'TP# look up'!A:C""),3,0),"""")"),"")</f>
        <v/>
      </c>
      <c r="AH5154" s="49" t="str">
        <f t="shared" si="80"/>
        <v/>
      </c>
    </row>
    <row r="5155" spans="8:34" ht="12.75">
      <c r="H5155" s="43"/>
      <c r="AG5155" s="49" t="str">
        <f ca="1">IFERROR(__xludf.DUMMYFUNCTION("IFNA(vlookup(H5155,IMPORTRANGE(""1vUGwO1n0QQGx9kKbO0_M5gmuhXZ6-LaxQxgrmJnzgP0"",""'TP# look up'!A:C""),3,0),"""")"),"")</f>
        <v/>
      </c>
      <c r="AH5155" s="49" t="str">
        <f t="shared" si="80"/>
        <v/>
      </c>
    </row>
    <row r="5156" spans="8:34" ht="12.75">
      <c r="H5156" s="43"/>
      <c r="AG5156" s="49" t="str">
        <f ca="1">IFERROR(__xludf.DUMMYFUNCTION("IFNA(vlookup(H5156,IMPORTRANGE(""1vUGwO1n0QQGx9kKbO0_M5gmuhXZ6-LaxQxgrmJnzgP0"",""'TP# look up'!A:C""),3,0),"""")"),"")</f>
        <v/>
      </c>
      <c r="AH5156" s="49" t="str">
        <f t="shared" si="80"/>
        <v/>
      </c>
    </row>
    <row r="5157" spans="8:34" ht="12.75">
      <c r="H5157" s="43"/>
      <c r="AG5157" s="49" t="str">
        <f ca="1">IFERROR(__xludf.DUMMYFUNCTION("IFNA(vlookup(H5157,IMPORTRANGE(""1vUGwO1n0QQGx9kKbO0_M5gmuhXZ6-LaxQxgrmJnzgP0"",""'TP# look up'!A:C""),3,0),"""")"),"")</f>
        <v/>
      </c>
      <c r="AH5157" s="49" t="str">
        <f t="shared" si="80"/>
        <v/>
      </c>
    </row>
    <row r="5158" spans="8:34" ht="12.75">
      <c r="H5158" s="43"/>
      <c r="AG5158" s="49" t="str">
        <f ca="1">IFERROR(__xludf.DUMMYFUNCTION("IFNA(vlookup(H5158,IMPORTRANGE(""1vUGwO1n0QQGx9kKbO0_M5gmuhXZ6-LaxQxgrmJnzgP0"",""'TP# look up'!A:C""),3,0),"""")"),"")</f>
        <v/>
      </c>
      <c r="AH5158" s="49" t="str">
        <f t="shared" si="80"/>
        <v/>
      </c>
    </row>
    <row r="5159" spans="8:34" ht="12.75">
      <c r="H5159" s="43"/>
      <c r="AG5159" s="49" t="str">
        <f ca="1">IFERROR(__xludf.DUMMYFUNCTION("IFNA(vlookup(H5159,IMPORTRANGE(""1vUGwO1n0QQGx9kKbO0_M5gmuhXZ6-LaxQxgrmJnzgP0"",""'TP# look up'!A:C""),3,0),"""")"),"")</f>
        <v/>
      </c>
      <c r="AH5159" s="49" t="str">
        <f t="shared" si="80"/>
        <v/>
      </c>
    </row>
    <row r="5160" spans="8:34" ht="12.75">
      <c r="H5160" s="43"/>
      <c r="AG5160" s="49" t="str">
        <f ca="1">IFERROR(__xludf.DUMMYFUNCTION("IFNA(vlookup(H5160,IMPORTRANGE(""1vUGwO1n0QQGx9kKbO0_M5gmuhXZ6-LaxQxgrmJnzgP0"",""'TP# look up'!A:C""),3,0),"""")"),"")</f>
        <v/>
      </c>
      <c r="AH5160" s="49" t="str">
        <f t="shared" si="80"/>
        <v/>
      </c>
    </row>
    <row r="5161" spans="8:34" ht="12.75">
      <c r="H5161" s="43"/>
      <c r="AG5161" s="49" t="str">
        <f ca="1">IFERROR(__xludf.DUMMYFUNCTION("IFNA(vlookup(H5161,IMPORTRANGE(""1vUGwO1n0QQGx9kKbO0_M5gmuhXZ6-LaxQxgrmJnzgP0"",""'TP# look up'!A:C""),3,0),"""")"),"")</f>
        <v/>
      </c>
      <c r="AH5161" s="49" t="str">
        <f t="shared" si="80"/>
        <v/>
      </c>
    </row>
    <row r="5162" spans="8:34" ht="12.75">
      <c r="H5162" s="43"/>
      <c r="AG5162" s="49" t="str">
        <f ca="1">IFERROR(__xludf.DUMMYFUNCTION("IFNA(vlookup(H5162,IMPORTRANGE(""1vUGwO1n0QQGx9kKbO0_M5gmuhXZ6-LaxQxgrmJnzgP0"",""'TP# look up'!A:C""),3,0),"""")"),"")</f>
        <v/>
      </c>
      <c r="AH5162" s="49" t="str">
        <f t="shared" si="80"/>
        <v/>
      </c>
    </row>
    <row r="5163" spans="8:34" ht="12.75">
      <c r="H5163" s="43"/>
      <c r="AG5163" s="49" t="str">
        <f ca="1">IFERROR(__xludf.DUMMYFUNCTION("IFNA(vlookup(H5163,IMPORTRANGE(""1vUGwO1n0QQGx9kKbO0_M5gmuhXZ6-LaxQxgrmJnzgP0"",""'TP# look up'!A:C""),3,0),"""")"),"")</f>
        <v/>
      </c>
      <c r="AH5163" s="49" t="str">
        <f t="shared" si="80"/>
        <v/>
      </c>
    </row>
    <row r="5164" spans="8:34" ht="12.75">
      <c r="H5164" s="43"/>
      <c r="AG5164" s="49" t="str">
        <f ca="1">IFERROR(__xludf.DUMMYFUNCTION("IFNA(vlookup(H5164,IMPORTRANGE(""1vUGwO1n0QQGx9kKbO0_M5gmuhXZ6-LaxQxgrmJnzgP0"",""'TP# look up'!A:C""),3,0),"""")"),"")</f>
        <v/>
      </c>
      <c r="AH5164" s="49" t="str">
        <f t="shared" si="80"/>
        <v/>
      </c>
    </row>
    <row r="5165" spans="8:34" ht="12.75">
      <c r="H5165" s="43"/>
      <c r="AG5165" s="49" t="str">
        <f ca="1">IFERROR(__xludf.DUMMYFUNCTION("IFNA(vlookup(H5165,IMPORTRANGE(""1vUGwO1n0QQGx9kKbO0_M5gmuhXZ6-LaxQxgrmJnzgP0"",""'TP# look up'!A:C""),3,0),"""")"),"")</f>
        <v/>
      </c>
      <c r="AH5165" s="49" t="str">
        <f t="shared" si="80"/>
        <v/>
      </c>
    </row>
    <row r="5166" spans="8:34" ht="12.75">
      <c r="H5166" s="43"/>
      <c r="AG5166" s="49" t="str">
        <f ca="1">IFERROR(__xludf.DUMMYFUNCTION("IFNA(vlookup(H5166,IMPORTRANGE(""1vUGwO1n0QQGx9kKbO0_M5gmuhXZ6-LaxQxgrmJnzgP0"",""'TP# look up'!A:C""),3,0),"""")"),"")</f>
        <v/>
      </c>
      <c r="AH5166" s="49" t="str">
        <f t="shared" si="80"/>
        <v/>
      </c>
    </row>
    <row r="5167" spans="8:34" ht="12.75">
      <c r="H5167" s="43"/>
      <c r="AG5167" s="49" t="str">
        <f ca="1">IFERROR(__xludf.DUMMYFUNCTION("IFNA(vlookup(H5167,IMPORTRANGE(""1vUGwO1n0QQGx9kKbO0_M5gmuhXZ6-LaxQxgrmJnzgP0"",""'TP# look up'!A:C""),3,0),"""")"),"")</f>
        <v/>
      </c>
      <c r="AH5167" s="49" t="str">
        <f t="shared" si="80"/>
        <v/>
      </c>
    </row>
    <row r="5168" spans="8:34" ht="12.75">
      <c r="H5168" s="43"/>
      <c r="AG5168" s="49" t="str">
        <f ca="1">IFERROR(__xludf.DUMMYFUNCTION("IFNA(vlookup(H5168,IMPORTRANGE(""1vUGwO1n0QQGx9kKbO0_M5gmuhXZ6-LaxQxgrmJnzgP0"",""'TP# look up'!A:C""),3,0),"""")"),"")</f>
        <v/>
      </c>
      <c r="AH5168" s="49" t="str">
        <f t="shared" si="80"/>
        <v/>
      </c>
    </row>
    <row r="5169" spans="8:34" ht="12.75">
      <c r="H5169" s="43"/>
      <c r="AG5169" s="49" t="str">
        <f ca="1">IFERROR(__xludf.DUMMYFUNCTION("IFNA(vlookup(H5169,IMPORTRANGE(""1vUGwO1n0QQGx9kKbO0_M5gmuhXZ6-LaxQxgrmJnzgP0"",""'TP# look up'!A:C""),3,0),"""")"),"")</f>
        <v/>
      </c>
      <c r="AH5169" s="49" t="str">
        <f t="shared" si="80"/>
        <v/>
      </c>
    </row>
    <row r="5170" spans="8:34" ht="12.75">
      <c r="H5170" s="43"/>
      <c r="AG5170" s="49" t="str">
        <f ca="1">IFERROR(__xludf.DUMMYFUNCTION("IFNA(vlookup(H5170,IMPORTRANGE(""1vUGwO1n0QQGx9kKbO0_M5gmuhXZ6-LaxQxgrmJnzgP0"",""'TP# look up'!A:C""),3,0),"""")"),"")</f>
        <v/>
      </c>
      <c r="AH5170" s="49" t="str">
        <f t="shared" si="80"/>
        <v/>
      </c>
    </row>
    <row r="5171" spans="8:34" ht="12.75">
      <c r="H5171" s="43"/>
      <c r="AG5171" s="49" t="str">
        <f ca="1">IFERROR(__xludf.DUMMYFUNCTION("IFNA(vlookup(H5171,IMPORTRANGE(""1vUGwO1n0QQGx9kKbO0_M5gmuhXZ6-LaxQxgrmJnzgP0"",""'TP# look up'!A:C""),3,0),"""")"),"")</f>
        <v/>
      </c>
      <c r="AH5171" s="49" t="str">
        <f t="shared" si="80"/>
        <v/>
      </c>
    </row>
    <row r="5172" spans="8:34" ht="12.75">
      <c r="H5172" s="43"/>
      <c r="AG5172" s="49" t="str">
        <f ca="1">IFERROR(__xludf.DUMMYFUNCTION("IFNA(vlookup(H5172,IMPORTRANGE(""1vUGwO1n0QQGx9kKbO0_M5gmuhXZ6-LaxQxgrmJnzgP0"",""'TP# look up'!A:C""),3,0),"""")"),"")</f>
        <v/>
      </c>
      <c r="AH5172" s="49" t="str">
        <f t="shared" si="80"/>
        <v/>
      </c>
    </row>
    <row r="5173" spans="8:34" ht="12.75">
      <c r="H5173" s="43"/>
      <c r="AG5173" s="49" t="str">
        <f ca="1">IFERROR(__xludf.DUMMYFUNCTION("IFNA(vlookup(H5173,IMPORTRANGE(""1vUGwO1n0QQGx9kKbO0_M5gmuhXZ6-LaxQxgrmJnzgP0"",""'TP# look up'!A:C""),3,0),"""")"),"")</f>
        <v/>
      </c>
      <c r="AH5173" s="49" t="str">
        <f t="shared" si="80"/>
        <v/>
      </c>
    </row>
    <row r="5174" spans="8:34" ht="12.75">
      <c r="H5174" s="43"/>
      <c r="AG5174" s="49" t="str">
        <f ca="1">IFERROR(__xludf.DUMMYFUNCTION("IFNA(vlookup(H5174,IMPORTRANGE(""1vUGwO1n0QQGx9kKbO0_M5gmuhXZ6-LaxQxgrmJnzgP0"",""'TP# look up'!A:C""),3,0),"""")"),"")</f>
        <v/>
      </c>
      <c r="AH5174" s="49" t="str">
        <f t="shared" si="80"/>
        <v/>
      </c>
    </row>
    <row r="5175" spans="8:34" ht="12.75">
      <c r="H5175" s="43"/>
      <c r="AG5175" s="49" t="str">
        <f ca="1">IFERROR(__xludf.DUMMYFUNCTION("IFNA(vlookup(H5175,IMPORTRANGE(""1vUGwO1n0QQGx9kKbO0_M5gmuhXZ6-LaxQxgrmJnzgP0"",""'TP# look up'!A:C""),3,0),"""")"),"")</f>
        <v/>
      </c>
      <c r="AH5175" s="49" t="str">
        <f t="shared" si="80"/>
        <v/>
      </c>
    </row>
    <row r="5176" spans="8:34" ht="12.75">
      <c r="H5176" s="43"/>
      <c r="AG5176" s="49" t="str">
        <f ca="1">IFERROR(__xludf.DUMMYFUNCTION("IFNA(vlookup(H5176,IMPORTRANGE(""1vUGwO1n0QQGx9kKbO0_M5gmuhXZ6-LaxQxgrmJnzgP0"",""'TP# look up'!A:C""),3,0),"""")"),"")</f>
        <v/>
      </c>
      <c r="AH5176" s="49" t="str">
        <f t="shared" si="80"/>
        <v/>
      </c>
    </row>
    <row r="5177" spans="8:34" ht="12.75">
      <c r="H5177" s="43"/>
      <c r="AG5177" s="49" t="str">
        <f ca="1">IFERROR(__xludf.DUMMYFUNCTION("IFNA(vlookup(H5177,IMPORTRANGE(""1vUGwO1n0QQGx9kKbO0_M5gmuhXZ6-LaxQxgrmJnzgP0"",""'TP# look up'!A:C""),3,0),"""")"),"")</f>
        <v/>
      </c>
      <c r="AH5177" s="49" t="str">
        <f t="shared" si="80"/>
        <v/>
      </c>
    </row>
    <row r="5178" spans="8:34" ht="12.75">
      <c r="H5178" s="43"/>
      <c r="AG5178" s="49" t="str">
        <f ca="1">IFERROR(__xludf.DUMMYFUNCTION("IFNA(vlookup(H5178,IMPORTRANGE(""1vUGwO1n0QQGx9kKbO0_M5gmuhXZ6-LaxQxgrmJnzgP0"",""'TP# look up'!A:C""),3,0),"""")"),"")</f>
        <v/>
      </c>
      <c r="AH5178" s="49" t="str">
        <f t="shared" si="80"/>
        <v/>
      </c>
    </row>
    <row r="5179" spans="8:34" ht="12.75">
      <c r="H5179" s="43"/>
      <c r="AG5179" s="49" t="str">
        <f ca="1">IFERROR(__xludf.DUMMYFUNCTION("IFNA(vlookup(H5179,IMPORTRANGE(""1vUGwO1n0QQGx9kKbO0_M5gmuhXZ6-LaxQxgrmJnzgP0"",""'TP# look up'!A:C""),3,0),"""")"),"")</f>
        <v/>
      </c>
      <c r="AH5179" s="49" t="str">
        <f t="shared" si="80"/>
        <v/>
      </c>
    </row>
    <row r="5180" spans="8:34" ht="12.75">
      <c r="H5180" s="43"/>
      <c r="AG5180" s="49" t="str">
        <f ca="1">IFERROR(__xludf.DUMMYFUNCTION("IFNA(vlookup(H5180,IMPORTRANGE(""1vUGwO1n0QQGx9kKbO0_M5gmuhXZ6-LaxQxgrmJnzgP0"",""'TP# look up'!A:C""),3,0),"""")"),"")</f>
        <v/>
      </c>
      <c r="AH5180" s="49" t="str">
        <f t="shared" si="80"/>
        <v/>
      </c>
    </row>
    <row r="5181" spans="8:34" ht="12.75">
      <c r="H5181" s="43"/>
      <c r="AG5181" s="49" t="str">
        <f ca="1">IFERROR(__xludf.DUMMYFUNCTION("IFNA(vlookup(H5181,IMPORTRANGE(""1vUGwO1n0QQGx9kKbO0_M5gmuhXZ6-LaxQxgrmJnzgP0"",""'TP# look up'!A:C""),3,0),"""")"),"")</f>
        <v/>
      </c>
      <c r="AH5181" s="49" t="str">
        <f t="shared" si="80"/>
        <v/>
      </c>
    </row>
    <row r="5182" spans="8:34" ht="12.75">
      <c r="H5182" s="43"/>
      <c r="AG5182" s="49" t="str">
        <f ca="1">IFERROR(__xludf.DUMMYFUNCTION("IFNA(vlookup(H5182,IMPORTRANGE(""1vUGwO1n0QQGx9kKbO0_M5gmuhXZ6-LaxQxgrmJnzgP0"",""'TP# look up'!A:C""),3,0),"""")"),"")</f>
        <v/>
      </c>
      <c r="AH5182" s="49" t="str">
        <f t="shared" si="80"/>
        <v/>
      </c>
    </row>
    <row r="5183" spans="8:34" ht="12.75">
      <c r="H5183" s="43"/>
      <c r="AG5183" s="49" t="str">
        <f ca="1">IFERROR(__xludf.DUMMYFUNCTION("IFNA(vlookup(H5183,IMPORTRANGE(""1vUGwO1n0QQGx9kKbO0_M5gmuhXZ6-LaxQxgrmJnzgP0"",""'TP# look up'!A:C""),3,0),"""")"),"")</f>
        <v/>
      </c>
      <c r="AH5183" s="49" t="str">
        <f t="shared" si="80"/>
        <v/>
      </c>
    </row>
    <row r="5184" spans="8:34" ht="12.75">
      <c r="H5184" s="43"/>
      <c r="AG5184" s="49" t="str">
        <f ca="1">IFERROR(__xludf.DUMMYFUNCTION("IFNA(vlookup(H5184,IMPORTRANGE(""1vUGwO1n0QQGx9kKbO0_M5gmuhXZ6-LaxQxgrmJnzgP0"",""'TP# look up'!A:C""),3,0),"""")"),"")</f>
        <v/>
      </c>
      <c r="AH5184" s="49" t="str">
        <f t="shared" si="80"/>
        <v/>
      </c>
    </row>
    <row r="5185" spans="8:34" ht="12.75">
      <c r="H5185" s="43"/>
      <c r="AG5185" s="49" t="str">
        <f ca="1">IFERROR(__xludf.DUMMYFUNCTION("IFNA(vlookup(H5185,IMPORTRANGE(""1vUGwO1n0QQGx9kKbO0_M5gmuhXZ6-LaxQxgrmJnzgP0"",""'TP# look up'!A:C""),3,0),"""")"),"")</f>
        <v/>
      </c>
      <c r="AH5185" s="49" t="str">
        <f t="shared" si="80"/>
        <v/>
      </c>
    </row>
    <row r="5186" spans="8:34" ht="12.75">
      <c r="H5186" s="43"/>
      <c r="AG5186" s="49" t="str">
        <f ca="1">IFERROR(__xludf.DUMMYFUNCTION("IFNA(vlookup(H5186,IMPORTRANGE(""1vUGwO1n0QQGx9kKbO0_M5gmuhXZ6-LaxQxgrmJnzgP0"",""'TP# look up'!A:C""),3,0),"""")"),"")</f>
        <v/>
      </c>
      <c r="AH5186" s="49" t="str">
        <f t="shared" ref="AH5186:AH5249" si="81">LEFT(J5186,2)</f>
        <v/>
      </c>
    </row>
    <row r="5187" spans="8:34" ht="12.75">
      <c r="H5187" s="43"/>
      <c r="AG5187" s="49" t="str">
        <f ca="1">IFERROR(__xludf.DUMMYFUNCTION("IFNA(vlookup(H5187,IMPORTRANGE(""1vUGwO1n0QQGx9kKbO0_M5gmuhXZ6-LaxQxgrmJnzgP0"",""'TP# look up'!A:C""),3,0),"""")"),"")</f>
        <v/>
      </c>
      <c r="AH5187" s="49" t="str">
        <f t="shared" si="81"/>
        <v/>
      </c>
    </row>
    <row r="5188" spans="8:34" ht="12.75">
      <c r="H5188" s="43"/>
      <c r="AG5188" s="49" t="str">
        <f ca="1">IFERROR(__xludf.DUMMYFUNCTION("IFNA(vlookup(H5188,IMPORTRANGE(""1vUGwO1n0QQGx9kKbO0_M5gmuhXZ6-LaxQxgrmJnzgP0"",""'TP# look up'!A:C""),3,0),"""")"),"")</f>
        <v/>
      </c>
      <c r="AH5188" s="49" t="str">
        <f t="shared" si="81"/>
        <v/>
      </c>
    </row>
    <row r="5189" spans="8:34" ht="12.75">
      <c r="H5189" s="43"/>
      <c r="AG5189" s="49" t="str">
        <f ca="1">IFERROR(__xludf.DUMMYFUNCTION("IFNA(vlookup(H5189,IMPORTRANGE(""1vUGwO1n0QQGx9kKbO0_M5gmuhXZ6-LaxQxgrmJnzgP0"",""'TP# look up'!A:C""),3,0),"""")"),"")</f>
        <v/>
      </c>
      <c r="AH5189" s="49" t="str">
        <f t="shared" si="81"/>
        <v/>
      </c>
    </row>
    <row r="5190" spans="8:34" ht="12.75">
      <c r="H5190" s="43"/>
      <c r="AG5190" s="49" t="str">
        <f ca="1">IFERROR(__xludf.DUMMYFUNCTION("IFNA(vlookup(H5190,IMPORTRANGE(""1vUGwO1n0QQGx9kKbO0_M5gmuhXZ6-LaxQxgrmJnzgP0"",""'TP# look up'!A:C""),3,0),"""")"),"")</f>
        <v/>
      </c>
      <c r="AH5190" s="49" t="str">
        <f t="shared" si="81"/>
        <v/>
      </c>
    </row>
    <row r="5191" spans="8:34" ht="12.75">
      <c r="H5191" s="43"/>
      <c r="AG5191" s="49" t="str">
        <f ca="1">IFERROR(__xludf.DUMMYFUNCTION("IFNA(vlookup(H5191,IMPORTRANGE(""1vUGwO1n0QQGx9kKbO0_M5gmuhXZ6-LaxQxgrmJnzgP0"",""'TP# look up'!A:C""),3,0),"""")"),"")</f>
        <v/>
      </c>
      <c r="AH5191" s="49" t="str">
        <f t="shared" si="81"/>
        <v/>
      </c>
    </row>
    <row r="5192" spans="8:34" ht="12.75">
      <c r="H5192" s="43"/>
      <c r="AG5192" s="49" t="str">
        <f ca="1">IFERROR(__xludf.DUMMYFUNCTION("IFNA(vlookup(H5192,IMPORTRANGE(""1vUGwO1n0QQGx9kKbO0_M5gmuhXZ6-LaxQxgrmJnzgP0"",""'TP# look up'!A:C""),3,0),"""")"),"")</f>
        <v/>
      </c>
      <c r="AH5192" s="49" t="str">
        <f t="shared" si="81"/>
        <v/>
      </c>
    </row>
    <row r="5193" spans="8:34" ht="12.75">
      <c r="H5193" s="43"/>
      <c r="AG5193" s="49" t="str">
        <f ca="1">IFERROR(__xludf.DUMMYFUNCTION("IFNA(vlookup(H5193,IMPORTRANGE(""1vUGwO1n0QQGx9kKbO0_M5gmuhXZ6-LaxQxgrmJnzgP0"",""'TP# look up'!A:C""),3,0),"""")"),"")</f>
        <v/>
      </c>
      <c r="AH5193" s="49" t="str">
        <f t="shared" si="81"/>
        <v/>
      </c>
    </row>
    <row r="5194" spans="8:34" ht="12.75">
      <c r="H5194" s="43"/>
      <c r="AG5194" s="49" t="str">
        <f ca="1">IFERROR(__xludf.DUMMYFUNCTION("IFNA(vlookup(H5194,IMPORTRANGE(""1vUGwO1n0QQGx9kKbO0_M5gmuhXZ6-LaxQxgrmJnzgP0"",""'TP# look up'!A:C""),3,0),"""")"),"")</f>
        <v/>
      </c>
      <c r="AH5194" s="49" t="str">
        <f t="shared" si="81"/>
        <v/>
      </c>
    </row>
    <row r="5195" spans="8:34" ht="12.75">
      <c r="H5195" s="43"/>
      <c r="AG5195" s="49" t="str">
        <f ca="1">IFERROR(__xludf.DUMMYFUNCTION("IFNA(vlookup(H5195,IMPORTRANGE(""1vUGwO1n0QQGx9kKbO0_M5gmuhXZ6-LaxQxgrmJnzgP0"",""'TP# look up'!A:C""),3,0),"""")"),"")</f>
        <v/>
      </c>
      <c r="AH5195" s="49" t="str">
        <f t="shared" si="81"/>
        <v/>
      </c>
    </row>
    <row r="5196" spans="8:34" ht="12.75">
      <c r="H5196" s="43"/>
      <c r="AG5196" s="49" t="str">
        <f ca="1">IFERROR(__xludf.DUMMYFUNCTION("IFNA(vlookup(H5196,IMPORTRANGE(""1vUGwO1n0QQGx9kKbO0_M5gmuhXZ6-LaxQxgrmJnzgP0"",""'TP# look up'!A:C""),3,0),"""")"),"")</f>
        <v/>
      </c>
      <c r="AH5196" s="49" t="str">
        <f t="shared" si="81"/>
        <v/>
      </c>
    </row>
    <row r="5197" spans="8:34" ht="12.75">
      <c r="H5197" s="43"/>
      <c r="AG5197" s="49" t="str">
        <f ca="1">IFERROR(__xludf.DUMMYFUNCTION("IFNA(vlookup(H5197,IMPORTRANGE(""1vUGwO1n0QQGx9kKbO0_M5gmuhXZ6-LaxQxgrmJnzgP0"",""'TP# look up'!A:C""),3,0),"""")"),"")</f>
        <v/>
      </c>
      <c r="AH5197" s="49" t="str">
        <f t="shared" si="81"/>
        <v/>
      </c>
    </row>
    <row r="5198" spans="8:34" ht="12.75">
      <c r="H5198" s="43"/>
      <c r="AG5198" s="49" t="str">
        <f ca="1">IFERROR(__xludf.DUMMYFUNCTION("IFNA(vlookup(H5198,IMPORTRANGE(""1vUGwO1n0QQGx9kKbO0_M5gmuhXZ6-LaxQxgrmJnzgP0"",""'TP# look up'!A:C""),3,0),"""")"),"")</f>
        <v/>
      </c>
      <c r="AH5198" s="49" t="str">
        <f t="shared" si="81"/>
        <v/>
      </c>
    </row>
    <row r="5199" spans="8:34" ht="12.75">
      <c r="H5199" s="43"/>
      <c r="AG5199" s="49" t="str">
        <f ca="1">IFERROR(__xludf.DUMMYFUNCTION("IFNA(vlookup(H5199,IMPORTRANGE(""1vUGwO1n0QQGx9kKbO0_M5gmuhXZ6-LaxQxgrmJnzgP0"",""'TP# look up'!A:C""),3,0),"""")"),"")</f>
        <v/>
      </c>
      <c r="AH5199" s="49" t="str">
        <f t="shared" si="81"/>
        <v/>
      </c>
    </row>
    <row r="5200" spans="8:34" ht="12.75">
      <c r="H5200" s="43"/>
      <c r="AG5200" s="49" t="str">
        <f ca="1">IFERROR(__xludf.DUMMYFUNCTION("IFNA(vlookup(H5200,IMPORTRANGE(""1vUGwO1n0QQGx9kKbO0_M5gmuhXZ6-LaxQxgrmJnzgP0"",""'TP# look up'!A:C""),3,0),"""")"),"")</f>
        <v/>
      </c>
      <c r="AH5200" s="49" t="str">
        <f t="shared" si="81"/>
        <v/>
      </c>
    </row>
    <row r="5201" spans="8:34" ht="12.75">
      <c r="H5201" s="43"/>
      <c r="AG5201" s="49" t="str">
        <f ca="1">IFERROR(__xludf.DUMMYFUNCTION("IFNA(vlookup(H5201,IMPORTRANGE(""1vUGwO1n0QQGx9kKbO0_M5gmuhXZ6-LaxQxgrmJnzgP0"",""'TP# look up'!A:C""),3,0),"""")"),"")</f>
        <v/>
      </c>
      <c r="AH5201" s="49" t="str">
        <f t="shared" si="81"/>
        <v/>
      </c>
    </row>
    <row r="5202" spans="8:34" ht="12.75">
      <c r="H5202" s="43"/>
      <c r="AG5202" s="49" t="str">
        <f ca="1">IFERROR(__xludf.DUMMYFUNCTION("IFNA(vlookup(H5202,IMPORTRANGE(""1vUGwO1n0QQGx9kKbO0_M5gmuhXZ6-LaxQxgrmJnzgP0"",""'TP# look up'!A:C""),3,0),"""")"),"")</f>
        <v/>
      </c>
      <c r="AH5202" s="49" t="str">
        <f t="shared" si="81"/>
        <v/>
      </c>
    </row>
    <row r="5203" spans="8:34" ht="12.75">
      <c r="H5203" s="43"/>
      <c r="AG5203" s="49" t="str">
        <f ca="1">IFERROR(__xludf.DUMMYFUNCTION("IFNA(vlookup(H5203,IMPORTRANGE(""1vUGwO1n0QQGx9kKbO0_M5gmuhXZ6-LaxQxgrmJnzgP0"",""'TP# look up'!A:C""),3,0),"""")"),"")</f>
        <v/>
      </c>
      <c r="AH5203" s="49" t="str">
        <f t="shared" si="81"/>
        <v/>
      </c>
    </row>
    <row r="5204" spans="8:34" ht="12.75">
      <c r="H5204" s="43"/>
      <c r="AG5204" s="49" t="str">
        <f ca="1">IFERROR(__xludf.DUMMYFUNCTION("IFNA(vlookup(H5204,IMPORTRANGE(""1vUGwO1n0QQGx9kKbO0_M5gmuhXZ6-LaxQxgrmJnzgP0"",""'TP# look up'!A:C""),3,0),"""")"),"")</f>
        <v/>
      </c>
      <c r="AH5204" s="49" t="str">
        <f t="shared" si="81"/>
        <v/>
      </c>
    </row>
    <row r="5205" spans="8:34" ht="12.75">
      <c r="H5205" s="43"/>
      <c r="AG5205" s="49" t="str">
        <f ca="1">IFERROR(__xludf.DUMMYFUNCTION("IFNA(vlookup(H5205,IMPORTRANGE(""1vUGwO1n0QQGx9kKbO0_M5gmuhXZ6-LaxQxgrmJnzgP0"",""'TP# look up'!A:C""),3,0),"""")"),"")</f>
        <v/>
      </c>
      <c r="AH5205" s="49" t="str">
        <f t="shared" si="81"/>
        <v/>
      </c>
    </row>
    <row r="5206" spans="8:34" ht="12.75">
      <c r="H5206" s="43"/>
      <c r="AG5206" s="49" t="str">
        <f ca="1">IFERROR(__xludf.DUMMYFUNCTION("IFNA(vlookup(H5206,IMPORTRANGE(""1vUGwO1n0QQGx9kKbO0_M5gmuhXZ6-LaxQxgrmJnzgP0"",""'TP# look up'!A:C""),3,0),"""")"),"")</f>
        <v/>
      </c>
      <c r="AH5206" s="49" t="str">
        <f t="shared" si="81"/>
        <v/>
      </c>
    </row>
    <row r="5207" spans="8:34" ht="12.75">
      <c r="H5207" s="43"/>
      <c r="AG5207" s="49" t="str">
        <f ca="1">IFERROR(__xludf.DUMMYFUNCTION("IFNA(vlookup(H5207,IMPORTRANGE(""1vUGwO1n0QQGx9kKbO0_M5gmuhXZ6-LaxQxgrmJnzgP0"",""'TP# look up'!A:C""),3,0),"""")"),"")</f>
        <v/>
      </c>
      <c r="AH5207" s="49" t="str">
        <f t="shared" si="81"/>
        <v/>
      </c>
    </row>
    <row r="5208" spans="8:34" ht="12.75">
      <c r="H5208" s="43"/>
      <c r="AG5208" s="49" t="str">
        <f ca="1">IFERROR(__xludf.DUMMYFUNCTION("IFNA(vlookup(H5208,IMPORTRANGE(""1vUGwO1n0QQGx9kKbO0_M5gmuhXZ6-LaxQxgrmJnzgP0"",""'TP# look up'!A:C""),3,0),"""")"),"")</f>
        <v/>
      </c>
      <c r="AH5208" s="49" t="str">
        <f t="shared" si="81"/>
        <v/>
      </c>
    </row>
    <row r="5209" spans="8:34" ht="12.75">
      <c r="H5209" s="43"/>
      <c r="AG5209" s="49" t="str">
        <f ca="1">IFERROR(__xludf.DUMMYFUNCTION("IFNA(vlookup(H5209,IMPORTRANGE(""1vUGwO1n0QQGx9kKbO0_M5gmuhXZ6-LaxQxgrmJnzgP0"",""'TP# look up'!A:C""),3,0),"""")"),"")</f>
        <v/>
      </c>
      <c r="AH5209" s="49" t="str">
        <f t="shared" si="81"/>
        <v/>
      </c>
    </row>
    <row r="5210" spans="8:34" ht="12.75">
      <c r="H5210" s="43"/>
      <c r="AG5210" s="49" t="str">
        <f ca="1">IFERROR(__xludf.DUMMYFUNCTION("IFNA(vlookup(H5210,IMPORTRANGE(""1vUGwO1n0QQGx9kKbO0_M5gmuhXZ6-LaxQxgrmJnzgP0"",""'TP# look up'!A:C""),3,0),"""")"),"")</f>
        <v/>
      </c>
      <c r="AH5210" s="49" t="str">
        <f t="shared" si="81"/>
        <v/>
      </c>
    </row>
    <row r="5211" spans="8:34" ht="12.75">
      <c r="H5211" s="43"/>
      <c r="AG5211" s="49" t="str">
        <f ca="1">IFERROR(__xludf.DUMMYFUNCTION("IFNA(vlookup(H5211,IMPORTRANGE(""1vUGwO1n0QQGx9kKbO0_M5gmuhXZ6-LaxQxgrmJnzgP0"",""'TP# look up'!A:C""),3,0),"""")"),"")</f>
        <v/>
      </c>
      <c r="AH5211" s="49" t="str">
        <f t="shared" si="81"/>
        <v/>
      </c>
    </row>
    <row r="5212" spans="8:34" ht="12.75">
      <c r="H5212" s="43"/>
      <c r="AG5212" s="49" t="str">
        <f ca="1">IFERROR(__xludf.DUMMYFUNCTION("IFNA(vlookup(H5212,IMPORTRANGE(""1vUGwO1n0QQGx9kKbO0_M5gmuhXZ6-LaxQxgrmJnzgP0"",""'TP# look up'!A:C""),3,0),"""")"),"")</f>
        <v/>
      </c>
      <c r="AH5212" s="49" t="str">
        <f t="shared" si="81"/>
        <v/>
      </c>
    </row>
    <row r="5213" spans="8:34" ht="12.75">
      <c r="H5213" s="43"/>
      <c r="AG5213" s="49" t="str">
        <f ca="1">IFERROR(__xludf.DUMMYFUNCTION("IFNA(vlookup(H5213,IMPORTRANGE(""1vUGwO1n0QQGx9kKbO0_M5gmuhXZ6-LaxQxgrmJnzgP0"",""'TP# look up'!A:C""),3,0),"""")"),"")</f>
        <v/>
      </c>
      <c r="AH5213" s="49" t="str">
        <f t="shared" si="81"/>
        <v/>
      </c>
    </row>
    <row r="5214" spans="8:34" ht="12.75">
      <c r="H5214" s="43"/>
      <c r="AG5214" s="49" t="str">
        <f ca="1">IFERROR(__xludf.DUMMYFUNCTION("IFNA(vlookup(H5214,IMPORTRANGE(""1vUGwO1n0QQGx9kKbO0_M5gmuhXZ6-LaxQxgrmJnzgP0"",""'TP# look up'!A:C""),3,0),"""")"),"")</f>
        <v/>
      </c>
      <c r="AH5214" s="49" t="str">
        <f t="shared" si="81"/>
        <v/>
      </c>
    </row>
    <row r="5215" spans="8:34" ht="12.75">
      <c r="H5215" s="43"/>
      <c r="AG5215" s="49" t="str">
        <f ca="1">IFERROR(__xludf.DUMMYFUNCTION("IFNA(vlookup(H5215,IMPORTRANGE(""1vUGwO1n0QQGx9kKbO0_M5gmuhXZ6-LaxQxgrmJnzgP0"",""'TP# look up'!A:C""),3,0),"""")"),"")</f>
        <v/>
      </c>
      <c r="AH5215" s="49" t="str">
        <f t="shared" si="81"/>
        <v/>
      </c>
    </row>
    <row r="5216" spans="8:34" ht="12.75">
      <c r="H5216" s="43"/>
      <c r="AG5216" s="49" t="str">
        <f ca="1">IFERROR(__xludf.DUMMYFUNCTION("IFNA(vlookup(H5216,IMPORTRANGE(""1vUGwO1n0QQGx9kKbO0_M5gmuhXZ6-LaxQxgrmJnzgP0"",""'TP# look up'!A:C""),3,0),"""")"),"")</f>
        <v/>
      </c>
      <c r="AH5216" s="49" t="str">
        <f t="shared" si="81"/>
        <v/>
      </c>
    </row>
    <row r="5217" spans="8:34" ht="12.75">
      <c r="H5217" s="43"/>
      <c r="AG5217" s="49" t="str">
        <f ca="1">IFERROR(__xludf.DUMMYFUNCTION("IFNA(vlookup(H5217,IMPORTRANGE(""1vUGwO1n0QQGx9kKbO0_M5gmuhXZ6-LaxQxgrmJnzgP0"",""'TP# look up'!A:C""),3,0),"""")"),"")</f>
        <v/>
      </c>
      <c r="AH5217" s="49" t="str">
        <f t="shared" si="81"/>
        <v/>
      </c>
    </row>
    <row r="5218" spans="8:34" ht="12.75">
      <c r="H5218" s="43"/>
      <c r="AG5218" s="49" t="str">
        <f ca="1">IFERROR(__xludf.DUMMYFUNCTION("IFNA(vlookup(H5218,IMPORTRANGE(""1vUGwO1n0QQGx9kKbO0_M5gmuhXZ6-LaxQxgrmJnzgP0"",""'TP# look up'!A:C""),3,0),"""")"),"")</f>
        <v/>
      </c>
      <c r="AH5218" s="49" t="str">
        <f t="shared" si="81"/>
        <v/>
      </c>
    </row>
    <row r="5219" spans="8:34" ht="12.75">
      <c r="H5219" s="43"/>
      <c r="AG5219" s="49" t="str">
        <f ca="1">IFERROR(__xludf.DUMMYFUNCTION("IFNA(vlookup(H5219,IMPORTRANGE(""1vUGwO1n0QQGx9kKbO0_M5gmuhXZ6-LaxQxgrmJnzgP0"",""'TP# look up'!A:C""),3,0),"""")"),"")</f>
        <v/>
      </c>
      <c r="AH5219" s="49" t="str">
        <f t="shared" si="81"/>
        <v/>
      </c>
    </row>
    <row r="5220" spans="8:34" ht="12.75">
      <c r="H5220" s="43"/>
      <c r="AG5220" s="49" t="str">
        <f ca="1">IFERROR(__xludf.DUMMYFUNCTION("IFNA(vlookup(H5220,IMPORTRANGE(""1vUGwO1n0QQGx9kKbO0_M5gmuhXZ6-LaxQxgrmJnzgP0"",""'TP# look up'!A:C""),3,0),"""")"),"")</f>
        <v/>
      </c>
      <c r="AH5220" s="49" t="str">
        <f t="shared" si="81"/>
        <v/>
      </c>
    </row>
    <row r="5221" spans="8:34" ht="12.75">
      <c r="H5221" s="43"/>
      <c r="AG5221" s="49" t="str">
        <f ca="1">IFERROR(__xludf.DUMMYFUNCTION("IFNA(vlookup(H5221,IMPORTRANGE(""1vUGwO1n0QQGx9kKbO0_M5gmuhXZ6-LaxQxgrmJnzgP0"",""'TP# look up'!A:C""),3,0),"""")"),"")</f>
        <v/>
      </c>
      <c r="AH5221" s="49" t="str">
        <f t="shared" si="81"/>
        <v/>
      </c>
    </row>
    <row r="5222" spans="8:34" ht="12.75">
      <c r="H5222" s="43"/>
      <c r="AG5222" s="49" t="str">
        <f ca="1">IFERROR(__xludf.DUMMYFUNCTION("IFNA(vlookup(H5222,IMPORTRANGE(""1vUGwO1n0QQGx9kKbO0_M5gmuhXZ6-LaxQxgrmJnzgP0"",""'TP# look up'!A:C""),3,0),"""")"),"")</f>
        <v/>
      </c>
      <c r="AH5222" s="49" t="str">
        <f t="shared" si="81"/>
        <v/>
      </c>
    </row>
    <row r="5223" spans="8:34" ht="12.75">
      <c r="H5223" s="43"/>
      <c r="AG5223" s="49" t="str">
        <f ca="1">IFERROR(__xludf.DUMMYFUNCTION("IFNA(vlookup(H5223,IMPORTRANGE(""1vUGwO1n0QQGx9kKbO0_M5gmuhXZ6-LaxQxgrmJnzgP0"",""'TP# look up'!A:C""),3,0),"""")"),"")</f>
        <v/>
      </c>
      <c r="AH5223" s="49" t="str">
        <f t="shared" si="81"/>
        <v/>
      </c>
    </row>
    <row r="5224" spans="8:34" ht="12.75">
      <c r="H5224" s="43"/>
      <c r="AG5224" s="49" t="str">
        <f ca="1">IFERROR(__xludf.DUMMYFUNCTION("IFNA(vlookup(H5224,IMPORTRANGE(""1vUGwO1n0QQGx9kKbO0_M5gmuhXZ6-LaxQxgrmJnzgP0"",""'TP# look up'!A:C""),3,0),"""")"),"")</f>
        <v/>
      </c>
      <c r="AH5224" s="49" t="str">
        <f t="shared" si="81"/>
        <v/>
      </c>
    </row>
    <row r="5225" spans="8:34" ht="12.75">
      <c r="H5225" s="43"/>
      <c r="AG5225" s="49" t="str">
        <f ca="1">IFERROR(__xludf.DUMMYFUNCTION("IFNA(vlookup(H5225,IMPORTRANGE(""1vUGwO1n0QQGx9kKbO0_M5gmuhXZ6-LaxQxgrmJnzgP0"",""'TP# look up'!A:C""),3,0),"""")"),"")</f>
        <v/>
      </c>
      <c r="AH5225" s="49" t="str">
        <f t="shared" si="81"/>
        <v/>
      </c>
    </row>
    <row r="5226" spans="8:34" ht="12.75">
      <c r="H5226" s="43"/>
      <c r="AG5226" s="49" t="str">
        <f ca="1">IFERROR(__xludf.DUMMYFUNCTION("IFNA(vlookup(H5226,IMPORTRANGE(""1vUGwO1n0QQGx9kKbO0_M5gmuhXZ6-LaxQxgrmJnzgP0"",""'TP# look up'!A:C""),3,0),"""")"),"")</f>
        <v/>
      </c>
      <c r="AH5226" s="49" t="str">
        <f t="shared" si="81"/>
        <v/>
      </c>
    </row>
    <row r="5227" spans="8:34" ht="12.75">
      <c r="H5227" s="43"/>
      <c r="AG5227" s="49" t="str">
        <f ca="1">IFERROR(__xludf.DUMMYFUNCTION("IFNA(vlookup(H5227,IMPORTRANGE(""1vUGwO1n0QQGx9kKbO0_M5gmuhXZ6-LaxQxgrmJnzgP0"",""'TP# look up'!A:C""),3,0),"""")"),"")</f>
        <v/>
      </c>
      <c r="AH5227" s="49" t="str">
        <f t="shared" si="81"/>
        <v/>
      </c>
    </row>
    <row r="5228" spans="8:34" ht="12.75">
      <c r="H5228" s="43"/>
      <c r="AG5228" s="49" t="str">
        <f ca="1">IFERROR(__xludf.DUMMYFUNCTION("IFNA(vlookup(H5228,IMPORTRANGE(""1vUGwO1n0QQGx9kKbO0_M5gmuhXZ6-LaxQxgrmJnzgP0"",""'TP# look up'!A:C""),3,0),"""")"),"")</f>
        <v/>
      </c>
      <c r="AH5228" s="49" t="str">
        <f t="shared" si="81"/>
        <v/>
      </c>
    </row>
    <row r="5229" spans="8:34" ht="12.75">
      <c r="H5229" s="43"/>
      <c r="AG5229" s="49" t="str">
        <f ca="1">IFERROR(__xludf.DUMMYFUNCTION("IFNA(vlookup(H5229,IMPORTRANGE(""1vUGwO1n0QQGx9kKbO0_M5gmuhXZ6-LaxQxgrmJnzgP0"",""'TP# look up'!A:C""),3,0),"""")"),"")</f>
        <v/>
      </c>
      <c r="AH5229" s="49" t="str">
        <f t="shared" si="81"/>
        <v/>
      </c>
    </row>
    <row r="5230" spans="8:34" ht="12.75">
      <c r="H5230" s="43"/>
      <c r="AG5230" s="49" t="str">
        <f ca="1">IFERROR(__xludf.DUMMYFUNCTION("IFNA(vlookup(H5230,IMPORTRANGE(""1vUGwO1n0QQGx9kKbO0_M5gmuhXZ6-LaxQxgrmJnzgP0"",""'TP# look up'!A:C""),3,0),"""")"),"")</f>
        <v/>
      </c>
      <c r="AH5230" s="49" t="str">
        <f t="shared" si="81"/>
        <v/>
      </c>
    </row>
    <row r="5231" spans="8:34" ht="12.75">
      <c r="H5231" s="43"/>
      <c r="AG5231" s="49" t="str">
        <f ca="1">IFERROR(__xludf.DUMMYFUNCTION("IFNA(vlookup(H5231,IMPORTRANGE(""1vUGwO1n0QQGx9kKbO0_M5gmuhXZ6-LaxQxgrmJnzgP0"",""'TP# look up'!A:C""),3,0),"""")"),"")</f>
        <v/>
      </c>
      <c r="AH5231" s="49" t="str">
        <f t="shared" si="81"/>
        <v/>
      </c>
    </row>
    <row r="5232" spans="8:34" ht="12.75">
      <c r="H5232" s="43"/>
      <c r="AG5232" s="49" t="str">
        <f ca="1">IFERROR(__xludf.DUMMYFUNCTION("IFNA(vlookup(H5232,IMPORTRANGE(""1vUGwO1n0QQGx9kKbO0_M5gmuhXZ6-LaxQxgrmJnzgP0"",""'TP# look up'!A:C""),3,0),"""")"),"")</f>
        <v/>
      </c>
      <c r="AH5232" s="49" t="str">
        <f t="shared" si="81"/>
        <v/>
      </c>
    </row>
    <row r="5233" spans="8:34" ht="12.75">
      <c r="H5233" s="43"/>
      <c r="AG5233" s="49" t="str">
        <f ca="1">IFERROR(__xludf.DUMMYFUNCTION("IFNA(vlookup(H5233,IMPORTRANGE(""1vUGwO1n0QQGx9kKbO0_M5gmuhXZ6-LaxQxgrmJnzgP0"",""'TP# look up'!A:C""),3,0),"""")"),"")</f>
        <v/>
      </c>
      <c r="AH5233" s="49" t="str">
        <f t="shared" si="81"/>
        <v/>
      </c>
    </row>
    <row r="5234" spans="8:34" ht="12.75">
      <c r="H5234" s="43"/>
      <c r="AG5234" s="49" t="str">
        <f ca="1">IFERROR(__xludf.DUMMYFUNCTION("IFNA(vlookup(H5234,IMPORTRANGE(""1vUGwO1n0QQGx9kKbO0_M5gmuhXZ6-LaxQxgrmJnzgP0"",""'TP# look up'!A:C""),3,0),"""")"),"")</f>
        <v/>
      </c>
      <c r="AH5234" s="49" t="str">
        <f t="shared" si="81"/>
        <v/>
      </c>
    </row>
    <row r="5235" spans="8:34" ht="12.75">
      <c r="H5235" s="43"/>
      <c r="AG5235" s="49" t="str">
        <f ca="1">IFERROR(__xludf.DUMMYFUNCTION("IFNA(vlookup(H5235,IMPORTRANGE(""1vUGwO1n0QQGx9kKbO0_M5gmuhXZ6-LaxQxgrmJnzgP0"",""'TP# look up'!A:C""),3,0),"""")"),"")</f>
        <v/>
      </c>
      <c r="AH5235" s="49" t="str">
        <f t="shared" si="81"/>
        <v/>
      </c>
    </row>
    <row r="5236" spans="8:34" ht="12.75">
      <c r="H5236" s="43"/>
      <c r="AG5236" s="49" t="str">
        <f ca="1">IFERROR(__xludf.DUMMYFUNCTION("IFNA(vlookup(H5236,IMPORTRANGE(""1vUGwO1n0QQGx9kKbO0_M5gmuhXZ6-LaxQxgrmJnzgP0"",""'TP# look up'!A:C""),3,0),"""")"),"")</f>
        <v/>
      </c>
      <c r="AH5236" s="49" t="str">
        <f t="shared" si="81"/>
        <v/>
      </c>
    </row>
    <row r="5237" spans="8:34" ht="12.75">
      <c r="H5237" s="43"/>
      <c r="AG5237" s="49" t="str">
        <f ca="1">IFERROR(__xludf.DUMMYFUNCTION("IFNA(vlookup(H5237,IMPORTRANGE(""1vUGwO1n0QQGx9kKbO0_M5gmuhXZ6-LaxQxgrmJnzgP0"",""'TP# look up'!A:C""),3,0),"""")"),"")</f>
        <v/>
      </c>
      <c r="AH5237" s="49" t="str">
        <f t="shared" si="81"/>
        <v/>
      </c>
    </row>
    <row r="5238" spans="8:34" ht="12.75">
      <c r="H5238" s="43"/>
      <c r="AG5238" s="49" t="str">
        <f ca="1">IFERROR(__xludf.DUMMYFUNCTION("IFNA(vlookup(H5238,IMPORTRANGE(""1vUGwO1n0QQGx9kKbO0_M5gmuhXZ6-LaxQxgrmJnzgP0"",""'TP# look up'!A:C""),3,0),"""")"),"")</f>
        <v/>
      </c>
      <c r="AH5238" s="49" t="str">
        <f t="shared" si="81"/>
        <v/>
      </c>
    </row>
    <row r="5239" spans="8:34" ht="12.75">
      <c r="H5239" s="43"/>
      <c r="AG5239" s="49" t="str">
        <f ca="1">IFERROR(__xludf.DUMMYFUNCTION("IFNA(vlookup(H5239,IMPORTRANGE(""1vUGwO1n0QQGx9kKbO0_M5gmuhXZ6-LaxQxgrmJnzgP0"",""'TP# look up'!A:C""),3,0),"""")"),"")</f>
        <v/>
      </c>
      <c r="AH5239" s="49" t="str">
        <f t="shared" si="81"/>
        <v/>
      </c>
    </row>
    <row r="5240" spans="8:34" ht="12.75">
      <c r="H5240" s="43"/>
      <c r="AG5240" s="49" t="str">
        <f ca="1">IFERROR(__xludf.DUMMYFUNCTION("IFNA(vlookup(H5240,IMPORTRANGE(""1vUGwO1n0QQGx9kKbO0_M5gmuhXZ6-LaxQxgrmJnzgP0"",""'TP# look up'!A:C""),3,0),"""")"),"")</f>
        <v/>
      </c>
      <c r="AH5240" s="49" t="str">
        <f t="shared" si="81"/>
        <v/>
      </c>
    </row>
    <row r="5241" spans="8:34" ht="12.75">
      <c r="H5241" s="43"/>
      <c r="AG5241" s="49" t="str">
        <f ca="1">IFERROR(__xludf.DUMMYFUNCTION("IFNA(vlookup(H5241,IMPORTRANGE(""1vUGwO1n0QQGx9kKbO0_M5gmuhXZ6-LaxQxgrmJnzgP0"",""'TP# look up'!A:C""),3,0),"""")"),"")</f>
        <v/>
      </c>
      <c r="AH5241" s="49" t="str">
        <f t="shared" si="81"/>
        <v/>
      </c>
    </row>
    <row r="5242" spans="8:34" ht="12.75">
      <c r="H5242" s="43"/>
      <c r="AG5242" s="49" t="str">
        <f ca="1">IFERROR(__xludf.DUMMYFUNCTION("IFNA(vlookup(H5242,IMPORTRANGE(""1vUGwO1n0QQGx9kKbO0_M5gmuhXZ6-LaxQxgrmJnzgP0"",""'TP# look up'!A:C""),3,0),"""")"),"")</f>
        <v/>
      </c>
      <c r="AH5242" s="49" t="str">
        <f t="shared" si="81"/>
        <v/>
      </c>
    </row>
    <row r="5243" spans="8:34" ht="12.75">
      <c r="H5243" s="43"/>
      <c r="AG5243" s="49" t="str">
        <f ca="1">IFERROR(__xludf.DUMMYFUNCTION("IFNA(vlookup(H5243,IMPORTRANGE(""1vUGwO1n0QQGx9kKbO0_M5gmuhXZ6-LaxQxgrmJnzgP0"",""'TP# look up'!A:C""),3,0),"""")"),"")</f>
        <v/>
      </c>
      <c r="AH5243" s="49" t="str">
        <f t="shared" si="81"/>
        <v/>
      </c>
    </row>
    <row r="5244" spans="8:34" ht="12.75">
      <c r="H5244" s="43"/>
      <c r="AG5244" s="49" t="str">
        <f ca="1">IFERROR(__xludf.DUMMYFUNCTION("IFNA(vlookup(H5244,IMPORTRANGE(""1vUGwO1n0QQGx9kKbO0_M5gmuhXZ6-LaxQxgrmJnzgP0"",""'TP# look up'!A:C""),3,0),"""")"),"")</f>
        <v/>
      </c>
      <c r="AH5244" s="49" t="str">
        <f t="shared" si="81"/>
        <v/>
      </c>
    </row>
    <row r="5245" spans="8:34" ht="12.75">
      <c r="H5245" s="43"/>
      <c r="AG5245" s="49" t="str">
        <f ca="1">IFERROR(__xludf.DUMMYFUNCTION("IFNA(vlookup(H5245,IMPORTRANGE(""1vUGwO1n0QQGx9kKbO0_M5gmuhXZ6-LaxQxgrmJnzgP0"",""'TP# look up'!A:C""),3,0),"""")"),"")</f>
        <v/>
      </c>
      <c r="AH5245" s="49" t="str">
        <f t="shared" si="81"/>
        <v/>
      </c>
    </row>
    <row r="5246" spans="8:34" ht="12.75">
      <c r="H5246" s="43"/>
      <c r="AG5246" s="49" t="str">
        <f ca="1">IFERROR(__xludf.DUMMYFUNCTION("IFNA(vlookup(H5246,IMPORTRANGE(""1vUGwO1n0QQGx9kKbO0_M5gmuhXZ6-LaxQxgrmJnzgP0"",""'TP# look up'!A:C""),3,0),"""")"),"")</f>
        <v/>
      </c>
      <c r="AH5246" s="49" t="str">
        <f t="shared" si="81"/>
        <v/>
      </c>
    </row>
    <row r="5247" spans="8:34" ht="12.75">
      <c r="H5247" s="43"/>
      <c r="AG5247" s="49" t="str">
        <f ca="1">IFERROR(__xludf.DUMMYFUNCTION("IFNA(vlookup(H5247,IMPORTRANGE(""1vUGwO1n0QQGx9kKbO0_M5gmuhXZ6-LaxQxgrmJnzgP0"",""'TP# look up'!A:C""),3,0),"""")"),"")</f>
        <v/>
      </c>
      <c r="AH5247" s="49" t="str">
        <f t="shared" si="81"/>
        <v/>
      </c>
    </row>
    <row r="5248" spans="8:34" ht="12.75">
      <c r="H5248" s="43"/>
      <c r="AG5248" s="49" t="str">
        <f ca="1">IFERROR(__xludf.DUMMYFUNCTION("IFNA(vlookup(H5248,IMPORTRANGE(""1vUGwO1n0QQGx9kKbO0_M5gmuhXZ6-LaxQxgrmJnzgP0"",""'TP# look up'!A:C""),3,0),"""")"),"")</f>
        <v/>
      </c>
      <c r="AH5248" s="49" t="str">
        <f t="shared" si="81"/>
        <v/>
      </c>
    </row>
    <row r="5249" spans="8:34" ht="12.75">
      <c r="H5249" s="43"/>
      <c r="AG5249" s="49" t="str">
        <f ca="1">IFERROR(__xludf.DUMMYFUNCTION("IFNA(vlookup(H5249,IMPORTRANGE(""1vUGwO1n0QQGx9kKbO0_M5gmuhXZ6-LaxQxgrmJnzgP0"",""'TP# look up'!A:C""),3,0),"""")"),"")</f>
        <v/>
      </c>
      <c r="AH5249" s="49" t="str">
        <f t="shared" si="81"/>
        <v/>
      </c>
    </row>
    <row r="5250" spans="8:34" ht="12.75">
      <c r="H5250" s="43"/>
      <c r="AG5250" s="49" t="str">
        <f ca="1">IFERROR(__xludf.DUMMYFUNCTION("IFNA(vlookup(H5250,IMPORTRANGE(""1vUGwO1n0QQGx9kKbO0_M5gmuhXZ6-LaxQxgrmJnzgP0"",""'TP# look up'!A:C""),3,0),"""")"),"")</f>
        <v/>
      </c>
      <c r="AH5250" s="49" t="str">
        <f t="shared" ref="AH5250:AH5313" si="82">LEFT(J5250,2)</f>
        <v/>
      </c>
    </row>
    <row r="5251" spans="8:34" ht="12.75">
      <c r="H5251" s="43"/>
      <c r="AG5251" s="49" t="str">
        <f ca="1">IFERROR(__xludf.DUMMYFUNCTION("IFNA(vlookup(H5251,IMPORTRANGE(""1vUGwO1n0QQGx9kKbO0_M5gmuhXZ6-LaxQxgrmJnzgP0"",""'TP# look up'!A:C""),3,0),"""")"),"")</f>
        <v/>
      </c>
      <c r="AH5251" s="49" t="str">
        <f t="shared" si="82"/>
        <v/>
      </c>
    </row>
    <row r="5252" spans="8:34" ht="12.75">
      <c r="H5252" s="43"/>
      <c r="AG5252" s="49" t="str">
        <f ca="1">IFERROR(__xludf.DUMMYFUNCTION("IFNA(vlookup(H5252,IMPORTRANGE(""1vUGwO1n0QQGx9kKbO0_M5gmuhXZ6-LaxQxgrmJnzgP0"",""'TP# look up'!A:C""),3,0),"""")"),"")</f>
        <v/>
      </c>
      <c r="AH5252" s="49" t="str">
        <f t="shared" si="82"/>
        <v/>
      </c>
    </row>
    <row r="5253" spans="8:34" ht="12.75">
      <c r="H5253" s="43"/>
      <c r="AG5253" s="49" t="str">
        <f ca="1">IFERROR(__xludf.DUMMYFUNCTION("IFNA(vlookup(H5253,IMPORTRANGE(""1vUGwO1n0QQGx9kKbO0_M5gmuhXZ6-LaxQxgrmJnzgP0"",""'TP# look up'!A:C""),3,0),"""")"),"")</f>
        <v/>
      </c>
      <c r="AH5253" s="49" t="str">
        <f t="shared" si="82"/>
        <v/>
      </c>
    </row>
    <row r="5254" spans="8:34" ht="12.75">
      <c r="H5254" s="43"/>
      <c r="AG5254" s="49" t="str">
        <f ca="1">IFERROR(__xludf.DUMMYFUNCTION("IFNA(vlookup(H5254,IMPORTRANGE(""1vUGwO1n0QQGx9kKbO0_M5gmuhXZ6-LaxQxgrmJnzgP0"",""'TP# look up'!A:C""),3,0),"""")"),"")</f>
        <v/>
      </c>
      <c r="AH5254" s="49" t="str">
        <f t="shared" si="82"/>
        <v/>
      </c>
    </row>
    <row r="5255" spans="8:34" ht="12.75">
      <c r="H5255" s="43"/>
      <c r="AG5255" s="49" t="str">
        <f ca="1">IFERROR(__xludf.DUMMYFUNCTION("IFNA(vlookup(H5255,IMPORTRANGE(""1vUGwO1n0QQGx9kKbO0_M5gmuhXZ6-LaxQxgrmJnzgP0"",""'TP# look up'!A:C""),3,0),"""")"),"")</f>
        <v/>
      </c>
      <c r="AH5255" s="49" t="str">
        <f t="shared" si="82"/>
        <v/>
      </c>
    </row>
    <row r="5256" spans="8:34" ht="12.75">
      <c r="H5256" s="43"/>
      <c r="AG5256" s="49" t="str">
        <f ca="1">IFERROR(__xludf.DUMMYFUNCTION("IFNA(vlookup(H5256,IMPORTRANGE(""1vUGwO1n0QQGx9kKbO0_M5gmuhXZ6-LaxQxgrmJnzgP0"",""'TP# look up'!A:C""),3,0),"""")"),"")</f>
        <v/>
      </c>
      <c r="AH5256" s="49" t="str">
        <f t="shared" si="82"/>
        <v/>
      </c>
    </row>
    <row r="5257" spans="8:34" ht="12.75">
      <c r="H5257" s="43"/>
      <c r="AG5257" s="49" t="str">
        <f ca="1">IFERROR(__xludf.DUMMYFUNCTION("IFNA(vlookup(H5257,IMPORTRANGE(""1vUGwO1n0QQGx9kKbO0_M5gmuhXZ6-LaxQxgrmJnzgP0"",""'TP# look up'!A:C""),3,0),"""")"),"")</f>
        <v/>
      </c>
      <c r="AH5257" s="49" t="str">
        <f t="shared" si="82"/>
        <v/>
      </c>
    </row>
    <row r="5258" spans="8:34" ht="12.75">
      <c r="H5258" s="43"/>
      <c r="AG5258" s="49" t="str">
        <f ca="1">IFERROR(__xludf.DUMMYFUNCTION("IFNA(vlookup(H5258,IMPORTRANGE(""1vUGwO1n0QQGx9kKbO0_M5gmuhXZ6-LaxQxgrmJnzgP0"",""'TP# look up'!A:C""),3,0),"""")"),"")</f>
        <v/>
      </c>
      <c r="AH5258" s="49" t="str">
        <f t="shared" si="82"/>
        <v/>
      </c>
    </row>
    <row r="5259" spans="8:34" ht="12.75">
      <c r="H5259" s="43"/>
      <c r="AG5259" s="49" t="str">
        <f ca="1">IFERROR(__xludf.DUMMYFUNCTION("IFNA(vlookup(H5259,IMPORTRANGE(""1vUGwO1n0QQGx9kKbO0_M5gmuhXZ6-LaxQxgrmJnzgP0"",""'TP# look up'!A:C""),3,0),"""")"),"")</f>
        <v/>
      </c>
      <c r="AH5259" s="49" t="str">
        <f t="shared" si="82"/>
        <v/>
      </c>
    </row>
    <row r="5260" spans="8:34" ht="12.75">
      <c r="H5260" s="43"/>
      <c r="AG5260" s="49" t="str">
        <f ca="1">IFERROR(__xludf.DUMMYFUNCTION("IFNA(vlookup(H5260,IMPORTRANGE(""1vUGwO1n0QQGx9kKbO0_M5gmuhXZ6-LaxQxgrmJnzgP0"",""'TP# look up'!A:C""),3,0),"""")"),"")</f>
        <v/>
      </c>
      <c r="AH5260" s="49" t="str">
        <f t="shared" si="82"/>
        <v/>
      </c>
    </row>
    <row r="5261" spans="8:34" ht="12.75">
      <c r="H5261" s="43"/>
      <c r="AG5261" s="49" t="str">
        <f ca="1">IFERROR(__xludf.DUMMYFUNCTION("IFNA(vlookup(H5261,IMPORTRANGE(""1vUGwO1n0QQGx9kKbO0_M5gmuhXZ6-LaxQxgrmJnzgP0"",""'TP# look up'!A:C""),3,0),"""")"),"")</f>
        <v/>
      </c>
      <c r="AH5261" s="49" t="str">
        <f t="shared" si="82"/>
        <v/>
      </c>
    </row>
    <row r="5262" spans="8:34" ht="12.75">
      <c r="H5262" s="43"/>
      <c r="AG5262" s="49" t="str">
        <f ca="1">IFERROR(__xludf.DUMMYFUNCTION("IFNA(vlookup(H5262,IMPORTRANGE(""1vUGwO1n0QQGx9kKbO0_M5gmuhXZ6-LaxQxgrmJnzgP0"",""'TP# look up'!A:C""),3,0),"""")"),"")</f>
        <v/>
      </c>
      <c r="AH5262" s="49" t="str">
        <f t="shared" si="82"/>
        <v/>
      </c>
    </row>
    <row r="5263" spans="8:34" ht="12.75">
      <c r="H5263" s="43"/>
      <c r="AG5263" s="49" t="str">
        <f ca="1">IFERROR(__xludf.DUMMYFUNCTION("IFNA(vlookup(H5263,IMPORTRANGE(""1vUGwO1n0QQGx9kKbO0_M5gmuhXZ6-LaxQxgrmJnzgP0"",""'TP# look up'!A:C""),3,0),"""")"),"")</f>
        <v/>
      </c>
      <c r="AH5263" s="49" t="str">
        <f t="shared" si="82"/>
        <v/>
      </c>
    </row>
    <row r="5264" spans="8:34" ht="12.75">
      <c r="H5264" s="43"/>
      <c r="AG5264" s="49" t="str">
        <f ca="1">IFERROR(__xludf.DUMMYFUNCTION("IFNA(vlookup(H5264,IMPORTRANGE(""1vUGwO1n0QQGx9kKbO0_M5gmuhXZ6-LaxQxgrmJnzgP0"",""'TP# look up'!A:C""),3,0),"""")"),"")</f>
        <v/>
      </c>
      <c r="AH5264" s="49" t="str">
        <f t="shared" si="82"/>
        <v/>
      </c>
    </row>
    <row r="5265" spans="8:34" ht="12.75">
      <c r="H5265" s="43"/>
      <c r="AG5265" s="49" t="str">
        <f ca="1">IFERROR(__xludf.DUMMYFUNCTION("IFNA(vlookup(H5265,IMPORTRANGE(""1vUGwO1n0QQGx9kKbO0_M5gmuhXZ6-LaxQxgrmJnzgP0"",""'TP# look up'!A:C""),3,0),"""")"),"")</f>
        <v/>
      </c>
      <c r="AH5265" s="49" t="str">
        <f t="shared" si="82"/>
        <v/>
      </c>
    </row>
    <row r="5266" spans="8:34" ht="12.75">
      <c r="H5266" s="43"/>
      <c r="AG5266" s="49" t="str">
        <f ca="1">IFERROR(__xludf.DUMMYFUNCTION("IFNA(vlookup(H5266,IMPORTRANGE(""1vUGwO1n0QQGx9kKbO0_M5gmuhXZ6-LaxQxgrmJnzgP0"",""'TP# look up'!A:C""),3,0),"""")"),"")</f>
        <v/>
      </c>
      <c r="AH5266" s="49" t="str">
        <f t="shared" si="82"/>
        <v/>
      </c>
    </row>
    <row r="5267" spans="8:34" ht="12.75">
      <c r="H5267" s="43"/>
      <c r="AG5267" s="49" t="str">
        <f ca="1">IFERROR(__xludf.DUMMYFUNCTION("IFNA(vlookup(H5267,IMPORTRANGE(""1vUGwO1n0QQGx9kKbO0_M5gmuhXZ6-LaxQxgrmJnzgP0"",""'TP# look up'!A:C""),3,0),"""")"),"")</f>
        <v/>
      </c>
      <c r="AH5267" s="49" t="str">
        <f t="shared" si="82"/>
        <v/>
      </c>
    </row>
    <row r="5268" spans="8:34" ht="12.75">
      <c r="H5268" s="43"/>
      <c r="AG5268" s="49" t="str">
        <f ca="1">IFERROR(__xludf.DUMMYFUNCTION("IFNA(vlookup(H5268,IMPORTRANGE(""1vUGwO1n0QQGx9kKbO0_M5gmuhXZ6-LaxQxgrmJnzgP0"",""'TP# look up'!A:C""),3,0),"""")"),"")</f>
        <v/>
      </c>
      <c r="AH5268" s="49" t="str">
        <f t="shared" si="82"/>
        <v/>
      </c>
    </row>
    <row r="5269" spans="8:34" ht="12.75">
      <c r="H5269" s="43"/>
      <c r="AG5269" s="49" t="str">
        <f ca="1">IFERROR(__xludf.DUMMYFUNCTION("IFNA(vlookup(H5269,IMPORTRANGE(""1vUGwO1n0QQGx9kKbO0_M5gmuhXZ6-LaxQxgrmJnzgP0"",""'TP# look up'!A:C""),3,0),"""")"),"")</f>
        <v/>
      </c>
      <c r="AH5269" s="49" t="str">
        <f t="shared" si="82"/>
        <v/>
      </c>
    </row>
    <row r="5270" spans="8:34" ht="12.75">
      <c r="H5270" s="43"/>
      <c r="AG5270" s="49" t="str">
        <f ca="1">IFERROR(__xludf.DUMMYFUNCTION("IFNA(vlookup(H5270,IMPORTRANGE(""1vUGwO1n0QQGx9kKbO0_M5gmuhXZ6-LaxQxgrmJnzgP0"",""'TP# look up'!A:C""),3,0),"""")"),"")</f>
        <v/>
      </c>
      <c r="AH5270" s="49" t="str">
        <f t="shared" si="82"/>
        <v/>
      </c>
    </row>
    <row r="5271" spans="8:34" ht="12.75">
      <c r="H5271" s="43"/>
      <c r="AG5271" s="49" t="str">
        <f ca="1">IFERROR(__xludf.DUMMYFUNCTION("IFNA(vlookup(H5271,IMPORTRANGE(""1vUGwO1n0QQGx9kKbO0_M5gmuhXZ6-LaxQxgrmJnzgP0"",""'TP# look up'!A:C""),3,0),"""")"),"")</f>
        <v/>
      </c>
      <c r="AH5271" s="49" t="str">
        <f t="shared" si="82"/>
        <v/>
      </c>
    </row>
    <row r="5272" spans="8:34" ht="12.75">
      <c r="H5272" s="43"/>
      <c r="AG5272" s="49" t="str">
        <f ca="1">IFERROR(__xludf.DUMMYFUNCTION("IFNA(vlookup(H5272,IMPORTRANGE(""1vUGwO1n0QQGx9kKbO0_M5gmuhXZ6-LaxQxgrmJnzgP0"",""'TP# look up'!A:C""),3,0),"""")"),"")</f>
        <v/>
      </c>
      <c r="AH5272" s="49" t="str">
        <f t="shared" si="82"/>
        <v/>
      </c>
    </row>
    <row r="5273" spans="8:34" ht="12.75">
      <c r="H5273" s="43"/>
      <c r="AG5273" s="49" t="str">
        <f ca="1">IFERROR(__xludf.DUMMYFUNCTION("IFNA(vlookup(H5273,IMPORTRANGE(""1vUGwO1n0QQGx9kKbO0_M5gmuhXZ6-LaxQxgrmJnzgP0"",""'TP# look up'!A:C""),3,0),"""")"),"")</f>
        <v/>
      </c>
      <c r="AH5273" s="49" t="str">
        <f t="shared" si="82"/>
        <v/>
      </c>
    </row>
    <row r="5274" spans="8:34" ht="12.75">
      <c r="H5274" s="43"/>
      <c r="AG5274" s="49" t="str">
        <f ca="1">IFERROR(__xludf.DUMMYFUNCTION("IFNA(vlookup(H5274,IMPORTRANGE(""1vUGwO1n0QQGx9kKbO0_M5gmuhXZ6-LaxQxgrmJnzgP0"",""'TP# look up'!A:C""),3,0),"""")"),"")</f>
        <v/>
      </c>
      <c r="AH5274" s="49" t="str">
        <f t="shared" si="82"/>
        <v/>
      </c>
    </row>
    <row r="5275" spans="8:34" ht="12.75">
      <c r="H5275" s="43"/>
      <c r="AG5275" s="49" t="str">
        <f ca="1">IFERROR(__xludf.DUMMYFUNCTION("IFNA(vlookup(H5275,IMPORTRANGE(""1vUGwO1n0QQGx9kKbO0_M5gmuhXZ6-LaxQxgrmJnzgP0"",""'TP# look up'!A:C""),3,0),"""")"),"")</f>
        <v/>
      </c>
      <c r="AH5275" s="49" t="str">
        <f t="shared" si="82"/>
        <v/>
      </c>
    </row>
    <row r="5276" spans="8:34" ht="12.75">
      <c r="H5276" s="43"/>
      <c r="AG5276" s="49" t="str">
        <f ca="1">IFERROR(__xludf.DUMMYFUNCTION("IFNA(vlookup(H5276,IMPORTRANGE(""1vUGwO1n0QQGx9kKbO0_M5gmuhXZ6-LaxQxgrmJnzgP0"",""'TP# look up'!A:C""),3,0),"""")"),"")</f>
        <v/>
      </c>
      <c r="AH5276" s="49" t="str">
        <f t="shared" si="82"/>
        <v/>
      </c>
    </row>
    <row r="5277" spans="8:34" ht="12.75">
      <c r="H5277" s="43"/>
      <c r="AG5277" s="49" t="str">
        <f ca="1">IFERROR(__xludf.DUMMYFUNCTION("IFNA(vlookup(H5277,IMPORTRANGE(""1vUGwO1n0QQGx9kKbO0_M5gmuhXZ6-LaxQxgrmJnzgP0"",""'TP# look up'!A:C""),3,0),"""")"),"")</f>
        <v/>
      </c>
      <c r="AH5277" s="49" t="str">
        <f t="shared" si="82"/>
        <v/>
      </c>
    </row>
    <row r="5278" spans="8:34" ht="12.75">
      <c r="H5278" s="43"/>
      <c r="AG5278" s="49" t="str">
        <f ca="1">IFERROR(__xludf.DUMMYFUNCTION("IFNA(vlookup(H5278,IMPORTRANGE(""1vUGwO1n0QQGx9kKbO0_M5gmuhXZ6-LaxQxgrmJnzgP0"",""'TP# look up'!A:C""),3,0),"""")"),"")</f>
        <v/>
      </c>
      <c r="AH5278" s="49" t="str">
        <f t="shared" si="82"/>
        <v/>
      </c>
    </row>
    <row r="5279" spans="8:34" ht="12.75">
      <c r="H5279" s="43"/>
      <c r="AG5279" s="49" t="str">
        <f ca="1">IFERROR(__xludf.DUMMYFUNCTION("IFNA(vlookup(H5279,IMPORTRANGE(""1vUGwO1n0QQGx9kKbO0_M5gmuhXZ6-LaxQxgrmJnzgP0"",""'TP# look up'!A:C""),3,0),"""")"),"")</f>
        <v/>
      </c>
      <c r="AH5279" s="49" t="str">
        <f t="shared" si="82"/>
        <v/>
      </c>
    </row>
    <row r="5280" spans="8:34" ht="12.75">
      <c r="H5280" s="43"/>
      <c r="AG5280" s="49" t="str">
        <f ca="1">IFERROR(__xludf.DUMMYFUNCTION("IFNA(vlookup(H5280,IMPORTRANGE(""1vUGwO1n0QQGx9kKbO0_M5gmuhXZ6-LaxQxgrmJnzgP0"",""'TP# look up'!A:C""),3,0),"""")"),"")</f>
        <v/>
      </c>
      <c r="AH5280" s="49" t="str">
        <f t="shared" si="82"/>
        <v/>
      </c>
    </row>
    <row r="5281" spans="8:34" ht="12.75">
      <c r="H5281" s="43"/>
      <c r="AG5281" s="49" t="str">
        <f ca="1">IFERROR(__xludf.DUMMYFUNCTION("IFNA(vlookup(H5281,IMPORTRANGE(""1vUGwO1n0QQGx9kKbO0_M5gmuhXZ6-LaxQxgrmJnzgP0"",""'TP# look up'!A:C""),3,0),"""")"),"")</f>
        <v/>
      </c>
      <c r="AH5281" s="49" t="str">
        <f t="shared" si="82"/>
        <v/>
      </c>
    </row>
    <row r="5282" spans="8:34" ht="12.75">
      <c r="H5282" s="43"/>
      <c r="AG5282" s="49" t="str">
        <f ca="1">IFERROR(__xludf.DUMMYFUNCTION("IFNA(vlookup(H5282,IMPORTRANGE(""1vUGwO1n0QQGx9kKbO0_M5gmuhXZ6-LaxQxgrmJnzgP0"",""'TP# look up'!A:C""),3,0),"""")"),"")</f>
        <v/>
      </c>
      <c r="AH5282" s="49" t="str">
        <f t="shared" si="82"/>
        <v/>
      </c>
    </row>
    <row r="5283" spans="8:34" ht="12.75">
      <c r="H5283" s="43"/>
      <c r="AG5283" s="49" t="str">
        <f ca="1">IFERROR(__xludf.DUMMYFUNCTION("IFNA(vlookup(H5283,IMPORTRANGE(""1vUGwO1n0QQGx9kKbO0_M5gmuhXZ6-LaxQxgrmJnzgP0"",""'TP# look up'!A:C""),3,0),"""")"),"")</f>
        <v/>
      </c>
      <c r="AH5283" s="49" t="str">
        <f t="shared" si="82"/>
        <v/>
      </c>
    </row>
    <row r="5284" spans="8:34" ht="12.75">
      <c r="H5284" s="43"/>
      <c r="AG5284" s="49" t="str">
        <f ca="1">IFERROR(__xludf.DUMMYFUNCTION("IFNA(vlookup(H5284,IMPORTRANGE(""1vUGwO1n0QQGx9kKbO0_M5gmuhXZ6-LaxQxgrmJnzgP0"",""'TP# look up'!A:C""),3,0),"""")"),"")</f>
        <v/>
      </c>
      <c r="AH5284" s="49" t="str">
        <f t="shared" si="82"/>
        <v/>
      </c>
    </row>
    <row r="5285" spans="8:34" ht="12.75">
      <c r="H5285" s="43"/>
      <c r="AG5285" s="49" t="str">
        <f ca="1">IFERROR(__xludf.DUMMYFUNCTION("IFNA(vlookup(H5285,IMPORTRANGE(""1vUGwO1n0QQGx9kKbO0_M5gmuhXZ6-LaxQxgrmJnzgP0"",""'TP# look up'!A:C""),3,0),"""")"),"")</f>
        <v/>
      </c>
      <c r="AH5285" s="49" t="str">
        <f t="shared" si="82"/>
        <v/>
      </c>
    </row>
    <row r="5286" spans="8:34" ht="12.75">
      <c r="H5286" s="43"/>
      <c r="AG5286" s="49" t="str">
        <f ca="1">IFERROR(__xludf.DUMMYFUNCTION("IFNA(vlookup(H5286,IMPORTRANGE(""1vUGwO1n0QQGx9kKbO0_M5gmuhXZ6-LaxQxgrmJnzgP0"",""'TP# look up'!A:C""),3,0),"""")"),"")</f>
        <v/>
      </c>
      <c r="AH5286" s="49" t="str">
        <f t="shared" si="82"/>
        <v/>
      </c>
    </row>
    <row r="5287" spans="8:34" ht="12.75">
      <c r="H5287" s="43"/>
      <c r="AG5287" s="49" t="str">
        <f ca="1">IFERROR(__xludf.DUMMYFUNCTION("IFNA(vlookup(H5287,IMPORTRANGE(""1vUGwO1n0QQGx9kKbO0_M5gmuhXZ6-LaxQxgrmJnzgP0"",""'TP# look up'!A:C""),3,0),"""")"),"")</f>
        <v/>
      </c>
      <c r="AH5287" s="49" t="str">
        <f t="shared" si="82"/>
        <v/>
      </c>
    </row>
    <row r="5288" spans="8:34" ht="12.75">
      <c r="H5288" s="43"/>
      <c r="AG5288" s="49" t="str">
        <f ca="1">IFERROR(__xludf.DUMMYFUNCTION("IFNA(vlookup(H5288,IMPORTRANGE(""1vUGwO1n0QQGx9kKbO0_M5gmuhXZ6-LaxQxgrmJnzgP0"",""'TP# look up'!A:C""),3,0),"""")"),"")</f>
        <v/>
      </c>
      <c r="AH5288" s="49" t="str">
        <f t="shared" si="82"/>
        <v/>
      </c>
    </row>
    <row r="5289" spans="8:34" ht="12.75">
      <c r="H5289" s="43"/>
      <c r="AG5289" s="49" t="str">
        <f ca="1">IFERROR(__xludf.DUMMYFUNCTION("IFNA(vlookup(H5289,IMPORTRANGE(""1vUGwO1n0QQGx9kKbO0_M5gmuhXZ6-LaxQxgrmJnzgP0"",""'TP# look up'!A:C""),3,0),"""")"),"")</f>
        <v/>
      </c>
      <c r="AH5289" s="49" t="str">
        <f t="shared" si="82"/>
        <v/>
      </c>
    </row>
    <row r="5290" spans="8:34" ht="12.75">
      <c r="H5290" s="43"/>
      <c r="AG5290" s="49" t="str">
        <f ca="1">IFERROR(__xludf.DUMMYFUNCTION("IFNA(vlookup(H5290,IMPORTRANGE(""1vUGwO1n0QQGx9kKbO0_M5gmuhXZ6-LaxQxgrmJnzgP0"",""'TP# look up'!A:C""),3,0),"""")"),"")</f>
        <v/>
      </c>
      <c r="AH5290" s="49" t="str">
        <f t="shared" si="82"/>
        <v/>
      </c>
    </row>
    <row r="5291" spans="8:34" ht="12.75">
      <c r="H5291" s="43"/>
      <c r="AG5291" s="49" t="str">
        <f ca="1">IFERROR(__xludf.DUMMYFUNCTION("IFNA(vlookup(H5291,IMPORTRANGE(""1vUGwO1n0QQGx9kKbO0_M5gmuhXZ6-LaxQxgrmJnzgP0"",""'TP# look up'!A:C""),3,0),"""")"),"")</f>
        <v/>
      </c>
      <c r="AH5291" s="49" t="str">
        <f t="shared" si="82"/>
        <v/>
      </c>
    </row>
    <row r="5292" spans="8:34" ht="12.75">
      <c r="H5292" s="43"/>
      <c r="AG5292" s="49" t="str">
        <f ca="1">IFERROR(__xludf.DUMMYFUNCTION("IFNA(vlookup(H5292,IMPORTRANGE(""1vUGwO1n0QQGx9kKbO0_M5gmuhXZ6-LaxQxgrmJnzgP0"",""'TP# look up'!A:C""),3,0),"""")"),"")</f>
        <v/>
      </c>
      <c r="AH5292" s="49" t="str">
        <f t="shared" si="82"/>
        <v/>
      </c>
    </row>
    <row r="5293" spans="8:34" ht="12.75">
      <c r="H5293" s="43"/>
      <c r="AG5293" s="49" t="str">
        <f ca="1">IFERROR(__xludf.DUMMYFUNCTION("IFNA(vlookup(H5293,IMPORTRANGE(""1vUGwO1n0QQGx9kKbO0_M5gmuhXZ6-LaxQxgrmJnzgP0"",""'TP# look up'!A:C""),3,0),"""")"),"")</f>
        <v/>
      </c>
      <c r="AH5293" s="49" t="str">
        <f t="shared" si="82"/>
        <v/>
      </c>
    </row>
    <row r="5294" spans="8:34" ht="12.75">
      <c r="H5294" s="43"/>
      <c r="AG5294" s="49" t="str">
        <f ca="1">IFERROR(__xludf.DUMMYFUNCTION("IFNA(vlookup(H5294,IMPORTRANGE(""1vUGwO1n0QQGx9kKbO0_M5gmuhXZ6-LaxQxgrmJnzgP0"",""'TP# look up'!A:C""),3,0),"""")"),"")</f>
        <v/>
      </c>
      <c r="AH5294" s="49" t="str">
        <f t="shared" si="82"/>
        <v/>
      </c>
    </row>
    <row r="5295" spans="8:34" ht="12.75">
      <c r="H5295" s="43"/>
      <c r="AG5295" s="49" t="str">
        <f ca="1">IFERROR(__xludf.DUMMYFUNCTION("IFNA(vlookup(H5295,IMPORTRANGE(""1vUGwO1n0QQGx9kKbO0_M5gmuhXZ6-LaxQxgrmJnzgP0"",""'TP# look up'!A:C""),3,0),"""")"),"")</f>
        <v/>
      </c>
      <c r="AH5295" s="49" t="str">
        <f t="shared" si="82"/>
        <v/>
      </c>
    </row>
    <row r="5296" spans="8:34" ht="12.75">
      <c r="H5296" s="43"/>
      <c r="AG5296" s="49" t="str">
        <f ca="1">IFERROR(__xludf.DUMMYFUNCTION("IFNA(vlookup(H5296,IMPORTRANGE(""1vUGwO1n0QQGx9kKbO0_M5gmuhXZ6-LaxQxgrmJnzgP0"",""'TP# look up'!A:C""),3,0),"""")"),"")</f>
        <v/>
      </c>
      <c r="AH5296" s="49" t="str">
        <f t="shared" si="82"/>
        <v/>
      </c>
    </row>
    <row r="5297" spans="8:34" ht="12.75">
      <c r="H5297" s="43"/>
      <c r="AG5297" s="49" t="str">
        <f ca="1">IFERROR(__xludf.DUMMYFUNCTION("IFNA(vlookup(H5297,IMPORTRANGE(""1vUGwO1n0QQGx9kKbO0_M5gmuhXZ6-LaxQxgrmJnzgP0"",""'TP# look up'!A:C""),3,0),"""")"),"")</f>
        <v/>
      </c>
      <c r="AH5297" s="49" t="str">
        <f t="shared" si="82"/>
        <v/>
      </c>
    </row>
    <row r="5298" spans="8:34" ht="12.75">
      <c r="H5298" s="43"/>
      <c r="AG5298" s="49" t="str">
        <f ca="1">IFERROR(__xludf.DUMMYFUNCTION("IFNA(vlookup(H5298,IMPORTRANGE(""1vUGwO1n0QQGx9kKbO0_M5gmuhXZ6-LaxQxgrmJnzgP0"",""'TP# look up'!A:C""),3,0),"""")"),"")</f>
        <v/>
      </c>
      <c r="AH5298" s="49" t="str">
        <f t="shared" si="82"/>
        <v/>
      </c>
    </row>
    <row r="5299" spans="8:34" ht="12.75">
      <c r="H5299" s="43"/>
      <c r="AG5299" s="49" t="str">
        <f ca="1">IFERROR(__xludf.DUMMYFUNCTION("IFNA(vlookup(H5299,IMPORTRANGE(""1vUGwO1n0QQGx9kKbO0_M5gmuhXZ6-LaxQxgrmJnzgP0"",""'TP# look up'!A:C""),3,0),"""")"),"")</f>
        <v/>
      </c>
      <c r="AH5299" s="49" t="str">
        <f t="shared" si="82"/>
        <v/>
      </c>
    </row>
    <row r="5300" spans="8:34" ht="12.75">
      <c r="H5300" s="43"/>
      <c r="AG5300" s="49" t="str">
        <f ca="1">IFERROR(__xludf.DUMMYFUNCTION("IFNA(vlookup(H5300,IMPORTRANGE(""1vUGwO1n0QQGx9kKbO0_M5gmuhXZ6-LaxQxgrmJnzgP0"",""'TP# look up'!A:C""),3,0),"""")"),"")</f>
        <v/>
      </c>
      <c r="AH5300" s="49" t="str">
        <f t="shared" si="82"/>
        <v/>
      </c>
    </row>
    <row r="5301" spans="8:34" ht="12.75">
      <c r="H5301" s="43"/>
      <c r="AG5301" s="49" t="str">
        <f ca="1">IFERROR(__xludf.DUMMYFUNCTION("IFNA(vlookup(H5301,IMPORTRANGE(""1vUGwO1n0QQGx9kKbO0_M5gmuhXZ6-LaxQxgrmJnzgP0"",""'TP# look up'!A:C""),3,0),"""")"),"")</f>
        <v/>
      </c>
      <c r="AH5301" s="49" t="str">
        <f t="shared" si="82"/>
        <v/>
      </c>
    </row>
    <row r="5302" spans="8:34" ht="12.75">
      <c r="H5302" s="43"/>
      <c r="AG5302" s="49" t="str">
        <f ca="1">IFERROR(__xludf.DUMMYFUNCTION("IFNA(vlookup(H5302,IMPORTRANGE(""1vUGwO1n0QQGx9kKbO0_M5gmuhXZ6-LaxQxgrmJnzgP0"",""'TP# look up'!A:C""),3,0),"""")"),"")</f>
        <v/>
      </c>
      <c r="AH5302" s="49" t="str">
        <f t="shared" si="82"/>
        <v/>
      </c>
    </row>
    <row r="5303" spans="8:34" ht="12.75">
      <c r="H5303" s="43"/>
      <c r="AG5303" s="49" t="str">
        <f ca="1">IFERROR(__xludf.DUMMYFUNCTION("IFNA(vlookup(H5303,IMPORTRANGE(""1vUGwO1n0QQGx9kKbO0_M5gmuhXZ6-LaxQxgrmJnzgP0"",""'TP# look up'!A:C""),3,0),"""")"),"")</f>
        <v/>
      </c>
      <c r="AH5303" s="49" t="str">
        <f t="shared" si="82"/>
        <v/>
      </c>
    </row>
    <row r="5304" spans="8:34" ht="12.75">
      <c r="H5304" s="43"/>
      <c r="AG5304" s="49" t="str">
        <f ca="1">IFERROR(__xludf.DUMMYFUNCTION("IFNA(vlookup(H5304,IMPORTRANGE(""1vUGwO1n0QQGx9kKbO0_M5gmuhXZ6-LaxQxgrmJnzgP0"",""'TP# look up'!A:C""),3,0),"""")"),"")</f>
        <v/>
      </c>
      <c r="AH5304" s="49" t="str">
        <f t="shared" si="82"/>
        <v/>
      </c>
    </row>
    <row r="5305" spans="8:34" ht="12.75">
      <c r="H5305" s="43"/>
      <c r="AG5305" s="49" t="str">
        <f ca="1">IFERROR(__xludf.DUMMYFUNCTION("IFNA(vlookup(H5305,IMPORTRANGE(""1vUGwO1n0QQGx9kKbO0_M5gmuhXZ6-LaxQxgrmJnzgP0"",""'TP# look up'!A:C""),3,0),"""")"),"")</f>
        <v/>
      </c>
      <c r="AH5305" s="49" t="str">
        <f t="shared" si="82"/>
        <v/>
      </c>
    </row>
    <row r="5306" spans="8:34" ht="12.75">
      <c r="H5306" s="43"/>
      <c r="AG5306" s="49" t="str">
        <f ca="1">IFERROR(__xludf.DUMMYFUNCTION("IFNA(vlookup(H5306,IMPORTRANGE(""1vUGwO1n0QQGx9kKbO0_M5gmuhXZ6-LaxQxgrmJnzgP0"",""'TP# look up'!A:C""),3,0),"""")"),"")</f>
        <v/>
      </c>
      <c r="AH5306" s="49" t="str">
        <f t="shared" si="82"/>
        <v/>
      </c>
    </row>
    <row r="5307" spans="8:34" ht="12.75">
      <c r="H5307" s="43"/>
      <c r="AG5307" s="49" t="str">
        <f ca="1">IFERROR(__xludf.DUMMYFUNCTION("IFNA(vlookup(H5307,IMPORTRANGE(""1vUGwO1n0QQGx9kKbO0_M5gmuhXZ6-LaxQxgrmJnzgP0"",""'TP# look up'!A:C""),3,0),"""")"),"")</f>
        <v/>
      </c>
      <c r="AH5307" s="49" t="str">
        <f t="shared" si="82"/>
        <v/>
      </c>
    </row>
    <row r="5308" spans="8:34" ht="12.75">
      <c r="H5308" s="43"/>
      <c r="AG5308" s="49" t="str">
        <f ca="1">IFERROR(__xludf.DUMMYFUNCTION("IFNA(vlookup(H5308,IMPORTRANGE(""1vUGwO1n0QQGx9kKbO0_M5gmuhXZ6-LaxQxgrmJnzgP0"",""'TP# look up'!A:C""),3,0),"""")"),"")</f>
        <v/>
      </c>
      <c r="AH5308" s="49" t="str">
        <f t="shared" si="82"/>
        <v/>
      </c>
    </row>
    <row r="5309" spans="8:34" ht="12.75">
      <c r="H5309" s="43"/>
      <c r="AG5309" s="49" t="str">
        <f ca="1">IFERROR(__xludf.DUMMYFUNCTION("IFNA(vlookup(H5309,IMPORTRANGE(""1vUGwO1n0QQGx9kKbO0_M5gmuhXZ6-LaxQxgrmJnzgP0"",""'TP# look up'!A:C""),3,0),"""")"),"")</f>
        <v/>
      </c>
      <c r="AH5309" s="49" t="str">
        <f t="shared" si="82"/>
        <v/>
      </c>
    </row>
    <row r="5310" spans="8:34" ht="12.75">
      <c r="H5310" s="43"/>
      <c r="AG5310" s="49" t="str">
        <f ca="1">IFERROR(__xludf.DUMMYFUNCTION("IFNA(vlookup(H5310,IMPORTRANGE(""1vUGwO1n0QQGx9kKbO0_M5gmuhXZ6-LaxQxgrmJnzgP0"",""'TP# look up'!A:C""),3,0),"""")"),"")</f>
        <v/>
      </c>
      <c r="AH5310" s="49" t="str">
        <f t="shared" si="82"/>
        <v/>
      </c>
    </row>
    <row r="5311" spans="8:34" ht="12.75">
      <c r="H5311" s="43"/>
      <c r="AG5311" s="49" t="str">
        <f ca="1">IFERROR(__xludf.DUMMYFUNCTION("IFNA(vlookup(H5311,IMPORTRANGE(""1vUGwO1n0QQGx9kKbO0_M5gmuhXZ6-LaxQxgrmJnzgP0"",""'TP# look up'!A:C""),3,0),"""")"),"")</f>
        <v/>
      </c>
      <c r="AH5311" s="49" t="str">
        <f t="shared" si="82"/>
        <v/>
      </c>
    </row>
    <row r="5312" spans="8:34" ht="12.75">
      <c r="H5312" s="43"/>
      <c r="AG5312" s="49" t="str">
        <f ca="1">IFERROR(__xludf.DUMMYFUNCTION("IFNA(vlookup(H5312,IMPORTRANGE(""1vUGwO1n0QQGx9kKbO0_M5gmuhXZ6-LaxQxgrmJnzgP0"",""'TP# look up'!A:C""),3,0),"""")"),"")</f>
        <v/>
      </c>
      <c r="AH5312" s="49" t="str">
        <f t="shared" si="82"/>
        <v/>
      </c>
    </row>
    <row r="5313" spans="8:34" ht="12.75">
      <c r="H5313" s="43"/>
      <c r="AG5313" s="49" t="str">
        <f ca="1">IFERROR(__xludf.DUMMYFUNCTION("IFNA(vlookup(H5313,IMPORTRANGE(""1vUGwO1n0QQGx9kKbO0_M5gmuhXZ6-LaxQxgrmJnzgP0"",""'TP# look up'!A:C""),3,0),"""")"),"")</f>
        <v/>
      </c>
      <c r="AH5313" s="49" t="str">
        <f t="shared" si="82"/>
        <v/>
      </c>
    </row>
    <row r="5314" spans="8:34" ht="12.75">
      <c r="H5314" s="43"/>
      <c r="AG5314" s="49" t="str">
        <f ca="1">IFERROR(__xludf.DUMMYFUNCTION("IFNA(vlookup(H5314,IMPORTRANGE(""1vUGwO1n0QQGx9kKbO0_M5gmuhXZ6-LaxQxgrmJnzgP0"",""'TP# look up'!A:C""),3,0),"""")"),"")</f>
        <v/>
      </c>
      <c r="AH5314" s="49" t="str">
        <f t="shared" ref="AH5314:AH5377" si="83">LEFT(J5314,2)</f>
        <v/>
      </c>
    </row>
    <row r="5315" spans="8:34" ht="12.75">
      <c r="H5315" s="43"/>
      <c r="AG5315" s="49" t="str">
        <f ca="1">IFERROR(__xludf.DUMMYFUNCTION("IFNA(vlookup(H5315,IMPORTRANGE(""1vUGwO1n0QQGx9kKbO0_M5gmuhXZ6-LaxQxgrmJnzgP0"",""'TP# look up'!A:C""),3,0),"""")"),"")</f>
        <v/>
      </c>
      <c r="AH5315" s="49" t="str">
        <f t="shared" si="83"/>
        <v/>
      </c>
    </row>
    <row r="5316" spans="8:34" ht="12.75">
      <c r="H5316" s="43"/>
      <c r="AG5316" s="49" t="str">
        <f ca="1">IFERROR(__xludf.DUMMYFUNCTION("IFNA(vlookup(H5316,IMPORTRANGE(""1vUGwO1n0QQGx9kKbO0_M5gmuhXZ6-LaxQxgrmJnzgP0"",""'TP# look up'!A:C""),3,0),"""")"),"")</f>
        <v/>
      </c>
      <c r="AH5316" s="49" t="str">
        <f t="shared" si="83"/>
        <v/>
      </c>
    </row>
    <row r="5317" spans="8:34" ht="12.75">
      <c r="H5317" s="43"/>
      <c r="AG5317" s="49" t="str">
        <f ca="1">IFERROR(__xludf.DUMMYFUNCTION("IFNA(vlookup(H5317,IMPORTRANGE(""1vUGwO1n0QQGx9kKbO0_M5gmuhXZ6-LaxQxgrmJnzgP0"",""'TP# look up'!A:C""),3,0),"""")"),"")</f>
        <v/>
      </c>
      <c r="AH5317" s="49" t="str">
        <f t="shared" si="83"/>
        <v/>
      </c>
    </row>
    <row r="5318" spans="8:34" ht="12.75">
      <c r="H5318" s="43"/>
      <c r="AG5318" s="49" t="str">
        <f ca="1">IFERROR(__xludf.DUMMYFUNCTION("IFNA(vlookup(H5318,IMPORTRANGE(""1vUGwO1n0QQGx9kKbO0_M5gmuhXZ6-LaxQxgrmJnzgP0"",""'TP# look up'!A:C""),3,0),"""")"),"")</f>
        <v/>
      </c>
      <c r="AH5318" s="49" t="str">
        <f t="shared" si="83"/>
        <v/>
      </c>
    </row>
    <row r="5319" spans="8:34" ht="12.75">
      <c r="H5319" s="43"/>
      <c r="AG5319" s="49" t="str">
        <f ca="1">IFERROR(__xludf.DUMMYFUNCTION("IFNA(vlookup(H5319,IMPORTRANGE(""1vUGwO1n0QQGx9kKbO0_M5gmuhXZ6-LaxQxgrmJnzgP0"",""'TP# look up'!A:C""),3,0),"""")"),"")</f>
        <v/>
      </c>
      <c r="AH5319" s="49" t="str">
        <f t="shared" si="83"/>
        <v/>
      </c>
    </row>
    <row r="5320" spans="8:34" ht="12.75">
      <c r="H5320" s="43"/>
      <c r="AG5320" s="49" t="str">
        <f ca="1">IFERROR(__xludf.DUMMYFUNCTION("IFNA(vlookup(H5320,IMPORTRANGE(""1vUGwO1n0QQGx9kKbO0_M5gmuhXZ6-LaxQxgrmJnzgP0"",""'TP# look up'!A:C""),3,0),"""")"),"")</f>
        <v/>
      </c>
      <c r="AH5320" s="49" t="str">
        <f t="shared" si="83"/>
        <v/>
      </c>
    </row>
    <row r="5321" spans="8:34" ht="12.75">
      <c r="H5321" s="43"/>
      <c r="AG5321" s="49" t="str">
        <f ca="1">IFERROR(__xludf.DUMMYFUNCTION("IFNA(vlookup(H5321,IMPORTRANGE(""1vUGwO1n0QQGx9kKbO0_M5gmuhXZ6-LaxQxgrmJnzgP0"",""'TP# look up'!A:C""),3,0),"""")"),"")</f>
        <v/>
      </c>
      <c r="AH5321" s="49" t="str">
        <f t="shared" si="83"/>
        <v/>
      </c>
    </row>
    <row r="5322" spans="8:34" ht="12.75">
      <c r="H5322" s="43"/>
      <c r="AG5322" s="49" t="str">
        <f ca="1">IFERROR(__xludf.DUMMYFUNCTION("IFNA(vlookup(H5322,IMPORTRANGE(""1vUGwO1n0QQGx9kKbO0_M5gmuhXZ6-LaxQxgrmJnzgP0"",""'TP# look up'!A:C""),3,0),"""")"),"")</f>
        <v/>
      </c>
      <c r="AH5322" s="49" t="str">
        <f t="shared" si="83"/>
        <v/>
      </c>
    </row>
    <row r="5323" spans="8:34" ht="12.75">
      <c r="H5323" s="43"/>
      <c r="AG5323" s="49" t="str">
        <f ca="1">IFERROR(__xludf.DUMMYFUNCTION("IFNA(vlookup(H5323,IMPORTRANGE(""1vUGwO1n0QQGx9kKbO0_M5gmuhXZ6-LaxQxgrmJnzgP0"",""'TP# look up'!A:C""),3,0),"""")"),"")</f>
        <v/>
      </c>
      <c r="AH5323" s="49" t="str">
        <f t="shared" si="83"/>
        <v/>
      </c>
    </row>
    <row r="5324" spans="8:34" ht="12.75">
      <c r="H5324" s="43"/>
      <c r="AG5324" s="49" t="str">
        <f ca="1">IFERROR(__xludf.DUMMYFUNCTION("IFNA(vlookup(H5324,IMPORTRANGE(""1vUGwO1n0QQGx9kKbO0_M5gmuhXZ6-LaxQxgrmJnzgP0"",""'TP# look up'!A:C""),3,0),"""")"),"")</f>
        <v/>
      </c>
      <c r="AH5324" s="49" t="str">
        <f t="shared" si="83"/>
        <v/>
      </c>
    </row>
    <row r="5325" spans="8:34" ht="12.75">
      <c r="H5325" s="43"/>
      <c r="AG5325" s="49" t="str">
        <f ca="1">IFERROR(__xludf.DUMMYFUNCTION("IFNA(vlookup(H5325,IMPORTRANGE(""1vUGwO1n0QQGx9kKbO0_M5gmuhXZ6-LaxQxgrmJnzgP0"",""'TP# look up'!A:C""),3,0),"""")"),"")</f>
        <v/>
      </c>
      <c r="AH5325" s="49" t="str">
        <f t="shared" si="83"/>
        <v/>
      </c>
    </row>
    <row r="5326" spans="8:34" ht="12.75">
      <c r="H5326" s="43"/>
      <c r="AG5326" s="49" t="str">
        <f ca="1">IFERROR(__xludf.DUMMYFUNCTION("IFNA(vlookup(H5326,IMPORTRANGE(""1vUGwO1n0QQGx9kKbO0_M5gmuhXZ6-LaxQxgrmJnzgP0"",""'TP# look up'!A:C""),3,0),"""")"),"")</f>
        <v/>
      </c>
      <c r="AH5326" s="49" t="str">
        <f t="shared" si="83"/>
        <v/>
      </c>
    </row>
    <row r="5327" spans="8:34" ht="12.75">
      <c r="H5327" s="43"/>
      <c r="AG5327" s="49" t="str">
        <f ca="1">IFERROR(__xludf.DUMMYFUNCTION("IFNA(vlookup(H5327,IMPORTRANGE(""1vUGwO1n0QQGx9kKbO0_M5gmuhXZ6-LaxQxgrmJnzgP0"",""'TP# look up'!A:C""),3,0),"""")"),"")</f>
        <v/>
      </c>
      <c r="AH5327" s="49" t="str">
        <f t="shared" si="83"/>
        <v/>
      </c>
    </row>
    <row r="5328" spans="8:34" ht="12.75">
      <c r="H5328" s="43"/>
      <c r="AG5328" s="49" t="str">
        <f ca="1">IFERROR(__xludf.DUMMYFUNCTION("IFNA(vlookup(H5328,IMPORTRANGE(""1vUGwO1n0QQGx9kKbO0_M5gmuhXZ6-LaxQxgrmJnzgP0"",""'TP# look up'!A:C""),3,0),"""")"),"")</f>
        <v/>
      </c>
      <c r="AH5328" s="49" t="str">
        <f t="shared" si="83"/>
        <v/>
      </c>
    </row>
    <row r="5329" spans="8:34" ht="12.75">
      <c r="H5329" s="43"/>
      <c r="AG5329" s="49" t="str">
        <f ca="1">IFERROR(__xludf.DUMMYFUNCTION("IFNA(vlookup(H5329,IMPORTRANGE(""1vUGwO1n0QQGx9kKbO0_M5gmuhXZ6-LaxQxgrmJnzgP0"",""'TP# look up'!A:C""),3,0),"""")"),"")</f>
        <v/>
      </c>
      <c r="AH5329" s="49" t="str">
        <f t="shared" si="83"/>
        <v/>
      </c>
    </row>
    <row r="5330" spans="8:34" ht="12.75">
      <c r="H5330" s="43"/>
      <c r="AG5330" s="49" t="str">
        <f ca="1">IFERROR(__xludf.DUMMYFUNCTION("IFNA(vlookup(H5330,IMPORTRANGE(""1vUGwO1n0QQGx9kKbO0_M5gmuhXZ6-LaxQxgrmJnzgP0"",""'TP# look up'!A:C""),3,0),"""")"),"")</f>
        <v/>
      </c>
      <c r="AH5330" s="49" t="str">
        <f t="shared" si="83"/>
        <v/>
      </c>
    </row>
    <row r="5331" spans="8:34" ht="12.75">
      <c r="H5331" s="43"/>
      <c r="AG5331" s="49" t="str">
        <f ca="1">IFERROR(__xludf.DUMMYFUNCTION("IFNA(vlookup(H5331,IMPORTRANGE(""1vUGwO1n0QQGx9kKbO0_M5gmuhXZ6-LaxQxgrmJnzgP0"",""'TP# look up'!A:C""),3,0),"""")"),"")</f>
        <v/>
      </c>
      <c r="AH5331" s="49" t="str">
        <f t="shared" si="83"/>
        <v/>
      </c>
    </row>
    <row r="5332" spans="8:34" ht="12.75">
      <c r="H5332" s="43"/>
      <c r="AG5332" s="49" t="str">
        <f ca="1">IFERROR(__xludf.DUMMYFUNCTION("IFNA(vlookup(H5332,IMPORTRANGE(""1vUGwO1n0QQGx9kKbO0_M5gmuhXZ6-LaxQxgrmJnzgP0"",""'TP# look up'!A:C""),3,0),"""")"),"")</f>
        <v/>
      </c>
      <c r="AH5332" s="49" t="str">
        <f t="shared" si="83"/>
        <v/>
      </c>
    </row>
    <row r="5333" spans="8:34" ht="12.75">
      <c r="H5333" s="43"/>
      <c r="AG5333" s="49" t="str">
        <f ca="1">IFERROR(__xludf.DUMMYFUNCTION("IFNA(vlookup(H5333,IMPORTRANGE(""1vUGwO1n0QQGx9kKbO0_M5gmuhXZ6-LaxQxgrmJnzgP0"",""'TP# look up'!A:C""),3,0),"""")"),"")</f>
        <v/>
      </c>
      <c r="AH5333" s="49" t="str">
        <f t="shared" si="83"/>
        <v/>
      </c>
    </row>
    <row r="5334" spans="8:34" ht="12.75">
      <c r="H5334" s="43"/>
      <c r="AG5334" s="49" t="str">
        <f ca="1">IFERROR(__xludf.DUMMYFUNCTION("IFNA(vlookup(H5334,IMPORTRANGE(""1vUGwO1n0QQGx9kKbO0_M5gmuhXZ6-LaxQxgrmJnzgP0"",""'TP# look up'!A:C""),3,0),"""")"),"")</f>
        <v/>
      </c>
      <c r="AH5334" s="49" t="str">
        <f t="shared" si="83"/>
        <v/>
      </c>
    </row>
    <row r="5335" spans="8:34" ht="12.75">
      <c r="H5335" s="43"/>
      <c r="AG5335" s="49" t="str">
        <f ca="1">IFERROR(__xludf.DUMMYFUNCTION("IFNA(vlookup(H5335,IMPORTRANGE(""1vUGwO1n0QQGx9kKbO0_M5gmuhXZ6-LaxQxgrmJnzgP0"",""'TP# look up'!A:C""),3,0),"""")"),"")</f>
        <v/>
      </c>
      <c r="AH5335" s="49" t="str">
        <f t="shared" si="83"/>
        <v/>
      </c>
    </row>
    <row r="5336" spans="8:34" ht="12.75">
      <c r="H5336" s="43"/>
      <c r="AG5336" s="49" t="str">
        <f ca="1">IFERROR(__xludf.DUMMYFUNCTION("IFNA(vlookup(H5336,IMPORTRANGE(""1vUGwO1n0QQGx9kKbO0_M5gmuhXZ6-LaxQxgrmJnzgP0"",""'TP# look up'!A:C""),3,0),"""")"),"")</f>
        <v/>
      </c>
      <c r="AH5336" s="49" t="str">
        <f t="shared" si="83"/>
        <v/>
      </c>
    </row>
    <row r="5337" spans="8:34" ht="12.75">
      <c r="H5337" s="43"/>
      <c r="AG5337" s="49" t="str">
        <f ca="1">IFERROR(__xludf.DUMMYFUNCTION("IFNA(vlookup(H5337,IMPORTRANGE(""1vUGwO1n0QQGx9kKbO0_M5gmuhXZ6-LaxQxgrmJnzgP0"",""'TP# look up'!A:C""),3,0),"""")"),"")</f>
        <v/>
      </c>
      <c r="AH5337" s="49" t="str">
        <f t="shared" si="83"/>
        <v/>
      </c>
    </row>
    <row r="5338" spans="8:34" ht="12.75">
      <c r="H5338" s="43"/>
      <c r="AG5338" s="49" t="str">
        <f ca="1">IFERROR(__xludf.DUMMYFUNCTION("IFNA(vlookup(H5338,IMPORTRANGE(""1vUGwO1n0QQGx9kKbO0_M5gmuhXZ6-LaxQxgrmJnzgP0"",""'TP# look up'!A:C""),3,0),"""")"),"")</f>
        <v/>
      </c>
      <c r="AH5338" s="49" t="str">
        <f t="shared" si="83"/>
        <v/>
      </c>
    </row>
    <row r="5339" spans="8:34" ht="12.75">
      <c r="H5339" s="43"/>
      <c r="AG5339" s="49" t="str">
        <f ca="1">IFERROR(__xludf.DUMMYFUNCTION("IFNA(vlookup(H5339,IMPORTRANGE(""1vUGwO1n0QQGx9kKbO0_M5gmuhXZ6-LaxQxgrmJnzgP0"",""'TP# look up'!A:C""),3,0),"""")"),"")</f>
        <v/>
      </c>
      <c r="AH5339" s="49" t="str">
        <f t="shared" si="83"/>
        <v/>
      </c>
    </row>
    <row r="5340" spans="8:34" ht="12.75">
      <c r="H5340" s="43"/>
      <c r="AG5340" s="49" t="str">
        <f ca="1">IFERROR(__xludf.DUMMYFUNCTION("IFNA(vlookup(H5340,IMPORTRANGE(""1vUGwO1n0QQGx9kKbO0_M5gmuhXZ6-LaxQxgrmJnzgP0"",""'TP# look up'!A:C""),3,0),"""")"),"")</f>
        <v/>
      </c>
      <c r="AH5340" s="49" t="str">
        <f t="shared" si="83"/>
        <v/>
      </c>
    </row>
    <row r="5341" spans="8:34" ht="12.75">
      <c r="H5341" s="43"/>
      <c r="AG5341" s="49" t="str">
        <f ca="1">IFERROR(__xludf.DUMMYFUNCTION("IFNA(vlookup(H5341,IMPORTRANGE(""1vUGwO1n0QQGx9kKbO0_M5gmuhXZ6-LaxQxgrmJnzgP0"",""'TP# look up'!A:C""),3,0),"""")"),"")</f>
        <v/>
      </c>
      <c r="AH5341" s="49" t="str">
        <f t="shared" si="83"/>
        <v/>
      </c>
    </row>
    <row r="5342" spans="8:34" ht="12.75">
      <c r="H5342" s="43"/>
      <c r="AG5342" s="49" t="str">
        <f ca="1">IFERROR(__xludf.DUMMYFUNCTION("IFNA(vlookup(H5342,IMPORTRANGE(""1vUGwO1n0QQGx9kKbO0_M5gmuhXZ6-LaxQxgrmJnzgP0"",""'TP# look up'!A:C""),3,0),"""")"),"")</f>
        <v/>
      </c>
      <c r="AH5342" s="49" t="str">
        <f t="shared" si="83"/>
        <v/>
      </c>
    </row>
    <row r="5343" spans="8:34" ht="12.75">
      <c r="H5343" s="43"/>
      <c r="AG5343" s="49" t="str">
        <f ca="1">IFERROR(__xludf.DUMMYFUNCTION("IFNA(vlookup(H5343,IMPORTRANGE(""1vUGwO1n0QQGx9kKbO0_M5gmuhXZ6-LaxQxgrmJnzgP0"",""'TP# look up'!A:C""),3,0),"""")"),"")</f>
        <v/>
      </c>
      <c r="AH5343" s="49" t="str">
        <f t="shared" si="83"/>
        <v/>
      </c>
    </row>
    <row r="5344" spans="8:34" ht="12.75">
      <c r="H5344" s="43"/>
      <c r="AG5344" s="49" t="str">
        <f ca="1">IFERROR(__xludf.DUMMYFUNCTION("IFNA(vlookup(H5344,IMPORTRANGE(""1vUGwO1n0QQGx9kKbO0_M5gmuhXZ6-LaxQxgrmJnzgP0"",""'TP# look up'!A:C""),3,0),"""")"),"")</f>
        <v/>
      </c>
      <c r="AH5344" s="49" t="str">
        <f t="shared" si="83"/>
        <v/>
      </c>
    </row>
    <row r="5345" spans="8:34" ht="12.75">
      <c r="H5345" s="43"/>
      <c r="AG5345" s="49" t="str">
        <f ca="1">IFERROR(__xludf.DUMMYFUNCTION("IFNA(vlookup(H5345,IMPORTRANGE(""1vUGwO1n0QQGx9kKbO0_M5gmuhXZ6-LaxQxgrmJnzgP0"",""'TP# look up'!A:C""),3,0),"""")"),"")</f>
        <v/>
      </c>
      <c r="AH5345" s="49" t="str">
        <f t="shared" si="83"/>
        <v/>
      </c>
    </row>
    <row r="5346" spans="8:34" ht="12.75">
      <c r="H5346" s="43"/>
      <c r="AG5346" s="49" t="str">
        <f ca="1">IFERROR(__xludf.DUMMYFUNCTION("IFNA(vlookup(H5346,IMPORTRANGE(""1vUGwO1n0QQGx9kKbO0_M5gmuhXZ6-LaxQxgrmJnzgP0"",""'TP# look up'!A:C""),3,0),"""")"),"")</f>
        <v/>
      </c>
      <c r="AH5346" s="49" t="str">
        <f t="shared" si="83"/>
        <v/>
      </c>
    </row>
    <row r="5347" spans="8:34" ht="12.75">
      <c r="H5347" s="43"/>
      <c r="AG5347" s="49" t="str">
        <f ca="1">IFERROR(__xludf.DUMMYFUNCTION("IFNA(vlookup(H5347,IMPORTRANGE(""1vUGwO1n0QQGx9kKbO0_M5gmuhXZ6-LaxQxgrmJnzgP0"",""'TP# look up'!A:C""),3,0),"""")"),"")</f>
        <v/>
      </c>
      <c r="AH5347" s="49" t="str">
        <f t="shared" si="83"/>
        <v/>
      </c>
    </row>
    <row r="5348" spans="8:34" ht="12.75">
      <c r="H5348" s="43"/>
      <c r="AG5348" s="49" t="str">
        <f ca="1">IFERROR(__xludf.DUMMYFUNCTION("IFNA(vlookup(H5348,IMPORTRANGE(""1vUGwO1n0QQGx9kKbO0_M5gmuhXZ6-LaxQxgrmJnzgP0"",""'TP# look up'!A:C""),3,0),"""")"),"")</f>
        <v/>
      </c>
      <c r="AH5348" s="49" t="str">
        <f t="shared" si="83"/>
        <v/>
      </c>
    </row>
    <row r="5349" spans="8:34" ht="12.75">
      <c r="H5349" s="43"/>
      <c r="AG5349" s="49" t="str">
        <f ca="1">IFERROR(__xludf.DUMMYFUNCTION("IFNA(vlookup(H5349,IMPORTRANGE(""1vUGwO1n0QQGx9kKbO0_M5gmuhXZ6-LaxQxgrmJnzgP0"",""'TP# look up'!A:C""),3,0),"""")"),"")</f>
        <v/>
      </c>
      <c r="AH5349" s="49" t="str">
        <f t="shared" si="83"/>
        <v/>
      </c>
    </row>
    <row r="5350" spans="8:34" ht="12.75">
      <c r="H5350" s="43"/>
      <c r="AG5350" s="49" t="str">
        <f ca="1">IFERROR(__xludf.DUMMYFUNCTION("IFNA(vlookup(H5350,IMPORTRANGE(""1vUGwO1n0QQGx9kKbO0_M5gmuhXZ6-LaxQxgrmJnzgP0"",""'TP# look up'!A:C""),3,0),"""")"),"")</f>
        <v/>
      </c>
      <c r="AH5350" s="49" t="str">
        <f t="shared" si="83"/>
        <v/>
      </c>
    </row>
    <row r="5351" spans="8:34" ht="12.75">
      <c r="H5351" s="43"/>
      <c r="AG5351" s="49" t="str">
        <f ca="1">IFERROR(__xludf.DUMMYFUNCTION("IFNA(vlookup(H5351,IMPORTRANGE(""1vUGwO1n0QQGx9kKbO0_M5gmuhXZ6-LaxQxgrmJnzgP0"",""'TP# look up'!A:C""),3,0),"""")"),"")</f>
        <v/>
      </c>
      <c r="AH5351" s="49" t="str">
        <f t="shared" si="83"/>
        <v/>
      </c>
    </row>
    <row r="5352" spans="8:34" ht="12.75">
      <c r="H5352" s="43"/>
      <c r="AG5352" s="49" t="str">
        <f ca="1">IFERROR(__xludf.DUMMYFUNCTION("IFNA(vlookup(H5352,IMPORTRANGE(""1vUGwO1n0QQGx9kKbO0_M5gmuhXZ6-LaxQxgrmJnzgP0"",""'TP# look up'!A:C""),3,0),"""")"),"")</f>
        <v/>
      </c>
      <c r="AH5352" s="49" t="str">
        <f t="shared" si="83"/>
        <v/>
      </c>
    </row>
    <row r="5353" spans="8:34" ht="12.75">
      <c r="H5353" s="43"/>
      <c r="AG5353" s="49" t="str">
        <f ca="1">IFERROR(__xludf.DUMMYFUNCTION("IFNA(vlookup(H5353,IMPORTRANGE(""1vUGwO1n0QQGx9kKbO0_M5gmuhXZ6-LaxQxgrmJnzgP0"",""'TP# look up'!A:C""),3,0),"""")"),"")</f>
        <v/>
      </c>
      <c r="AH5353" s="49" t="str">
        <f t="shared" si="83"/>
        <v/>
      </c>
    </row>
    <row r="5354" spans="8:34" ht="12.75">
      <c r="H5354" s="43"/>
      <c r="AG5354" s="49" t="str">
        <f ca="1">IFERROR(__xludf.DUMMYFUNCTION("IFNA(vlookup(H5354,IMPORTRANGE(""1vUGwO1n0QQGx9kKbO0_M5gmuhXZ6-LaxQxgrmJnzgP0"",""'TP# look up'!A:C""),3,0),"""")"),"")</f>
        <v/>
      </c>
      <c r="AH5354" s="49" t="str">
        <f t="shared" si="83"/>
        <v/>
      </c>
    </row>
    <row r="5355" spans="8:34" ht="12.75">
      <c r="H5355" s="43"/>
      <c r="AG5355" s="49" t="str">
        <f ca="1">IFERROR(__xludf.DUMMYFUNCTION("IFNA(vlookup(H5355,IMPORTRANGE(""1vUGwO1n0QQGx9kKbO0_M5gmuhXZ6-LaxQxgrmJnzgP0"",""'TP# look up'!A:C""),3,0),"""")"),"")</f>
        <v/>
      </c>
      <c r="AH5355" s="49" t="str">
        <f t="shared" si="83"/>
        <v/>
      </c>
    </row>
    <row r="5356" spans="8:34" ht="12.75">
      <c r="H5356" s="43"/>
      <c r="AG5356" s="49" t="str">
        <f ca="1">IFERROR(__xludf.DUMMYFUNCTION("IFNA(vlookup(H5356,IMPORTRANGE(""1vUGwO1n0QQGx9kKbO0_M5gmuhXZ6-LaxQxgrmJnzgP0"",""'TP# look up'!A:C""),3,0),"""")"),"")</f>
        <v/>
      </c>
      <c r="AH5356" s="49" t="str">
        <f t="shared" si="83"/>
        <v/>
      </c>
    </row>
    <row r="5357" spans="8:34" ht="12.75">
      <c r="H5357" s="43"/>
      <c r="AG5357" s="49" t="str">
        <f ca="1">IFERROR(__xludf.DUMMYFUNCTION("IFNA(vlookup(H5357,IMPORTRANGE(""1vUGwO1n0QQGx9kKbO0_M5gmuhXZ6-LaxQxgrmJnzgP0"",""'TP# look up'!A:C""),3,0),"""")"),"")</f>
        <v/>
      </c>
      <c r="AH5357" s="49" t="str">
        <f t="shared" si="83"/>
        <v/>
      </c>
    </row>
    <row r="5358" spans="8:34" ht="12.75">
      <c r="H5358" s="43"/>
      <c r="AG5358" s="49" t="str">
        <f ca="1">IFERROR(__xludf.DUMMYFUNCTION("IFNA(vlookup(H5358,IMPORTRANGE(""1vUGwO1n0QQGx9kKbO0_M5gmuhXZ6-LaxQxgrmJnzgP0"",""'TP# look up'!A:C""),3,0),"""")"),"")</f>
        <v/>
      </c>
      <c r="AH5358" s="49" t="str">
        <f t="shared" si="83"/>
        <v/>
      </c>
    </row>
    <row r="5359" spans="8:34" ht="12.75">
      <c r="H5359" s="43"/>
      <c r="AG5359" s="49" t="str">
        <f ca="1">IFERROR(__xludf.DUMMYFUNCTION("IFNA(vlookup(H5359,IMPORTRANGE(""1vUGwO1n0QQGx9kKbO0_M5gmuhXZ6-LaxQxgrmJnzgP0"",""'TP# look up'!A:C""),3,0),"""")"),"")</f>
        <v/>
      </c>
      <c r="AH5359" s="49" t="str">
        <f t="shared" si="83"/>
        <v/>
      </c>
    </row>
    <row r="5360" spans="8:34" ht="12.75">
      <c r="H5360" s="43"/>
      <c r="AG5360" s="49" t="str">
        <f ca="1">IFERROR(__xludf.DUMMYFUNCTION("IFNA(vlookup(H5360,IMPORTRANGE(""1vUGwO1n0QQGx9kKbO0_M5gmuhXZ6-LaxQxgrmJnzgP0"",""'TP# look up'!A:C""),3,0),"""")"),"")</f>
        <v/>
      </c>
      <c r="AH5360" s="49" t="str">
        <f t="shared" si="83"/>
        <v/>
      </c>
    </row>
    <row r="5361" spans="8:34" ht="12.75">
      <c r="H5361" s="43"/>
      <c r="AG5361" s="49" t="str">
        <f ca="1">IFERROR(__xludf.DUMMYFUNCTION("IFNA(vlookup(H5361,IMPORTRANGE(""1vUGwO1n0QQGx9kKbO0_M5gmuhXZ6-LaxQxgrmJnzgP0"",""'TP# look up'!A:C""),3,0),"""")"),"")</f>
        <v/>
      </c>
      <c r="AH5361" s="49" t="str">
        <f t="shared" si="83"/>
        <v/>
      </c>
    </row>
    <row r="5362" spans="8:34" ht="12.75">
      <c r="H5362" s="43"/>
      <c r="AG5362" s="49" t="str">
        <f ca="1">IFERROR(__xludf.DUMMYFUNCTION("IFNA(vlookup(H5362,IMPORTRANGE(""1vUGwO1n0QQGx9kKbO0_M5gmuhXZ6-LaxQxgrmJnzgP0"",""'TP# look up'!A:C""),3,0),"""")"),"")</f>
        <v/>
      </c>
      <c r="AH5362" s="49" t="str">
        <f t="shared" si="83"/>
        <v/>
      </c>
    </row>
    <row r="5363" spans="8:34" ht="12.75">
      <c r="H5363" s="43"/>
      <c r="AG5363" s="49" t="str">
        <f ca="1">IFERROR(__xludf.DUMMYFUNCTION("IFNA(vlookup(H5363,IMPORTRANGE(""1vUGwO1n0QQGx9kKbO0_M5gmuhXZ6-LaxQxgrmJnzgP0"",""'TP# look up'!A:C""),3,0),"""")"),"")</f>
        <v/>
      </c>
      <c r="AH5363" s="49" t="str">
        <f t="shared" si="83"/>
        <v/>
      </c>
    </row>
    <row r="5364" spans="8:34" ht="12.75">
      <c r="H5364" s="43"/>
      <c r="AG5364" s="49" t="str">
        <f ca="1">IFERROR(__xludf.DUMMYFUNCTION("IFNA(vlookup(H5364,IMPORTRANGE(""1vUGwO1n0QQGx9kKbO0_M5gmuhXZ6-LaxQxgrmJnzgP0"",""'TP# look up'!A:C""),3,0),"""")"),"")</f>
        <v/>
      </c>
      <c r="AH5364" s="49" t="str">
        <f t="shared" si="83"/>
        <v/>
      </c>
    </row>
    <row r="5365" spans="8:34" ht="12.75">
      <c r="H5365" s="43"/>
      <c r="AG5365" s="49" t="str">
        <f ca="1">IFERROR(__xludf.DUMMYFUNCTION("IFNA(vlookup(H5365,IMPORTRANGE(""1vUGwO1n0QQGx9kKbO0_M5gmuhXZ6-LaxQxgrmJnzgP0"",""'TP# look up'!A:C""),3,0),"""")"),"")</f>
        <v/>
      </c>
      <c r="AH5365" s="49" t="str">
        <f t="shared" si="83"/>
        <v/>
      </c>
    </row>
    <row r="5366" spans="8:34" ht="12.75">
      <c r="H5366" s="43"/>
      <c r="AG5366" s="49" t="str">
        <f ca="1">IFERROR(__xludf.DUMMYFUNCTION("IFNA(vlookup(H5366,IMPORTRANGE(""1vUGwO1n0QQGx9kKbO0_M5gmuhXZ6-LaxQxgrmJnzgP0"",""'TP# look up'!A:C""),3,0),"""")"),"")</f>
        <v/>
      </c>
      <c r="AH5366" s="49" t="str">
        <f t="shared" si="83"/>
        <v/>
      </c>
    </row>
    <row r="5367" spans="8:34" ht="12.75">
      <c r="H5367" s="43"/>
      <c r="AG5367" s="49" t="str">
        <f ca="1">IFERROR(__xludf.DUMMYFUNCTION("IFNA(vlookup(H5367,IMPORTRANGE(""1vUGwO1n0QQGx9kKbO0_M5gmuhXZ6-LaxQxgrmJnzgP0"",""'TP# look up'!A:C""),3,0),"""")"),"")</f>
        <v/>
      </c>
      <c r="AH5367" s="49" t="str">
        <f t="shared" si="83"/>
        <v/>
      </c>
    </row>
    <row r="5368" spans="8:34" ht="12.75">
      <c r="H5368" s="43"/>
      <c r="AG5368" s="49" t="str">
        <f ca="1">IFERROR(__xludf.DUMMYFUNCTION("IFNA(vlookup(H5368,IMPORTRANGE(""1vUGwO1n0QQGx9kKbO0_M5gmuhXZ6-LaxQxgrmJnzgP0"",""'TP# look up'!A:C""),3,0),"""")"),"")</f>
        <v/>
      </c>
      <c r="AH5368" s="49" t="str">
        <f t="shared" si="83"/>
        <v/>
      </c>
    </row>
    <row r="5369" spans="8:34" ht="12.75">
      <c r="H5369" s="43"/>
      <c r="AG5369" s="49" t="str">
        <f ca="1">IFERROR(__xludf.DUMMYFUNCTION("IFNA(vlookup(H5369,IMPORTRANGE(""1vUGwO1n0QQGx9kKbO0_M5gmuhXZ6-LaxQxgrmJnzgP0"",""'TP# look up'!A:C""),3,0),"""")"),"")</f>
        <v/>
      </c>
      <c r="AH5369" s="49" t="str">
        <f t="shared" si="83"/>
        <v/>
      </c>
    </row>
    <row r="5370" spans="8:34" ht="12.75">
      <c r="H5370" s="43"/>
      <c r="AG5370" s="49" t="str">
        <f ca="1">IFERROR(__xludf.DUMMYFUNCTION("IFNA(vlookup(H5370,IMPORTRANGE(""1vUGwO1n0QQGx9kKbO0_M5gmuhXZ6-LaxQxgrmJnzgP0"",""'TP# look up'!A:C""),3,0),"""")"),"")</f>
        <v/>
      </c>
      <c r="AH5370" s="49" t="str">
        <f t="shared" si="83"/>
        <v/>
      </c>
    </row>
    <row r="5371" spans="8:34" ht="12.75">
      <c r="H5371" s="43"/>
      <c r="AG5371" s="49" t="str">
        <f ca="1">IFERROR(__xludf.DUMMYFUNCTION("IFNA(vlookup(H5371,IMPORTRANGE(""1vUGwO1n0QQGx9kKbO0_M5gmuhXZ6-LaxQxgrmJnzgP0"",""'TP# look up'!A:C""),3,0),"""")"),"")</f>
        <v/>
      </c>
      <c r="AH5371" s="49" t="str">
        <f t="shared" si="83"/>
        <v/>
      </c>
    </row>
    <row r="5372" spans="8:34" ht="12.75">
      <c r="H5372" s="43"/>
      <c r="AG5372" s="49" t="str">
        <f ca="1">IFERROR(__xludf.DUMMYFUNCTION("IFNA(vlookup(H5372,IMPORTRANGE(""1vUGwO1n0QQGx9kKbO0_M5gmuhXZ6-LaxQxgrmJnzgP0"",""'TP# look up'!A:C""),3,0),"""")"),"")</f>
        <v/>
      </c>
      <c r="AH5372" s="49" t="str">
        <f t="shared" si="83"/>
        <v/>
      </c>
    </row>
    <row r="5373" spans="8:34" ht="12.75">
      <c r="H5373" s="43"/>
      <c r="AG5373" s="49" t="str">
        <f ca="1">IFERROR(__xludf.DUMMYFUNCTION("IFNA(vlookup(H5373,IMPORTRANGE(""1vUGwO1n0QQGx9kKbO0_M5gmuhXZ6-LaxQxgrmJnzgP0"",""'TP# look up'!A:C""),3,0),"""")"),"")</f>
        <v/>
      </c>
      <c r="AH5373" s="49" t="str">
        <f t="shared" si="83"/>
        <v/>
      </c>
    </row>
    <row r="5374" spans="8:34" ht="12.75">
      <c r="H5374" s="43"/>
      <c r="AG5374" s="49" t="str">
        <f ca="1">IFERROR(__xludf.DUMMYFUNCTION("IFNA(vlookup(H5374,IMPORTRANGE(""1vUGwO1n0QQGx9kKbO0_M5gmuhXZ6-LaxQxgrmJnzgP0"",""'TP# look up'!A:C""),3,0),"""")"),"")</f>
        <v/>
      </c>
      <c r="AH5374" s="49" t="str">
        <f t="shared" si="83"/>
        <v/>
      </c>
    </row>
    <row r="5375" spans="8:34" ht="12.75">
      <c r="H5375" s="43"/>
      <c r="AG5375" s="49" t="str">
        <f ca="1">IFERROR(__xludf.DUMMYFUNCTION("IFNA(vlookup(H5375,IMPORTRANGE(""1vUGwO1n0QQGx9kKbO0_M5gmuhXZ6-LaxQxgrmJnzgP0"",""'TP# look up'!A:C""),3,0),"""")"),"")</f>
        <v/>
      </c>
      <c r="AH5375" s="49" t="str">
        <f t="shared" si="83"/>
        <v/>
      </c>
    </row>
    <row r="5376" spans="8:34" ht="12.75">
      <c r="H5376" s="43"/>
      <c r="AG5376" s="49" t="str">
        <f ca="1">IFERROR(__xludf.DUMMYFUNCTION("IFNA(vlookup(H5376,IMPORTRANGE(""1vUGwO1n0QQGx9kKbO0_M5gmuhXZ6-LaxQxgrmJnzgP0"",""'TP# look up'!A:C""),3,0),"""")"),"")</f>
        <v/>
      </c>
      <c r="AH5376" s="49" t="str">
        <f t="shared" si="83"/>
        <v/>
      </c>
    </row>
    <row r="5377" spans="8:34" ht="12.75">
      <c r="H5377" s="43"/>
      <c r="AG5377" s="49" t="str">
        <f ca="1">IFERROR(__xludf.DUMMYFUNCTION("IFNA(vlookup(H5377,IMPORTRANGE(""1vUGwO1n0QQGx9kKbO0_M5gmuhXZ6-LaxQxgrmJnzgP0"",""'TP# look up'!A:C""),3,0),"""")"),"")</f>
        <v/>
      </c>
      <c r="AH5377" s="49" t="str">
        <f t="shared" si="83"/>
        <v/>
      </c>
    </row>
    <row r="5378" spans="8:34" ht="12.75">
      <c r="H5378" s="43"/>
      <c r="AG5378" s="49" t="str">
        <f ca="1">IFERROR(__xludf.DUMMYFUNCTION("IFNA(vlookup(H5378,IMPORTRANGE(""1vUGwO1n0QQGx9kKbO0_M5gmuhXZ6-LaxQxgrmJnzgP0"",""'TP# look up'!A:C""),3,0),"""")"),"")</f>
        <v/>
      </c>
      <c r="AH5378" s="49" t="str">
        <f t="shared" ref="AH5378:AH5441" si="84">LEFT(J5378,2)</f>
        <v/>
      </c>
    </row>
    <row r="5379" spans="8:34" ht="12.75">
      <c r="H5379" s="43"/>
      <c r="AG5379" s="49" t="str">
        <f ca="1">IFERROR(__xludf.DUMMYFUNCTION("IFNA(vlookup(H5379,IMPORTRANGE(""1vUGwO1n0QQGx9kKbO0_M5gmuhXZ6-LaxQxgrmJnzgP0"",""'TP# look up'!A:C""),3,0),"""")"),"")</f>
        <v/>
      </c>
      <c r="AH5379" s="49" t="str">
        <f t="shared" si="84"/>
        <v/>
      </c>
    </row>
    <row r="5380" spans="8:34" ht="12.75">
      <c r="H5380" s="43"/>
      <c r="AG5380" s="49" t="str">
        <f ca="1">IFERROR(__xludf.DUMMYFUNCTION("IFNA(vlookup(H5380,IMPORTRANGE(""1vUGwO1n0QQGx9kKbO0_M5gmuhXZ6-LaxQxgrmJnzgP0"",""'TP# look up'!A:C""),3,0),"""")"),"")</f>
        <v/>
      </c>
      <c r="AH5380" s="49" t="str">
        <f t="shared" si="84"/>
        <v/>
      </c>
    </row>
    <row r="5381" spans="8:34" ht="12.75">
      <c r="H5381" s="43"/>
      <c r="AG5381" s="49" t="str">
        <f ca="1">IFERROR(__xludf.DUMMYFUNCTION("IFNA(vlookup(H5381,IMPORTRANGE(""1vUGwO1n0QQGx9kKbO0_M5gmuhXZ6-LaxQxgrmJnzgP0"",""'TP# look up'!A:C""),3,0),"""")"),"")</f>
        <v/>
      </c>
      <c r="AH5381" s="49" t="str">
        <f t="shared" si="84"/>
        <v/>
      </c>
    </row>
    <row r="5382" spans="8:34" ht="12.75">
      <c r="H5382" s="43"/>
      <c r="AG5382" s="49" t="str">
        <f ca="1">IFERROR(__xludf.DUMMYFUNCTION("IFNA(vlookup(H5382,IMPORTRANGE(""1vUGwO1n0QQGx9kKbO0_M5gmuhXZ6-LaxQxgrmJnzgP0"",""'TP# look up'!A:C""),3,0),"""")"),"")</f>
        <v/>
      </c>
      <c r="AH5382" s="49" t="str">
        <f t="shared" si="84"/>
        <v/>
      </c>
    </row>
    <row r="5383" spans="8:34" ht="12.75">
      <c r="H5383" s="43"/>
      <c r="AG5383" s="49" t="str">
        <f ca="1">IFERROR(__xludf.DUMMYFUNCTION("IFNA(vlookup(H5383,IMPORTRANGE(""1vUGwO1n0QQGx9kKbO0_M5gmuhXZ6-LaxQxgrmJnzgP0"",""'TP# look up'!A:C""),3,0),"""")"),"")</f>
        <v/>
      </c>
      <c r="AH5383" s="49" t="str">
        <f t="shared" si="84"/>
        <v/>
      </c>
    </row>
    <row r="5384" spans="8:34" ht="12.75">
      <c r="H5384" s="43"/>
      <c r="AG5384" s="49" t="str">
        <f ca="1">IFERROR(__xludf.DUMMYFUNCTION("IFNA(vlookup(H5384,IMPORTRANGE(""1vUGwO1n0QQGx9kKbO0_M5gmuhXZ6-LaxQxgrmJnzgP0"",""'TP# look up'!A:C""),3,0),"""")"),"")</f>
        <v/>
      </c>
      <c r="AH5384" s="49" t="str">
        <f t="shared" si="84"/>
        <v/>
      </c>
    </row>
    <row r="5385" spans="8:34" ht="12.75">
      <c r="H5385" s="43"/>
      <c r="AG5385" s="49" t="str">
        <f ca="1">IFERROR(__xludf.DUMMYFUNCTION("IFNA(vlookup(H5385,IMPORTRANGE(""1vUGwO1n0QQGx9kKbO0_M5gmuhXZ6-LaxQxgrmJnzgP0"",""'TP# look up'!A:C""),3,0),"""")"),"")</f>
        <v/>
      </c>
      <c r="AH5385" s="49" t="str">
        <f t="shared" si="84"/>
        <v/>
      </c>
    </row>
    <row r="5386" spans="8:34" ht="12.75">
      <c r="H5386" s="43"/>
      <c r="AG5386" s="49" t="str">
        <f ca="1">IFERROR(__xludf.DUMMYFUNCTION("IFNA(vlookup(H5386,IMPORTRANGE(""1vUGwO1n0QQGx9kKbO0_M5gmuhXZ6-LaxQxgrmJnzgP0"",""'TP# look up'!A:C""),3,0),"""")"),"")</f>
        <v/>
      </c>
      <c r="AH5386" s="49" t="str">
        <f t="shared" si="84"/>
        <v/>
      </c>
    </row>
    <row r="5387" spans="8:34" ht="12.75">
      <c r="H5387" s="43"/>
      <c r="AG5387" s="49" t="str">
        <f ca="1">IFERROR(__xludf.DUMMYFUNCTION("IFNA(vlookup(H5387,IMPORTRANGE(""1vUGwO1n0QQGx9kKbO0_M5gmuhXZ6-LaxQxgrmJnzgP0"",""'TP# look up'!A:C""),3,0),"""")"),"")</f>
        <v/>
      </c>
      <c r="AH5387" s="49" t="str">
        <f t="shared" si="84"/>
        <v/>
      </c>
    </row>
    <row r="5388" spans="8:34" ht="12.75">
      <c r="H5388" s="43"/>
      <c r="AG5388" s="49" t="str">
        <f ca="1">IFERROR(__xludf.DUMMYFUNCTION("IFNA(vlookup(H5388,IMPORTRANGE(""1vUGwO1n0QQGx9kKbO0_M5gmuhXZ6-LaxQxgrmJnzgP0"",""'TP# look up'!A:C""),3,0),"""")"),"")</f>
        <v/>
      </c>
      <c r="AH5388" s="49" t="str">
        <f t="shared" si="84"/>
        <v/>
      </c>
    </row>
    <row r="5389" spans="8:34" ht="12.75">
      <c r="H5389" s="43"/>
      <c r="AG5389" s="49" t="str">
        <f ca="1">IFERROR(__xludf.DUMMYFUNCTION("IFNA(vlookup(H5389,IMPORTRANGE(""1vUGwO1n0QQGx9kKbO0_M5gmuhXZ6-LaxQxgrmJnzgP0"",""'TP# look up'!A:C""),3,0),"""")"),"")</f>
        <v/>
      </c>
      <c r="AH5389" s="49" t="str">
        <f t="shared" si="84"/>
        <v/>
      </c>
    </row>
    <row r="5390" spans="8:34" ht="12.75">
      <c r="H5390" s="43"/>
      <c r="AG5390" s="49" t="str">
        <f ca="1">IFERROR(__xludf.DUMMYFUNCTION("IFNA(vlookup(H5390,IMPORTRANGE(""1vUGwO1n0QQGx9kKbO0_M5gmuhXZ6-LaxQxgrmJnzgP0"",""'TP# look up'!A:C""),3,0),"""")"),"")</f>
        <v/>
      </c>
      <c r="AH5390" s="49" t="str">
        <f t="shared" si="84"/>
        <v/>
      </c>
    </row>
    <row r="5391" spans="8:34" ht="12.75">
      <c r="H5391" s="43"/>
      <c r="AG5391" s="49" t="str">
        <f ca="1">IFERROR(__xludf.DUMMYFUNCTION("IFNA(vlookup(H5391,IMPORTRANGE(""1vUGwO1n0QQGx9kKbO0_M5gmuhXZ6-LaxQxgrmJnzgP0"",""'TP# look up'!A:C""),3,0),"""")"),"")</f>
        <v/>
      </c>
      <c r="AH5391" s="49" t="str">
        <f t="shared" si="84"/>
        <v/>
      </c>
    </row>
    <row r="5392" spans="8:34" ht="12.75">
      <c r="H5392" s="43"/>
      <c r="AG5392" s="49" t="str">
        <f ca="1">IFERROR(__xludf.DUMMYFUNCTION("IFNA(vlookup(H5392,IMPORTRANGE(""1vUGwO1n0QQGx9kKbO0_M5gmuhXZ6-LaxQxgrmJnzgP0"",""'TP# look up'!A:C""),3,0),"""")"),"")</f>
        <v/>
      </c>
      <c r="AH5392" s="49" t="str">
        <f t="shared" si="84"/>
        <v/>
      </c>
    </row>
    <row r="5393" spans="8:34" ht="12.75">
      <c r="H5393" s="43"/>
      <c r="AG5393" s="49" t="str">
        <f ca="1">IFERROR(__xludf.DUMMYFUNCTION("IFNA(vlookup(H5393,IMPORTRANGE(""1vUGwO1n0QQGx9kKbO0_M5gmuhXZ6-LaxQxgrmJnzgP0"",""'TP# look up'!A:C""),3,0),"""")"),"")</f>
        <v/>
      </c>
      <c r="AH5393" s="49" t="str">
        <f t="shared" si="84"/>
        <v/>
      </c>
    </row>
    <row r="5394" spans="8:34" ht="12.75">
      <c r="H5394" s="43"/>
      <c r="AG5394" s="49" t="str">
        <f ca="1">IFERROR(__xludf.DUMMYFUNCTION("IFNA(vlookup(H5394,IMPORTRANGE(""1vUGwO1n0QQGx9kKbO0_M5gmuhXZ6-LaxQxgrmJnzgP0"",""'TP# look up'!A:C""),3,0),"""")"),"")</f>
        <v/>
      </c>
      <c r="AH5394" s="49" t="str">
        <f t="shared" si="84"/>
        <v/>
      </c>
    </row>
    <row r="5395" spans="8:34" ht="12.75">
      <c r="H5395" s="43"/>
      <c r="AG5395" s="49" t="str">
        <f ca="1">IFERROR(__xludf.DUMMYFUNCTION("IFNA(vlookup(H5395,IMPORTRANGE(""1vUGwO1n0QQGx9kKbO0_M5gmuhXZ6-LaxQxgrmJnzgP0"",""'TP# look up'!A:C""),3,0),"""")"),"")</f>
        <v/>
      </c>
      <c r="AH5395" s="49" t="str">
        <f t="shared" si="84"/>
        <v/>
      </c>
    </row>
    <row r="5396" spans="8:34" ht="12.75">
      <c r="H5396" s="43"/>
      <c r="AG5396" s="49" t="str">
        <f ca="1">IFERROR(__xludf.DUMMYFUNCTION("IFNA(vlookup(H5396,IMPORTRANGE(""1vUGwO1n0QQGx9kKbO0_M5gmuhXZ6-LaxQxgrmJnzgP0"",""'TP# look up'!A:C""),3,0),"""")"),"")</f>
        <v/>
      </c>
      <c r="AH5396" s="49" t="str">
        <f t="shared" si="84"/>
        <v/>
      </c>
    </row>
    <row r="5397" spans="8:34" ht="12.75">
      <c r="H5397" s="43"/>
      <c r="AG5397" s="49" t="str">
        <f ca="1">IFERROR(__xludf.DUMMYFUNCTION("IFNA(vlookup(H5397,IMPORTRANGE(""1vUGwO1n0QQGx9kKbO0_M5gmuhXZ6-LaxQxgrmJnzgP0"",""'TP# look up'!A:C""),3,0),"""")"),"")</f>
        <v/>
      </c>
      <c r="AH5397" s="49" t="str">
        <f t="shared" si="84"/>
        <v/>
      </c>
    </row>
    <row r="5398" spans="8:34" ht="12.75">
      <c r="H5398" s="43"/>
      <c r="AG5398" s="49" t="str">
        <f ca="1">IFERROR(__xludf.DUMMYFUNCTION("IFNA(vlookup(H5398,IMPORTRANGE(""1vUGwO1n0QQGx9kKbO0_M5gmuhXZ6-LaxQxgrmJnzgP0"",""'TP# look up'!A:C""),3,0),"""")"),"")</f>
        <v/>
      </c>
      <c r="AH5398" s="49" t="str">
        <f t="shared" si="84"/>
        <v/>
      </c>
    </row>
    <row r="5399" spans="8:34" ht="12.75">
      <c r="H5399" s="43"/>
      <c r="AG5399" s="49" t="str">
        <f ca="1">IFERROR(__xludf.DUMMYFUNCTION("IFNA(vlookup(H5399,IMPORTRANGE(""1vUGwO1n0QQGx9kKbO0_M5gmuhXZ6-LaxQxgrmJnzgP0"",""'TP# look up'!A:C""),3,0),"""")"),"")</f>
        <v/>
      </c>
      <c r="AH5399" s="49" t="str">
        <f t="shared" si="84"/>
        <v/>
      </c>
    </row>
    <row r="5400" spans="8:34" ht="12.75">
      <c r="H5400" s="43"/>
      <c r="AG5400" s="49" t="str">
        <f ca="1">IFERROR(__xludf.DUMMYFUNCTION("IFNA(vlookup(H5400,IMPORTRANGE(""1vUGwO1n0QQGx9kKbO0_M5gmuhXZ6-LaxQxgrmJnzgP0"",""'TP# look up'!A:C""),3,0),"""")"),"")</f>
        <v/>
      </c>
      <c r="AH5400" s="49" t="str">
        <f t="shared" si="84"/>
        <v/>
      </c>
    </row>
    <row r="5401" spans="8:34" ht="12.75">
      <c r="H5401" s="43"/>
      <c r="AG5401" s="49" t="str">
        <f ca="1">IFERROR(__xludf.DUMMYFUNCTION("IFNA(vlookup(H5401,IMPORTRANGE(""1vUGwO1n0QQGx9kKbO0_M5gmuhXZ6-LaxQxgrmJnzgP0"",""'TP# look up'!A:C""),3,0),"""")"),"")</f>
        <v/>
      </c>
      <c r="AH5401" s="49" t="str">
        <f t="shared" si="84"/>
        <v/>
      </c>
    </row>
    <row r="5402" spans="8:34" ht="12.75">
      <c r="H5402" s="43"/>
      <c r="AG5402" s="49" t="str">
        <f ca="1">IFERROR(__xludf.DUMMYFUNCTION("IFNA(vlookup(H5402,IMPORTRANGE(""1vUGwO1n0QQGx9kKbO0_M5gmuhXZ6-LaxQxgrmJnzgP0"",""'TP# look up'!A:C""),3,0),"""")"),"")</f>
        <v/>
      </c>
      <c r="AH5402" s="49" t="str">
        <f t="shared" si="84"/>
        <v/>
      </c>
    </row>
    <row r="5403" spans="8:34" ht="12.75">
      <c r="H5403" s="43"/>
      <c r="AG5403" s="49" t="str">
        <f ca="1">IFERROR(__xludf.DUMMYFUNCTION("IFNA(vlookup(H5403,IMPORTRANGE(""1vUGwO1n0QQGx9kKbO0_M5gmuhXZ6-LaxQxgrmJnzgP0"",""'TP# look up'!A:C""),3,0),"""")"),"")</f>
        <v/>
      </c>
      <c r="AH5403" s="49" t="str">
        <f t="shared" si="84"/>
        <v/>
      </c>
    </row>
    <row r="5404" spans="8:34" ht="12.75">
      <c r="H5404" s="43"/>
      <c r="AG5404" s="49" t="str">
        <f ca="1">IFERROR(__xludf.DUMMYFUNCTION("IFNA(vlookup(H5404,IMPORTRANGE(""1vUGwO1n0QQGx9kKbO0_M5gmuhXZ6-LaxQxgrmJnzgP0"",""'TP# look up'!A:C""),3,0),"""")"),"")</f>
        <v/>
      </c>
      <c r="AH5404" s="49" t="str">
        <f t="shared" si="84"/>
        <v/>
      </c>
    </row>
    <row r="5405" spans="8:34" ht="12.75">
      <c r="H5405" s="43"/>
      <c r="AG5405" s="49" t="str">
        <f ca="1">IFERROR(__xludf.DUMMYFUNCTION("IFNA(vlookup(H5405,IMPORTRANGE(""1vUGwO1n0QQGx9kKbO0_M5gmuhXZ6-LaxQxgrmJnzgP0"",""'TP# look up'!A:C""),3,0),"""")"),"")</f>
        <v/>
      </c>
      <c r="AH5405" s="49" t="str">
        <f t="shared" si="84"/>
        <v/>
      </c>
    </row>
    <row r="5406" spans="8:34" ht="12.75">
      <c r="H5406" s="43"/>
      <c r="AG5406" s="49" t="str">
        <f ca="1">IFERROR(__xludf.DUMMYFUNCTION("IFNA(vlookup(H5406,IMPORTRANGE(""1vUGwO1n0QQGx9kKbO0_M5gmuhXZ6-LaxQxgrmJnzgP0"",""'TP# look up'!A:C""),3,0),"""")"),"")</f>
        <v/>
      </c>
      <c r="AH5406" s="49" t="str">
        <f t="shared" si="84"/>
        <v/>
      </c>
    </row>
    <row r="5407" spans="8:34" ht="12.75">
      <c r="H5407" s="43"/>
      <c r="AG5407" s="49" t="str">
        <f ca="1">IFERROR(__xludf.DUMMYFUNCTION("IFNA(vlookup(H5407,IMPORTRANGE(""1vUGwO1n0QQGx9kKbO0_M5gmuhXZ6-LaxQxgrmJnzgP0"",""'TP# look up'!A:C""),3,0),"""")"),"")</f>
        <v/>
      </c>
      <c r="AH5407" s="49" t="str">
        <f t="shared" si="84"/>
        <v/>
      </c>
    </row>
    <row r="5408" spans="8:34" ht="12.75">
      <c r="H5408" s="43"/>
      <c r="AG5408" s="49" t="str">
        <f ca="1">IFERROR(__xludf.DUMMYFUNCTION("IFNA(vlookup(H5408,IMPORTRANGE(""1vUGwO1n0QQGx9kKbO0_M5gmuhXZ6-LaxQxgrmJnzgP0"",""'TP# look up'!A:C""),3,0),"""")"),"")</f>
        <v/>
      </c>
      <c r="AH5408" s="49" t="str">
        <f t="shared" si="84"/>
        <v/>
      </c>
    </row>
    <row r="5409" spans="8:34" ht="12.75">
      <c r="H5409" s="43"/>
      <c r="AG5409" s="49" t="str">
        <f ca="1">IFERROR(__xludf.DUMMYFUNCTION("IFNA(vlookup(H5409,IMPORTRANGE(""1vUGwO1n0QQGx9kKbO0_M5gmuhXZ6-LaxQxgrmJnzgP0"",""'TP# look up'!A:C""),3,0),"""")"),"")</f>
        <v/>
      </c>
      <c r="AH5409" s="49" t="str">
        <f t="shared" si="84"/>
        <v/>
      </c>
    </row>
    <row r="5410" spans="8:34" ht="12.75">
      <c r="H5410" s="43"/>
      <c r="AG5410" s="49" t="str">
        <f ca="1">IFERROR(__xludf.DUMMYFUNCTION("IFNA(vlookup(H5410,IMPORTRANGE(""1vUGwO1n0QQGx9kKbO0_M5gmuhXZ6-LaxQxgrmJnzgP0"",""'TP# look up'!A:C""),3,0),"""")"),"")</f>
        <v/>
      </c>
      <c r="AH5410" s="49" t="str">
        <f t="shared" si="84"/>
        <v/>
      </c>
    </row>
    <row r="5411" spans="8:34" ht="12.75">
      <c r="H5411" s="43"/>
      <c r="AG5411" s="49" t="str">
        <f ca="1">IFERROR(__xludf.DUMMYFUNCTION("IFNA(vlookup(H5411,IMPORTRANGE(""1vUGwO1n0QQGx9kKbO0_M5gmuhXZ6-LaxQxgrmJnzgP0"",""'TP# look up'!A:C""),3,0),"""")"),"")</f>
        <v/>
      </c>
      <c r="AH5411" s="49" t="str">
        <f t="shared" si="84"/>
        <v/>
      </c>
    </row>
    <row r="5412" spans="8:34" ht="12.75">
      <c r="H5412" s="43"/>
      <c r="AG5412" s="49" t="str">
        <f ca="1">IFERROR(__xludf.DUMMYFUNCTION("IFNA(vlookup(H5412,IMPORTRANGE(""1vUGwO1n0QQGx9kKbO0_M5gmuhXZ6-LaxQxgrmJnzgP0"",""'TP# look up'!A:C""),3,0),"""")"),"")</f>
        <v/>
      </c>
      <c r="AH5412" s="49" t="str">
        <f t="shared" si="84"/>
        <v/>
      </c>
    </row>
    <row r="5413" spans="8:34" ht="12.75">
      <c r="H5413" s="43"/>
      <c r="AG5413" s="49" t="str">
        <f ca="1">IFERROR(__xludf.DUMMYFUNCTION("IFNA(vlookup(H5413,IMPORTRANGE(""1vUGwO1n0QQGx9kKbO0_M5gmuhXZ6-LaxQxgrmJnzgP0"",""'TP# look up'!A:C""),3,0),"""")"),"")</f>
        <v/>
      </c>
      <c r="AH5413" s="49" t="str">
        <f t="shared" si="84"/>
        <v/>
      </c>
    </row>
    <row r="5414" spans="8:34" ht="12.75">
      <c r="H5414" s="43"/>
      <c r="AG5414" s="49" t="str">
        <f ca="1">IFERROR(__xludf.DUMMYFUNCTION("IFNA(vlookup(H5414,IMPORTRANGE(""1vUGwO1n0QQGx9kKbO0_M5gmuhXZ6-LaxQxgrmJnzgP0"",""'TP# look up'!A:C""),3,0),"""")"),"")</f>
        <v/>
      </c>
      <c r="AH5414" s="49" t="str">
        <f t="shared" si="84"/>
        <v/>
      </c>
    </row>
    <row r="5415" spans="8:34" ht="12.75">
      <c r="H5415" s="43"/>
      <c r="AG5415" s="49" t="str">
        <f ca="1">IFERROR(__xludf.DUMMYFUNCTION("IFNA(vlookup(H5415,IMPORTRANGE(""1vUGwO1n0QQGx9kKbO0_M5gmuhXZ6-LaxQxgrmJnzgP0"",""'TP# look up'!A:C""),3,0),"""")"),"")</f>
        <v/>
      </c>
      <c r="AH5415" s="49" t="str">
        <f t="shared" si="84"/>
        <v/>
      </c>
    </row>
    <row r="5416" spans="8:34" ht="12.75">
      <c r="H5416" s="43"/>
      <c r="AG5416" s="49" t="str">
        <f ca="1">IFERROR(__xludf.DUMMYFUNCTION("IFNA(vlookup(H5416,IMPORTRANGE(""1vUGwO1n0QQGx9kKbO0_M5gmuhXZ6-LaxQxgrmJnzgP0"",""'TP# look up'!A:C""),3,0),"""")"),"")</f>
        <v/>
      </c>
      <c r="AH5416" s="49" t="str">
        <f t="shared" si="84"/>
        <v/>
      </c>
    </row>
    <row r="5417" spans="8:34" ht="12.75">
      <c r="H5417" s="43"/>
      <c r="AG5417" s="49" t="str">
        <f ca="1">IFERROR(__xludf.DUMMYFUNCTION("IFNA(vlookup(H5417,IMPORTRANGE(""1vUGwO1n0QQGx9kKbO0_M5gmuhXZ6-LaxQxgrmJnzgP0"",""'TP# look up'!A:C""),3,0),"""")"),"")</f>
        <v/>
      </c>
      <c r="AH5417" s="49" t="str">
        <f t="shared" si="84"/>
        <v/>
      </c>
    </row>
    <row r="5418" spans="8:34" ht="12.75">
      <c r="H5418" s="43"/>
      <c r="AG5418" s="49" t="str">
        <f ca="1">IFERROR(__xludf.DUMMYFUNCTION("IFNA(vlookup(H5418,IMPORTRANGE(""1vUGwO1n0QQGx9kKbO0_M5gmuhXZ6-LaxQxgrmJnzgP0"",""'TP# look up'!A:C""),3,0),"""")"),"")</f>
        <v/>
      </c>
      <c r="AH5418" s="49" t="str">
        <f t="shared" si="84"/>
        <v/>
      </c>
    </row>
    <row r="5419" spans="8:34" ht="12.75">
      <c r="H5419" s="43"/>
      <c r="AG5419" s="49" t="str">
        <f ca="1">IFERROR(__xludf.DUMMYFUNCTION("IFNA(vlookup(H5419,IMPORTRANGE(""1vUGwO1n0QQGx9kKbO0_M5gmuhXZ6-LaxQxgrmJnzgP0"",""'TP# look up'!A:C""),3,0),"""")"),"")</f>
        <v/>
      </c>
      <c r="AH5419" s="49" t="str">
        <f t="shared" si="84"/>
        <v/>
      </c>
    </row>
    <row r="5420" spans="8:34" ht="12.75">
      <c r="H5420" s="43"/>
      <c r="AG5420" s="49" t="str">
        <f ca="1">IFERROR(__xludf.DUMMYFUNCTION("IFNA(vlookup(H5420,IMPORTRANGE(""1vUGwO1n0QQGx9kKbO0_M5gmuhXZ6-LaxQxgrmJnzgP0"",""'TP# look up'!A:C""),3,0),"""")"),"")</f>
        <v/>
      </c>
      <c r="AH5420" s="49" t="str">
        <f t="shared" si="84"/>
        <v/>
      </c>
    </row>
    <row r="5421" spans="8:34" ht="12.75">
      <c r="H5421" s="43"/>
      <c r="AG5421" s="49" t="str">
        <f ca="1">IFERROR(__xludf.DUMMYFUNCTION("IFNA(vlookup(H5421,IMPORTRANGE(""1vUGwO1n0QQGx9kKbO0_M5gmuhXZ6-LaxQxgrmJnzgP0"",""'TP# look up'!A:C""),3,0),"""")"),"")</f>
        <v/>
      </c>
      <c r="AH5421" s="49" t="str">
        <f t="shared" si="84"/>
        <v/>
      </c>
    </row>
    <row r="5422" spans="8:34" ht="12.75">
      <c r="H5422" s="43"/>
      <c r="AG5422" s="49" t="str">
        <f ca="1">IFERROR(__xludf.DUMMYFUNCTION("IFNA(vlookup(H5422,IMPORTRANGE(""1vUGwO1n0QQGx9kKbO0_M5gmuhXZ6-LaxQxgrmJnzgP0"",""'TP# look up'!A:C""),3,0),"""")"),"")</f>
        <v/>
      </c>
      <c r="AH5422" s="49" t="str">
        <f t="shared" si="84"/>
        <v/>
      </c>
    </row>
    <row r="5423" spans="8:34" ht="12.75">
      <c r="H5423" s="43"/>
      <c r="AG5423" s="49" t="str">
        <f ca="1">IFERROR(__xludf.DUMMYFUNCTION("IFNA(vlookup(H5423,IMPORTRANGE(""1vUGwO1n0QQGx9kKbO0_M5gmuhXZ6-LaxQxgrmJnzgP0"",""'TP# look up'!A:C""),3,0),"""")"),"")</f>
        <v/>
      </c>
      <c r="AH5423" s="49" t="str">
        <f t="shared" si="84"/>
        <v/>
      </c>
    </row>
    <row r="5424" spans="8:34" ht="12.75">
      <c r="H5424" s="43"/>
      <c r="AG5424" s="49" t="str">
        <f ca="1">IFERROR(__xludf.DUMMYFUNCTION("IFNA(vlookup(H5424,IMPORTRANGE(""1vUGwO1n0QQGx9kKbO0_M5gmuhXZ6-LaxQxgrmJnzgP0"",""'TP# look up'!A:C""),3,0),"""")"),"")</f>
        <v/>
      </c>
      <c r="AH5424" s="49" t="str">
        <f t="shared" si="84"/>
        <v/>
      </c>
    </row>
    <row r="5425" spans="8:34" ht="12.75">
      <c r="H5425" s="43"/>
      <c r="AG5425" s="49" t="str">
        <f ca="1">IFERROR(__xludf.DUMMYFUNCTION("IFNA(vlookup(H5425,IMPORTRANGE(""1vUGwO1n0QQGx9kKbO0_M5gmuhXZ6-LaxQxgrmJnzgP0"",""'TP# look up'!A:C""),3,0),"""")"),"")</f>
        <v/>
      </c>
      <c r="AH5425" s="49" t="str">
        <f t="shared" si="84"/>
        <v/>
      </c>
    </row>
    <row r="5426" spans="8:34" ht="12.75">
      <c r="H5426" s="43"/>
      <c r="AG5426" s="49" t="str">
        <f ca="1">IFERROR(__xludf.DUMMYFUNCTION("IFNA(vlookup(H5426,IMPORTRANGE(""1vUGwO1n0QQGx9kKbO0_M5gmuhXZ6-LaxQxgrmJnzgP0"",""'TP# look up'!A:C""),3,0),"""")"),"")</f>
        <v/>
      </c>
      <c r="AH5426" s="49" t="str">
        <f t="shared" si="84"/>
        <v/>
      </c>
    </row>
    <row r="5427" spans="8:34" ht="12.75">
      <c r="H5427" s="43"/>
      <c r="AG5427" s="49" t="str">
        <f ca="1">IFERROR(__xludf.DUMMYFUNCTION("IFNA(vlookup(H5427,IMPORTRANGE(""1vUGwO1n0QQGx9kKbO0_M5gmuhXZ6-LaxQxgrmJnzgP0"",""'TP# look up'!A:C""),3,0),"""")"),"")</f>
        <v/>
      </c>
      <c r="AH5427" s="49" t="str">
        <f t="shared" si="84"/>
        <v/>
      </c>
    </row>
    <row r="5428" spans="8:34" ht="12.75">
      <c r="H5428" s="43"/>
      <c r="AG5428" s="49" t="str">
        <f ca="1">IFERROR(__xludf.DUMMYFUNCTION("IFNA(vlookup(H5428,IMPORTRANGE(""1vUGwO1n0QQGx9kKbO0_M5gmuhXZ6-LaxQxgrmJnzgP0"",""'TP# look up'!A:C""),3,0),"""")"),"")</f>
        <v/>
      </c>
      <c r="AH5428" s="49" t="str">
        <f t="shared" si="84"/>
        <v/>
      </c>
    </row>
    <row r="5429" spans="8:34" ht="12.75">
      <c r="H5429" s="43"/>
      <c r="AG5429" s="49" t="str">
        <f ca="1">IFERROR(__xludf.DUMMYFUNCTION("IFNA(vlookup(H5429,IMPORTRANGE(""1vUGwO1n0QQGx9kKbO0_M5gmuhXZ6-LaxQxgrmJnzgP0"",""'TP# look up'!A:C""),3,0),"""")"),"")</f>
        <v/>
      </c>
      <c r="AH5429" s="49" t="str">
        <f t="shared" si="84"/>
        <v/>
      </c>
    </row>
    <row r="5430" spans="8:34" ht="12.75">
      <c r="H5430" s="43"/>
      <c r="AG5430" s="49" t="str">
        <f ca="1">IFERROR(__xludf.DUMMYFUNCTION("IFNA(vlookup(H5430,IMPORTRANGE(""1vUGwO1n0QQGx9kKbO0_M5gmuhXZ6-LaxQxgrmJnzgP0"",""'TP# look up'!A:C""),3,0),"""")"),"")</f>
        <v/>
      </c>
      <c r="AH5430" s="49" t="str">
        <f t="shared" si="84"/>
        <v/>
      </c>
    </row>
    <row r="5431" spans="8:34" ht="12.75">
      <c r="H5431" s="43"/>
      <c r="AG5431" s="49" t="str">
        <f ca="1">IFERROR(__xludf.DUMMYFUNCTION("IFNA(vlookup(H5431,IMPORTRANGE(""1vUGwO1n0QQGx9kKbO0_M5gmuhXZ6-LaxQxgrmJnzgP0"",""'TP# look up'!A:C""),3,0),"""")"),"")</f>
        <v/>
      </c>
      <c r="AH5431" s="49" t="str">
        <f t="shared" si="84"/>
        <v/>
      </c>
    </row>
    <row r="5432" spans="8:34" ht="12.75">
      <c r="H5432" s="43"/>
      <c r="AG5432" s="49" t="str">
        <f ca="1">IFERROR(__xludf.DUMMYFUNCTION("IFNA(vlookup(H5432,IMPORTRANGE(""1vUGwO1n0QQGx9kKbO0_M5gmuhXZ6-LaxQxgrmJnzgP0"",""'TP# look up'!A:C""),3,0),"""")"),"")</f>
        <v/>
      </c>
      <c r="AH5432" s="49" t="str">
        <f t="shared" si="84"/>
        <v/>
      </c>
    </row>
    <row r="5433" spans="8:34" ht="12.75">
      <c r="H5433" s="43"/>
      <c r="AG5433" s="49" t="str">
        <f ca="1">IFERROR(__xludf.DUMMYFUNCTION("IFNA(vlookup(H5433,IMPORTRANGE(""1vUGwO1n0QQGx9kKbO0_M5gmuhXZ6-LaxQxgrmJnzgP0"",""'TP# look up'!A:C""),3,0),"""")"),"")</f>
        <v/>
      </c>
      <c r="AH5433" s="49" t="str">
        <f t="shared" si="84"/>
        <v/>
      </c>
    </row>
    <row r="5434" spans="8:34" ht="12.75">
      <c r="H5434" s="43"/>
      <c r="AG5434" s="49" t="str">
        <f ca="1">IFERROR(__xludf.DUMMYFUNCTION("IFNA(vlookup(H5434,IMPORTRANGE(""1vUGwO1n0QQGx9kKbO0_M5gmuhXZ6-LaxQxgrmJnzgP0"",""'TP# look up'!A:C""),3,0),"""")"),"")</f>
        <v/>
      </c>
      <c r="AH5434" s="49" t="str">
        <f t="shared" si="84"/>
        <v/>
      </c>
    </row>
    <row r="5435" spans="8:34" ht="12.75">
      <c r="H5435" s="43"/>
      <c r="AG5435" s="49" t="str">
        <f ca="1">IFERROR(__xludf.DUMMYFUNCTION("IFNA(vlookup(H5435,IMPORTRANGE(""1vUGwO1n0QQGx9kKbO0_M5gmuhXZ6-LaxQxgrmJnzgP0"",""'TP# look up'!A:C""),3,0),"""")"),"")</f>
        <v/>
      </c>
      <c r="AH5435" s="49" t="str">
        <f t="shared" si="84"/>
        <v/>
      </c>
    </row>
    <row r="5436" spans="8:34" ht="12.75">
      <c r="H5436" s="43"/>
      <c r="AG5436" s="49" t="str">
        <f ca="1">IFERROR(__xludf.DUMMYFUNCTION("IFNA(vlookup(H5436,IMPORTRANGE(""1vUGwO1n0QQGx9kKbO0_M5gmuhXZ6-LaxQxgrmJnzgP0"",""'TP# look up'!A:C""),3,0),"""")"),"")</f>
        <v/>
      </c>
      <c r="AH5436" s="49" t="str">
        <f t="shared" si="84"/>
        <v/>
      </c>
    </row>
    <row r="5437" spans="8:34" ht="12.75">
      <c r="H5437" s="43"/>
      <c r="AG5437" s="49" t="str">
        <f ca="1">IFERROR(__xludf.DUMMYFUNCTION("IFNA(vlookup(H5437,IMPORTRANGE(""1vUGwO1n0QQGx9kKbO0_M5gmuhXZ6-LaxQxgrmJnzgP0"",""'TP# look up'!A:C""),3,0),"""")"),"")</f>
        <v/>
      </c>
      <c r="AH5437" s="49" t="str">
        <f t="shared" si="84"/>
        <v/>
      </c>
    </row>
    <row r="5438" spans="8:34" ht="12.75">
      <c r="H5438" s="43"/>
      <c r="AG5438" s="49" t="str">
        <f ca="1">IFERROR(__xludf.DUMMYFUNCTION("IFNA(vlookup(H5438,IMPORTRANGE(""1vUGwO1n0QQGx9kKbO0_M5gmuhXZ6-LaxQxgrmJnzgP0"",""'TP# look up'!A:C""),3,0),"""")"),"")</f>
        <v/>
      </c>
      <c r="AH5438" s="49" t="str">
        <f t="shared" si="84"/>
        <v/>
      </c>
    </row>
    <row r="5439" spans="8:34" ht="12.75">
      <c r="H5439" s="43"/>
      <c r="AG5439" s="49" t="str">
        <f ca="1">IFERROR(__xludf.DUMMYFUNCTION("IFNA(vlookup(H5439,IMPORTRANGE(""1vUGwO1n0QQGx9kKbO0_M5gmuhXZ6-LaxQxgrmJnzgP0"",""'TP# look up'!A:C""),3,0),"""")"),"")</f>
        <v/>
      </c>
      <c r="AH5439" s="49" t="str">
        <f t="shared" si="84"/>
        <v/>
      </c>
    </row>
    <row r="5440" spans="8:34" ht="12.75">
      <c r="H5440" s="43"/>
      <c r="AG5440" s="49" t="str">
        <f ca="1">IFERROR(__xludf.DUMMYFUNCTION("IFNA(vlookup(H5440,IMPORTRANGE(""1vUGwO1n0QQGx9kKbO0_M5gmuhXZ6-LaxQxgrmJnzgP0"",""'TP# look up'!A:C""),3,0),"""")"),"")</f>
        <v/>
      </c>
      <c r="AH5440" s="49" t="str">
        <f t="shared" si="84"/>
        <v/>
      </c>
    </row>
    <row r="5441" spans="8:34" ht="12.75">
      <c r="H5441" s="43"/>
      <c r="AG5441" s="49" t="str">
        <f ca="1">IFERROR(__xludf.DUMMYFUNCTION("IFNA(vlookup(H5441,IMPORTRANGE(""1vUGwO1n0QQGx9kKbO0_M5gmuhXZ6-LaxQxgrmJnzgP0"",""'TP# look up'!A:C""),3,0),"""")"),"")</f>
        <v/>
      </c>
      <c r="AH5441" s="49" t="str">
        <f t="shared" si="84"/>
        <v/>
      </c>
    </row>
    <row r="5442" spans="8:34" ht="12.75">
      <c r="H5442" s="43"/>
      <c r="AG5442" s="49" t="str">
        <f ca="1">IFERROR(__xludf.DUMMYFUNCTION("IFNA(vlookup(H5442,IMPORTRANGE(""1vUGwO1n0QQGx9kKbO0_M5gmuhXZ6-LaxQxgrmJnzgP0"",""'TP# look up'!A:C""),3,0),"""")"),"")</f>
        <v/>
      </c>
      <c r="AH5442" s="49" t="str">
        <f t="shared" ref="AH5442:AH5505" si="85">LEFT(J5442,2)</f>
        <v/>
      </c>
    </row>
    <row r="5443" spans="8:34" ht="12.75">
      <c r="H5443" s="43"/>
      <c r="AG5443" s="49" t="str">
        <f ca="1">IFERROR(__xludf.DUMMYFUNCTION("IFNA(vlookup(H5443,IMPORTRANGE(""1vUGwO1n0QQGx9kKbO0_M5gmuhXZ6-LaxQxgrmJnzgP0"",""'TP# look up'!A:C""),3,0),"""")"),"")</f>
        <v/>
      </c>
      <c r="AH5443" s="49" t="str">
        <f t="shared" si="85"/>
        <v/>
      </c>
    </row>
    <row r="5444" spans="8:34" ht="12.75">
      <c r="H5444" s="43"/>
      <c r="AG5444" s="49" t="str">
        <f ca="1">IFERROR(__xludf.DUMMYFUNCTION("IFNA(vlookup(H5444,IMPORTRANGE(""1vUGwO1n0QQGx9kKbO0_M5gmuhXZ6-LaxQxgrmJnzgP0"",""'TP# look up'!A:C""),3,0),"""")"),"")</f>
        <v/>
      </c>
      <c r="AH5444" s="49" t="str">
        <f t="shared" si="85"/>
        <v/>
      </c>
    </row>
    <row r="5445" spans="8:34" ht="12.75">
      <c r="H5445" s="43"/>
      <c r="AG5445" s="49" t="str">
        <f ca="1">IFERROR(__xludf.DUMMYFUNCTION("IFNA(vlookup(H5445,IMPORTRANGE(""1vUGwO1n0QQGx9kKbO0_M5gmuhXZ6-LaxQxgrmJnzgP0"",""'TP# look up'!A:C""),3,0),"""")"),"")</f>
        <v/>
      </c>
      <c r="AH5445" s="49" t="str">
        <f t="shared" si="85"/>
        <v/>
      </c>
    </row>
    <row r="5446" spans="8:34" ht="12.75">
      <c r="H5446" s="43"/>
      <c r="AG5446" s="49" t="str">
        <f ca="1">IFERROR(__xludf.DUMMYFUNCTION("IFNA(vlookup(H5446,IMPORTRANGE(""1vUGwO1n0QQGx9kKbO0_M5gmuhXZ6-LaxQxgrmJnzgP0"",""'TP# look up'!A:C""),3,0),"""")"),"")</f>
        <v/>
      </c>
      <c r="AH5446" s="49" t="str">
        <f t="shared" si="85"/>
        <v/>
      </c>
    </row>
    <row r="5447" spans="8:34" ht="12.75">
      <c r="H5447" s="43"/>
      <c r="AG5447" s="49" t="str">
        <f ca="1">IFERROR(__xludf.DUMMYFUNCTION("IFNA(vlookup(H5447,IMPORTRANGE(""1vUGwO1n0QQGx9kKbO0_M5gmuhXZ6-LaxQxgrmJnzgP0"",""'TP# look up'!A:C""),3,0),"""")"),"")</f>
        <v/>
      </c>
      <c r="AH5447" s="49" t="str">
        <f t="shared" si="85"/>
        <v/>
      </c>
    </row>
    <row r="5448" spans="8:34" ht="12.75">
      <c r="H5448" s="43"/>
      <c r="AG5448" s="49" t="str">
        <f ca="1">IFERROR(__xludf.DUMMYFUNCTION("IFNA(vlookup(H5448,IMPORTRANGE(""1vUGwO1n0QQGx9kKbO0_M5gmuhXZ6-LaxQxgrmJnzgP0"",""'TP# look up'!A:C""),3,0),"""")"),"")</f>
        <v/>
      </c>
      <c r="AH5448" s="49" t="str">
        <f t="shared" si="85"/>
        <v/>
      </c>
    </row>
    <row r="5449" spans="8:34" ht="12.75">
      <c r="H5449" s="43"/>
      <c r="AG5449" s="49" t="str">
        <f ca="1">IFERROR(__xludf.DUMMYFUNCTION("IFNA(vlookup(H5449,IMPORTRANGE(""1vUGwO1n0QQGx9kKbO0_M5gmuhXZ6-LaxQxgrmJnzgP0"",""'TP# look up'!A:C""),3,0),"""")"),"")</f>
        <v/>
      </c>
      <c r="AH5449" s="49" t="str">
        <f t="shared" si="85"/>
        <v/>
      </c>
    </row>
    <row r="5450" spans="8:34" ht="12.75">
      <c r="H5450" s="43"/>
      <c r="AG5450" s="49" t="str">
        <f ca="1">IFERROR(__xludf.DUMMYFUNCTION("IFNA(vlookup(H5450,IMPORTRANGE(""1vUGwO1n0QQGx9kKbO0_M5gmuhXZ6-LaxQxgrmJnzgP0"",""'TP# look up'!A:C""),3,0),"""")"),"")</f>
        <v/>
      </c>
      <c r="AH5450" s="49" t="str">
        <f t="shared" si="85"/>
        <v/>
      </c>
    </row>
    <row r="5451" spans="8:34" ht="12.75">
      <c r="H5451" s="43"/>
      <c r="AG5451" s="49" t="str">
        <f ca="1">IFERROR(__xludf.DUMMYFUNCTION("IFNA(vlookup(H5451,IMPORTRANGE(""1vUGwO1n0QQGx9kKbO0_M5gmuhXZ6-LaxQxgrmJnzgP0"",""'TP# look up'!A:C""),3,0),"""")"),"")</f>
        <v/>
      </c>
      <c r="AH5451" s="49" t="str">
        <f t="shared" si="85"/>
        <v/>
      </c>
    </row>
    <row r="5452" spans="8:34" ht="12.75">
      <c r="H5452" s="43"/>
      <c r="AG5452" s="49" t="str">
        <f ca="1">IFERROR(__xludf.DUMMYFUNCTION("IFNA(vlookup(H5452,IMPORTRANGE(""1vUGwO1n0QQGx9kKbO0_M5gmuhXZ6-LaxQxgrmJnzgP0"",""'TP# look up'!A:C""),3,0),"""")"),"")</f>
        <v/>
      </c>
      <c r="AH5452" s="49" t="str">
        <f t="shared" si="85"/>
        <v/>
      </c>
    </row>
    <row r="5453" spans="8:34" ht="12.75">
      <c r="H5453" s="43"/>
      <c r="AG5453" s="49" t="str">
        <f ca="1">IFERROR(__xludf.DUMMYFUNCTION("IFNA(vlookup(H5453,IMPORTRANGE(""1vUGwO1n0QQGx9kKbO0_M5gmuhXZ6-LaxQxgrmJnzgP0"",""'TP# look up'!A:C""),3,0),"""")"),"")</f>
        <v/>
      </c>
      <c r="AH5453" s="49" t="str">
        <f t="shared" si="85"/>
        <v/>
      </c>
    </row>
    <row r="5454" spans="8:34" ht="12.75">
      <c r="H5454" s="43"/>
      <c r="AG5454" s="49" t="str">
        <f ca="1">IFERROR(__xludf.DUMMYFUNCTION("IFNA(vlookup(H5454,IMPORTRANGE(""1vUGwO1n0QQGx9kKbO0_M5gmuhXZ6-LaxQxgrmJnzgP0"",""'TP# look up'!A:C""),3,0),"""")"),"")</f>
        <v/>
      </c>
      <c r="AH5454" s="49" t="str">
        <f t="shared" si="85"/>
        <v/>
      </c>
    </row>
    <row r="5455" spans="8:34" ht="12.75">
      <c r="H5455" s="43"/>
      <c r="AG5455" s="49" t="str">
        <f ca="1">IFERROR(__xludf.DUMMYFUNCTION("IFNA(vlookup(H5455,IMPORTRANGE(""1vUGwO1n0QQGx9kKbO0_M5gmuhXZ6-LaxQxgrmJnzgP0"",""'TP# look up'!A:C""),3,0),"""")"),"")</f>
        <v/>
      </c>
      <c r="AH5455" s="49" t="str">
        <f t="shared" si="85"/>
        <v/>
      </c>
    </row>
    <row r="5456" spans="8:34" ht="12.75">
      <c r="H5456" s="43"/>
      <c r="AG5456" s="49" t="str">
        <f ca="1">IFERROR(__xludf.DUMMYFUNCTION("IFNA(vlookup(H5456,IMPORTRANGE(""1vUGwO1n0QQGx9kKbO0_M5gmuhXZ6-LaxQxgrmJnzgP0"",""'TP# look up'!A:C""),3,0),"""")"),"")</f>
        <v/>
      </c>
      <c r="AH5456" s="49" t="str">
        <f t="shared" si="85"/>
        <v/>
      </c>
    </row>
    <row r="5457" spans="8:34" ht="12.75">
      <c r="H5457" s="43"/>
      <c r="AG5457" s="49" t="str">
        <f ca="1">IFERROR(__xludf.DUMMYFUNCTION("IFNA(vlookup(H5457,IMPORTRANGE(""1vUGwO1n0QQGx9kKbO0_M5gmuhXZ6-LaxQxgrmJnzgP0"",""'TP# look up'!A:C""),3,0),"""")"),"")</f>
        <v/>
      </c>
      <c r="AH5457" s="49" t="str">
        <f t="shared" si="85"/>
        <v/>
      </c>
    </row>
    <row r="5458" spans="8:34" ht="12.75">
      <c r="H5458" s="43"/>
      <c r="AG5458" s="49" t="str">
        <f ca="1">IFERROR(__xludf.DUMMYFUNCTION("IFNA(vlookup(H5458,IMPORTRANGE(""1vUGwO1n0QQGx9kKbO0_M5gmuhXZ6-LaxQxgrmJnzgP0"",""'TP# look up'!A:C""),3,0),"""")"),"")</f>
        <v/>
      </c>
      <c r="AH5458" s="49" t="str">
        <f t="shared" si="85"/>
        <v/>
      </c>
    </row>
    <row r="5459" spans="8:34" ht="12.75">
      <c r="H5459" s="43"/>
      <c r="AG5459" s="49" t="str">
        <f ca="1">IFERROR(__xludf.DUMMYFUNCTION("IFNA(vlookup(H5459,IMPORTRANGE(""1vUGwO1n0QQGx9kKbO0_M5gmuhXZ6-LaxQxgrmJnzgP0"",""'TP# look up'!A:C""),3,0),"""")"),"")</f>
        <v/>
      </c>
      <c r="AH5459" s="49" t="str">
        <f t="shared" si="85"/>
        <v/>
      </c>
    </row>
    <row r="5460" spans="8:34" ht="12.75">
      <c r="H5460" s="43"/>
      <c r="AG5460" s="49" t="str">
        <f ca="1">IFERROR(__xludf.DUMMYFUNCTION("IFNA(vlookup(H5460,IMPORTRANGE(""1vUGwO1n0QQGx9kKbO0_M5gmuhXZ6-LaxQxgrmJnzgP0"",""'TP# look up'!A:C""),3,0),"""")"),"")</f>
        <v/>
      </c>
      <c r="AH5460" s="49" t="str">
        <f t="shared" si="85"/>
        <v/>
      </c>
    </row>
    <row r="5461" spans="8:34" ht="12.75">
      <c r="H5461" s="43"/>
      <c r="AG5461" s="49" t="str">
        <f ca="1">IFERROR(__xludf.DUMMYFUNCTION("IFNA(vlookup(H5461,IMPORTRANGE(""1vUGwO1n0QQGx9kKbO0_M5gmuhXZ6-LaxQxgrmJnzgP0"",""'TP# look up'!A:C""),3,0),"""")"),"")</f>
        <v/>
      </c>
      <c r="AH5461" s="49" t="str">
        <f t="shared" si="85"/>
        <v/>
      </c>
    </row>
    <row r="5462" spans="8:34" ht="12.75">
      <c r="H5462" s="43"/>
      <c r="AG5462" s="49" t="str">
        <f ca="1">IFERROR(__xludf.DUMMYFUNCTION("IFNA(vlookup(H5462,IMPORTRANGE(""1vUGwO1n0QQGx9kKbO0_M5gmuhXZ6-LaxQxgrmJnzgP0"",""'TP# look up'!A:C""),3,0),"""")"),"")</f>
        <v/>
      </c>
      <c r="AH5462" s="49" t="str">
        <f t="shared" si="85"/>
        <v/>
      </c>
    </row>
    <row r="5463" spans="8:34" ht="12.75">
      <c r="H5463" s="43"/>
      <c r="AG5463" s="49" t="str">
        <f ca="1">IFERROR(__xludf.DUMMYFUNCTION("IFNA(vlookup(H5463,IMPORTRANGE(""1vUGwO1n0QQGx9kKbO0_M5gmuhXZ6-LaxQxgrmJnzgP0"",""'TP# look up'!A:C""),3,0),"""")"),"")</f>
        <v/>
      </c>
      <c r="AH5463" s="49" t="str">
        <f t="shared" si="85"/>
        <v/>
      </c>
    </row>
    <row r="5464" spans="8:34" ht="12.75">
      <c r="H5464" s="43"/>
      <c r="AG5464" s="49" t="str">
        <f ca="1">IFERROR(__xludf.DUMMYFUNCTION("IFNA(vlookup(H5464,IMPORTRANGE(""1vUGwO1n0QQGx9kKbO0_M5gmuhXZ6-LaxQxgrmJnzgP0"",""'TP# look up'!A:C""),3,0),"""")"),"")</f>
        <v/>
      </c>
      <c r="AH5464" s="49" t="str">
        <f t="shared" si="85"/>
        <v/>
      </c>
    </row>
    <row r="5465" spans="8:34" ht="12.75">
      <c r="H5465" s="43"/>
      <c r="AG5465" s="49" t="str">
        <f ca="1">IFERROR(__xludf.DUMMYFUNCTION("IFNA(vlookup(H5465,IMPORTRANGE(""1vUGwO1n0QQGx9kKbO0_M5gmuhXZ6-LaxQxgrmJnzgP0"",""'TP# look up'!A:C""),3,0),"""")"),"")</f>
        <v/>
      </c>
      <c r="AH5465" s="49" t="str">
        <f t="shared" si="85"/>
        <v/>
      </c>
    </row>
    <row r="5466" spans="8:34" ht="12.75">
      <c r="H5466" s="43"/>
      <c r="AG5466" s="49" t="str">
        <f ca="1">IFERROR(__xludf.DUMMYFUNCTION("IFNA(vlookup(H5466,IMPORTRANGE(""1vUGwO1n0QQGx9kKbO0_M5gmuhXZ6-LaxQxgrmJnzgP0"",""'TP# look up'!A:C""),3,0),"""")"),"")</f>
        <v/>
      </c>
      <c r="AH5466" s="49" t="str">
        <f t="shared" si="85"/>
        <v/>
      </c>
    </row>
    <row r="5467" spans="8:34" ht="12.75">
      <c r="H5467" s="43"/>
      <c r="AG5467" s="49" t="str">
        <f ca="1">IFERROR(__xludf.DUMMYFUNCTION("IFNA(vlookup(H5467,IMPORTRANGE(""1vUGwO1n0QQGx9kKbO0_M5gmuhXZ6-LaxQxgrmJnzgP0"",""'TP# look up'!A:C""),3,0),"""")"),"")</f>
        <v/>
      </c>
      <c r="AH5467" s="49" t="str">
        <f t="shared" si="85"/>
        <v/>
      </c>
    </row>
    <row r="5468" spans="8:34" ht="12.75">
      <c r="H5468" s="43"/>
      <c r="AG5468" s="49" t="str">
        <f ca="1">IFERROR(__xludf.DUMMYFUNCTION("IFNA(vlookup(H5468,IMPORTRANGE(""1vUGwO1n0QQGx9kKbO0_M5gmuhXZ6-LaxQxgrmJnzgP0"",""'TP# look up'!A:C""),3,0),"""")"),"")</f>
        <v/>
      </c>
      <c r="AH5468" s="49" t="str">
        <f t="shared" si="85"/>
        <v/>
      </c>
    </row>
    <row r="5469" spans="8:34" ht="12.75">
      <c r="H5469" s="43"/>
      <c r="AG5469" s="49" t="str">
        <f ca="1">IFERROR(__xludf.DUMMYFUNCTION("IFNA(vlookup(H5469,IMPORTRANGE(""1vUGwO1n0QQGx9kKbO0_M5gmuhXZ6-LaxQxgrmJnzgP0"",""'TP# look up'!A:C""),3,0),"""")"),"")</f>
        <v/>
      </c>
      <c r="AH5469" s="49" t="str">
        <f t="shared" si="85"/>
        <v/>
      </c>
    </row>
    <row r="5470" spans="8:34" ht="12.75">
      <c r="H5470" s="43"/>
      <c r="AG5470" s="49" t="str">
        <f ca="1">IFERROR(__xludf.DUMMYFUNCTION("IFNA(vlookup(H5470,IMPORTRANGE(""1vUGwO1n0QQGx9kKbO0_M5gmuhXZ6-LaxQxgrmJnzgP0"",""'TP# look up'!A:C""),3,0),"""")"),"")</f>
        <v/>
      </c>
      <c r="AH5470" s="49" t="str">
        <f t="shared" si="85"/>
        <v/>
      </c>
    </row>
    <row r="5471" spans="8:34" ht="12.75">
      <c r="H5471" s="43"/>
      <c r="AG5471" s="49" t="str">
        <f ca="1">IFERROR(__xludf.DUMMYFUNCTION("IFNA(vlookup(H5471,IMPORTRANGE(""1vUGwO1n0QQGx9kKbO0_M5gmuhXZ6-LaxQxgrmJnzgP0"",""'TP# look up'!A:C""),3,0),"""")"),"")</f>
        <v/>
      </c>
      <c r="AH5471" s="49" t="str">
        <f t="shared" si="85"/>
        <v/>
      </c>
    </row>
    <row r="5472" spans="8:34" ht="12.75">
      <c r="H5472" s="43"/>
      <c r="AG5472" s="49" t="str">
        <f ca="1">IFERROR(__xludf.DUMMYFUNCTION("IFNA(vlookup(H5472,IMPORTRANGE(""1vUGwO1n0QQGx9kKbO0_M5gmuhXZ6-LaxQxgrmJnzgP0"",""'TP# look up'!A:C""),3,0),"""")"),"")</f>
        <v/>
      </c>
      <c r="AH5472" s="49" t="str">
        <f t="shared" si="85"/>
        <v/>
      </c>
    </row>
    <row r="5473" spans="8:34" ht="12.75">
      <c r="H5473" s="43"/>
      <c r="AG5473" s="49" t="str">
        <f ca="1">IFERROR(__xludf.DUMMYFUNCTION("IFNA(vlookup(H5473,IMPORTRANGE(""1vUGwO1n0QQGx9kKbO0_M5gmuhXZ6-LaxQxgrmJnzgP0"",""'TP# look up'!A:C""),3,0),"""")"),"")</f>
        <v/>
      </c>
      <c r="AH5473" s="49" t="str">
        <f t="shared" si="85"/>
        <v/>
      </c>
    </row>
    <row r="5474" spans="8:34" ht="12.75">
      <c r="H5474" s="43"/>
      <c r="AG5474" s="49" t="str">
        <f ca="1">IFERROR(__xludf.DUMMYFUNCTION("IFNA(vlookup(H5474,IMPORTRANGE(""1vUGwO1n0QQGx9kKbO0_M5gmuhXZ6-LaxQxgrmJnzgP0"",""'TP# look up'!A:C""),3,0),"""")"),"")</f>
        <v/>
      </c>
      <c r="AH5474" s="49" t="str">
        <f t="shared" si="85"/>
        <v/>
      </c>
    </row>
    <row r="5475" spans="8:34" ht="12.75">
      <c r="H5475" s="43"/>
      <c r="AG5475" s="49" t="str">
        <f ca="1">IFERROR(__xludf.DUMMYFUNCTION("IFNA(vlookup(H5475,IMPORTRANGE(""1vUGwO1n0QQGx9kKbO0_M5gmuhXZ6-LaxQxgrmJnzgP0"",""'TP# look up'!A:C""),3,0),"""")"),"")</f>
        <v/>
      </c>
      <c r="AH5475" s="49" t="str">
        <f t="shared" si="85"/>
        <v/>
      </c>
    </row>
    <row r="5476" spans="8:34" ht="12.75">
      <c r="H5476" s="43"/>
      <c r="AG5476" s="49" t="str">
        <f ca="1">IFERROR(__xludf.DUMMYFUNCTION("IFNA(vlookup(H5476,IMPORTRANGE(""1vUGwO1n0QQGx9kKbO0_M5gmuhXZ6-LaxQxgrmJnzgP0"",""'TP# look up'!A:C""),3,0),"""")"),"")</f>
        <v/>
      </c>
      <c r="AH5476" s="49" t="str">
        <f t="shared" si="85"/>
        <v/>
      </c>
    </row>
    <row r="5477" spans="8:34" ht="12.75">
      <c r="H5477" s="43"/>
      <c r="AG5477" s="49" t="str">
        <f ca="1">IFERROR(__xludf.DUMMYFUNCTION("IFNA(vlookup(H5477,IMPORTRANGE(""1vUGwO1n0QQGx9kKbO0_M5gmuhXZ6-LaxQxgrmJnzgP0"",""'TP# look up'!A:C""),3,0),"""")"),"")</f>
        <v/>
      </c>
      <c r="AH5477" s="49" t="str">
        <f t="shared" si="85"/>
        <v/>
      </c>
    </row>
    <row r="5478" spans="8:34" ht="12.75">
      <c r="H5478" s="43"/>
      <c r="AG5478" s="49" t="str">
        <f ca="1">IFERROR(__xludf.DUMMYFUNCTION("IFNA(vlookup(H5478,IMPORTRANGE(""1vUGwO1n0QQGx9kKbO0_M5gmuhXZ6-LaxQxgrmJnzgP0"",""'TP# look up'!A:C""),3,0),"""")"),"")</f>
        <v/>
      </c>
      <c r="AH5478" s="49" t="str">
        <f t="shared" si="85"/>
        <v/>
      </c>
    </row>
    <row r="5479" spans="8:34" ht="12.75">
      <c r="H5479" s="43"/>
      <c r="AG5479" s="49" t="str">
        <f ca="1">IFERROR(__xludf.DUMMYFUNCTION("IFNA(vlookup(H5479,IMPORTRANGE(""1vUGwO1n0QQGx9kKbO0_M5gmuhXZ6-LaxQxgrmJnzgP0"",""'TP# look up'!A:C""),3,0),"""")"),"")</f>
        <v/>
      </c>
      <c r="AH5479" s="49" t="str">
        <f t="shared" si="85"/>
        <v/>
      </c>
    </row>
    <row r="5480" spans="8:34" ht="12.75">
      <c r="H5480" s="43"/>
      <c r="AG5480" s="49" t="str">
        <f ca="1">IFERROR(__xludf.DUMMYFUNCTION("IFNA(vlookup(H5480,IMPORTRANGE(""1vUGwO1n0QQGx9kKbO0_M5gmuhXZ6-LaxQxgrmJnzgP0"",""'TP# look up'!A:C""),3,0),"""")"),"")</f>
        <v/>
      </c>
      <c r="AH5480" s="49" t="str">
        <f t="shared" si="85"/>
        <v/>
      </c>
    </row>
    <row r="5481" spans="8:34" ht="12.75">
      <c r="H5481" s="43"/>
      <c r="AG5481" s="49" t="str">
        <f ca="1">IFERROR(__xludf.DUMMYFUNCTION("IFNA(vlookup(H5481,IMPORTRANGE(""1vUGwO1n0QQGx9kKbO0_M5gmuhXZ6-LaxQxgrmJnzgP0"",""'TP# look up'!A:C""),3,0),"""")"),"")</f>
        <v/>
      </c>
      <c r="AH5481" s="49" t="str">
        <f t="shared" si="85"/>
        <v/>
      </c>
    </row>
    <row r="5482" spans="8:34" ht="12.75">
      <c r="H5482" s="43"/>
      <c r="AG5482" s="49" t="str">
        <f ca="1">IFERROR(__xludf.DUMMYFUNCTION("IFNA(vlookup(H5482,IMPORTRANGE(""1vUGwO1n0QQGx9kKbO0_M5gmuhXZ6-LaxQxgrmJnzgP0"",""'TP# look up'!A:C""),3,0),"""")"),"")</f>
        <v/>
      </c>
      <c r="AH5482" s="49" t="str">
        <f t="shared" si="85"/>
        <v/>
      </c>
    </row>
    <row r="5483" spans="8:34" ht="12.75">
      <c r="H5483" s="43"/>
      <c r="AG5483" s="49" t="str">
        <f ca="1">IFERROR(__xludf.DUMMYFUNCTION("IFNA(vlookup(H5483,IMPORTRANGE(""1vUGwO1n0QQGx9kKbO0_M5gmuhXZ6-LaxQxgrmJnzgP0"",""'TP# look up'!A:C""),3,0),"""")"),"")</f>
        <v/>
      </c>
      <c r="AH5483" s="49" t="str">
        <f t="shared" si="85"/>
        <v/>
      </c>
    </row>
    <row r="5484" spans="8:34" ht="12.75">
      <c r="H5484" s="43"/>
      <c r="AG5484" s="49" t="str">
        <f ca="1">IFERROR(__xludf.DUMMYFUNCTION("IFNA(vlookup(H5484,IMPORTRANGE(""1vUGwO1n0QQGx9kKbO0_M5gmuhXZ6-LaxQxgrmJnzgP0"",""'TP# look up'!A:C""),3,0),"""")"),"")</f>
        <v/>
      </c>
      <c r="AH5484" s="49" t="str">
        <f t="shared" si="85"/>
        <v/>
      </c>
    </row>
    <row r="5485" spans="8:34" ht="12.75">
      <c r="H5485" s="43"/>
      <c r="AG5485" s="49" t="str">
        <f ca="1">IFERROR(__xludf.DUMMYFUNCTION("IFNA(vlookup(H5485,IMPORTRANGE(""1vUGwO1n0QQGx9kKbO0_M5gmuhXZ6-LaxQxgrmJnzgP0"",""'TP# look up'!A:C""),3,0),"""")"),"")</f>
        <v/>
      </c>
      <c r="AH5485" s="49" t="str">
        <f t="shared" si="85"/>
        <v/>
      </c>
    </row>
    <row r="5486" spans="8:34" ht="12.75">
      <c r="H5486" s="43"/>
      <c r="AG5486" s="49" t="str">
        <f ca="1">IFERROR(__xludf.DUMMYFUNCTION("IFNA(vlookup(H5486,IMPORTRANGE(""1vUGwO1n0QQGx9kKbO0_M5gmuhXZ6-LaxQxgrmJnzgP0"",""'TP# look up'!A:C""),3,0),"""")"),"")</f>
        <v/>
      </c>
      <c r="AH5486" s="49" t="str">
        <f t="shared" si="85"/>
        <v/>
      </c>
    </row>
    <row r="5487" spans="8:34" ht="12.75">
      <c r="H5487" s="43"/>
      <c r="AG5487" s="49" t="str">
        <f ca="1">IFERROR(__xludf.DUMMYFUNCTION("IFNA(vlookup(H5487,IMPORTRANGE(""1vUGwO1n0QQGx9kKbO0_M5gmuhXZ6-LaxQxgrmJnzgP0"",""'TP# look up'!A:C""),3,0),"""")"),"")</f>
        <v/>
      </c>
      <c r="AH5487" s="49" t="str">
        <f t="shared" si="85"/>
        <v/>
      </c>
    </row>
    <row r="5488" spans="8:34" ht="12.75">
      <c r="H5488" s="43"/>
      <c r="AG5488" s="49" t="str">
        <f ca="1">IFERROR(__xludf.DUMMYFUNCTION("IFNA(vlookup(H5488,IMPORTRANGE(""1vUGwO1n0QQGx9kKbO0_M5gmuhXZ6-LaxQxgrmJnzgP0"",""'TP# look up'!A:C""),3,0),"""")"),"")</f>
        <v/>
      </c>
      <c r="AH5488" s="49" t="str">
        <f t="shared" si="85"/>
        <v/>
      </c>
    </row>
    <row r="5489" spans="8:34" ht="12.75">
      <c r="H5489" s="43"/>
      <c r="AG5489" s="49" t="str">
        <f ca="1">IFERROR(__xludf.DUMMYFUNCTION("IFNA(vlookup(H5489,IMPORTRANGE(""1vUGwO1n0QQGx9kKbO0_M5gmuhXZ6-LaxQxgrmJnzgP0"",""'TP# look up'!A:C""),3,0),"""")"),"")</f>
        <v/>
      </c>
      <c r="AH5489" s="49" t="str">
        <f t="shared" si="85"/>
        <v/>
      </c>
    </row>
    <row r="5490" spans="8:34" ht="12.75">
      <c r="H5490" s="43"/>
      <c r="AG5490" s="49" t="str">
        <f ca="1">IFERROR(__xludf.DUMMYFUNCTION("IFNA(vlookup(H5490,IMPORTRANGE(""1vUGwO1n0QQGx9kKbO0_M5gmuhXZ6-LaxQxgrmJnzgP0"",""'TP# look up'!A:C""),3,0),"""")"),"")</f>
        <v/>
      </c>
      <c r="AH5490" s="49" t="str">
        <f t="shared" si="85"/>
        <v/>
      </c>
    </row>
    <row r="5491" spans="8:34" ht="12.75">
      <c r="H5491" s="43"/>
      <c r="AG5491" s="49" t="str">
        <f ca="1">IFERROR(__xludf.DUMMYFUNCTION("IFNA(vlookup(H5491,IMPORTRANGE(""1vUGwO1n0QQGx9kKbO0_M5gmuhXZ6-LaxQxgrmJnzgP0"",""'TP# look up'!A:C""),3,0),"""")"),"")</f>
        <v/>
      </c>
      <c r="AH5491" s="49" t="str">
        <f t="shared" si="85"/>
        <v/>
      </c>
    </row>
    <row r="5492" spans="8:34" ht="12.75">
      <c r="H5492" s="43"/>
      <c r="AG5492" s="49" t="str">
        <f ca="1">IFERROR(__xludf.DUMMYFUNCTION("IFNA(vlookup(H5492,IMPORTRANGE(""1vUGwO1n0QQGx9kKbO0_M5gmuhXZ6-LaxQxgrmJnzgP0"",""'TP# look up'!A:C""),3,0),"""")"),"")</f>
        <v/>
      </c>
      <c r="AH5492" s="49" t="str">
        <f t="shared" si="85"/>
        <v/>
      </c>
    </row>
    <row r="5493" spans="8:34" ht="12.75">
      <c r="H5493" s="43"/>
      <c r="AG5493" s="49" t="str">
        <f ca="1">IFERROR(__xludf.DUMMYFUNCTION("IFNA(vlookup(H5493,IMPORTRANGE(""1vUGwO1n0QQGx9kKbO0_M5gmuhXZ6-LaxQxgrmJnzgP0"",""'TP# look up'!A:C""),3,0),"""")"),"")</f>
        <v/>
      </c>
      <c r="AH5493" s="49" t="str">
        <f t="shared" si="85"/>
        <v/>
      </c>
    </row>
    <row r="5494" spans="8:34" ht="12.75">
      <c r="H5494" s="43"/>
      <c r="AG5494" s="49" t="str">
        <f ca="1">IFERROR(__xludf.DUMMYFUNCTION("IFNA(vlookup(H5494,IMPORTRANGE(""1vUGwO1n0QQGx9kKbO0_M5gmuhXZ6-LaxQxgrmJnzgP0"",""'TP# look up'!A:C""),3,0),"""")"),"")</f>
        <v/>
      </c>
      <c r="AH5494" s="49" t="str">
        <f t="shared" si="85"/>
        <v/>
      </c>
    </row>
    <row r="5495" spans="8:34" ht="12.75">
      <c r="H5495" s="43"/>
      <c r="AG5495" s="49" t="str">
        <f ca="1">IFERROR(__xludf.DUMMYFUNCTION("IFNA(vlookup(H5495,IMPORTRANGE(""1vUGwO1n0QQGx9kKbO0_M5gmuhXZ6-LaxQxgrmJnzgP0"",""'TP# look up'!A:C""),3,0),"""")"),"")</f>
        <v/>
      </c>
      <c r="AH5495" s="49" t="str">
        <f t="shared" si="85"/>
        <v/>
      </c>
    </row>
    <row r="5496" spans="8:34" ht="12.75">
      <c r="H5496" s="43"/>
      <c r="AG5496" s="49" t="str">
        <f ca="1">IFERROR(__xludf.DUMMYFUNCTION("IFNA(vlookup(H5496,IMPORTRANGE(""1vUGwO1n0QQGx9kKbO0_M5gmuhXZ6-LaxQxgrmJnzgP0"",""'TP# look up'!A:C""),3,0),"""")"),"")</f>
        <v/>
      </c>
      <c r="AH5496" s="49" t="str">
        <f t="shared" si="85"/>
        <v/>
      </c>
    </row>
    <row r="5497" spans="8:34" ht="12.75">
      <c r="H5497" s="43"/>
      <c r="AG5497" s="49" t="str">
        <f ca="1">IFERROR(__xludf.DUMMYFUNCTION("IFNA(vlookup(H5497,IMPORTRANGE(""1vUGwO1n0QQGx9kKbO0_M5gmuhXZ6-LaxQxgrmJnzgP0"",""'TP# look up'!A:C""),3,0),"""")"),"")</f>
        <v/>
      </c>
      <c r="AH5497" s="49" t="str">
        <f t="shared" si="85"/>
        <v/>
      </c>
    </row>
    <row r="5498" spans="8:34" ht="12.75">
      <c r="H5498" s="43"/>
      <c r="AG5498" s="49" t="str">
        <f ca="1">IFERROR(__xludf.DUMMYFUNCTION("IFNA(vlookup(H5498,IMPORTRANGE(""1vUGwO1n0QQGx9kKbO0_M5gmuhXZ6-LaxQxgrmJnzgP0"",""'TP# look up'!A:C""),3,0),"""")"),"")</f>
        <v/>
      </c>
      <c r="AH5498" s="49" t="str">
        <f t="shared" si="85"/>
        <v/>
      </c>
    </row>
    <row r="5499" spans="8:34" ht="12.75">
      <c r="H5499" s="43"/>
      <c r="AG5499" s="49" t="str">
        <f ca="1">IFERROR(__xludf.DUMMYFUNCTION("IFNA(vlookup(H5499,IMPORTRANGE(""1vUGwO1n0QQGx9kKbO0_M5gmuhXZ6-LaxQxgrmJnzgP0"",""'TP# look up'!A:C""),3,0),"""")"),"")</f>
        <v/>
      </c>
      <c r="AH5499" s="49" t="str">
        <f t="shared" si="85"/>
        <v/>
      </c>
    </row>
    <row r="5500" spans="8:34" ht="12.75">
      <c r="H5500" s="43"/>
      <c r="AG5500" s="49" t="str">
        <f ca="1">IFERROR(__xludf.DUMMYFUNCTION("IFNA(vlookup(H5500,IMPORTRANGE(""1vUGwO1n0QQGx9kKbO0_M5gmuhXZ6-LaxQxgrmJnzgP0"",""'TP# look up'!A:C""),3,0),"""")"),"")</f>
        <v/>
      </c>
      <c r="AH5500" s="49" t="str">
        <f t="shared" si="85"/>
        <v/>
      </c>
    </row>
    <row r="5501" spans="8:34" ht="12.75">
      <c r="H5501" s="43"/>
      <c r="AG5501" s="49" t="str">
        <f ca="1">IFERROR(__xludf.DUMMYFUNCTION("IFNA(vlookup(H5501,IMPORTRANGE(""1vUGwO1n0QQGx9kKbO0_M5gmuhXZ6-LaxQxgrmJnzgP0"",""'TP# look up'!A:C""),3,0),"""")"),"")</f>
        <v/>
      </c>
      <c r="AH5501" s="49" t="str">
        <f t="shared" si="85"/>
        <v/>
      </c>
    </row>
    <row r="5502" spans="8:34" ht="12.75">
      <c r="H5502" s="43"/>
      <c r="AG5502" s="49" t="str">
        <f ca="1">IFERROR(__xludf.DUMMYFUNCTION("IFNA(vlookup(H5502,IMPORTRANGE(""1vUGwO1n0QQGx9kKbO0_M5gmuhXZ6-LaxQxgrmJnzgP0"",""'TP# look up'!A:C""),3,0),"""")"),"")</f>
        <v/>
      </c>
      <c r="AH5502" s="49" t="str">
        <f t="shared" si="85"/>
        <v/>
      </c>
    </row>
    <row r="5503" spans="8:34" ht="12.75">
      <c r="H5503" s="43"/>
      <c r="AG5503" s="49" t="str">
        <f ca="1">IFERROR(__xludf.DUMMYFUNCTION("IFNA(vlookup(H5503,IMPORTRANGE(""1vUGwO1n0QQGx9kKbO0_M5gmuhXZ6-LaxQxgrmJnzgP0"",""'TP# look up'!A:C""),3,0),"""")"),"")</f>
        <v/>
      </c>
      <c r="AH5503" s="49" t="str">
        <f t="shared" si="85"/>
        <v/>
      </c>
    </row>
    <row r="5504" spans="8:34" ht="12.75">
      <c r="H5504" s="43"/>
      <c r="AG5504" s="49" t="str">
        <f ca="1">IFERROR(__xludf.DUMMYFUNCTION("IFNA(vlookup(H5504,IMPORTRANGE(""1vUGwO1n0QQGx9kKbO0_M5gmuhXZ6-LaxQxgrmJnzgP0"",""'TP# look up'!A:C""),3,0),"""")"),"")</f>
        <v/>
      </c>
      <c r="AH5504" s="49" t="str">
        <f t="shared" si="85"/>
        <v/>
      </c>
    </row>
    <row r="5505" spans="8:34" ht="12.75">
      <c r="H5505" s="43"/>
      <c r="AG5505" s="49" t="str">
        <f ca="1">IFERROR(__xludf.DUMMYFUNCTION("IFNA(vlookup(H5505,IMPORTRANGE(""1vUGwO1n0QQGx9kKbO0_M5gmuhXZ6-LaxQxgrmJnzgP0"",""'TP# look up'!A:C""),3,0),"""")"),"")</f>
        <v/>
      </c>
      <c r="AH5505" s="49" t="str">
        <f t="shared" si="85"/>
        <v/>
      </c>
    </row>
    <row r="5506" spans="8:34" ht="12.75">
      <c r="H5506" s="43"/>
      <c r="AG5506" s="49" t="str">
        <f ca="1">IFERROR(__xludf.DUMMYFUNCTION("IFNA(vlookup(H5506,IMPORTRANGE(""1vUGwO1n0QQGx9kKbO0_M5gmuhXZ6-LaxQxgrmJnzgP0"",""'TP# look up'!A:C""),3,0),"""")"),"")</f>
        <v/>
      </c>
      <c r="AH5506" s="49" t="str">
        <f t="shared" ref="AH5506:AH5569" si="86">LEFT(J5506,2)</f>
        <v/>
      </c>
    </row>
    <row r="5507" spans="8:34" ht="12.75">
      <c r="H5507" s="43"/>
      <c r="AG5507" s="49" t="str">
        <f ca="1">IFERROR(__xludf.DUMMYFUNCTION("IFNA(vlookup(H5507,IMPORTRANGE(""1vUGwO1n0QQGx9kKbO0_M5gmuhXZ6-LaxQxgrmJnzgP0"",""'TP# look up'!A:C""),3,0),"""")"),"")</f>
        <v/>
      </c>
      <c r="AH5507" s="49" t="str">
        <f t="shared" si="86"/>
        <v/>
      </c>
    </row>
    <row r="5508" spans="8:34" ht="12.75">
      <c r="H5508" s="43"/>
      <c r="AG5508" s="49" t="str">
        <f ca="1">IFERROR(__xludf.DUMMYFUNCTION("IFNA(vlookup(H5508,IMPORTRANGE(""1vUGwO1n0QQGx9kKbO0_M5gmuhXZ6-LaxQxgrmJnzgP0"",""'TP# look up'!A:C""),3,0),"""")"),"")</f>
        <v/>
      </c>
      <c r="AH5508" s="49" t="str">
        <f t="shared" si="86"/>
        <v/>
      </c>
    </row>
    <row r="5509" spans="8:34" ht="12.75">
      <c r="H5509" s="43"/>
      <c r="AG5509" s="49" t="str">
        <f ca="1">IFERROR(__xludf.DUMMYFUNCTION("IFNA(vlookup(H5509,IMPORTRANGE(""1vUGwO1n0QQGx9kKbO0_M5gmuhXZ6-LaxQxgrmJnzgP0"",""'TP# look up'!A:C""),3,0),"""")"),"")</f>
        <v/>
      </c>
      <c r="AH5509" s="49" t="str">
        <f t="shared" si="86"/>
        <v/>
      </c>
    </row>
    <row r="5510" spans="8:34" ht="12.75">
      <c r="H5510" s="43"/>
      <c r="AG5510" s="49" t="str">
        <f ca="1">IFERROR(__xludf.DUMMYFUNCTION("IFNA(vlookup(H5510,IMPORTRANGE(""1vUGwO1n0QQGx9kKbO0_M5gmuhXZ6-LaxQxgrmJnzgP0"",""'TP# look up'!A:C""),3,0),"""")"),"")</f>
        <v/>
      </c>
      <c r="AH5510" s="49" t="str">
        <f t="shared" si="86"/>
        <v/>
      </c>
    </row>
    <row r="5511" spans="8:34" ht="12.75">
      <c r="H5511" s="43"/>
      <c r="AG5511" s="49" t="str">
        <f ca="1">IFERROR(__xludf.DUMMYFUNCTION("IFNA(vlookup(H5511,IMPORTRANGE(""1vUGwO1n0QQGx9kKbO0_M5gmuhXZ6-LaxQxgrmJnzgP0"",""'TP# look up'!A:C""),3,0),"""")"),"")</f>
        <v/>
      </c>
      <c r="AH5511" s="49" t="str">
        <f t="shared" si="86"/>
        <v/>
      </c>
    </row>
    <row r="5512" spans="8:34" ht="12.75">
      <c r="H5512" s="43"/>
      <c r="AG5512" s="49" t="str">
        <f ca="1">IFERROR(__xludf.DUMMYFUNCTION("IFNA(vlookup(H5512,IMPORTRANGE(""1vUGwO1n0QQGx9kKbO0_M5gmuhXZ6-LaxQxgrmJnzgP0"",""'TP# look up'!A:C""),3,0),"""")"),"")</f>
        <v/>
      </c>
      <c r="AH5512" s="49" t="str">
        <f t="shared" si="86"/>
        <v/>
      </c>
    </row>
    <row r="5513" spans="8:34" ht="12.75">
      <c r="H5513" s="43"/>
      <c r="AG5513" s="49" t="str">
        <f ca="1">IFERROR(__xludf.DUMMYFUNCTION("IFNA(vlookup(H5513,IMPORTRANGE(""1vUGwO1n0QQGx9kKbO0_M5gmuhXZ6-LaxQxgrmJnzgP0"",""'TP# look up'!A:C""),3,0),"""")"),"")</f>
        <v/>
      </c>
      <c r="AH5513" s="49" t="str">
        <f t="shared" si="86"/>
        <v/>
      </c>
    </row>
    <row r="5514" spans="8:34" ht="12.75">
      <c r="H5514" s="43"/>
      <c r="AG5514" s="49" t="str">
        <f ca="1">IFERROR(__xludf.DUMMYFUNCTION("IFNA(vlookup(H5514,IMPORTRANGE(""1vUGwO1n0QQGx9kKbO0_M5gmuhXZ6-LaxQxgrmJnzgP0"",""'TP# look up'!A:C""),3,0),"""")"),"")</f>
        <v/>
      </c>
      <c r="AH5514" s="49" t="str">
        <f t="shared" si="86"/>
        <v/>
      </c>
    </row>
    <row r="5515" spans="8:34" ht="12.75">
      <c r="H5515" s="43"/>
      <c r="AG5515" s="49" t="str">
        <f ca="1">IFERROR(__xludf.DUMMYFUNCTION("IFNA(vlookup(H5515,IMPORTRANGE(""1vUGwO1n0QQGx9kKbO0_M5gmuhXZ6-LaxQxgrmJnzgP0"",""'TP# look up'!A:C""),3,0),"""")"),"")</f>
        <v/>
      </c>
      <c r="AH5515" s="49" t="str">
        <f t="shared" si="86"/>
        <v/>
      </c>
    </row>
    <row r="5516" spans="8:34" ht="12.75">
      <c r="H5516" s="43"/>
      <c r="AG5516" s="49" t="str">
        <f ca="1">IFERROR(__xludf.DUMMYFUNCTION("IFNA(vlookup(H5516,IMPORTRANGE(""1vUGwO1n0QQGx9kKbO0_M5gmuhXZ6-LaxQxgrmJnzgP0"",""'TP# look up'!A:C""),3,0),"""")"),"")</f>
        <v/>
      </c>
      <c r="AH5516" s="49" t="str">
        <f t="shared" si="86"/>
        <v/>
      </c>
    </row>
    <row r="5517" spans="8:34" ht="12.75">
      <c r="H5517" s="43"/>
      <c r="AG5517" s="49" t="str">
        <f ca="1">IFERROR(__xludf.DUMMYFUNCTION("IFNA(vlookup(H5517,IMPORTRANGE(""1vUGwO1n0QQGx9kKbO0_M5gmuhXZ6-LaxQxgrmJnzgP0"",""'TP# look up'!A:C""),3,0),"""")"),"")</f>
        <v/>
      </c>
      <c r="AH5517" s="49" t="str">
        <f t="shared" si="86"/>
        <v/>
      </c>
    </row>
    <row r="5518" spans="8:34" ht="12.75">
      <c r="H5518" s="43"/>
      <c r="AG5518" s="49" t="str">
        <f ca="1">IFERROR(__xludf.DUMMYFUNCTION("IFNA(vlookup(H5518,IMPORTRANGE(""1vUGwO1n0QQGx9kKbO0_M5gmuhXZ6-LaxQxgrmJnzgP0"",""'TP# look up'!A:C""),3,0),"""")"),"")</f>
        <v/>
      </c>
      <c r="AH5518" s="49" t="str">
        <f t="shared" si="86"/>
        <v/>
      </c>
    </row>
    <row r="5519" spans="8:34" ht="12.75">
      <c r="H5519" s="43"/>
      <c r="AG5519" s="49" t="str">
        <f ca="1">IFERROR(__xludf.DUMMYFUNCTION("IFNA(vlookup(H5519,IMPORTRANGE(""1vUGwO1n0QQGx9kKbO0_M5gmuhXZ6-LaxQxgrmJnzgP0"",""'TP# look up'!A:C""),3,0),"""")"),"")</f>
        <v/>
      </c>
      <c r="AH5519" s="49" t="str">
        <f t="shared" si="86"/>
        <v/>
      </c>
    </row>
    <row r="5520" spans="8:34" ht="12.75">
      <c r="H5520" s="43"/>
      <c r="AG5520" s="49" t="str">
        <f ca="1">IFERROR(__xludf.DUMMYFUNCTION("IFNA(vlookup(H5520,IMPORTRANGE(""1vUGwO1n0QQGx9kKbO0_M5gmuhXZ6-LaxQxgrmJnzgP0"",""'TP# look up'!A:C""),3,0),"""")"),"")</f>
        <v/>
      </c>
      <c r="AH5520" s="49" t="str">
        <f t="shared" si="86"/>
        <v/>
      </c>
    </row>
    <row r="5521" spans="8:34" ht="12.75">
      <c r="H5521" s="43"/>
      <c r="AG5521" s="49" t="str">
        <f ca="1">IFERROR(__xludf.DUMMYFUNCTION("IFNA(vlookup(H5521,IMPORTRANGE(""1vUGwO1n0QQGx9kKbO0_M5gmuhXZ6-LaxQxgrmJnzgP0"",""'TP# look up'!A:C""),3,0),"""")"),"")</f>
        <v/>
      </c>
      <c r="AH5521" s="49" t="str">
        <f t="shared" si="86"/>
        <v/>
      </c>
    </row>
    <row r="5522" spans="8:34" ht="12.75">
      <c r="H5522" s="43"/>
      <c r="AG5522" s="49" t="str">
        <f ca="1">IFERROR(__xludf.DUMMYFUNCTION("IFNA(vlookup(H5522,IMPORTRANGE(""1vUGwO1n0QQGx9kKbO0_M5gmuhXZ6-LaxQxgrmJnzgP0"",""'TP# look up'!A:C""),3,0),"""")"),"")</f>
        <v/>
      </c>
      <c r="AH5522" s="49" t="str">
        <f t="shared" si="86"/>
        <v/>
      </c>
    </row>
    <row r="5523" spans="8:34" ht="12.75">
      <c r="H5523" s="43"/>
      <c r="AG5523" s="49" t="str">
        <f ca="1">IFERROR(__xludf.DUMMYFUNCTION("IFNA(vlookup(H5523,IMPORTRANGE(""1vUGwO1n0QQGx9kKbO0_M5gmuhXZ6-LaxQxgrmJnzgP0"",""'TP# look up'!A:C""),3,0),"""")"),"")</f>
        <v/>
      </c>
      <c r="AH5523" s="49" t="str">
        <f t="shared" si="86"/>
        <v/>
      </c>
    </row>
    <row r="5524" spans="8:34" ht="12.75">
      <c r="H5524" s="43"/>
      <c r="AG5524" s="49" t="str">
        <f ca="1">IFERROR(__xludf.DUMMYFUNCTION("IFNA(vlookup(H5524,IMPORTRANGE(""1vUGwO1n0QQGx9kKbO0_M5gmuhXZ6-LaxQxgrmJnzgP0"",""'TP# look up'!A:C""),3,0),"""")"),"")</f>
        <v/>
      </c>
      <c r="AH5524" s="49" t="str">
        <f t="shared" si="86"/>
        <v/>
      </c>
    </row>
    <row r="5525" spans="8:34" ht="12.75">
      <c r="H5525" s="43"/>
      <c r="AG5525" s="49" t="str">
        <f ca="1">IFERROR(__xludf.DUMMYFUNCTION("IFNA(vlookup(H5525,IMPORTRANGE(""1vUGwO1n0QQGx9kKbO0_M5gmuhXZ6-LaxQxgrmJnzgP0"",""'TP# look up'!A:C""),3,0),"""")"),"")</f>
        <v/>
      </c>
      <c r="AH5525" s="49" t="str">
        <f t="shared" si="86"/>
        <v/>
      </c>
    </row>
    <row r="5526" spans="8:34" ht="12.75">
      <c r="H5526" s="43"/>
      <c r="AG5526" s="49" t="str">
        <f ca="1">IFERROR(__xludf.DUMMYFUNCTION("IFNA(vlookup(H5526,IMPORTRANGE(""1vUGwO1n0QQGx9kKbO0_M5gmuhXZ6-LaxQxgrmJnzgP0"",""'TP# look up'!A:C""),3,0),"""")"),"")</f>
        <v/>
      </c>
      <c r="AH5526" s="49" t="str">
        <f t="shared" si="86"/>
        <v/>
      </c>
    </row>
    <row r="5527" spans="8:34" ht="12.75">
      <c r="H5527" s="43"/>
      <c r="AG5527" s="49" t="str">
        <f ca="1">IFERROR(__xludf.DUMMYFUNCTION("IFNA(vlookup(H5527,IMPORTRANGE(""1vUGwO1n0QQGx9kKbO0_M5gmuhXZ6-LaxQxgrmJnzgP0"",""'TP# look up'!A:C""),3,0),"""")"),"")</f>
        <v/>
      </c>
      <c r="AH5527" s="49" t="str">
        <f t="shared" si="86"/>
        <v/>
      </c>
    </row>
    <row r="5528" spans="8:34" ht="12.75">
      <c r="H5528" s="43"/>
      <c r="AG5528" s="49" t="str">
        <f ca="1">IFERROR(__xludf.DUMMYFUNCTION("IFNA(vlookup(H5528,IMPORTRANGE(""1vUGwO1n0QQGx9kKbO0_M5gmuhXZ6-LaxQxgrmJnzgP0"",""'TP# look up'!A:C""),3,0),"""")"),"")</f>
        <v/>
      </c>
      <c r="AH5528" s="49" t="str">
        <f t="shared" si="86"/>
        <v/>
      </c>
    </row>
    <row r="5529" spans="8:34" ht="12.75">
      <c r="H5529" s="43"/>
      <c r="AG5529" s="49" t="str">
        <f ca="1">IFERROR(__xludf.DUMMYFUNCTION("IFNA(vlookup(H5529,IMPORTRANGE(""1vUGwO1n0QQGx9kKbO0_M5gmuhXZ6-LaxQxgrmJnzgP0"",""'TP# look up'!A:C""),3,0),"""")"),"")</f>
        <v/>
      </c>
      <c r="AH5529" s="49" t="str">
        <f t="shared" si="86"/>
        <v/>
      </c>
    </row>
    <row r="5530" spans="8:34" ht="12.75">
      <c r="H5530" s="43"/>
      <c r="AG5530" s="49" t="str">
        <f ca="1">IFERROR(__xludf.DUMMYFUNCTION("IFNA(vlookup(H5530,IMPORTRANGE(""1vUGwO1n0QQGx9kKbO0_M5gmuhXZ6-LaxQxgrmJnzgP0"",""'TP# look up'!A:C""),3,0),"""")"),"")</f>
        <v/>
      </c>
      <c r="AH5530" s="49" t="str">
        <f t="shared" si="86"/>
        <v/>
      </c>
    </row>
    <row r="5531" spans="8:34" ht="12.75">
      <c r="H5531" s="43"/>
      <c r="AG5531" s="49" t="str">
        <f ca="1">IFERROR(__xludf.DUMMYFUNCTION("IFNA(vlookup(H5531,IMPORTRANGE(""1vUGwO1n0QQGx9kKbO0_M5gmuhXZ6-LaxQxgrmJnzgP0"",""'TP# look up'!A:C""),3,0),"""")"),"")</f>
        <v/>
      </c>
      <c r="AH5531" s="49" t="str">
        <f t="shared" si="86"/>
        <v/>
      </c>
    </row>
    <row r="5532" spans="8:34" ht="12.75">
      <c r="H5532" s="43"/>
      <c r="AG5532" s="49" t="str">
        <f ca="1">IFERROR(__xludf.DUMMYFUNCTION("IFNA(vlookup(H5532,IMPORTRANGE(""1vUGwO1n0QQGx9kKbO0_M5gmuhXZ6-LaxQxgrmJnzgP0"",""'TP# look up'!A:C""),3,0),"""")"),"")</f>
        <v/>
      </c>
      <c r="AH5532" s="49" t="str">
        <f t="shared" si="86"/>
        <v/>
      </c>
    </row>
    <row r="5533" spans="8:34" ht="12.75">
      <c r="H5533" s="43"/>
      <c r="AG5533" s="49" t="str">
        <f ca="1">IFERROR(__xludf.DUMMYFUNCTION("IFNA(vlookup(H5533,IMPORTRANGE(""1vUGwO1n0QQGx9kKbO0_M5gmuhXZ6-LaxQxgrmJnzgP0"",""'TP# look up'!A:C""),3,0),"""")"),"")</f>
        <v/>
      </c>
      <c r="AH5533" s="49" t="str">
        <f t="shared" si="86"/>
        <v/>
      </c>
    </row>
    <row r="5534" spans="8:34" ht="12.75">
      <c r="H5534" s="43"/>
      <c r="AG5534" s="49" t="str">
        <f ca="1">IFERROR(__xludf.DUMMYFUNCTION("IFNA(vlookup(H5534,IMPORTRANGE(""1vUGwO1n0QQGx9kKbO0_M5gmuhXZ6-LaxQxgrmJnzgP0"",""'TP# look up'!A:C""),3,0),"""")"),"")</f>
        <v/>
      </c>
      <c r="AH5534" s="49" t="str">
        <f t="shared" si="86"/>
        <v/>
      </c>
    </row>
    <row r="5535" spans="8:34" ht="12.75">
      <c r="H5535" s="43"/>
      <c r="AG5535" s="49" t="str">
        <f ca="1">IFERROR(__xludf.DUMMYFUNCTION("IFNA(vlookup(H5535,IMPORTRANGE(""1vUGwO1n0QQGx9kKbO0_M5gmuhXZ6-LaxQxgrmJnzgP0"",""'TP# look up'!A:C""),3,0),"""")"),"")</f>
        <v/>
      </c>
      <c r="AH5535" s="49" t="str">
        <f t="shared" si="86"/>
        <v/>
      </c>
    </row>
    <row r="5536" spans="8:34" ht="12.75">
      <c r="H5536" s="43"/>
      <c r="AG5536" s="49" t="str">
        <f ca="1">IFERROR(__xludf.DUMMYFUNCTION("IFNA(vlookup(H5536,IMPORTRANGE(""1vUGwO1n0QQGx9kKbO0_M5gmuhXZ6-LaxQxgrmJnzgP0"",""'TP# look up'!A:C""),3,0),"""")"),"")</f>
        <v/>
      </c>
      <c r="AH5536" s="49" t="str">
        <f t="shared" si="86"/>
        <v/>
      </c>
    </row>
    <row r="5537" spans="8:34" ht="12.75">
      <c r="H5537" s="43"/>
      <c r="AG5537" s="49" t="str">
        <f ca="1">IFERROR(__xludf.DUMMYFUNCTION("IFNA(vlookup(H5537,IMPORTRANGE(""1vUGwO1n0QQGx9kKbO0_M5gmuhXZ6-LaxQxgrmJnzgP0"",""'TP# look up'!A:C""),3,0),"""")"),"")</f>
        <v/>
      </c>
      <c r="AH5537" s="49" t="str">
        <f t="shared" si="86"/>
        <v/>
      </c>
    </row>
    <row r="5538" spans="8:34" ht="12.75">
      <c r="H5538" s="43"/>
      <c r="AG5538" s="49" t="str">
        <f ca="1">IFERROR(__xludf.DUMMYFUNCTION("IFNA(vlookup(H5538,IMPORTRANGE(""1vUGwO1n0QQGx9kKbO0_M5gmuhXZ6-LaxQxgrmJnzgP0"",""'TP# look up'!A:C""),3,0),"""")"),"")</f>
        <v/>
      </c>
      <c r="AH5538" s="49" t="str">
        <f t="shared" si="86"/>
        <v/>
      </c>
    </row>
    <row r="5539" spans="8:34" ht="12.75">
      <c r="H5539" s="43"/>
      <c r="AG5539" s="49" t="str">
        <f ca="1">IFERROR(__xludf.DUMMYFUNCTION("IFNA(vlookup(H5539,IMPORTRANGE(""1vUGwO1n0QQGx9kKbO0_M5gmuhXZ6-LaxQxgrmJnzgP0"",""'TP# look up'!A:C""),3,0),"""")"),"")</f>
        <v/>
      </c>
      <c r="AH5539" s="49" t="str">
        <f t="shared" si="86"/>
        <v/>
      </c>
    </row>
    <row r="5540" spans="8:34" ht="12.75">
      <c r="H5540" s="43"/>
      <c r="AG5540" s="49" t="str">
        <f ca="1">IFERROR(__xludf.DUMMYFUNCTION("IFNA(vlookup(H5540,IMPORTRANGE(""1vUGwO1n0QQGx9kKbO0_M5gmuhXZ6-LaxQxgrmJnzgP0"",""'TP# look up'!A:C""),3,0),"""")"),"")</f>
        <v/>
      </c>
      <c r="AH5540" s="49" t="str">
        <f t="shared" si="86"/>
        <v/>
      </c>
    </row>
    <row r="5541" spans="8:34" ht="12.75">
      <c r="H5541" s="43"/>
      <c r="AG5541" s="49" t="str">
        <f ca="1">IFERROR(__xludf.DUMMYFUNCTION("IFNA(vlookup(H5541,IMPORTRANGE(""1vUGwO1n0QQGx9kKbO0_M5gmuhXZ6-LaxQxgrmJnzgP0"",""'TP# look up'!A:C""),3,0),"""")"),"")</f>
        <v/>
      </c>
      <c r="AH5541" s="49" t="str">
        <f t="shared" si="86"/>
        <v/>
      </c>
    </row>
    <row r="5542" spans="8:34" ht="12.75">
      <c r="H5542" s="43"/>
      <c r="AG5542" s="49" t="str">
        <f ca="1">IFERROR(__xludf.DUMMYFUNCTION("IFNA(vlookup(H5542,IMPORTRANGE(""1vUGwO1n0QQGx9kKbO0_M5gmuhXZ6-LaxQxgrmJnzgP0"",""'TP# look up'!A:C""),3,0),"""")"),"")</f>
        <v/>
      </c>
      <c r="AH5542" s="49" t="str">
        <f t="shared" si="86"/>
        <v/>
      </c>
    </row>
    <row r="5543" spans="8:34" ht="12.75">
      <c r="H5543" s="43"/>
      <c r="AG5543" s="49" t="str">
        <f ca="1">IFERROR(__xludf.DUMMYFUNCTION("IFNA(vlookup(H5543,IMPORTRANGE(""1vUGwO1n0QQGx9kKbO0_M5gmuhXZ6-LaxQxgrmJnzgP0"",""'TP# look up'!A:C""),3,0),"""")"),"")</f>
        <v/>
      </c>
      <c r="AH5543" s="49" t="str">
        <f t="shared" si="86"/>
        <v/>
      </c>
    </row>
    <row r="5544" spans="8:34" ht="12.75">
      <c r="H5544" s="43"/>
      <c r="AG5544" s="49" t="str">
        <f ca="1">IFERROR(__xludf.DUMMYFUNCTION("IFNA(vlookup(H5544,IMPORTRANGE(""1vUGwO1n0QQGx9kKbO0_M5gmuhXZ6-LaxQxgrmJnzgP0"",""'TP# look up'!A:C""),3,0),"""")"),"")</f>
        <v/>
      </c>
      <c r="AH5544" s="49" t="str">
        <f t="shared" si="86"/>
        <v/>
      </c>
    </row>
    <row r="5545" spans="8:34" ht="12.75">
      <c r="H5545" s="43"/>
      <c r="AG5545" s="49" t="str">
        <f ca="1">IFERROR(__xludf.DUMMYFUNCTION("IFNA(vlookup(H5545,IMPORTRANGE(""1vUGwO1n0QQGx9kKbO0_M5gmuhXZ6-LaxQxgrmJnzgP0"",""'TP# look up'!A:C""),3,0),"""")"),"")</f>
        <v/>
      </c>
      <c r="AH5545" s="49" t="str">
        <f t="shared" si="86"/>
        <v/>
      </c>
    </row>
    <row r="5546" spans="8:34" ht="12.75">
      <c r="H5546" s="43"/>
      <c r="AG5546" s="49" t="str">
        <f ca="1">IFERROR(__xludf.DUMMYFUNCTION("IFNA(vlookup(H5546,IMPORTRANGE(""1vUGwO1n0QQGx9kKbO0_M5gmuhXZ6-LaxQxgrmJnzgP0"",""'TP# look up'!A:C""),3,0),"""")"),"")</f>
        <v/>
      </c>
      <c r="AH5546" s="49" t="str">
        <f t="shared" si="86"/>
        <v/>
      </c>
    </row>
    <row r="5547" spans="8:34" ht="12.75">
      <c r="H5547" s="43"/>
      <c r="AG5547" s="49" t="str">
        <f ca="1">IFERROR(__xludf.DUMMYFUNCTION("IFNA(vlookup(H5547,IMPORTRANGE(""1vUGwO1n0QQGx9kKbO0_M5gmuhXZ6-LaxQxgrmJnzgP0"",""'TP# look up'!A:C""),3,0),"""")"),"")</f>
        <v/>
      </c>
      <c r="AH5547" s="49" t="str">
        <f t="shared" si="86"/>
        <v/>
      </c>
    </row>
    <row r="5548" spans="8:34" ht="12.75">
      <c r="H5548" s="43"/>
      <c r="AG5548" s="49" t="str">
        <f ca="1">IFERROR(__xludf.DUMMYFUNCTION("IFNA(vlookup(H5548,IMPORTRANGE(""1vUGwO1n0QQGx9kKbO0_M5gmuhXZ6-LaxQxgrmJnzgP0"",""'TP# look up'!A:C""),3,0),"""")"),"")</f>
        <v/>
      </c>
      <c r="AH5548" s="49" t="str">
        <f t="shared" si="86"/>
        <v/>
      </c>
    </row>
    <row r="5549" spans="8:34" ht="12.75">
      <c r="H5549" s="43"/>
      <c r="AG5549" s="49" t="str">
        <f ca="1">IFERROR(__xludf.DUMMYFUNCTION("IFNA(vlookup(H5549,IMPORTRANGE(""1vUGwO1n0QQGx9kKbO0_M5gmuhXZ6-LaxQxgrmJnzgP0"",""'TP# look up'!A:C""),3,0),"""")"),"")</f>
        <v/>
      </c>
      <c r="AH5549" s="49" t="str">
        <f t="shared" si="86"/>
        <v/>
      </c>
    </row>
    <row r="5550" spans="8:34" ht="12.75">
      <c r="H5550" s="43"/>
      <c r="AG5550" s="49" t="str">
        <f ca="1">IFERROR(__xludf.DUMMYFUNCTION("IFNA(vlookup(H5550,IMPORTRANGE(""1vUGwO1n0QQGx9kKbO0_M5gmuhXZ6-LaxQxgrmJnzgP0"",""'TP# look up'!A:C""),3,0),"""")"),"")</f>
        <v/>
      </c>
      <c r="AH5550" s="49" t="str">
        <f t="shared" si="86"/>
        <v/>
      </c>
    </row>
    <row r="5551" spans="8:34" ht="12.75">
      <c r="H5551" s="43"/>
      <c r="AG5551" s="49" t="str">
        <f ca="1">IFERROR(__xludf.DUMMYFUNCTION("IFNA(vlookup(H5551,IMPORTRANGE(""1vUGwO1n0QQGx9kKbO0_M5gmuhXZ6-LaxQxgrmJnzgP0"",""'TP# look up'!A:C""),3,0),"""")"),"")</f>
        <v/>
      </c>
      <c r="AH5551" s="49" t="str">
        <f t="shared" si="86"/>
        <v/>
      </c>
    </row>
    <row r="5552" spans="8:34" ht="12.75">
      <c r="H5552" s="43"/>
      <c r="AG5552" s="49" t="str">
        <f ca="1">IFERROR(__xludf.DUMMYFUNCTION("IFNA(vlookup(H5552,IMPORTRANGE(""1vUGwO1n0QQGx9kKbO0_M5gmuhXZ6-LaxQxgrmJnzgP0"",""'TP# look up'!A:C""),3,0),"""")"),"")</f>
        <v/>
      </c>
      <c r="AH5552" s="49" t="str">
        <f t="shared" si="86"/>
        <v/>
      </c>
    </row>
    <row r="5553" spans="8:34" ht="12.75">
      <c r="H5553" s="43"/>
      <c r="AG5553" s="49" t="str">
        <f ca="1">IFERROR(__xludf.DUMMYFUNCTION("IFNA(vlookup(H5553,IMPORTRANGE(""1vUGwO1n0QQGx9kKbO0_M5gmuhXZ6-LaxQxgrmJnzgP0"",""'TP# look up'!A:C""),3,0),"""")"),"")</f>
        <v/>
      </c>
      <c r="AH5553" s="49" t="str">
        <f t="shared" si="86"/>
        <v/>
      </c>
    </row>
    <row r="5554" spans="8:34" ht="12.75">
      <c r="H5554" s="43"/>
      <c r="AG5554" s="49" t="str">
        <f ca="1">IFERROR(__xludf.DUMMYFUNCTION("IFNA(vlookup(H5554,IMPORTRANGE(""1vUGwO1n0QQGx9kKbO0_M5gmuhXZ6-LaxQxgrmJnzgP0"",""'TP# look up'!A:C""),3,0),"""")"),"")</f>
        <v/>
      </c>
      <c r="AH5554" s="49" t="str">
        <f t="shared" si="86"/>
        <v/>
      </c>
    </row>
    <row r="5555" spans="8:34" ht="12.75">
      <c r="H5555" s="43"/>
      <c r="AG5555" s="49" t="str">
        <f ca="1">IFERROR(__xludf.DUMMYFUNCTION("IFNA(vlookup(H5555,IMPORTRANGE(""1vUGwO1n0QQGx9kKbO0_M5gmuhXZ6-LaxQxgrmJnzgP0"",""'TP# look up'!A:C""),3,0),"""")"),"")</f>
        <v/>
      </c>
      <c r="AH5555" s="49" t="str">
        <f t="shared" si="86"/>
        <v/>
      </c>
    </row>
    <row r="5556" spans="8:34" ht="12.75">
      <c r="H5556" s="43"/>
      <c r="AG5556" s="49" t="str">
        <f ca="1">IFERROR(__xludf.DUMMYFUNCTION("IFNA(vlookup(H5556,IMPORTRANGE(""1vUGwO1n0QQGx9kKbO0_M5gmuhXZ6-LaxQxgrmJnzgP0"",""'TP# look up'!A:C""),3,0),"""")"),"")</f>
        <v/>
      </c>
      <c r="AH5556" s="49" t="str">
        <f t="shared" si="86"/>
        <v/>
      </c>
    </row>
    <row r="5557" spans="8:34" ht="12.75">
      <c r="H5557" s="43"/>
      <c r="AG5557" s="49" t="str">
        <f ca="1">IFERROR(__xludf.DUMMYFUNCTION("IFNA(vlookup(H5557,IMPORTRANGE(""1vUGwO1n0QQGx9kKbO0_M5gmuhXZ6-LaxQxgrmJnzgP0"",""'TP# look up'!A:C""),3,0),"""")"),"")</f>
        <v/>
      </c>
      <c r="AH5557" s="49" t="str">
        <f t="shared" si="86"/>
        <v/>
      </c>
    </row>
    <row r="5558" spans="8:34" ht="12.75">
      <c r="H5558" s="43"/>
      <c r="AG5558" s="49" t="str">
        <f ca="1">IFERROR(__xludf.DUMMYFUNCTION("IFNA(vlookup(H5558,IMPORTRANGE(""1vUGwO1n0QQGx9kKbO0_M5gmuhXZ6-LaxQxgrmJnzgP0"",""'TP# look up'!A:C""),3,0),"""")"),"")</f>
        <v/>
      </c>
      <c r="AH5558" s="49" t="str">
        <f t="shared" si="86"/>
        <v/>
      </c>
    </row>
    <row r="5559" spans="8:34" ht="12.75">
      <c r="H5559" s="43"/>
      <c r="AG5559" s="49" t="str">
        <f ca="1">IFERROR(__xludf.DUMMYFUNCTION("IFNA(vlookup(H5559,IMPORTRANGE(""1vUGwO1n0QQGx9kKbO0_M5gmuhXZ6-LaxQxgrmJnzgP0"",""'TP# look up'!A:C""),3,0),"""")"),"")</f>
        <v/>
      </c>
      <c r="AH5559" s="49" t="str">
        <f t="shared" si="86"/>
        <v/>
      </c>
    </row>
    <row r="5560" spans="8:34" ht="12.75">
      <c r="H5560" s="43"/>
      <c r="AG5560" s="49" t="str">
        <f ca="1">IFERROR(__xludf.DUMMYFUNCTION("IFNA(vlookup(H5560,IMPORTRANGE(""1vUGwO1n0QQGx9kKbO0_M5gmuhXZ6-LaxQxgrmJnzgP0"",""'TP# look up'!A:C""),3,0),"""")"),"")</f>
        <v/>
      </c>
      <c r="AH5560" s="49" t="str">
        <f t="shared" si="86"/>
        <v/>
      </c>
    </row>
    <row r="5561" spans="8:34" ht="12.75">
      <c r="H5561" s="43"/>
      <c r="AG5561" s="49" t="str">
        <f ca="1">IFERROR(__xludf.DUMMYFUNCTION("IFNA(vlookup(H5561,IMPORTRANGE(""1vUGwO1n0QQGx9kKbO0_M5gmuhXZ6-LaxQxgrmJnzgP0"",""'TP# look up'!A:C""),3,0),"""")"),"")</f>
        <v/>
      </c>
      <c r="AH5561" s="49" t="str">
        <f t="shared" si="86"/>
        <v/>
      </c>
    </row>
    <row r="5562" spans="8:34" ht="12.75">
      <c r="H5562" s="43"/>
      <c r="AG5562" s="49" t="str">
        <f ca="1">IFERROR(__xludf.DUMMYFUNCTION("IFNA(vlookup(H5562,IMPORTRANGE(""1vUGwO1n0QQGx9kKbO0_M5gmuhXZ6-LaxQxgrmJnzgP0"",""'TP# look up'!A:C""),3,0),"""")"),"")</f>
        <v/>
      </c>
      <c r="AH5562" s="49" t="str">
        <f t="shared" si="86"/>
        <v/>
      </c>
    </row>
    <row r="5563" spans="8:34" ht="12.75">
      <c r="H5563" s="43"/>
      <c r="AG5563" s="49" t="str">
        <f ca="1">IFERROR(__xludf.DUMMYFUNCTION("IFNA(vlookup(H5563,IMPORTRANGE(""1vUGwO1n0QQGx9kKbO0_M5gmuhXZ6-LaxQxgrmJnzgP0"",""'TP# look up'!A:C""),3,0),"""")"),"")</f>
        <v/>
      </c>
      <c r="AH5563" s="49" t="str">
        <f t="shared" si="86"/>
        <v/>
      </c>
    </row>
    <row r="5564" spans="8:34" ht="12.75">
      <c r="H5564" s="43"/>
      <c r="AG5564" s="49" t="str">
        <f ca="1">IFERROR(__xludf.DUMMYFUNCTION("IFNA(vlookup(H5564,IMPORTRANGE(""1vUGwO1n0QQGx9kKbO0_M5gmuhXZ6-LaxQxgrmJnzgP0"",""'TP# look up'!A:C""),3,0),"""")"),"")</f>
        <v/>
      </c>
      <c r="AH5564" s="49" t="str">
        <f t="shared" si="86"/>
        <v/>
      </c>
    </row>
    <row r="5565" spans="8:34" ht="12.75">
      <c r="H5565" s="43"/>
      <c r="AG5565" s="49" t="str">
        <f ca="1">IFERROR(__xludf.DUMMYFUNCTION("IFNA(vlookup(H5565,IMPORTRANGE(""1vUGwO1n0QQGx9kKbO0_M5gmuhXZ6-LaxQxgrmJnzgP0"",""'TP# look up'!A:C""),3,0),"""")"),"")</f>
        <v/>
      </c>
      <c r="AH5565" s="49" t="str">
        <f t="shared" si="86"/>
        <v/>
      </c>
    </row>
    <row r="5566" spans="8:34" ht="12.75">
      <c r="H5566" s="43"/>
      <c r="AG5566" s="49" t="str">
        <f ca="1">IFERROR(__xludf.DUMMYFUNCTION("IFNA(vlookup(H5566,IMPORTRANGE(""1vUGwO1n0QQGx9kKbO0_M5gmuhXZ6-LaxQxgrmJnzgP0"",""'TP# look up'!A:C""),3,0),"""")"),"")</f>
        <v/>
      </c>
      <c r="AH5566" s="49" t="str">
        <f t="shared" si="86"/>
        <v/>
      </c>
    </row>
    <row r="5567" spans="8:34" ht="12.75">
      <c r="H5567" s="43"/>
      <c r="AG5567" s="49" t="str">
        <f ca="1">IFERROR(__xludf.DUMMYFUNCTION("IFNA(vlookup(H5567,IMPORTRANGE(""1vUGwO1n0QQGx9kKbO0_M5gmuhXZ6-LaxQxgrmJnzgP0"",""'TP# look up'!A:C""),3,0),"""")"),"")</f>
        <v/>
      </c>
      <c r="AH5567" s="49" t="str">
        <f t="shared" si="86"/>
        <v/>
      </c>
    </row>
    <row r="5568" spans="8:34" ht="12.75">
      <c r="H5568" s="43"/>
      <c r="AG5568" s="49" t="str">
        <f ca="1">IFERROR(__xludf.DUMMYFUNCTION("IFNA(vlookup(H5568,IMPORTRANGE(""1vUGwO1n0QQGx9kKbO0_M5gmuhXZ6-LaxQxgrmJnzgP0"",""'TP# look up'!A:C""),3,0),"""")"),"")</f>
        <v/>
      </c>
      <c r="AH5568" s="49" t="str">
        <f t="shared" si="86"/>
        <v/>
      </c>
    </row>
    <row r="5569" spans="8:34" ht="12.75">
      <c r="H5569" s="43"/>
      <c r="AG5569" s="49" t="str">
        <f ca="1">IFERROR(__xludf.DUMMYFUNCTION("IFNA(vlookup(H5569,IMPORTRANGE(""1vUGwO1n0QQGx9kKbO0_M5gmuhXZ6-LaxQxgrmJnzgP0"",""'TP# look up'!A:C""),3,0),"""")"),"")</f>
        <v/>
      </c>
      <c r="AH5569" s="49" t="str">
        <f t="shared" si="86"/>
        <v/>
      </c>
    </row>
    <row r="5570" spans="8:34" ht="12.75">
      <c r="H5570" s="43"/>
      <c r="AG5570" s="49" t="str">
        <f ca="1">IFERROR(__xludf.DUMMYFUNCTION("IFNA(vlookup(H5570,IMPORTRANGE(""1vUGwO1n0QQGx9kKbO0_M5gmuhXZ6-LaxQxgrmJnzgP0"",""'TP# look up'!A:C""),3,0),"""")"),"")</f>
        <v/>
      </c>
      <c r="AH5570" s="49" t="str">
        <f t="shared" ref="AH5570:AH5633" si="87">LEFT(J5570,2)</f>
        <v/>
      </c>
    </row>
    <row r="5571" spans="8:34" ht="12.75">
      <c r="H5571" s="43"/>
      <c r="AG5571" s="49" t="str">
        <f ca="1">IFERROR(__xludf.DUMMYFUNCTION("IFNA(vlookup(H5571,IMPORTRANGE(""1vUGwO1n0QQGx9kKbO0_M5gmuhXZ6-LaxQxgrmJnzgP0"",""'TP# look up'!A:C""),3,0),"""")"),"")</f>
        <v/>
      </c>
      <c r="AH5571" s="49" t="str">
        <f t="shared" si="87"/>
        <v/>
      </c>
    </row>
    <row r="5572" spans="8:34" ht="12.75">
      <c r="H5572" s="43"/>
      <c r="AG5572" s="49" t="str">
        <f ca="1">IFERROR(__xludf.DUMMYFUNCTION("IFNA(vlookup(H5572,IMPORTRANGE(""1vUGwO1n0QQGx9kKbO0_M5gmuhXZ6-LaxQxgrmJnzgP0"",""'TP# look up'!A:C""),3,0),"""")"),"")</f>
        <v/>
      </c>
      <c r="AH5572" s="49" t="str">
        <f t="shared" si="87"/>
        <v/>
      </c>
    </row>
    <row r="5573" spans="8:34" ht="12.75">
      <c r="H5573" s="43"/>
      <c r="AG5573" s="49" t="str">
        <f ca="1">IFERROR(__xludf.DUMMYFUNCTION("IFNA(vlookup(H5573,IMPORTRANGE(""1vUGwO1n0QQGx9kKbO0_M5gmuhXZ6-LaxQxgrmJnzgP0"",""'TP# look up'!A:C""),3,0),"""")"),"")</f>
        <v/>
      </c>
      <c r="AH5573" s="49" t="str">
        <f t="shared" si="87"/>
        <v/>
      </c>
    </row>
    <row r="5574" spans="8:34" ht="12.75">
      <c r="H5574" s="43"/>
      <c r="AG5574" s="49" t="str">
        <f ca="1">IFERROR(__xludf.DUMMYFUNCTION("IFNA(vlookup(H5574,IMPORTRANGE(""1vUGwO1n0QQGx9kKbO0_M5gmuhXZ6-LaxQxgrmJnzgP0"",""'TP# look up'!A:C""),3,0),"""")"),"")</f>
        <v/>
      </c>
      <c r="AH5574" s="49" t="str">
        <f t="shared" si="87"/>
        <v/>
      </c>
    </row>
    <row r="5575" spans="8:34" ht="12.75">
      <c r="H5575" s="43"/>
      <c r="AG5575" s="49" t="str">
        <f ca="1">IFERROR(__xludf.DUMMYFUNCTION("IFNA(vlookup(H5575,IMPORTRANGE(""1vUGwO1n0QQGx9kKbO0_M5gmuhXZ6-LaxQxgrmJnzgP0"",""'TP# look up'!A:C""),3,0),"""")"),"")</f>
        <v/>
      </c>
      <c r="AH5575" s="49" t="str">
        <f t="shared" si="87"/>
        <v/>
      </c>
    </row>
    <row r="5576" spans="8:34" ht="12.75">
      <c r="H5576" s="43"/>
      <c r="AG5576" s="49" t="str">
        <f ca="1">IFERROR(__xludf.DUMMYFUNCTION("IFNA(vlookup(H5576,IMPORTRANGE(""1vUGwO1n0QQGx9kKbO0_M5gmuhXZ6-LaxQxgrmJnzgP0"",""'TP# look up'!A:C""),3,0),"""")"),"")</f>
        <v/>
      </c>
      <c r="AH5576" s="49" t="str">
        <f t="shared" si="87"/>
        <v/>
      </c>
    </row>
    <row r="5577" spans="8:34" ht="12.75">
      <c r="H5577" s="43"/>
      <c r="AG5577" s="49" t="str">
        <f ca="1">IFERROR(__xludf.DUMMYFUNCTION("IFNA(vlookup(H5577,IMPORTRANGE(""1vUGwO1n0QQGx9kKbO0_M5gmuhXZ6-LaxQxgrmJnzgP0"",""'TP# look up'!A:C""),3,0),"""")"),"")</f>
        <v/>
      </c>
      <c r="AH5577" s="49" t="str">
        <f t="shared" si="87"/>
        <v/>
      </c>
    </row>
    <row r="5578" spans="8:34" ht="12.75">
      <c r="H5578" s="43"/>
      <c r="AG5578" s="49" t="str">
        <f ca="1">IFERROR(__xludf.DUMMYFUNCTION("IFNA(vlookup(H5578,IMPORTRANGE(""1vUGwO1n0QQGx9kKbO0_M5gmuhXZ6-LaxQxgrmJnzgP0"",""'TP# look up'!A:C""),3,0),"""")"),"")</f>
        <v/>
      </c>
      <c r="AH5578" s="49" t="str">
        <f t="shared" si="87"/>
        <v/>
      </c>
    </row>
    <row r="5579" spans="8:34" ht="12.75">
      <c r="H5579" s="43"/>
      <c r="AG5579" s="49" t="str">
        <f ca="1">IFERROR(__xludf.DUMMYFUNCTION("IFNA(vlookup(H5579,IMPORTRANGE(""1vUGwO1n0QQGx9kKbO0_M5gmuhXZ6-LaxQxgrmJnzgP0"",""'TP# look up'!A:C""),3,0),"""")"),"")</f>
        <v/>
      </c>
      <c r="AH5579" s="49" t="str">
        <f t="shared" si="87"/>
        <v/>
      </c>
    </row>
    <row r="5580" spans="8:34" ht="12.75">
      <c r="H5580" s="43"/>
      <c r="AG5580" s="49" t="str">
        <f ca="1">IFERROR(__xludf.DUMMYFUNCTION("IFNA(vlookup(H5580,IMPORTRANGE(""1vUGwO1n0QQGx9kKbO0_M5gmuhXZ6-LaxQxgrmJnzgP0"",""'TP# look up'!A:C""),3,0),"""")"),"")</f>
        <v/>
      </c>
      <c r="AH5580" s="49" t="str">
        <f t="shared" si="87"/>
        <v/>
      </c>
    </row>
    <row r="5581" spans="8:34" ht="12.75">
      <c r="H5581" s="43"/>
      <c r="AG5581" s="49" t="str">
        <f ca="1">IFERROR(__xludf.DUMMYFUNCTION("IFNA(vlookup(H5581,IMPORTRANGE(""1vUGwO1n0QQGx9kKbO0_M5gmuhXZ6-LaxQxgrmJnzgP0"",""'TP# look up'!A:C""),3,0),"""")"),"")</f>
        <v/>
      </c>
      <c r="AH5581" s="49" t="str">
        <f t="shared" si="87"/>
        <v/>
      </c>
    </row>
    <row r="5582" spans="8:34" ht="12.75">
      <c r="H5582" s="43"/>
      <c r="AG5582" s="49" t="str">
        <f ca="1">IFERROR(__xludf.DUMMYFUNCTION("IFNA(vlookup(H5582,IMPORTRANGE(""1vUGwO1n0QQGx9kKbO0_M5gmuhXZ6-LaxQxgrmJnzgP0"",""'TP# look up'!A:C""),3,0),"""")"),"")</f>
        <v/>
      </c>
      <c r="AH5582" s="49" t="str">
        <f t="shared" si="87"/>
        <v/>
      </c>
    </row>
    <row r="5583" spans="8:34" ht="12.75">
      <c r="H5583" s="43"/>
      <c r="AG5583" s="49" t="str">
        <f ca="1">IFERROR(__xludf.DUMMYFUNCTION("IFNA(vlookup(H5583,IMPORTRANGE(""1vUGwO1n0QQGx9kKbO0_M5gmuhXZ6-LaxQxgrmJnzgP0"",""'TP# look up'!A:C""),3,0),"""")"),"")</f>
        <v/>
      </c>
      <c r="AH5583" s="49" t="str">
        <f t="shared" si="87"/>
        <v/>
      </c>
    </row>
    <row r="5584" spans="8:34" ht="12.75">
      <c r="H5584" s="43"/>
      <c r="AG5584" s="49" t="str">
        <f ca="1">IFERROR(__xludf.DUMMYFUNCTION("IFNA(vlookup(H5584,IMPORTRANGE(""1vUGwO1n0QQGx9kKbO0_M5gmuhXZ6-LaxQxgrmJnzgP0"",""'TP# look up'!A:C""),3,0),"""")"),"")</f>
        <v/>
      </c>
      <c r="AH5584" s="49" t="str">
        <f t="shared" si="87"/>
        <v/>
      </c>
    </row>
    <row r="5585" spans="8:34" ht="12.75">
      <c r="H5585" s="43"/>
      <c r="AG5585" s="49" t="str">
        <f ca="1">IFERROR(__xludf.DUMMYFUNCTION("IFNA(vlookup(H5585,IMPORTRANGE(""1vUGwO1n0QQGx9kKbO0_M5gmuhXZ6-LaxQxgrmJnzgP0"",""'TP# look up'!A:C""),3,0),"""")"),"")</f>
        <v/>
      </c>
      <c r="AH5585" s="49" t="str">
        <f t="shared" si="87"/>
        <v/>
      </c>
    </row>
    <row r="5586" spans="8:34" ht="12.75">
      <c r="H5586" s="43"/>
      <c r="AG5586" s="49" t="str">
        <f ca="1">IFERROR(__xludf.DUMMYFUNCTION("IFNA(vlookup(H5586,IMPORTRANGE(""1vUGwO1n0QQGx9kKbO0_M5gmuhXZ6-LaxQxgrmJnzgP0"",""'TP# look up'!A:C""),3,0),"""")"),"")</f>
        <v/>
      </c>
      <c r="AH5586" s="49" t="str">
        <f t="shared" si="87"/>
        <v/>
      </c>
    </row>
    <row r="5587" spans="8:34" ht="12.75">
      <c r="H5587" s="43"/>
      <c r="AG5587" s="49" t="str">
        <f ca="1">IFERROR(__xludf.DUMMYFUNCTION("IFNA(vlookup(H5587,IMPORTRANGE(""1vUGwO1n0QQGx9kKbO0_M5gmuhXZ6-LaxQxgrmJnzgP0"",""'TP# look up'!A:C""),3,0),"""")"),"")</f>
        <v/>
      </c>
      <c r="AH5587" s="49" t="str">
        <f t="shared" si="87"/>
        <v/>
      </c>
    </row>
    <row r="5588" spans="8:34" ht="12.75">
      <c r="H5588" s="43"/>
      <c r="AG5588" s="49" t="str">
        <f ca="1">IFERROR(__xludf.DUMMYFUNCTION("IFNA(vlookup(H5588,IMPORTRANGE(""1vUGwO1n0QQGx9kKbO0_M5gmuhXZ6-LaxQxgrmJnzgP0"",""'TP# look up'!A:C""),3,0),"""")"),"")</f>
        <v/>
      </c>
      <c r="AH5588" s="49" t="str">
        <f t="shared" si="87"/>
        <v/>
      </c>
    </row>
    <row r="5589" spans="8:34" ht="12.75">
      <c r="H5589" s="43"/>
      <c r="AG5589" s="49" t="str">
        <f ca="1">IFERROR(__xludf.DUMMYFUNCTION("IFNA(vlookup(H5589,IMPORTRANGE(""1vUGwO1n0QQGx9kKbO0_M5gmuhXZ6-LaxQxgrmJnzgP0"",""'TP# look up'!A:C""),3,0),"""")"),"")</f>
        <v/>
      </c>
      <c r="AH5589" s="49" t="str">
        <f t="shared" si="87"/>
        <v/>
      </c>
    </row>
    <row r="5590" spans="8:34" ht="12.75">
      <c r="H5590" s="43"/>
      <c r="AG5590" s="49" t="str">
        <f ca="1">IFERROR(__xludf.DUMMYFUNCTION("IFNA(vlookup(H5590,IMPORTRANGE(""1vUGwO1n0QQGx9kKbO0_M5gmuhXZ6-LaxQxgrmJnzgP0"",""'TP# look up'!A:C""),3,0),"""")"),"")</f>
        <v/>
      </c>
      <c r="AH5590" s="49" t="str">
        <f t="shared" si="87"/>
        <v/>
      </c>
    </row>
    <row r="5591" spans="8:34" ht="12.75">
      <c r="H5591" s="43"/>
      <c r="AG5591" s="49" t="str">
        <f ca="1">IFERROR(__xludf.DUMMYFUNCTION("IFNA(vlookup(H5591,IMPORTRANGE(""1vUGwO1n0QQGx9kKbO0_M5gmuhXZ6-LaxQxgrmJnzgP0"",""'TP# look up'!A:C""),3,0),"""")"),"")</f>
        <v/>
      </c>
      <c r="AH5591" s="49" t="str">
        <f t="shared" si="87"/>
        <v/>
      </c>
    </row>
    <row r="5592" spans="8:34" ht="12.75">
      <c r="H5592" s="43"/>
      <c r="AG5592" s="49" t="str">
        <f ca="1">IFERROR(__xludf.DUMMYFUNCTION("IFNA(vlookup(H5592,IMPORTRANGE(""1vUGwO1n0QQGx9kKbO0_M5gmuhXZ6-LaxQxgrmJnzgP0"",""'TP# look up'!A:C""),3,0),"""")"),"")</f>
        <v/>
      </c>
      <c r="AH5592" s="49" t="str">
        <f t="shared" si="87"/>
        <v/>
      </c>
    </row>
    <row r="5593" spans="8:34" ht="12.75">
      <c r="H5593" s="43"/>
      <c r="AG5593" s="49" t="str">
        <f ca="1">IFERROR(__xludf.DUMMYFUNCTION("IFNA(vlookup(H5593,IMPORTRANGE(""1vUGwO1n0QQGx9kKbO0_M5gmuhXZ6-LaxQxgrmJnzgP0"",""'TP# look up'!A:C""),3,0),"""")"),"")</f>
        <v/>
      </c>
      <c r="AH5593" s="49" t="str">
        <f t="shared" si="87"/>
        <v/>
      </c>
    </row>
    <row r="5594" spans="8:34" ht="12.75">
      <c r="H5594" s="43"/>
      <c r="AG5594" s="49" t="str">
        <f ca="1">IFERROR(__xludf.DUMMYFUNCTION("IFNA(vlookup(H5594,IMPORTRANGE(""1vUGwO1n0QQGx9kKbO0_M5gmuhXZ6-LaxQxgrmJnzgP0"",""'TP# look up'!A:C""),3,0),"""")"),"")</f>
        <v/>
      </c>
      <c r="AH5594" s="49" t="str">
        <f t="shared" si="87"/>
        <v/>
      </c>
    </row>
    <row r="5595" spans="8:34" ht="12.75">
      <c r="H5595" s="43"/>
      <c r="AG5595" s="49" t="str">
        <f ca="1">IFERROR(__xludf.DUMMYFUNCTION("IFNA(vlookup(H5595,IMPORTRANGE(""1vUGwO1n0QQGx9kKbO0_M5gmuhXZ6-LaxQxgrmJnzgP0"",""'TP# look up'!A:C""),3,0),"""")"),"")</f>
        <v/>
      </c>
      <c r="AH5595" s="49" t="str">
        <f t="shared" si="87"/>
        <v/>
      </c>
    </row>
    <row r="5596" spans="8:34" ht="12.75">
      <c r="H5596" s="43"/>
      <c r="AG5596" s="49" t="str">
        <f ca="1">IFERROR(__xludf.DUMMYFUNCTION("IFNA(vlookup(H5596,IMPORTRANGE(""1vUGwO1n0QQGx9kKbO0_M5gmuhXZ6-LaxQxgrmJnzgP0"",""'TP# look up'!A:C""),3,0),"""")"),"")</f>
        <v/>
      </c>
      <c r="AH5596" s="49" t="str">
        <f t="shared" si="87"/>
        <v/>
      </c>
    </row>
    <row r="5597" spans="8:34" ht="12.75">
      <c r="H5597" s="43"/>
      <c r="AG5597" s="49" t="str">
        <f ca="1">IFERROR(__xludf.DUMMYFUNCTION("IFNA(vlookup(H5597,IMPORTRANGE(""1vUGwO1n0QQGx9kKbO0_M5gmuhXZ6-LaxQxgrmJnzgP0"",""'TP# look up'!A:C""),3,0),"""")"),"")</f>
        <v/>
      </c>
      <c r="AH5597" s="49" t="str">
        <f t="shared" si="87"/>
        <v/>
      </c>
    </row>
    <row r="5598" spans="8:34" ht="12.75">
      <c r="H5598" s="43"/>
      <c r="AG5598" s="49" t="str">
        <f ca="1">IFERROR(__xludf.DUMMYFUNCTION("IFNA(vlookup(H5598,IMPORTRANGE(""1vUGwO1n0QQGx9kKbO0_M5gmuhXZ6-LaxQxgrmJnzgP0"",""'TP# look up'!A:C""),3,0),"""")"),"")</f>
        <v/>
      </c>
      <c r="AH5598" s="49" t="str">
        <f t="shared" si="87"/>
        <v/>
      </c>
    </row>
    <row r="5599" spans="8:34" ht="12.75">
      <c r="H5599" s="43"/>
      <c r="AG5599" s="49" t="str">
        <f ca="1">IFERROR(__xludf.DUMMYFUNCTION("IFNA(vlookup(H5599,IMPORTRANGE(""1vUGwO1n0QQGx9kKbO0_M5gmuhXZ6-LaxQxgrmJnzgP0"",""'TP# look up'!A:C""),3,0),"""")"),"")</f>
        <v/>
      </c>
      <c r="AH5599" s="49" t="str">
        <f t="shared" si="87"/>
        <v/>
      </c>
    </row>
    <row r="5600" spans="8:34" ht="12.75">
      <c r="H5600" s="43"/>
      <c r="AG5600" s="49" t="str">
        <f ca="1">IFERROR(__xludf.DUMMYFUNCTION("IFNA(vlookup(H5600,IMPORTRANGE(""1vUGwO1n0QQGx9kKbO0_M5gmuhXZ6-LaxQxgrmJnzgP0"",""'TP# look up'!A:C""),3,0),"""")"),"")</f>
        <v/>
      </c>
      <c r="AH5600" s="49" t="str">
        <f t="shared" si="87"/>
        <v/>
      </c>
    </row>
    <row r="5601" spans="8:34" ht="12.75">
      <c r="H5601" s="43"/>
      <c r="AG5601" s="49" t="str">
        <f ca="1">IFERROR(__xludf.DUMMYFUNCTION("IFNA(vlookup(H5601,IMPORTRANGE(""1vUGwO1n0QQGx9kKbO0_M5gmuhXZ6-LaxQxgrmJnzgP0"",""'TP# look up'!A:C""),3,0),"""")"),"")</f>
        <v/>
      </c>
      <c r="AH5601" s="49" t="str">
        <f t="shared" si="87"/>
        <v/>
      </c>
    </row>
    <row r="5602" spans="8:34" ht="12.75">
      <c r="H5602" s="43"/>
      <c r="AG5602" s="49" t="str">
        <f ca="1">IFERROR(__xludf.DUMMYFUNCTION("IFNA(vlookup(H5602,IMPORTRANGE(""1vUGwO1n0QQGx9kKbO0_M5gmuhXZ6-LaxQxgrmJnzgP0"",""'TP# look up'!A:C""),3,0),"""")"),"")</f>
        <v/>
      </c>
      <c r="AH5602" s="49" t="str">
        <f t="shared" si="87"/>
        <v/>
      </c>
    </row>
    <row r="5603" spans="8:34" ht="12.75">
      <c r="H5603" s="43"/>
      <c r="AG5603" s="49" t="str">
        <f ca="1">IFERROR(__xludf.DUMMYFUNCTION("IFNA(vlookup(H5603,IMPORTRANGE(""1vUGwO1n0QQGx9kKbO0_M5gmuhXZ6-LaxQxgrmJnzgP0"",""'TP# look up'!A:C""),3,0),"""")"),"")</f>
        <v/>
      </c>
      <c r="AH5603" s="49" t="str">
        <f t="shared" si="87"/>
        <v/>
      </c>
    </row>
    <row r="5604" spans="8:34" ht="12.75">
      <c r="H5604" s="43"/>
      <c r="AG5604" s="49" t="str">
        <f ca="1">IFERROR(__xludf.DUMMYFUNCTION("IFNA(vlookup(H5604,IMPORTRANGE(""1vUGwO1n0QQGx9kKbO0_M5gmuhXZ6-LaxQxgrmJnzgP0"",""'TP# look up'!A:C""),3,0),"""")"),"")</f>
        <v/>
      </c>
      <c r="AH5604" s="49" t="str">
        <f t="shared" si="87"/>
        <v/>
      </c>
    </row>
    <row r="5605" spans="8:34" ht="12.75">
      <c r="H5605" s="43"/>
      <c r="AG5605" s="49" t="str">
        <f ca="1">IFERROR(__xludf.DUMMYFUNCTION("IFNA(vlookup(H5605,IMPORTRANGE(""1vUGwO1n0QQGx9kKbO0_M5gmuhXZ6-LaxQxgrmJnzgP0"",""'TP# look up'!A:C""),3,0),"""")"),"")</f>
        <v/>
      </c>
      <c r="AH5605" s="49" t="str">
        <f t="shared" si="87"/>
        <v/>
      </c>
    </row>
    <row r="5606" spans="8:34" ht="12.75">
      <c r="H5606" s="43"/>
      <c r="AG5606" s="49" t="str">
        <f ca="1">IFERROR(__xludf.DUMMYFUNCTION("IFNA(vlookup(H5606,IMPORTRANGE(""1vUGwO1n0QQGx9kKbO0_M5gmuhXZ6-LaxQxgrmJnzgP0"",""'TP# look up'!A:C""),3,0),"""")"),"")</f>
        <v/>
      </c>
      <c r="AH5606" s="49" t="str">
        <f t="shared" si="87"/>
        <v/>
      </c>
    </row>
    <row r="5607" spans="8:34" ht="12.75">
      <c r="H5607" s="43"/>
      <c r="AG5607" s="49" t="str">
        <f ca="1">IFERROR(__xludf.DUMMYFUNCTION("IFNA(vlookup(H5607,IMPORTRANGE(""1vUGwO1n0QQGx9kKbO0_M5gmuhXZ6-LaxQxgrmJnzgP0"",""'TP# look up'!A:C""),3,0),"""")"),"")</f>
        <v/>
      </c>
      <c r="AH5607" s="49" t="str">
        <f t="shared" si="87"/>
        <v/>
      </c>
    </row>
    <row r="5608" spans="8:34" ht="12.75">
      <c r="H5608" s="43"/>
      <c r="AG5608" s="49" t="str">
        <f ca="1">IFERROR(__xludf.DUMMYFUNCTION("IFNA(vlookup(H5608,IMPORTRANGE(""1vUGwO1n0QQGx9kKbO0_M5gmuhXZ6-LaxQxgrmJnzgP0"",""'TP# look up'!A:C""),3,0),"""")"),"")</f>
        <v/>
      </c>
      <c r="AH5608" s="49" t="str">
        <f t="shared" si="87"/>
        <v/>
      </c>
    </row>
    <row r="5609" spans="8:34" ht="12.75">
      <c r="H5609" s="43"/>
      <c r="AG5609" s="49" t="str">
        <f ca="1">IFERROR(__xludf.DUMMYFUNCTION("IFNA(vlookup(H5609,IMPORTRANGE(""1vUGwO1n0QQGx9kKbO0_M5gmuhXZ6-LaxQxgrmJnzgP0"",""'TP# look up'!A:C""),3,0),"""")"),"")</f>
        <v/>
      </c>
      <c r="AH5609" s="49" t="str">
        <f t="shared" si="87"/>
        <v/>
      </c>
    </row>
    <row r="5610" spans="8:34" ht="12.75">
      <c r="H5610" s="43"/>
      <c r="AG5610" s="49" t="str">
        <f ca="1">IFERROR(__xludf.DUMMYFUNCTION("IFNA(vlookup(H5610,IMPORTRANGE(""1vUGwO1n0QQGx9kKbO0_M5gmuhXZ6-LaxQxgrmJnzgP0"",""'TP# look up'!A:C""),3,0),"""")"),"")</f>
        <v/>
      </c>
      <c r="AH5610" s="49" t="str">
        <f t="shared" si="87"/>
        <v/>
      </c>
    </row>
    <row r="5611" spans="8:34" ht="12.75">
      <c r="H5611" s="43"/>
      <c r="AG5611" s="49" t="str">
        <f ca="1">IFERROR(__xludf.DUMMYFUNCTION("IFNA(vlookup(H5611,IMPORTRANGE(""1vUGwO1n0QQGx9kKbO0_M5gmuhXZ6-LaxQxgrmJnzgP0"",""'TP# look up'!A:C""),3,0),"""")"),"")</f>
        <v/>
      </c>
      <c r="AH5611" s="49" t="str">
        <f t="shared" si="87"/>
        <v/>
      </c>
    </row>
    <row r="5612" spans="8:34" ht="12.75">
      <c r="H5612" s="43"/>
      <c r="AG5612" s="49" t="str">
        <f ca="1">IFERROR(__xludf.DUMMYFUNCTION("IFNA(vlookup(H5612,IMPORTRANGE(""1vUGwO1n0QQGx9kKbO0_M5gmuhXZ6-LaxQxgrmJnzgP0"",""'TP# look up'!A:C""),3,0),"""")"),"")</f>
        <v/>
      </c>
      <c r="AH5612" s="49" t="str">
        <f t="shared" si="87"/>
        <v/>
      </c>
    </row>
    <row r="5613" spans="8:34" ht="12.75">
      <c r="H5613" s="43"/>
      <c r="AG5613" s="49" t="str">
        <f ca="1">IFERROR(__xludf.DUMMYFUNCTION("IFNA(vlookup(H5613,IMPORTRANGE(""1vUGwO1n0QQGx9kKbO0_M5gmuhXZ6-LaxQxgrmJnzgP0"",""'TP# look up'!A:C""),3,0),"""")"),"")</f>
        <v/>
      </c>
      <c r="AH5613" s="49" t="str">
        <f t="shared" si="87"/>
        <v/>
      </c>
    </row>
    <row r="5614" spans="8:34" ht="12.75">
      <c r="H5614" s="43"/>
      <c r="AG5614" s="49" t="str">
        <f ca="1">IFERROR(__xludf.DUMMYFUNCTION("IFNA(vlookup(H5614,IMPORTRANGE(""1vUGwO1n0QQGx9kKbO0_M5gmuhXZ6-LaxQxgrmJnzgP0"",""'TP# look up'!A:C""),3,0),"""")"),"")</f>
        <v/>
      </c>
      <c r="AH5614" s="49" t="str">
        <f t="shared" si="87"/>
        <v/>
      </c>
    </row>
    <row r="5615" spans="8:34" ht="12.75">
      <c r="H5615" s="43"/>
      <c r="AG5615" s="49" t="str">
        <f ca="1">IFERROR(__xludf.DUMMYFUNCTION("IFNA(vlookup(H5615,IMPORTRANGE(""1vUGwO1n0QQGx9kKbO0_M5gmuhXZ6-LaxQxgrmJnzgP0"",""'TP# look up'!A:C""),3,0),"""")"),"")</f>
        <v/>
      </c>
      <c r="AH5615" s="49" t="str">
        <f t="shared" si="87"/>
        <v/>
      </c>
    </row>
    <row r="5616" spans="8:34" ht="12.75">
      <c r="H5616" s="43"/>
      <c r="AG5616" s="49" t="str">
        <f ca="1">IFERROR(__xludf.DUMMYFUNCTION("IFNA(vlookup(H5616,IMPORTRANGE(""1vUGwO1n0QQGx9kKbO0_M5gmuhXZ6-LaxQxgrmJnzgP0"",""'TP# look up'!A:C""),3,0),"""")"),"")</f>
        <v/>
      </c>
      <c r="AH5616" s="49" t="str">
        <f t="shared" si="87"/>
        <v/>
      </c>
    </row>
    <row r="5617" spans="8:34" ht="12.75">
      <c r="H5617" s="43"/>
      <c r="AG5617" s="49" t="str">
        <f ca="1">IFERROR(__xludf.DUMMYFUNCTION("IFNA(vlookup(H5617,IMPORTRANGE(""1vUGwO1n0QQGx9kKbO0_M5gmuhXZ6-LaxQxgrmJnzgP0"",""'TP# look up'!A:C""),3,0),"""")"),"")</f>
        <v/>
      </c>
      <c r="AH5617" s="49" t="str">
        <f t="shared" si="87"/>
        <v/>
      </c>
    </row>
    <row r="5618" spans="8:34" ht="12.75">
      <c r="H5618" s="43"/>
      <c r="AG5618" s="49" t="str">
        <f ca="1">IFERROR(__xludf.DUMMYFUNCTION("IFNA(vlookup(H5618,IMPORTRANGE(""1vUGwO1n0QQGx9kKbO0_M5gmuhXZ6-LaxQxgrmJnzgP0"",""'TP# look up'!A:C""),3,0),"""")"),"")</f>
        <v/>
      </c>
      <c r="AH5618" s="49" t="str">
        <f t="shared" si="87"/>
        <v/>
      </c>
    </row>
    <row r="5619" spans="8:34" ht="12.75">
      <c r="H5619" s="43"/>
      <c r="AG5619" s="49" t="str">
        <f ca="1">IFERROR(__xludf.DUMMYFUNCTION("IFNA(vlookup(H5619,IMPORTRANGE(""1vUGwO1n0QQGx9kKbO0_M5gmuhXZ6-LaxQxgrmJnzgP0"",""'TP# look up'!A:C""),3,0),"""")"),"")</f>
        <v/>
      </c>
      <c r="AH5619" s="49" t="str">
        <f t="shared" si="87"/>
        <v/>
      </c>
    </row>
    <row r="5620" spans="8:34" ht="12.75">
      <c r="H5620" s="43"/>
      <c r="AG5620" s="49" t="str">
        <f ca="1">IFERROR(__xludf.DUMMYFUNCTION("IFNA(vlookup(H5620,IMPORTRANGE(""1vUGwO1n0QQGx9kKbO0_M5gmuhXZ6-LaxQxgrmJnzgP0"",""'TP# look up'!A:C""),3,0),"""")"),"")</f>
        <v/>
      </c>
      <c r="AH5620" s="49" t="str">
        <f t="shared" si="87"/>
        <v/>
      </c>
    </row>
    <row r="5621" spans="8:34" ht="12.75">
      <c r="H5621" s="43"/>
      <c r="AG5621" s="49" t="str">
        <f ca="1">IFERROR(__xludf.DUMMYFUNCTION("IFNA(vlookup(H5621,IMPORTRANGE(""1vUGwO1n0QQGx9kKbO0_M5gmuhXZ6-LaxQxgrmJnzgP0"",""'TP# look up'!A:C""),3,0),"""")"),"")</f>
        <v/>
      </c>
      <c r="AH5621" s="49" t="str">
        <f t="shared" si="87"/>
        <v/>
      </c>
    </row>
    <row r="5622" spans="8:34" ht="12.75">
      <c r="H5622" s="43"/>
      <c r="AG5622" s="49" t="str">
        <f ca="1">IFERROR(__xludf.DUMMYFUNCTION("IFNA(vlookup(H5622,IMPORTRANGE(""1vUGwO1n0QQGx9kKbO0_M5gmuhXZ6-LaxQxgrmJnzgP0"",""'TP# look up'!A:C""),3,0),"""")"),"")</f>
        <v/>
      </c>
      <c r="AH5622" s="49" t="str">
        <f t="shared" si="87"/>
        <v/>
      </c>
    </row>
    <row r="5623" spans="8:34" ht="12.75">
      <c r="H5623" s="43"/>
      <c r="AG5623" s="49" t="str">
        <f ca="1">IFERROR(__xludf.DUMMYFUNCTION("IFNA(vlookup(H5623,IMPORTRANGE(""1vUGwO1n0QQGx9kKbO0_M5gmuhXZ6-LaxQxgrmJnzgP0"",""'TP# look up'!A:C""),3,0),"""")"),"")</f>
        <v/>
      </c>
      <c r="AH5623" s="49" t="str">
        <f t="shared" si="87"/>
        <v/>
      </c>
    </row>
    <row r="5624" spans="8:34" ht="12.75">
      <c r="H5624" s="43"/>
      <c r="AG5624" s="49" t="str">
        <f ca="1">IFERROR(__xludf.DUMMYFUNCTION("IFNA(vlookup(H5624,IMPORTRANGE(""1vUGwO1n0QQGx9kKbO0_M5gmuhXZ6-LaxQxgrmJnzgP0"",""'TP# look up'!A:C""),3,0),"""")"),"")</f>
        <v/>
      </c>
      <c r="AH5624" s="49" t="str">
        <f t="shared" si="87"/>
        <v/>
      </c>
    </row>
    <row r="5625" spans="8:34" ht="12.75">
      <c r="H5625" s="43"/>
      <c r="AG5625" s="49" t="str">
        <f ca="1">IFERROR(__xludf.DUMMYFUNCTION("IFNA(vlookup(H5625,IMPORTRANGE(""1vUGwO1n0QQGx9kKbO0_M5gmuhXZ6-LaxQxgrmJnzgP0"",""'TP# look up'!A:C""),3,0),"""")"),"")</f>
        <v/>
      </c>
      <c r="AH5625" s="49" t="str">
        <f t="shared" si="87"/>
        <v/>
      </c>
    </row>
    <row r="5626" spans="8:34" ht="12.75">
      <c r="H5626" s="43"/>
      <c r="AG5626" s="49" t="str">
        <f ca="1">IFERROR(__xludf.DUMMYFUNCTION("IFNA(vlookup(H5626,IMPORTRANGE(""1vUGwO1n0QQGx9kKbO0_M5gmuhXZ6-LaxQxgrmJnzgP0"",""'TP# look up'!A:C""),3,0),"""")"),"")</f>
        <v/>
      </c>
      <c r="AH5626" s="49" t="str">
        <f t="shared" si="87"/>
        <v/>
      </c>
    </row>
    <row r="5627" spans="8:34" ht="12.75">
      <c r="H5627" s="43"/>
      <c r="AG5627" s="49" t="str">
        <f ca="1">IFERROR(__xludf.DUMMYFUNCTION("IFNA(vlookup(H5627,IMPORTRANGE(""1vUGwO1n0QQGx9kKbO0_M5gmuhXZ6-LaxQxgrmJnzgP0"",""'TP# look up'!A:C""),3,0),"""")"),"")</f>
        <v/>
      </c>
      <c r="AH5627" s="49" t="str">
        <f t="shared" si="87"/>
        <v/>
      </c>
    </row>
    <row r="5628" spans="8:34" ht="12.75">
      <c r="H5628" s="43"/>
      <c r="AG5628" s="49" t="str">
        <f ca="1">IFERROR(__xludf.DUMMYFUNCTION("IFNA(vlookup(H5628,IMPORTRANGE(""1vUGwO1n0QQGx9kKbO0_M5gmuhXZ6-LaxQxgrmJnzgP0"",""'TP# look up'!A:C""),3,0),"""")"),"")</f>
        <v/>
      </c>
      <c r="AH5628" s="49" t="str">
        <f t="shared" si="87"/>
        <v/>
      </c>
    </row>
    <row r="5629" spans="8:34" ht="12.75">
      <c r="H5629" s="43"/>
      <c r="AG5629" s="49" t="str">
        <f ca="1">IFERROR(__xludf.DUMMYFUNCTION("IFNA(vlookup(H5629,IMPORTRANGE(""1vUGwO1n0QQGx9kKbO0_M5gmuhXZ6-LaxQxgrmJnzgP0"",""'TP# look up'!A:C""),3,0),"""")"),"")</f>
        <v/>
      </c>
      <c r="AH5629" s="49" t="str">
        <f t="shared" si="87"/>
        <v/>
      </c>
    </row>
    <row r="5630" spans="8:34" ht="12.75">
      <c r="H5630" s="43"/>
      <c r="AG5630" s="49" t="str">
        <f ca="1">IFERROR(__xludf.DUMMYFUNCTION("IFNA(vlookup(H5630,IMPORTRANGE(""1vUGwO1n0QQGx9kKbO0_M5gmuhXZ6-LaxQxgrmJnzgP0"",""'TP# look up'!A:C""),3,0),"""")"),"")</f>
        <v/>
      </c>
      <c r="AH5630" s="49" t="str">
        <f t="shared" si="87"/>
        <v/>
      </c>
    </row>
    <row r="5631" spans="8:34" ht="12.75">
      <c r="H5631" s="43"/>
      <c r="AG5631" s="49" t="str">
        <f ca="1">IFERROR(__xludf.DUMMYFUNCTION("IFNA(vlookup(H5631,IMPORTRANGE(""1vUGwO1n0QQGx9kKbO0_M5gmuhXZ6-LaxQxgrmJnzgP0"",""'TP# look up'!A:C""),3,0),"""")"),"")</f>
        <v/>
      </c>
      <c r="AH5631" s="49" t="str">
        <f t="shared" si="87"/>
        <v/>
      </c>
    </row>
    <row r="5632" spans="8:34" ht="12.75">
      <c r="H5632" s="43"/>
      <c r="AG5632" s="49" t="str">
        <f ca="1">IFERROR(__xludf.DUMMYFUNCTION("IFNA(vlookup(H5632,IMPORTRANGE(""1vUGwO1n0QQGx9kKbO0_M5gmuhXZ6-LaxQxgrmJnzgP0"",""'TP# look up'!A:C""),3,0),"""")"),"")</f>
        <v/>
      </c>
      <c r="AH5632" s="49" t="str">
        <f t="shared" si="87"/>
        <v/>
      </c>
    </row>
    <row r="5633" spans="8:34" ht="12.75">
      <c r="H5633" s="43"/>
      <c r="AG5633" s="49" t="str">
        <f ca="1">IFERROR(__xludf.DUMMYFUNCTION("IFNA(vlookup(H5633,IMPORTRANGE(""1vUGwO1n0QQGx9kKbO0_M5gmuhXZ6-LaxQxgrmJnzgP0"",""'TP# look up'!A:C""),3,0),"""")"),"")</f>
        <v/>
      </c>
      <c r="AH5633" s="49" t="str">
        <f t="shared" si="87"/>
        <v/>
      </c>
    </row>
    <row r="5634" spans="8:34" ht="12.75">
      <c r="H5634" s="43"/>
      <c r="AG5634" s="49" t="str">
        <f ca="1">IFERROR(__xludf.DUMMYFUNCTION("IFNA(vlookup(H5634,IMPORTRANGE(""1vUGwO1n0QQGx9kKbO0_M5gmuhXZ6-LaxQxgrmJnzgP0"",""'TP# look up'!A:C""),3,0),"""")"),"")</f>
        <v/>
      </c>
      <c r="AH5634" s="49" t="str">
        <f t="shared" ref="AH5634:AH5697" si="88">LEFT(J5634,2)</f>
        <v/>
      </c>
    </row>
    <row r="5635" spans="8:34" ht="12.75">
      <c r="H5635" s="43"/>
      <c r="AG5635" s="49" t="str">
        <f ca="1">IFERROR(__xludf.DUMMYFUNCTION("IFNA(vlookup(H5635,IMPORTRANGE(""1vUGwO1n0QQGx9kKbO0_M5gmuhXZ6-LaxQxgrmJnzgP0"",""'TP# look up'!A:C""),3,0),"""")"),"")</f>
        <v/>
      </c>
      <c r="AH5635" s="49" t="str">
        <f t="shared" si="88"/>
        <v/>
      </c>
    </row>
    <row r="5636" spans="8:34" ht="12.75">
      <c r="H5636" s="43"/>
      <c r="AG5636" s="49" t="str">
        <f ca="1">IFERROR(__xludf.DUMMYFUNCTION("IFNA(vlookup(H5636,IMPORTRANGE(""1vUGwO1n0QQGx9kKbO0_M5gmuhXZ6-LaxQxgrmJnzgP0"",""'TP# look up'!A:C""),3,0),"""")"),"")</f>
        <v/>
      </c>
      <c r="AH5636" s="49" t="str">
        <f t="shared" si="88"/>
        <v/>
      </c>
    </row>
    <row r="5637" spans="8:34" ht="12.75">
      <c r="H5637" s="43"/>
      <c r="AG5637" s="49" t="str">
        <f ca="1">IFERROR(__xludf.DUMMYFUNCTION("IFNA(vlookup(H5637,IMPORTRANGE(""1vUGwO1n0QQGx9kKbO0_M5gmuhXZ6-LaxQxgrmJnzgP0"",""'TP# look up'!A:C""),3,0),"""")"),"")</f>
        <v/>
      </c>
      <c r="AH5637" s="49" t="str">
        <f t="shared" si="88"/>
        <v/>
      </c>
    </row>
    <row r="5638" spans="8:34" ht="12.75">
      <c r="H5638" s="43"/>
      <c r="AG5638" s="49" t="str">
        <f ca="1">IFERROR(__xludf.DUMMYFUNCTION("IFNA(vlookup(H5638,IMPORTRANGE(""1vUGwO1n0QQGx9kKbO0_M5gmuhXZ6-LaxQxgrmJnzgP0"",""'TP# look up'!A:C""),3,0),"""")"),"")</f>
        <v/>
      </c>
      <c r="AH5638" s="49" t="str">
        <f t="shared" si="88"/>
        <v/>
      </c>
    </row>
    <row r="5639" spans="8:34" ht="12.75">
      <c r="H5639" s="43"/>
      <c r="AG5639" s="49" t="str">
        <f ca="1">IFERROR(__xludf.DUMMYFUNCTION("IFNA(vlookup(H5639,IMPORTRANGE(""1vUGwO1n0QQGx9kKbO0_M5gmuhXZ6-LaxQxgrmJnzgP0"",""'TP# look up'!A:C""),3,0),"""")"),"")</f>
        <v/>
      </c>
      <c r="AH5639" s="49" t="str">
        <f t="shared" si="88"/>
        <v/>
      </c>
    </row>
    <row r="5640" spans="8:34" ht="12.75">
      <c r="H5640" s="43"/>
      <c r="AG5640" s="49" t="str">
        <f ca="1">IFERROR(__xludf.DUMMYFUNCTION("IFNA(vlookup(H5640,IMPORTRANGE(""1vUGwO1n0QQGx9kKbO0_M5gmuhXZ6-LaxQxgrmJnzgP0"",""'TP# look up'!A:C""),3,0),"""")"),"")</f>
        <v/>
      </c>
      <c r="AH5640" s="49" t="str">
        <f t="shared" si="88"/>
        <v/>
      </c>
    </row>
    <row r="5641" spans="8:34" ht="12.75">
      <c r="H5641" s="43"/>
      <c r="AG5641" s="49" t="str">
        <f ca="1">IFERROR(__xludf.DUMMYFUNCTION("IFNA(vlookup(H5641,IMPORTRANGE(""1vUGwO1n0QQGx9kKbO0_M5gmuhXZ6-LaxQxgrmJnzgP0"",""'TP# look up'!A:C""),3,0),"""")"),"")</f>
        <v/>
      </c>
      <c r="AH5641" s="49" t="str">
        <f t="shared" si="88"/>
        <v/>
      </c>
    </row>
    <row r="5642" spans="8:34" ht="12.75">
      <c r="H5642" s="43"/>
      <c r="AG5642" s="49" t="str">
        <f ca="1">IFERROR(__xludf.DUMMYFUNCTION("IFNA(vlookup(H5642,IMPORTRANGE(""1vUGwO1n0QQGx9kKbO0_M5gmuhXZ6-LaxQxgrmJnzgP0"",""'TP# look up'!A:C""),3,0),"""")"),"")</f>
        <v/>
      </c>
      <c r="AH5642" s="49" t="str">
        <f t="shared" si="88"/>
        <v/>
      </c>
    </row>
    <row r="5643" spans="8:34" ht="12.75">
      <c r="H5643" s="43"/>
      <c r="AG5643" s="49" t="str">
        <f ca="1">IFERROR(__xludf.DUMMYFUNCTION("IFNA(vlookup(H5643,IMPORTRANGE(""1vUGwO1n0QQGx9kKbO0_M5gmuhXZ6-LaxQxgrmJnzgP0"",""'TP# look up'!A:C""),3,0),"""")"),"")</f>
        <v/>
      </c>
      <c r="AH5643" s="49" t="str">
        <f t="shared" si="88"/>
        <v/>
      </c>
    </row>
    <row r="5644" spans="8:34" ht="12.75">
      <c r="H5644" s="43"/>
      <c r="AG5644" s="49" t="str">
        <f ca="1">IFERROR(__xludf.DUMMYFUNCTION("IFNA(vlookup(H5644,IMPORTRANGE(""1vUGwO1n0QQGx9kKbO0_M5gmuhXZ6-LaxQxgrmJnzgP0"",""'TP# look up'!A:C""),3,0),"""")"),"")</f>
        <v/>
      </c>
      <c r="AH5644" s="49" t="str">
        <f t="shared" si="88"/>
        <v/>
      </c>
    </row>
    <row r="5645" spans="8:34" ht="12.75">
      <c r="H5645" s="43"/>
      <c r="AG5645" s="49" t="str">
        <f ca="1">IFERROR(__xludf.DUMMYFUNCTION("IFNA(vlookup(H5645,IMPORTRANGE(""1vUGwO1n0QQGx9kKbO0_M5gmuhXZ6-LaxQxgrmJnzgP0"",""'TP# look up'!A:C""),3,0),"""")"),"")</f>
        <v/>
      </c>
      <c r="AH5645" s="49" t="str">
        <f t="shared" si="88"/>
        <v/>
      </c>
    </row>
    <row r="5646" spans="8:34" ht="12.75">
      <c r="H5646" s="43"/>
      <c r="AG5646" s="49" t="str">
        <f ca="1">IFERROR(__xludf.DUMMYFUNCTION("IFNA(vlookup(H5646,IMPORTRANGE(""1vUGwO1n0QQGx9kKbO0_M5gmuhXZ6-LaxQxgrmJnzgP0"",""'TP# look up'!A:C""),3,0),"""")"),"")</f>
        <v/>
      </c>
      <c r="AH5646" s="49" t="str">
        <f t="shared" si="88"/>
        <v/>
      </c>
    </row>
    <row r="5647" spans="8:34" ht="12.75">
      <c r="H5647" s="43"/>
      <c r="AG5647" s="49" t="str">
        <f ca="1">IFERROR(__xludf.DUMMYFUNCTION("IFNA(vlookup(H5647,IMPORTRANGE(""1vUGwO1n0QQGx9kKbO0_M5gmuhXZ6-LaxQxgrmJnzgP0"",""'TP# look up'!A:C""),3,0),"""")"),"")</f>
        <v/>
      </c>
      <c r="AH5647" s="49" t="str">
        <f t="shared" si="88"/>
        <v/>
      </c>
    </row>
    <row r="5648" spans="8:34" ht="12.75">
      <c r="H5648" s="43"/>
      <c r="AG5648" s="49" t="str">
        <f ca="1">IFERROR(__xludf.DUMMYFUNCTION("IFNA(vlookup(H5648,IMPORTRANGE(""1vUGwO1n0QQGx9kKbO0_M5gmuhXZ6-LaxQxgrmJnzgP0"",""'TP# look up'!A:C""),3,0),"""")"),"")</f>
        <v/>
      </c>
      <c r="AH5648" s="49" t="str">
        <f t="shared" si="88"/>
        <v/>
      </c>
    </row>
    <row r="5649" spans="8:34" ht="12.75">
      <c r="H5649" s="43"/>
      <c r="AG5649" s="49" t="str">
        <f ca="1">IFERROR(__xludf.DUMMYFUNCTION("IFNA(vlookup(H5649,IMPORTRANGE(""1vUGwO1n0QQGx9kKbO0_M5gmuhXZ6-LaxQxgrmJnzgP0"",""'TP# look up'!A:C""),3,0),"""")"),"")</f>
        <v/>
      </c>
      <c r="AH5649" s="49" t="str">
        <f t="shared" si="88"/>
        <v/>
      </c>
    </row>
    <row r="5650" spans="8:34" ht="12.75">
      <c r="H5650" s="43"/>
      <c r="AG5650" s="49" t="str">
        <f ca="1">IFERROR(__xludf.DUMMYFUNCTION("IFNA(vlookup(H5650,IMPORTRANGE(""1vUGwO1n0QQGx9kKbO0_M5gmuhXZ6-LaxQxgrmJnzgP0"",""'TP# look up'!A:C""),3,0),"""")"),"")</f>
        <v/>
      </c>
      <c r="AH5650" s="49" t="str">
        <f t="shared" si="88"/>
        <v/>
      </c>
    </row>
    <row r="5651" spans="8:34" ht="12.75">
      <c r="H5651" s="43"/>
      <c r="AG5651" s="49" t="str">
        <f ca="1">IFERROR(__xludf.DUMMYFUNCTION("IFNA(vlookup(H5651,IMPORTRANGE(""1vUGwO1n0QQGx9kKbO0_M5gmuhXZ6-LaxQxgrmJnzgP0"",""'TP# look up'!A:C""),3,0),"""")"),"")</f>
        <v/>
      </c>
      <c r="AH5651" s="49" t="str">
        <f t="shared" si="88"/>
        <v/>
      </c>
    </row>
    <row r="5652" spans="8:34" ht="12.75">
      <c r="H5652" s="43"/>
      <c r="AG5652" s="49" t="str">
        <f ca="1">IFERROR(__xludf.DUMMYFUNCTION("IFNA(vlookup(H5652,IMPORTRANGE(""1vUGwO1n0QQGx9kKbO0_M5gmuhXZ6-LaxQxgrmJnzgP0"",""'TP# look up'!A:C""),3,0),"""")"),"")</f>
        <v/>
      </c>
      <c r="AH5652" s="49" t="str">
        <f t="shared" si="88"/>
        <v/>
      </c>
    </row>
    <row r="5653" spans="8:34" ht="12.75">
      <c r="H5653" s="43"/>
      <c r="AG5653" s="49" t="str">
        <f ca="1">IFERROR(__xludf.DUMMYFUNCTION("IFNA(vlookup(H5653,IMPORTRANGE(""1vUGwO1n0QQGx9kKbO0_M5gmuhXZ6-LaxQxgrmJnzgP0"",""'TP# look up'!A:C""),3,0),"""")"),"")</f>
        <v/>
      </c>
      <c r="AH5653" s="49" t="str">
        <f t="shared" si="88"/>
        <v/>
      </c>
    </row>
    <row r="5654" spans="8:34" ht="12.75">
      <c r="H5654" s="43"/>
      <c r="AG5654" s="49" t="str">
        <f ca="1">IFERROR(__xludf.DUMMYFUNCTION("IFNA(vlookup(H5654,IMPORTRANGE(""1vUGwO1n0QQGx9kKbO0_M5gmuhXZ6-LaxQxgrmJnzgP0"",""'TP# look up'!A:C""),3,0),"""")"),"")</f>
        <v/>
      </c>
      <c r="AH5654" s="49" t="str">
        <f t="shared" si="88"/>
        <v/>
      </c>
    </row>
    <row r="5655" spans="8:34" ht="12.75">
      <c r="H5655" s="43"/>
      <c r="AG5655" s="49" t="str">
        <f ca="1">IFERROR(__xludf.DUMMYFUNCTION("IFNA(vlookup(H5655,IMPORTRANGE(""1vUGwO1n0QQGx9kKbO0_M5gmuhXZ6-LaxQxgrmJnzgP0"",""'TP# look up'!A:C""),3,0),"""")"),"")</f>
        <v/>
      </c>
      <c r="AH5655" s="49" t="str">
        <f t="shared" si="88"/>
        <v/>
      </c>
    </row>
    <row r="5656" spans="8:34" ht="12.75">
      <c r="H5656" s="43"/>
      <c r="AG5656" s="49" t="str">
        <f ca="1">IFERROR(__xludf.DUMMYFUNCTION("IFNA(vlookup(H5656,IMPORTRANGE(""1vUGwO1n0QQGx9kKbO0_M5gmuhXZ6-LaxQxgrmJnzgP0"",""'TP# look up'!A:C""),3,0),"""")"),"")</f>
        <v/>
      </c>
      <c r="AH5656" s="49" t="str">
        <f t="shared" si="88"/>
        <v/>
      </c>
    </row>
    <row r="5657" spans="8:34" ht="12.75">
      <c r="H5657" s="43"/>
      <c r="AG5657" s="49" t="str">
        <f ca="1">IFERROR(__xludf.DUMMYFUNCTION("IFNA(vlookup(H5657,IMPORTRANGE(""1vUGwO1n0QQGx9kKbO0_M5gmuhXZ6-LaxQxgrmJnzgP0"",""'TP# look up'!A:C""),3,0),"""")"),"")</f>
        <v/>
      </c>
      <c r="AH5657" s="49" t="str">
        <f t="shared" si="88"/>
        <v/>
      </c>
    </row>
    <row r="5658" spans="8:34" ht="12.75">
      <c r="H5658" s="43"/>
      <c r="AG5658" s="49" t="str">
        <f ca="1">IFERROR(__xludf.DUMMYFUNCTION("IFNA(vlookup(H5658,IMPORTRANGE(""1vUGwO1n0QQGx9kKbO0_M5gmuhXZ6-LaxQxgrmJnzgP0"",""'TP# look up'!A:C""),3,0),"""")"),"")</f>
        <v/>
      </c>
      <c r="AH5658" s="49" t="str">
        <f t="shared" si="88"/>
        <v/>
      </c>
    </row>
    <row r="5659" spans="8:34" ht="12.75">
      <c r="H5659" s="43"/>
      <c r="AG5659" s="49" t="str">
        <f ca="1">IFERROR(__xludf.DUMMYFUNCTION("IFNA(vlookup(H5659,IMPORTRANGE(""1vUGwO1n0QQGx9kKbO0_M5gmuhXZ6-LaxQxgrmJnzgP0"",""'TP# look up'!A:C""),3,0),"""")"),"")</f>
        <v/>
      </c>
      <c r="AH5659" s="49" t="str">
        <f t="shared" si="88"/>
        <v/>
      </c>
    </row>
    <row r="5660" spans="8:34" ht="12.75">
      <c r="H5660" s="43"/>
      <c r="AG5660" s="49" t="str">
        <f ca="1">IFERROR(__xludf.DUMMYFUNCTION("IFNA(vlookup(H5660,IMPORTRANGE(""1vUGwO1n0QQGx9kKbO0_M5gmuhXZ6-LaxQxgrmJnzgP0"",""'TP# look up'!A:C""),3,0),"""")"),"")</f>
        <v/>
      </c>
      <c r="AH5660" s="49" t="str">
        <f t="shared" si="88"/>
        <v/>
      </c>
    </row>
    <row r="5661" spans="8:34" ht="12.75">
      <c r="H5661" s="43"/>
      <c r="AG5661" s="49" t="str">
        <f ca="1">IFERROR(__xludf.DUMMYFUNCTION("IFNA(vlookup(H5661,IMPORTRANGE(""1vUGwO1n0QQGx9kKbO0_M5gmuhXZ6-LaxQxgrmJnzgP0"",""'TP# look up'!A:C""),3,0),"""")"),"")</f>
        <v/>
      </c>
      <c r="AH5661" s="49" t="str">
        <f t="shared" si="88"/>
        <v/>
      </c>
    </row>
    <row r="5662" spans="8:34" ht="12.75">
      <c r="H5662" s="43"/>
      <c r="AG5662" s="49" t="str">
        <f ca="1">IFERROR(__xludf.DUMMYFUNCTION("IFNA(vlookup(H5662,IMPORTRANGE(""1vUGwO1n0QQGx9kKbO0_M5gmuhXZ6-LaxQxgrmJnzgP0"",""'TP# look up'!A:C""),3,0),"""")"),"")</f>
        <v/>
      </c>
      <c r="AH5662" s="49" t="str">
        <f t="shared" si="88"/>
        <v/>
      </c>
    </row>
    <row r="5663" spans="8:34" ht="12.75">
      <c r="H5663" s="43"/>
      <c r="AG5663" s="49" t="str">
        <f ca="1">IFERROR(__xludf.DUMMYFUNCTION("IFNA(vlookup(H5663,IMPORTRANGE(""1vUGwO1n0QQGx9kKbO0_M5gmuhXZ6-LaxQxgrmJnzgP0"",""'TP# look up'!A:C""),3,0),"""")"),"")</f>
        <v/>
      </c>
      <c r="AH5663" s="49" t="str">
        <f t="shared" si="88"/>
        <v/>
      </c>
    </row>
    <row r="5664" spans="8:34" ht="12.75">
      <c r="H5664" s="43"/>
      <c r="AG5664" s="49" t="str">
        <f ca="1">IFERROR(__xludf.DUMMYFUNCTION("IFNA(vlookup(H5664,IMPORTRANGE(""1vUGwO1n0QQGx9kKbO0_M5gmuhXZ6-LaxQxgrmJnzgP0"",""'TP# look up'!A:C""),3,0),"""")"),"")</f>
        <v/>
      </c>
      <c r="AH5664" s="49" t="str">
        <f t="shared" si="88"/>
        <v/>
      </c>
    </row>
    <row r="5665" spans="8:34" ht="12.75">
      <c r="H5665" s="43"/>
      <c r="AG5665" s="49" t="str">
        <f ca="1">IFERROR(__xludf.DUMMYFUNCTION("IFNA(vlookup(H5665,IMPORTRANGE(""1vUGwO1n0QQGx9kKbO0_M5gmuhXZ6-LaxQxgrmJnzgP0"",""'TP# look up'!A:C""),3,0),"""")"),"")</f>
        <v/>
      </c>
      <c r="AH5665" s="49" t="str">
        <f t="shared" si="88"/>
        <v/>
      </c>
    </row>
    <row r="5666" spans="8:34" ht="12.75">
      <c r="H5666" s="43"/>
      <c r="AG5666" s="49" t="str">
        <f ca="1">IFERROR(__xludf.DUMMYFUNCTION("IFNA(vlookup(H5666,IMPORTRANGE(""1vUGwO1n0QQGx9kKbO0_M5gmuhXZ6-LaxQxgrmJnzgP0"",""'TP# look up'!A:C""),3,0),"""")"),"")</f>
        <v/>
      </c>
      <c r="AH5666" s="49" t="str">
        <f t="shared" si="88"/>
        <v/>
      </c>
    </row>
    <row r="5667" spans="8:34" ht="12.75">
      <c r="H5667" s="43"/>
      <c r="AG5667" s="49" t="str">
        <f ca="1">IFERROR(__xludf.DUMMYFUNCTION("IFNA(vlookup(H5667,IMPORTRANGE(""1vUGwO1n0QQGx9kKbO0_M5gmuhXZ6-LaxQxgrmJnzgP0"",""'TP# look up'!A:C""),3,0),"""")"),"")</f>
        <v/>
      </c>
      <c r="AH5667" s="49" t="str">
        <f t="shared" si="88"/>
        <v/>
      </c>
    </row>
    <row r="5668" spans="8:34" ht="12.75">
      <c r="H5668" s="43"/>
      <c r="AG5668" s="49" t="str">
        <f ca="1">IFERROR(__xludf.DUMMYFUNCTION("IFNA(vlookup(H5668,IMPORTRANGE(""1vUGwO1n0QQGx9kKbO0_M5gmuhXZ6-LaxQxgrmJnzgP0"",""'TP# look up'!A:C""),3,0),"""")"),"")</f>
        <v/>
      </c>
      <c r="AH5668" s="49" t="str">
        <f t="shared" si="88"/>
        <v/>
      </c>
    </row>
    <row r="5669" spans="8:34" ht="12.75">
      <c r="H5669" s="43"/>
      <c r="AG5669" s="49" t="str">
        <f ca="1">IFERROR(__xludf.DUMMYFUNCTION("IFNA(vlookup(H5669,IMPORTRANGE(""1vUGwO1n0QQGx9kKbO0_M5gmuhXZ6-LaxQxgrmJnzgP0"",""'TP# look up'!A:C""),3,0),"""")"),"")</f>
        <v/>
      </c>
      <c r="AH5669" s="49" t="str">
        <f t="shared" si="88"/>
        <v/>
      </c>
    </row>
    <row r="5670" spans="8:34" ht="12.75">
      <c r="H5670" s="43"/>
      <c r="AG5670" s="49" t="str">
        <f ca="1">IFERROR(__xludf.DUMMYFUNCTION("IFNA(vlookup(H5670,IMPORTRANGE(""1vUGwO1n0QQGx9kKbO0_M5gmuhXZ6-LaxQxgrmJnzgP0"",""'TP# look up'!A:C""),3,0),"""")"),"")</f>
        <v/>
      </c>
      <c r="AH5670" s="49" t="str">
        <f t="shared" si="88"/>
        <v/>
      </c>
    </row>
    <row r="5671" spans="8:34" ht="12.75">
      <c r="H5671" s="43"/>
      <c r="AG5671" s="49" t="str">
        <f ca="1">IFERROR(__xludf.DUMMYFUNCTION("IFNA(vlookup(H5671,IMPORTRANGE(""1vUGwO1n0QQGx9kKbO0_M5gmuhXZ6-LaxQxgrmJnzgP0"",""'TP# look up'!A:C""),3,0),"""")"),"")</f>
        <v/>
      </c>
      <c r="AH5671" s="49" t="str">
        <f t="shared" si="88"/>
        <v/>
      </c>
    </row>
    <row r="5672" spans="8:34" ht="12.75">
      <c r="H5672" s="43"/>
      <c r="AG5672" s="49" t="str">
        <f ca="1">IFERROR(__xludf.DUMMYFUNCTION("IFNA(vlookup(H5672,IMPORTRANGE(""1vUGwO1n0QQGx9kKbO0_M5gmuhXZ6-LaxQxgrmJnzgP0"",""'TP# look up'!A:C""),3,0),"""")"),"")</f>
        <v/>
      </c>
      <c r="AH5672" s="49" t="str">
        <f t="shared" si="88"/>
        <v/>
      </c>
    </row>
    <row r="5673" spans="8:34" ht="12.75">
      <c r="H5673" s="43"/>
      <c r="AG5673" s="49" t="str">
        <f ca="1">IFERROR(__xludf.DUMMYFUNCTION("IFNA(vlookup(H5673,IMPORTRANGE(""1vUGwO1n0QQGx9kKbO0_M5gmuhXZ6-LaxQxgrmJnzgP0"",""'TP# look up'!A:C""),3,0),"""")"),"")</f>
        <v/>
      </c>
      <c r="AH5673" s="49" t="str">
        <f t="shared" si="88"/>
        <v/>
      </c>
    </row>
    <row r="5674" spans="8:34" ht="12.75">
      <c r="H5674" s="43"/>
      <c r="AG5674" s="49" t="str">
        <f ca="1">IFERROR(__xludf.DUMMYFUNCTION("IFNA(vlookup(H5674,IMPORTRANGE(""1vUGwO1n0QQGx9kKbO0_M5gmuhXZ6-LaxQxgrmJnzgP0"",""'TP# look up'!A:C""),3,0),"""")"),"")</f>
        <v/>
      </c>
      <c r="AH5674" s="49" t="str">
        <f t="shared" si="88"/>
        <v/>
      </c>
    </row>
    <row r="5675" spans="8:34" ht="12.75">
      <c r="H5675" s="43"/>
      <c r="AG5675" s="49" t="str">
        <f ca="1">IFERROR(__xludf.DUMMYFUNCTION("IFNA(vlookup(H5675,IMPORTRANGE(""1vUGwO1n0QQGx9kKbO0_M5gmuhXZ6-LaxQxgrmJnzgP0"",""'TP# look up'!A:C""),3,0),"""")"),"")</f>
        <v/>
      </c>
      <c r="AH5675" s="49" t="str">
        <f t="shared" si="88"/>
        <v/>
      </c>
    </row>
    <row r="5676" spans="8:34" ht="12.75">
      <c r="H5676" s="43"/>
      <c r="AG5676" s="49" t="str">
        <f ca="1">IFERROR(__xludf.DUMMYFUNCTION("IFNA(vlookup(H5676,IMPORTRANGE(""1vUGwO1n0QQGx9kKbO0_M5gmuhXZ6-LaxQxgrmJnzgP0"",""'TP# look up'!A:C""),3,0),"""")"),"")</f>
        <v/>
      </c>
      <c r="AH5676" s="49" t="str">
        <f t="shared" si="88"/>
        <v/>
      </c>
    </row>
    <row r="5677" spans="8:34" ht="12.75">
      <c r="H5677" s="43"/>
      <c r="AG5677" s="49" t="str">
        <f ca="1">IFERROR(__xludf.DUMMYFUNCTION("IFNA(vlookup(H5677,IMPORTRANGE(""1vUGwO1n0QQGx9kKbO0_M5gmuhXZ6-LaxQxgrmJnzgP0"",""'TP# look up'!A:C""),3,0),"""")"),"")</f>
        <v/>
      </c>
      <c r="AH5677" s="49" t="str">
        <f t="shared" si="88"/>
        <v/>
      </c>
    </row>
    <row r="5678" spans="8:34" ht="12.75">
      <c r="H5678" s="43"/>
      <c r="AG5678" s="49" t="str">
        <f ca="1">IFERROR(__xludf.DUMMYFUNCTION("IFNA(vlookup(H5678,IMPORTRANGE(""1vUGwO1n0QQGx9kKbO0_M5gmuhXZ6-LaxQxgrmJnzgP0"",""'TP# look up'!A:C""),3,0),"""")"),"")</f>
        <v/>
      </c>
      <c r="AH5678" s="49" t="str">
        <f t="shared" si="88"/>
        <v/>
      </c>
    </row>
    <row r="5679" spans="8:34" ht="12.75">
      <c r="H5679" s="43"/>
      <c r="AG5679" s="49" t="str">
        <f ca="1">IFERROR(__xludf.DUMMYFUNCTION("IFNA(vlookup(H5679,IMPORTRANGE(""1vUGwO1n0QQGx9kKbO0_M5gmuhXZ6-LaxQxgrmJnzgP0"",""'TP# look up'!A:C""),3,0),"""")"),"")</f>
        <v/>
      </c>
      <c r="AH5679" s="49" t="str">
        <f t="shared" si="88"/>
        <v/>
      </c>
    </row>
    <row r="5680" spans="8:34" ht="12.75">
      <c r="H5680" s="43"/>
      <c r="AG5680" s="49" t="str">
        <f ca="1">IFERROR(__xludf.DUMMYFUNCTION("IFNA(vlookup(H5680,IMPORTRANGE(""1vUGwO1n0QQGx9kKbO0_M5gmuhXZ6-LaxQxgrmJnzgP0"",""'TP# look up'!A:C""),3,0),"""")"),"")</f>
        <v/>
      </c>
      <c r="AH5680" s="49" t="str">
        <f t="shared" si="88"/>
        <v/>
      </c>
    </row>
    <row r="5681" spans="8:34" ht="12.75">
      <c r="H5681" s="43"/>
      <c r="AG5681" s="49" t="str">
        <f ca="1">IFERROR(__xludf.DUMMYFUNCTION("IFNA(vlookup(H5681,IMPORTRANGE(""1vUGwO1n0QQGx9kKbO0_M5gmuhXZ6-LaxQxgrmJnzgP0"",""'TP# look up'!A:C""),3,0),"""")"),"")</f>
        <v/>
      </c>
      <c r="AH5681" s="49" t="str">
        <f t="shared" si="88"/>
        <v/>
      </c>
    </row>
    <row r="5682" spans="8:34" ht="12.75">
      <c r="H5682" s="43"/>
      <c r="AG5682" s="49" t="str">
        <f ca="1">IFERROR(__xludf.DUMMYFUNCTION("IFNA(vlookup(H5682,IMPORTRANGE(""1vUGwO1n0QQGx9kKbO0_M5gmuhXZ6-LaxQxgrmJnzgP0"",""'TP# look up'!A:C""),3,0),"""")"),"")</f>
        <v/>
      </c>
      <c r="AH5682" s="49" t="str">
        <f t="shared" si="88"/>
        <v/>
      </c>
    </row>
    <row r="5683" spans="8:34" ht="12.75">
      <c r="H5683" s="43"/>
      <c r="AG5683" s="49" t="str">
        <f ca="1">IFERROR(__xludf.DUMMYFUNCTION("IFNA(vlookup(H5683,IMPORTRANGE(""1vUGwO1n0QQGx9kKbO0_M5gmuhXZ6-LaxQxgrmJnzgP0"",""'TP# look up'!A:C""),3,0),"""")"),"")</f>
        <v/>
      </c>
      <c r="AH5683" s="49" t="str">
        <f t="shared" si="88"/>
        <v/>
      </c>
    </row>
    <row r="5684" spans="8:34" ht="12.75">
      <c r="H5684" s="43"/>
      <c r="AG5684" s="49" t="str">
        <f ca="1">IFERROR(__xludf.DUMMYFUNCTION("IFNA(vlookup(H5684,IMPORTRANGE(""1vUGwO1n0QQGx9kKbO0_M5gmuhXZ6-LaxQxgrmJnzgP0"",""'TP# look up'!A:C""),3,0),"""")"),"")</f>
        <v/>
      </c>
      <c r="AH5684" s="49" t="str">
        <f t="shared" si="88"/>
        <v/>
      </c>
    </row>
    <row r="5685" spans="8:34" ht="12.75">
      <c r="H5685" s="43"/>
      <c r="AG5685" s="49" t="str">
        <f ca="1">IFERROR(__xludf.DUMMYFUNCTION("IFNA(vlookup(H5685,IMPORTRANGE(""1vUGwO1n0QQGx9kKbO0_M5gmuhXZ6-LaxQxgrmJnzgP0"",""'TP# look up'!A:C""),3,0),"""")"),"")</f>
        <v/>
      </c>
      <c r="AH5685" s="49" t="str">
        <f t="shared" si="88"/>
        <v/>
      </c>
    </row>
    <row r="5686" spans="8:34" ht="12.75">
      <c r="H5686" s="43"/>
      <c r="AG5686" s="49" t="str">
        <f ca="1">IFERROR(__xludf.DUMMYFUNCTION("IFNA(vlookup(H5686,IMPORTRANGE(""1vUGwO1n0QQGx9kKbO0_M5gmuhXZ6-LaxQxgrmJnzgP0"",""'TP# look up'!A:C""),3,0),"""")"),"")</f>
        <v/>
      </c>
      <c r="AH5686" s="49" t="str">
        <f t="shared" si="88"/>
        <v/>
      </c>
    </row>
    <row r="5687" spans="8:34" ht="12.75">
      <c r="H5687" s="43"/>
      <c r="AG5687" s="49" t="str">
        <f ca="1">IFERROR(__xludf.DUMMYFUNCTION("IFNA(vlookup(H5687,IMPORTRANGE(""1vUGwO1n0QQGx9kKbO0_M5gmuhXZ6-LaxQxgrmJnzgP0"",""'TP# look up'!A:C""),3,0),"""")"),"")</f>
        <v/>
      </c>
      <c r="AH5687" s="49" t="str">
        <f t="shared" si="88"/>
        <v/>
      </c>
    </row>
    <row r="5688" spans="8:34" ht="12.75">
      <c r="H5688" s="43"/>
      <c r="AG5688" s="49" t="str">
        <f ca="1">IFERROR(__xludf.DUMMYFUNCTION("IFNA(vlookup(H5688,IMPORTRANGE(""1vUGwO1n0QQGx9kKbO0_M5gmuhXZ6-LaxQxgrmJnzgP0"",""'TP# look up'!A:C""),3,0),"""")"),"")</f>
        <v/>
      </c>
      <c r="AH5688" s="49" t="str">
        <f t="shared" si="88"/>
        <v/>
      </c>
    </row>
    <row r="5689" spans="8:34" ht="12.75">
      <c r="H5689" s="43"/>
      <c r="AG5689" s="49" t="str">
        <f ca="1">IFERROR(__xludf.DUMMYFUNCTION("IFNA(vlookup(H5689,IMPORTRANGE(""1vUGwO1n0QQGx9kKbO0_M5gmuhXZ6-LaxQxgrmJnzgP0"",""'TP# look up'!A:C""),3,0),"""")"),"")</f>
        <v/>
      </c>
      <c r="AH5689" s="49" t="str">
        <f t="shared" si="88"/>
        <v/>
      </c>
    </row>
    <row r="5690" spans="8:34" ht="12.75">
      <c r="H5690" s="43"/>
      <c r="AG5690" s="49" t="str">
        <f ca="1">IFERROR(__xludf.DUMMYFUNCTION("IFNA(vlookup(H5690,IMPORTRANGE(""1vUGwO1n0QQGx9kKbO0_M5gmuhXZ6-LaxQxgrmJnzgP0"",""'TP# look up'!A:C""),3,0),"""")"),"")</f>
        <v/>
      </c>
      <c r="AH5690" s="49" t="str">
        <f t="shared" si="88"/>
        <v/>
      </c>
    </row>
    <row r="5691" spans="8:34" ht="12.75">
      <c r="H5691" s="43"/>
      <c r="AG5691" s="49" t="str">
        <f ca="1">IFERROR(__xludf.DUMMYFUNCTION("IFNA(vlookup(H5691,IMPORTRANGE(""1vUGwO1n0QQGx9kKbO0_M5gmuhXZ6-LaxQxgrmJnzgP0"",""'TP# look up'!A:C""),3,0),"""")"),"")</f>
        <v/>
      </c>
      <c r="AH5691" s="49" t="str">
        <f t="shared" si="88"/>
        <v/>
      </c>
    </row>
    <row r="5692" spans="8:34" ht="12.75">
      <c r="H5692" s="43"/>
      <c r="AG5692" s="49" t="str">
        <f ca="1">IFERROR(__xludf.DUMMYFUNCTION("IFNA(vlookup(H5692,IMPORTRANGE(""1vUGwO1n0QQGx9kKbO0_M5gmuhXZ6-LaxQxgrmJnzgP0"",""'TP# look up'!A:C""),3,0),"""")"),"")</f>
        <v/>
      </c>
      <c r="AH5692" s="49" t="str">
        <f t="shared" si="88"/>
        <v/>
      </c>
    </row>
    <row r="5693" spans="8:34" ht="12.75">
      <c r="H5693" s="43"/>
      <c r="AG5693" s="49" t="str">
        <f ca="1">IFERROR(__xludf.DUMMYFUNCTION("IFNA(vlookup(H5693,IMPORTRANGE(""1vUGwO1n0QQGx9kKbO0_M5gmuhXZ6-LaxQxgrmJnzgP0"",""'TP# look up'!A:C""),3,0),"""")"),"")</f>
        <v/>
      </c>
      <c r="AH5693" s="49" t="str">
        <f t="shared" si="88"/>
        <v/>
      </c>
    </row>
    <row r="5694" spans="8:34" ht="12.75">
      <c r="H5694" s="43"/>
      <c r="AG5694" s="49" t="str">
        <f ca="1">IFERROR(__xludf.DUMMYFUNCTION("IFNA(vlookup(H5694,IMPORTRANGE(""1vUGwO1n0QQGx9kKbO0_M5gmuhXZ6-LaxQxgrmJnzgP0"",""'TP# look up'!A:C""),3,0),"""")"),"")</f>
        <v/>
      </c>
      <c r="AH5694" s="49" t="str">
        <f t="shared" si="88"/>
        <v/>
      </c>
    </row>
    <row r="5695" spans="8:34" ht="12.75">
      <c r="H5695" s="43"/>
      <c r="AG5695" s="49" t="str">
        <f ca="1">IFERROR(__xludf.DUMMYFUNCTION("IFNA(vlookup(H5695,IMPORTRANGE(""1vUGwO1n0QQGx9kKbO0_M5gmuhXZ6-LaxQxgrmJnzgP0"",""'TP# look up'!A:C""),3,0),"""")"),"")</f>
        <v/>
      </c>
      <c r="AH5695" s="49" t="str">
        <f t="shared" si="88"/>
        <v/>
      </c>
    </row>
    <row r="5696" spans="8:34" ht="12.75">
      <c r="H5696" s="43"/>
      <c r="AG5696" s="49" t="str">
        <f ca="1">IFERROR(__xludf.DUMMYFUNCTION("IFNA(vlookup(H5696,IMPORTRANGE(""1vUGwO1n0QQGx9kKbO0_M5gmuhXZ6-LaxQxgrmJnzgP0"",""'TP# look up'!A:C""),3,0),"""")"),"")</f>
        <v/>
      </c>
      <c r="AH5696" s="49" t="str">
        <f t="shared" si="88"/>
        <v/>
      </c>
    </row>
    <row r="5697" spans="8:34" ht="12.75">
      <c r="H5697" s="43"/>
      <c r="AG5697" s="49" t="str">
        <f ca="1">IFERROR(__xludf.DUMMYFUNCTION("IFNA(vlookup(H5697,IMPORTRANGE(""1vUGwO1n0QQGx9kKbO0_M5gmuhXZ6-LaxQxgrmJnzgP0"",""'TP# look up'!A:C""),3,0),"""")"),"")</f>
        <v/>
      </c>
      <c r="AH5697" s="49" t="str">
        <f t="shared" si="88"/>
        <v/>
      </c>
    </row>
    <row r="5698" spans="8:34" ht="12.75">
      <c r="H5698" s="43"/>
      <c r="AG5698" s="49" t="str">
        <f ca="1">IFERROR(__xludf.DUMMYFUNCTION("IFNA(vlookup(H5698,IMPORTRANGE(""1vUGwO1n0QQGx9kKbO0_M5gmuhXZ6-LaxQxgrmJnzgP0"",""'TP# look up'!A:C""),3,0),"""")"),"")</f>
        <v/>
      </c>
      <c r="AH5698" s="49" t="str">
        <f t="shared" ref="AH5698:AH5761" si="89">LEFT(J5698,2)</f>
        <v/>
      </c>
    </row>
    <row r="5699" spans="8:34" ht="12.75">
      <c r="H5699" s="43"/>
      <c r="AG5699" s="49" t="str">
        <f ca="1">IFERROR(__xludf.DUMMYFUNCTION("IFNA(vlookup(H5699,IMPORTRANGE(""1vUGwO1n0QQGx9kKbO0_M5gmuhXZ6-LaxQxgrmJnzgP0"",""'TP# look up'!A:C""),3,0),"""")"),"")</f>
        <v/>
      </c>
      <c r="AH5699" s="49" t="str">
        <f t="shared" si="89"/>
        <v/>
      </c>
    </row>
    <row r="5700" spans="8:34" ht="12.75">
      <c r="H5700" s="43"/>
      <c r="AG5700" s="49" t="str">
        <f ca="1">IFERROR(__xludf.DUMMYFUNCTION("IFNA(vlookup(H5700,IMPORTRANGE(""1vUGwO1n0QQGx9kKbO0_M5gmuhXZ6-LaxQxgrmJnzgP0"",""'TP# look up'!A:C""),3,0),"""")"),"")</f>
        <v/>
      </c>
      <c r="AH5700" s="49" t="str">
        <f t="shared" si="89"/>
        <v/>
      </c>
    </row>
    <row r="5701" spans="8:34" ht="12.75">
      <c r="H5701" s="43"/>
      <c r="AG5701" s="49" t="str">
        <f ca="1">IFERROR(__xludf.DUMMYFUNCTION("IFNA(vlookup(H5701,IMPORTRANGE(""1vUGwO1n0QQGx9kKbO0_M5gmuhXZ6-LaxQxgrmJnzgP0"",""'TP# look up'!A:C""),3,0),"""")"),"")</f>
        <v/>
      </c>
      <c r="AH5701" s="49" t="str">
        <f t="shared" si="89"/>
        <v/>
      </c>
    </row>
    <row r="5702" spans="8:34" ht="12.75">
      <c r="H5702" s="43"/>
      <c r="AG5702" s="49" t="str">
        <f ca="1">IFERROR(__xludf.DUMMYFUNCTION("IFNA(vlookup(H5702,IMPORTRANGE(""1vUGwO1n0QQGx9kKbO0_M5gmuhXZ6-LaxQxgrmJnzgP0"",""'TP# look up'!A:C""),3,0),"""")"),"")</f>
        <v/>
      </c>
      <c r="AH5702" s="49" t="str">
        <f t="shared" si="89"/>
        <v/>
      </c>
    </row>
    <row r="5703" spans="8:34" ht="12.75">
      <c r="H5703" s="43"/>
      <c r="AG5703" s="49" t="str">
        <f ca="1">IFERROR(__xludf.DUMMYFUNCTION("IFNA(vlookup(H5703,IMPORTRANGE(""1vUGwO1n0QQGx9kKbO0_M5gmuhXZ6-LaxQxgrmJnzgP0"",""'TP# look up'!A:C""),3,0),"""")"),"")</f>
        <v/>
      </c>
      <c r="AH5703" s="49" t="str">
        <f t="shared" si="89"/>
        <v/>
      </c>
    </row>
    <row r="5704" spans="8:34" ht="12.75">
      <c r="H5704" s="43"/>
      <c r="AG5704" s="49" t="str">
        <f ca="1">IFERROR(__xludf.DUMMYFUNCTION("IFNA(vlookup(H5704,IMPORTRANGE(""1vUGwO1n0QQGx9kKbO0_M5gmuhXZ6-LaxQxgrmJnzgP0"",""'TP# look up'!A:C""),3,0),"""")"),"")</f>
        <v/>
      </c>
      <c r="AH5704" s="49" t="str">
        <f t="shared" si="89"/>
        <v/>
      </c>
    </row>
    <row r="5705" spans="8:34" ht="12.75">
      <c r="H5705" s="43"/>
      <c r="AG5705" s="49" t="str">
        <f ca="1">IFERROR(__xludf.DUMMYFUNCTION("IFNA(vlookup(H5705,IMPORTRANGE(""1vUGwO1n0QQGx9kKbO0_M5gmuhXZ6-LaxQxgrmJnzgP0"",""'TP# look up'!A:C""),3,0),"""")"),"")</f>
        <v/>
      </c>
      <c r="AH5705" s="49" t="str">
        <f t="shared" si="89"/>
        <v/>
      </c>
    </row>
    <row r="5706" spans="8:34" ht="12.75">
      <c r="H5706" s="43"/>
      <c r="AG5706" s="49" t="str">
        <f ca="1">IFERROR(__xludf.DUMMYFUNCTION("IFNA(vlookup(H5706,IMPORTRANGE(""1vUGwO1n0QQGx9kKbO0_M5gmuhXZ6-LaxQxgrmJnzgP0"",""'TP# look up'!A:C""),3,0),"""")"),"")</f>
        <v/>
      </c>
      <c r="AH5706" s="49" t="str">
        <f t="shared" si="89"/>
        <v/>
      </c>
    </row>
    <row r="5707" spans="8:34" ht="12.75">
      <c r="H5707" s="43"/>
      <c r="AG5707" s="49" t="str">
        <f ca="1">IFERROR(__xludf.DUMMYFUNCTION("IFNA(vlookup(H5707,IMPORTRANGE(""1vUGwO1n0QQGx9kKbO0_M5gmuhXZ6-LaxQxgrmJnzgP0"",""'TP# look up'!A:C""),3,0),"""")"),"")</f>
        <v/>
      </c>
      <c r="AH5707" s="49" t="str">
        <f t="shared" si="89"/>
        <v/>
      </c>
    </row>
    <row r="5708" spans="8:34" ht="12.75">
      <c r="H5708" s="43"/>
      <c r="AG5708" s="49" t="str">
        <f ca="1">IFERROR(__xludf.DUMMYFUNCTION("IFNA(vlookup(H5708,IMPORTRANGE(""1vUGwO1n0QQGx9kKbO0_M5gmuhXZ6-LaxQxgrmJnzgP0"",""'TP# look up'!A:C""),3,0),"""")"),"")</f>
        <v/>
      </c>
      <c r="AH5708" s="49" t="str">
        <f t="shared" si="89"/>
        <v/>
      </c>
    </row>
    <row r="5709" spans="8:34" ht="12.75">
      <c r="H5709" s="43"/>
      <c r="AG5709" s="49" t="str">
        <f ca="1">IFERROR(__xludf.DUMMYFUNCTION("IFNA(vlookup(H5709,IMPORTRANGE(""1vUGwO1n0QQGx9kKbO0_M5gmuhXZ6-LaxQxgrmJnzgP0"",""'TP# look up'!A:C""),3,0),"""")"),"")</f>
        <v/>
      </c>
      <c r="AH5709" s="49" t="str">
        <f t="shared" si="89"/>
        <v/>
      </c>
    </row>
    <row r="5710" spans="8:34" ht="12.75">
      <c r="H5710" s="43"/>
      <c r="AG5710" s="49" t="str">
        <f ca="1">IFERROR(__xludf.DUMMYFUNCTION("IFNA(vlookup(H5710,IMPORTRANGE(""1vUGwO1n0QQGx9kKbO0_M5gmuhXZ6-LaxQxgrmJnzgP0"",""'TP# look up'!A:C""),3,0),"""")"),"")</f>
        <v/>
      </c>
      <c r="AH5710" s="49" t="str">
        <f t="shared" si="89"/>
        <v/>
      </c>
    </row>
    <row r="5711" spans="8:34" ht="12.75">
      <c r="H5711" s="43"/>
      <c r="AG5711" s="49" t="str">
        <f ca="1">IFERROR(__xludf.DUMMYFUNCTION("IFNA(vlookup(H5711,IMPORTRANGE(""1vUGwO1n0QQGx9kKbO0_M5gmuhXZ6-LaxQxgrmJnzgP0"",""'TP# look up'!A:C""),3,0),"""")"),"")</f>
        <v/>
      </c>
      <c r="AH5711" s="49" t="str">
        <f t="shared" si="89"/>
        <v/>
      </c>
    </row>
    <row r="5712" spans="8:34" ht="12.75">
      <c r="H5712" s="43"/>
      <c r="AG5712" s="49" t="str">
        <f ca="1">IFERROR(__xludf.DUMMYFUNCTION("IFNA(vlookup(H5712,IMPORTRANGE(""1vUGwO1n0QQGx9kKbO0_M5gmuhXZ6-LaxQxgrmJnzgP0"",""'TP# look up'!A:C""),3,0),"""")"),"")</f>
        <v/>
      </c>
      <c r="AH5712" s="49" t="str">
        <f t="shared" si="89"/>
        <v/>
      </c>
    </row>
    <row r="5713" spans="8:34" ht="12.75">
      <c r="H5713" s="43"/>
      <c r="AG5713" s="49" t="str">
        <f ca="1">IFERROR(__xludf.DUMMYFUNCTION("IFNA(vlookup(H5713,IMPORTRANGE(""1vUGwO1n0QQGx9kKbO0_M5gmuhXZ6-LaxQxgrmJnzgP0"",""'TP# look up'!A:C""),3,0),"""")"),"")</f>
        <v/>
      </c>
      <c r="AH5713" s="49" t="str">
        <f t="shared" si="89"/>
        <v/>
      </c>
    </row>
    <row r="5714" spans="8:34" ht="12.75">
      <c r="H5714" s="43"/>
      <c r="AG5714" s="49" t="str">
        <f ca="1">IFERROR(__xludf.DUMMYFUNCTION("IFNA(vlookup(H5714,IMPORTRANGE(""1vUGwO1n0QQGx9kKbO0_M5gmuhXZ6-LaxQxgrmJnzgP0"",""'TP# look up'!A:C""),3,0),"""")"),"")</f>
        <v/>
      </c>
      <c r="AH5714" s="49" t="str">
        <f t="shared" si="89"/>
        <v/>
      </c>
    </row>
    <row r="5715" spans="8:34" ht="12.75">
      <c r="H5715" s="43"/>
      <c r="AG5715" s="49" t="str">
        <f ca="1">IFERROR(__xludf.DUMMYFUNCTION("IFNA(vlookup(H5715,IMPORTRANGE(""1vUGwO1n0QQGx9kKbO0_M5gmuhXZ6-LaxQxgrmJnzgP0"",""'TP# look up'!A:C""),3,0),"""")"),"")</f>
        <v/>
      </c>
      <c r="AH5715" s="49" t="str">
        <f t="shared" si="89"/>
        <v/>
      </c>
    </row>
    <row r="5716" spans="8:34" ht="12.75">
      <c r="H5716" s="43"/>
      <c r="AG5716" s="49" t="str">
        <f ca="1">IFERROR(__xludf.DUMMYFUNCTION("IFNA(vlookup(H5716,IMPORTRANGE(""1vUGwO1n0QQGx9kKbO0_M5gmuhXZ6-LaxQxgrmJnzgP0"",""'TP# look up'!A:C""),3,0),"""")"),"")</f>
        <v/>
      </c>
      <c r="AH5716" s="49" t="str">
        <f t="shared" si="89"/>
        <v/>
      </c>
    </row>
    <row r="5717" spans="8:34" ht="12.75">
      <c r="H5717" s="43"/>
      <c r="AG5717" s="49" t="str">
        <f ca="1">IFERROR(__xludf.DUMMYFUNCTION("IFNA(vlookup(H5717,IMPORTRANGE(""1vUGwO1n0QQGx9kKbO0_M5gmuhXZ6-LaxQxgrmJnzgP0"",""'TP# look up'!A:C""),3,0),"""")"),"")</f>
        <v/>
      </c>
      <c r="AH5717" s="49" t="str">
        <f t="shared" si="89"/>
        <v/>
      </c>
    </row>
    <row r="5718" spans="8:34" ht="12.75">
      <c r="H5718" s="43"/>
      <c r="AG5718" s="49" t="str">
        <f ca="1">IFERROR(__xludf.DUMMYFUNCTION("IFNA(vlookup(H5718,IMPORTRANGE(""1vUGwO1n0QQGx9kKbO0_M5gmuhXZ6-LaxQxgrmJnzgP0"",""'TP# look up'!A:C""),3,0),"""")"),"")</f>
        <v/>
      </c>
      <c r="AH5718" s="49" t="str">
        <f t="shared" si="89"/>
        <v/>
      </c>
    </row>
    <row r="5719" spans="8:34" ht="12.75">
      <c r="H5719" s="43"/>
      <c r="AG5719" s="49" t="str">
        <f ca="1">IFERROR(__xludf.DUMMYFUNCTION("IFNA(vlookup(H5719,IMPORTRANGE(""1vUGwO1n0QQGx9kKbO0_M5gmuhXZ6-LaxQxgrmJnzgP0"",""'TP# look up'!A:C""),3,0),"""")"),"")</f>
        <v/>
      </c>
      <c r="AH5719" s="49" t="str">
        <f t="shared" si="89"/>
        <v/>
      </c>
    </row>
    <row r="5720" spans="8:34" ht="12.75">
      <c r="H5720" s="43"/>
      <c r="AG5720" s="49" t="str">
        <f ca="1">IFERROR(__xludf.DUMMYFUNCTION("IFNA(vlookup(H5720,IMPORTRANGE(""1vUGwO1n0QQGx9kKbO0_M5gmuhXZ6-LaxQxgrmJnzgP0"",""'TP# look up'!A:C""),3,0),"""")"),"")</f>
        <v/>
      </c>
      <c r="AH5720" s="49" t="str">
        <f t="shared" si="89"/>
        <v/>
      </c>
    </row>
    <row r="5721" spans="8:34" ht="12.75">
      <c r="H5721" s="43"/>
      <c r="AG5721" s="49" t="str">
        <f ca="1">IFERROR(__xludf.DUMMYFUNCTION("IFNA(vlookup(H5721,IMPORTRANGE(""1vUGwO1n0QQGx9kKbO0_M5gmuhXZ6-LaxQxgrmJnzgP0"",""'TP# look up'!A:C""),3,0),"""")"),"")</f>
        <v/>
      </c>
      <c r="AH5721" s="49" t="str">
        <f t="shared" si="89"/>
        <v/>
      </c>
    </row>
    <row r="5722" spans="8:34" ht="12.75">
      <c r="H5722" s="43"/>
      <c r="AG5722" s="49" t="str">
        <f ca="1">IFERROR(__xludf.DUMMYFUNCTION("IFNA(vlookup(H5722,IMPORTRANGE(""1vUGwO1n0QQGx9kKbO0_M5gmuhXZ6-LaxQxgrmJnzgP0"",""'TP# look up'!A:C""),3,0),"""")"),"")</f>
        <v/>
      </c>
      <c r="AH5722" s="49" t="str">
        <f t="shared" si="89"/>
        <v/>
      </c>
    </row>
    <row r="5723" spans="8:34" ht="12.75">
      <c r="H5723" s="43"/>
      <c r="AG5723" s="49" t="str">
        <f ca="1">IFERROR(__xludf.DUMMYFUNCTION("IFNA(vlookup(H5723,IMPORTRANGE(""1vUGwO1n0QQGx9kKbO0_M5gmuhXZ6-LaxQxgrmJnzgP0"",""'TP# look up'!A:C""),3,0),"""")"),"")</f>
        <v/>
      </c>
      <c r="AH5723" s="49" t="str">
        <f t="shared" si="89"/>
        <v/>
      </c>
    </row>
    <row r="5724" spans="8:34" ht="12.75">
      <c r="H5724" s="43"/>
      <c r="AG5724" s="49" t="str">
        <f ca="1">IFERROR(__xludf.DUMMYFUNCTION("IFNA(vlookup(H5724,IMPORTRANGE(""1vUGwO1n0QQGx9kKbO0_M5gmuhXZ6-LaxQxgrmJnzgP0"",""'TP# look up'!A:C""),3,0),"""")"),"")</f>
        <v/>
      </c>
      <c r="AH5724" s="49" t="str">
        <f t="shared" si="89"/>
        <v/>
      </c>
    </row>
    <row r="5725" spans="8:34" ht="12.75">
      <c r="H5725" s="43"/>
      <c r="AG5725" s="49" t="str">
        <f ca="1">IFERROR(__xludf.DUMMYFUNCTION("IFNA(vlookup(H5725,IMPORTRANGE(""1vUGwO1n0QQGx9kKbO0_M5gmuhXZ6-LaxQxgrmJnzgP0"",""'TP# look up'!A:C""),3,0),"""")"),"")</f>
        <v/>
      </c>
      <c r="AH5725" s="49" t="str">
        <f t="shared" si="89"/>
        <v/>
      </c>
    </row>
    <row r="5726" spans="8:34" ht="12.75">
      <c r="H5726" s="43"/>
      <c r="AG5726" s="49" t="str">
        <f ca="1">IFERROR(__xludf.DUMMYFUNCTION("IFNA(vlookup(H5726,IMPORTRANGE(""1vUGwO1n0QQGx9kKbO0_M5gmuhXZ6-LaxQxgrmJnzgP0"",""'TP# look up'!A:C""),3,0),"""")"),"")</f>
        <v/>
      </c>
      <c r="AH5726" s="49" t="str">
        <f t="shared" si="89"/>
        <v/>
      </c>
    </row>
    <row r="5727" spans="8:34" ht="12.75">
      <c r="H5727" s="43"/>
      <c r="AG5727" s="49" t="str">
        <f ca="1">IFERROR(__xludf.DUMMYFUNCTION("IFNA(vlookup(H5727,IMPORTRANGE(""1vUGwO1n0QQGx9kKbO0_M5gmuhXZ6-LaxQxgrmJnzgP0"",""'TP# look up'!A:C""),3,0),"""")"),"")</f>
        <v/>
      </c>
      <c r="AH5727" s="49" t="str">
        <f t="shared" si="89"/>
        <v/>
      </c>
    </row>
    <row r="5728" spans="8:34" ht="12.75">
      <c r="H5728" s="43"/>
      <c r="AG5728" s="49" t="str">
        <f ca="1">IFERROR(__xludf.DUMMYFUNCTION("IFNA(vlookup(H5728,IMPORTRANGE(""1vUGwO1n0QQGx9kKbO0_M5gmuhXZ6-LaxQxgrmJnzgP0"",""'TP# look up'!A:C""),3,0),"""")"),"")</f>
        <v/>
      </c>
      <c r="AH5728" s="49" t="str">
        <f t="shared" si="89"/>
        <v/>
      </c>
    </row>
    <row r="5729" spans="8:34" ht="12.75">
      <c r="H5729" s="43"/>
      <c r="AG5729" s="49" t="str">
        <f ca="1">IFERROR(__xludf.DUMMYFUNCTION("IFNA(vlookup(H5729,IMPORTRANGE(""1vUGwO1n0QQGx9kKbO0_M5gmuhXZ6-LaxQxgrmJnzgP0"",""'TP# look up'!A:C""),3,0),"""")"),"")</f>
        <v/>
      </c>
      <c r="AH5729" s="49" t="str">
        <f t="shared" si="89"/>
        <v/>
      </c>
    </row>
    <row r="5730" spans="8:34" ht="12.75">
      <c r="H5730" s="43"/>
      <c r="AG5730" s="49" t="str">
        <f ca="1">IFERROR(__xludf.DUMMYFUNCTION("IFNA(vlookup(H5730,IMPORTRANGE(""1vUGwO1n0QQGx9kKbO0_M5gmuhXZ6-LaxQxgrmJnzgP0"",""'TP# look up'!A:C""),3,0),"""")"),"")</f>
        <v/>
      </c>
      <c r="AH5730" s="49" t="str">
        <f t="shared" si="89"/>
        <v/>
      </c>
    </row>
    <row r="5731" spans="8:34" ht="12.75">
      <c r="H5731" s="43"/>
      <c r="AG5731" s="49" t="str">
        <f ca="1">IFERROR(__xludf.DUMMYFUNCTION("IFNA(vlookup(H5731,IMPORTRANGE(""1vUGwO1n0QQGx9kKbO0_M5gmuhXZ6-LaxQxgrmJnzgP0"",""'TP# look up'!A:C""),3,0),"""")"),"")</f>
        <v/>
      </c>
      <c r="AH5731" s="49" t="str">
        <f t="shared" si="89"/>
        <v/>
      </c>
    </row>
    <row r="5732" spans="8:34" ht="12.75">
      <c r="H5732" s="43"/>
      <c r="AG5732" s="49" t="str">
        <f ca="1">IFERROR(__xludf.DUMMYFUNCTION("IFNA(vlookup(H5732,IMPORTRANGE(""1vUGwO1n0QQGx9kKbO0_M5gmuhXZ6-LaxQxgrmJnzgP0"",""'TP# look up'!A:C""),3,0),"""")"),"")</f>
        <v/>
      </c>
      <c r="AH5732" s="49" t="str">
        <f t="shared" si="89"/>
        <v/>
      </c>
    </row>
    <row r="5733" spans="8:34" ht="12.75">
      <c r="H5733" s="43"/>
      <c r="AG5733" s="49" t="str">
        <f ca="1">IFERROR(__xludf.DUMMYFUNCTION("IFNA(vlookup(H5733,IMPORTRANGE(""1vUGwO1n0QQGx9kKbO0_M5gmuhXZ6-LaxQxgrmJnzgP0"",""'TP# look up'!A:C""),3,0),"""")"),"")</f>
        <v/>
      </c>
      <c r="AH5733" s="49" t="str">
        <f t="shared" si="89"/>
        <v/>
      </c>
    </row>
    <row r="5734" spans="8:34" ht="12.75">
      <c r="H5734" s="43"/>
      <c r="AG5734" s="49" t="str">
        <f ca="1">IFERROR(__xludf.DUMMYFUNCTION("IFNA(vlookup(H5734,IMPORTRANGE(""1vUGwO1n0QQGx9kKbO0_M5gmuhXZ6-LaxQxgrmJnzgP0"",""'TP# look up'!A:C""),3,0),"""")"),"")</f>
        <v/>
      </c>
      <c r="AH5734" s="49" t="str">
        <f t="shared" si="89"/>
        <v/>
      </c>
    </row>
    <row r="5735" spans="8:34" ht="12.75">
      <c r="H5735" s="43"/>
      <c r="AG5735" s="49" t="str">
        <f ca="1">IFERROR(__xludf.DUMMYFUNCTION("IFNA(vlookup(H5735,IMPORTRANGE(""1vUGwO1n0QQGx9kKbO0_M5gmuhXZ6-LaxQxgrmJnzgP0"",""'TP# look up'!A:C""),3,0),"""")"),"")</f>
        <v/>
      </c>
      <c r="AH5735" s="49" t="str">
        <f t="shared" si="89"/>
        <v/>
      </c>
    </row>
    <row r="5736" spans="8:34" ht="12.75">
      <c r="H5736" s="43"/>
      <c r="AG5736" s="49" t="str">
        <f ca="1">IFERROR(__xludf.DUMMYFUNCTION("IFNA(vlookup(H5736,IMPORTRANGE(""1vUGwO1n0QQGx9kKbO0_M5gmuhXZ6-LaxQxgrmJnzgP0"",""'TP# look up'!A:C""),3,0),"""")"),"")</f>
        <v/>
      </c>
      <c r="AH5736" s="49" t="str">
        <f t="shared" si="89"/>
        <v/>
      </c>
    </row>
    <row r="5737" spans="8:34" ht="12.75">
      <c r="H5737" s="43"/>
      <c r="AG5737" s="49" t="str">
        <f ca="1">IFERROR(__xludf.DUMMYFUNCTION("IFNA(vlookup(H5737,IMPORTRANGE(""1vUGwO1n0QQGx9kKbO0_M5gmuhXZ6-LaxQxgrmJnzgP0"",""'TP# look up'!A:C""),3,0),"""")"),"")</f>
        <v/>
      </c>
      <c r="AH5737" s="49" t="str">
        <f t="shared" si="89"/>
        <v/>
      </c>
    </row>
    <row r="5738" spans="8:34" ht="12.75">
      <c r="H5738" s="43"/>
      <c r="AG5738" s="49" t="str">
        <f ca="1">IFERROR(__xludf.DUMMYFUNCTION("IFNA(vlookup(H5738,IMPORTRANGE(""1vUGwO1n0QQGx9kKbO0_M5gmuhXZ6-LaxQxgrmJnzgP0"",""'TP# look up'!A:C""),3,0),"""")"),"")</f>
        <v/>
      </c>
      <c r="AH5738" s="49" t="str">
        <f t="shared" si="89"/>
        <v/>
      </c>
    </row>
    <row r="5739" spans="8:34" ht="12.75">
      <c r="H5739" s="43"/>
      <c r="AG5739" s="49" t="str">
        <f ca="1">IFERROR(__xludf.DUMMYFUNCTION("IFNA(vlookup(H5739,IMPORTRANGE(""1vUGwO1n0QQGx9kKbO0_M5gmuhXZ6-LaxQxgrmJnzgP0"",""'TP# look up'!A:C""),3,0),"""")"),"")</f>
        <v/>
      </c>
      <c r="AH5739" s="49" t="str">
        <f t="shared" si="89"/>
        <v/>
      </c>
    </row>
    <row r="5740" spans="8:34" ht="12.75">
      <c r="H5740" s="43"/>
      <c r="AG5740" s="49" t="str">
        <f ca="1">IFERROR(__xludf.DUMMYFUNCTION("IFNA(vlookup(H5740,IMPORTRANGE(""1vUGwO1n0QQGx9kKbO0_M5gmuhXZ6-LaxQxgrmJnzgP0"",""'TP# look up'!A:C""),3,0),"""")"),"")</f>
        <v/>
      </c>
      <c r="AH5740" s="49" t="str">
        <f t="shared" si="89"/>
        <v/>
      </c>
    </row>
    <row r="5741" spans="8:34" ht="12.75">
      <c r="H5741" s="43"/>
      <c r="AG5741" s="49" t="str">
        <f ca="1">IFERROR(__xludf.DUMMYFUNCTION("IFNA(vlookup(H5741,IMPORTRANGE(""1vUGwO1n0QQGx9kKbO0_M5gmuhXZ6-LaxQxgrmJnzgP0"",""'TP# look up'!A:C""),3,0),"""")"),"")</f>
        <v/>
      </c>
      <c r="AH5741" s="49" t="str">
        <f t="shared" si="89"/>
        <v/>
      </c>
    </row>
    <row r="5742" spans="8:34" ht="12.75">
      <c r="H5742" s="43"/>
      <c r="AG5742" s="49" t="str">
        <f ca="1">IFERROR(__xludf.DUMMYFUNCTION("IFNA(vlookup(H5742,IMPORTRANGE(""1vUGwO1n0QQGx9kKbO0_M5gmuhXZ6-LaxQxgrmJnzgP0"",""'TP# look up'!A:C""),3,0),"""")"),"")</f>
        <v/>
      </c>
      <c r="AH5742" s="49" t="str">
        <f t="shared" si="89"/>
        <v/>
      </c>
    </row>
    <row r="5743" spans="8:34" ht="12.75">
      <c r="H5743" s="43"/>
      <c r="AG5743" s="49" t="str">
        <f ca="1">IFERROR(__xludf.DUMMYFUNCTION("IFNA(vlookup(H5743,IMPORTRANGE(""1vUGwO1n0QQGx9kKbO0_M5gmuhXZ6-LaxQxgrmJnzgP0"",""'TP# look up'!A:C""),3,0),"""")"),"")</f>
        <v/>
      </c>
      <c r="AH5743" s="49" t="str">
        <f t="shared" si="89"/>
        <v/>
      </c>
    </row>
    <row r="5744" spans="8:34" ht="12.75">
      <c r="H5744" s="43"/>
      <c r="AG5744" s="49" t="str">
        <f ca="1">IFERROR(__xludf.DUMMYFUNCTION("IFNA(vlookup(H5744,IMPORTRANGE(""1vUGwO1n0QQGx9kKbO0_M5gmuhXZ6-LaxQxgrmJnzgP0"",""'TP# look up'!A:C""),3,0),"""")"),"")</f>
        <v/>
      </c>
      <c r="AH5744" s="49" t="str">
        <f t="shared" si="89"/>
        <v/>
      </c>
    </row>
    <row r="5745" spans="8:34" ht="12.75">
      <c r="H5745" s="43"/>
      <c r="AG5745" s="49" t="str">
        <f ca="1">IFERROR(__xludf.DUMMYFUNCTION("IFNA(vlookup(H5745,IMPORTRANGE(""1vUGwO1n0QQGx9kKbO0_M5gmuhXZ6-LaxQxgrmJnzgP0"",""'TP# look up'!A:C""),3,0),"""")"),"")</f>
        <v/>
      </c>
      <c r="AH5745" s="49" t="str">
        <f t="shared" si="89"/>
        <v/>
      </c>
    </row>
    <row r="5746" spans="8:34" ht="12.75">
      <c r="H5746" s="43"/>
      <c r="AG5746" s="49" t="str">
        <f ca="1">IFERROR(__xludf.DUMMYFUNCTION("IFNA(vlookup(H5746,IMPORTRANGE(""1vUGwO1n0QQGx9kKbO0_M5gmuhXZ6-LaxQxgrmJnzgP0"",""'TP# look up'!A:C""),3,0),"""")"),"")</f>
        <v/>
      </c>
      <c r="AH5746" s="49" t="str">
        <f t="shared" si="89"/>
        <v/>
      </c>
    </row>
    <row r="5747" spans="8:34" ht="12.75">
      <c r="H5747" s="43"/>
      <c r="AG5747" s="49" t="str">
        <f ca="1">IFERROR(__xludf.DUMMYFUNCTION("IFNA(vlookup(H5747,IMPORTRANGE(""1vUGwO1n0QQGx9kKbO0_M5gmuhXZ6-LaxQxgrmJnzgP0"",""'TP# look up'!A:C""),3,0),"""")"),"")</f>
        <v/>
      </c>
      <c r="AH5747" s="49" t="str">
        <f t="shared" si="89"/>
        <v/>
      </c>
    </row>
    <row r="5748" spans="8:34" ht="12.75">
      <c r="H5748" s="43"/>
      <c r="AG5748" s="49" t="str">
        <f ca="1">IFERROR(__xludf.DUMMYFUNCTION("IFNA(vlookup(H5748,IMPORTRANGE(""1vUGwO1n0QQGx9kKbO0_M5gmuhXZ6-LaxQxgrmJnzgP0"",""'TP# look up'!A:C""),3,0),"""")"),"")</f>
        <v/>
      </c>
      <c r="AH5748" s="49" t="str">
        <f t="shared" si="89"/>
        <v/>
      </c>
    </row>
    <row r="5749" spans="8:34" ht="12.75">
      <c r="H5749" s="43"/>
      <c r="AG5749" s="49" t="str">
        <f ca="1">IFERROR(__xludf.DUMMYFUNCTION("IFNA(vlookup(H5749,IMPORTRANGE(""1vUGwO1n0QQGx9kKbO0_M5gmuhXZ6-LaxQxgrmJnzgP0"",""'TP# look up'!A:C""),3,0),"""")"),"")</f>
        <v/>
      </c>
      <c r="AH5749" s="49" t="str">
        <f t="shared" si="89"/>
        <v/>
      </c>
    </row>
    <row r="5750" spans="8:34" ht="12.75">
      <c r="H5750" s="43"/>
      <c r="AG5750" s="49" t="str">
        <f ca="1">IFERROR(__xludf.DUMMYFUNCTION("IFNA(vlookup(H5750,IMPORTRANGE(""1vUGwO1n0QQGx9kKbO0_M5gmuhXZ6-LaxQxgrmJnzgP0"",""'TP# look up'!A:C""),3,0),"""")"),"")</f>
        <v/>
      </c>
      <c r="AH5750" s="49" t="str">
        <f t="shared" si="89"/>
        <v/>
      </c>
    </row>
    <row r="5751" spans="8:34" ht="12.75">
      <c r="H5751" s="43"/>
      <c r="AG5751" s="49" t="str">
        <f ca="1">IFERROR(__xludf.DUMMYFUNCTION("IFNA(vlookup(H5751,IMPORTRANGE(""1vUGwO1n0QQGx9kKbO0_M5gmuhXZ6-LaxQxgrmJnzgP0"",""'TP# look up'!A:C""),3,0),"""")"),"")</f>
        <v/>
      </c>
      <c r="AH5751" s="49" t="str">
        <f t="shared" si="89"/>
        <v/>
      </c>
    </row>
    <row r="5752" spans="8:34" ht="12.75">
      <c r="H5752" s="43"/>
      <c r="AG5752" s="49" t="str">
        <f ca="1">IFERROR(__xludf.DUMMYFUNCTION("IFNA(vlookup(H5752,IMPORTRANGE(""1vUGwO1n0QQGx9kKbO0_M5gmuhXZ6-LaxQxgrmJnzgP0"",""'TP# look up'!A:C""),3,0),"""")"),"")</f>
        <v/>
      </c>
      <c r="AH5752" s="49" t="str">
        <f t="shared" si="89"/>
        <v/>
      </c>
    </row>
    <row r="5753" spans="8:34" ht="12.75">
      <c r="H5753" s="43"/>
      <c r="AG5753" s="49" t="str">
        <f ca="1">IFERROR(__xludf.DUMMYFUNCTION("IFNA(vlookup(H5753,IMPORTRANGE(""1vUGwO1n0QQGx9kKbO0_M5gmuhXZ6-LaxQxgrmJnzgP0"",""'TP# look up'!A:C""),3,0),"""")"),"")</f>
        <v/>
      </c>
      <c r="AH5753" s="49" t="str">
        <f t="shared" si="89"/>
        <v/>
      </c>
    </row>
    <row r="5754" spans="8:34" ht="12.75">
      <c r="H5754" s="43"/>
      <c r="AG5754" s="49" t="str">
        <f ca="1">IFERROR(__xludf.DUMMYFUNCTION("IFNA(vlookup(H5754,IMPORTRANGE(""1vUGwO1n0QQGx9kKbO0_M5gmuhXZ6-LaxQxgrmJnzgP0"",""'TP# look up'!A:C""),3,0),"""")"),"")</f>
        <v/>
      </c>
      <c r="AH5754" s="49" t="str">
        <f t="shared" si="89"/>
        <v/>
      </c>
    </row>
    <row r="5755" spans="8:34" ht="12.75">
      <c r="H5755" s="43"/>
      <c r="AG5755" s="49" t="str">
        <f ca="1">IFERROR(__xludf.DUMMYFUNCTION("IFNA(vlookup(H5755,IMPORTRANGE(""1vUGwO1n0QQGx9kKbO0_M5gmuhXZ6-LaxQxgrmJnzgP0"",""'TP# look up'!A:C""),3,0),"""")"),"")</f>
        <v/>
      </c>
      <c r="AH5755" s="49" t="str">
        <f t="shared" si="89"/>
        <v/>
      </c>
    </row>
    <row r="5756" spans="8:34" ht="12.75">
      <c r="H5756" s="43"/>
      <c r="AG5756" s="49" t="str">
        <f ca="1">IFERROR(__xludf.DUMMYFUNCTION("IFNA(vlookup(H5756,IMPORTRANGE(""1vUGwO1n0QQGx9kKbO0_M5gmuhXZ6-LaxQxgrmJnzgP0"",""'TP# look up'!A:C""),3,0),"""")"),"")</f>
        <v/>
      </c>
      <c r="AH5756" s="49" t="str">
        <f t="shared" si="89"/>
        <v/>
      </c>
    </row>
    <row r="5757" spans="8:34" ht="12.75">
      <c r="H5757" s="43"/>
      <c r="AG5757" s="49" t="str">
        <f ca="1">IFERROR(__xludf.DUMMYFUNCTION("IFNA(vlookup(H5757,IMPORTRANGE(""1vUGwO1n0QQGx9kKbO0_M5gmuhXZ6-LaxQxgrmJnzgP0"",""'TP# look up'!A:C""),3,0),"""")"),"")</f>
        <v/>
      </c>
      <c r="AH5757" s="49" t="str">
        <f t="shared" si="89"/>
        <v/>
      </c>
    </row>
    <row r="5758" spans="8:34" ht="12.75">
      <c r="H5758" s="43"/>
      <c r="AG5758" s="49" t="str">
        <f ca="1">IFERROR(__xludf.DUMMYFUNCTION("IFNA(vlookup(H5758,IMPORTRANGE(""1vUGwO1n0QQGx9kKbO0_M5gmuhXZ6-LaxQxgrmJnzgP0"",""'TP# look up'!A:C""),3,0),"""")"),"")</f>
        <v/>
      </c>
      <c r="AH5758" s="49" t="str">
        <f t="shared" si="89"/>
        <v/>
      </c>
    </row>
    <row r="5759" spans="8:34" ht="12.75">
      <c r="H5759" s="43"/>
      <c r="AG5759" s="49" t="str">
        <f ca="1">IFERROR(__xludf.DUMMYFUNCTION("IFNA(vlookup(H5759,IMPORTRANGE(""1vUGwO1n0QQGx9kKbO0_M5gmuhXZ6-LaxQxgrmJnzgP0"",""'TP# look up'!A:C""),3,0),"""")"),"")</f>
        <v/>
      </c>
      <c r="AH5759" s="49" t="str">
        <f t="shared" si="89"/>
        <v/>
      </c>
    </row>
    <row r="5760" spans="8:34" ht="12.75">
      <c r="H5760" s="43"/>
      <c r="AG5760" s="49" t="str">
        <f ca="1">IFERROR(__xludf.DUMMYFUNCTION("IFNA(vlookup(H5760,IMPORTRANGE(""1vUGwO1n0QQGx9kKbO0_M5gmuhXZ6-LaxQxgrmJnzgP0"",""'TP# look up'!A:C""),3,0),"""")"),"")</f>
        <v/>
      </c>
      <c r="AH5760" s="49" t="str">
        <f t="shared" si="89"/>
        <v/>
      </c>
    </row>
    <row r="5761" spans="8:34" ht="12.75">
      <c r="H5761" s="43"/>
      <c r="AG5761" s="49" t="str">
        <f ca="1">IFERROR(__xludf.DUMMYFUNCTION("IFNA(vlookup(H5761,IMPORTRANGE(""1vUGwO1n0QQGx9kKbO0_M5gmuhXZ6-LaxQxgrmJnzgP0"",""'TP# look up'!A:C""),3,0),"""")"),"")</f>
        <v/>
      </c>
      <c r="AH5761" s="49" t="str">
        <f t="shared" si="89"/>
        <v/>
      </c>
    </row>
    <row r="5762" spans="8:34" ht="12.75">
      <c r="H5762" s="43"/>
      <c r="AG5762" s="49" t="str">
        <f ca="1">IFERROR(__xludf.DUMMYFUNCTION("IFNA(vlookup(H5762,IMPORTRANGE(""1vUGwO1n0QQGx9kKbO0_M5gmuhXZ6-LaxQxgrmJnzgP0"",""'TP# look up'!A:C""),3,0),"""")"),"")</f>
        <v/>
      </c>
      <c r="AH5762" s="49" t="str">
        <f t="shared" ref="AH5762:AH5825" si="90">LEFT(J5762,2)</f>
        <v/>
      </c>
    </row>
    <row r="5763" spans="8:34" ht="12.75">
      <c r="H5763" s="43"/>
      <c r="AG5763" s="49" t="str">
        <f ca="1">IFERROR(__xludf.DUMMYFUNCTION("IFNA(vlookup(H5763,IMPORTRANGE(""1vUGwO1n0QQGx9kKbO0_M5gmuhXZ6-LaxQxgrmJnzgP0"",""'TP# look up'!A:C""),3,0),"""")"),"")</f>
        <v/>
      </c>
      <c r="AH5763" s="49" t="str">
        <f t="shared" si="90"/>
        <v/>
      </c>
    </row>
    <row r="5764" spans="8:34" ht="12.75">
      <c r="H5764" s="43"/>
      <c r="AG5764" s="49" t="str">
        <f ca="1">IFERROR(__xludf.DUMMYFUNCTION("IFNA(vlookup(H5764,IMPORTRANGE(""1vUGwO1n0QQGx9kKbO0_M5gmuhXZ6-LaxQxgrmJnzgP0"",""'TP# look up'!A:C""),3,0),"""")"),"")</f>
        <v/>
      </c>
      <c r="AH5764" s="49" t="str">
        <f t="shared" si="90"/>
        <v/>
      </c>
    </row>
    <row r="5765" spans="8:34" ht="12.75">
      <c r="H5765" s="43"/>
      <c r="AG5765" s="49" t="str">
        <f ca="1">IFERROR(__xludf.DUMMYFUNCTION("IFNA(vlookup(H5765,IMPORTRANGE(""1vUGwO1n0QQGx9kKbO0_M5gmuhXZ6-LaxQxgrmJnzgP0"",""'TP# look up'!A:C""),3,0),"""")"),"")</f>
        <v/>
      </c>
      <c r="AH5765" s="49" t="str">
        <f t="shared" si="90"/>
        <v/>
      </c>
    </row>
    <row r="5766" spans="8:34" ht="12.75">
      <c r="H5766" s="43"/>
      <c r="AG5766" s="49" t="str">
        <f ca="1">IFERROR(__xludf.DUMMYFUNCTION("IFNA(vlookup(H5766,IMPORTRANGE(""1vUGwO1n0QQGx9kKbO0_M5gmuhXZ6-LaxQxgrmJnzgP0"",""'TP# look up'!A:C""),3,0),"""")"),"")</f>
        <v/>
      </c>
      <c r="AH5766" s="49" t="str">
        <f t="shared" si="90"/>
        <v/>
      </c>
    </row>
    <row r="5767" spans="8:34" ht="12.75">
      <c r="H5767" s="43"/>
      <c r="AG5767" s="49" t="str">
        <f ca="1">IFERROR(__xludf.DUMMYFUNCTION("IFNA(vlookup(H5767,IMPORTRANGE(""1vUGwO1n0QQGx9kKbO0_M5gmuhXZ6-LaxQxgrmJnzgP0"",""'TP# look up'!A:C""),3,0),"""")"),"")</f>
        <v/>
      </c>
      <c r="AH5767" s="49" t="str">
        <f t="shared" si="90"/>
        <v/>
      </c>
    </row>
    <row r="5768" spans="8:34" ht="12.75">
      <c r="H5768" s="43"/>
      <c r="AG5768" s="49" t="str">
        <f ca="1">IFERROR(__xludf.DUMMYFUNCTION("IFNA(vlookup(H5768,IMPORTRANGE(""1vUGwO1n0QQGx9kKbO0_M5gmuhXZ6-LaxQxgrmJnzgP0"",""'TP# look up'!A:C""),3,0),"""")"),"")</f>
        <v/>
      </c>
      <c r="AH5768" s="49" t="str">
        <f t="shared" si="90"/>
        <v/>
      </c>
    </row>
    <row r="5769" spans="8:34" ht="12.75">
      <c r="H5769" s="43"/>
      <c r="AG5769" s="49" t="str">
        <f ca="1">IFERROR(__xludf.DUMMYFUNCTION("IFNA(vlookup(H5769,IMPORTRANGE(""1vUGwO1n0QQGx9kKbO0_M5gmuhXZ6-LaxQxgrmJnzgP0"",""'TP# look up'!A:C""),3,0),"""")"),"")</f>
        <v/>
      </c>
      <c r="AH5769" s="49" t="str">
        <f t="shared" si="90"/>
        <v/>
      </c>
    </row>
    <row r="5770" spans="8:34" ht="12.75">
      <c r="H5770" s="43"/>
      <c r="AG5770" s="49" t="str">
        <f ca="1">IFERROR(__xludf.DUMMYFUNCTION("IFNA(vlookup(H5770,IMPORTRANGE(""1vUGwO1n0QQGx9kKbO0_M5gmuhXZ6-LaxQxgrmJnzgP0"",""'TP# look up'!A:C""),3,0),"""")"),"")</f>
        <v/>
      </c>
      <c r="AH5770" s="49" t="str">
        <f t="shared" si="90"/>
        <v/>
      </c>
    </row>
    <row r="5771" spans="8:34" ht="12.75">
      <c r="H5771" s="43"/>
      <c r="AG5771" s="49" t="str">
        <f ca="1">IFERROR(__xludf.DUMMYFUNCTION("IFNA(vlookup(H5771,IMPORTRANGE(""1vUGwO1n0QQGx9kKbO0_M5gmuhXZ6-LaxQxgrmJnzgP0"",""'TP# look up'!A:C""),3,0),"""")"),"")</f>
        <v/>
      </c>
      <c r="AH5771" s="49" t="str">
        <f t="shared" si="90"/>
        <v/>
      </c>
    </row>
    <row r="5772" spans="8:34" ht="12.75">
      <c r="H5772" s="43"/>
      <c r="AG5772" s="49" t="str">
        <f ca="1">IFERROR(__xludf.DUMMYFUNCTION("IFNA(vlookup(H5772,IMPORTRANGE(""1vUGwO1n0QQGx9kKbO0_M5gmuhXZ6-LaxQxgrmJnzgP0"",""'TP# look up'!A:C""),3,0),"""")"),"")</f>
        <v/>
      </c>
      <c r="AH5772" s="49" t="str">
        <f t="shared" si="90"/>
        <v/>
      </c>
    </row>
    <row r="5773" spans="8:34" ht="12.75">
      <c r="H5773" s="43"/>
      <c r="AG5773" s="49" t="str">
        <f ca="1">IFERROR(__xludf.DUMMYFUNCTION("IFNA(vlookup(H5773,IMPORTRANGE(""1vUGwO1n0QQGx9kKbO0_M5gmuhXZ6-LaxQxgrmJnzgP0"",""'TP# look up'!A:C""),3,0),"""")"),"")</f>
        <v/>
      </c>
      <c r="AH5773" s="49" t="str">
        <f t="shared" si="90"/>
        <v/>
      </c>
    </row>
    <row r="5774" spans="8:34" ht="12.75">
      <c r="H5774" s="43"/>
      <c r="AG5774" s="49" t="str">
        <f ca="1">IFERROR(__xludf.DUMMYFUNCTION("IFNA(vlookup(H5774,IMPORTRANGE(""1vUGwO1n0QQGx9kKbO0_M5gmuhXZ6-LaxQxgrmJnzgP0"",""'TP# look up'!A:C""),3,0),"""")"),"")</f>
        <v/>
      </c>
      <c r="AH5774" s="49" t="str">
        <f t="shared" si="90"/>
        <v/>
      </c>
    </row>
    <row r="5775" spans="8:34" ht="12.75">
      <c r="H5775" s="43"/>
      <c r="AG5775" s="49" t="str">
        <f ca="1">IFERROR(__xludf.DUMMYFUNCTION("IFNA(vlookup(H5775,IMPORTRANGE(""1vUGwO1n0QQGx9kKbO0_M5gmuhXZ6-LaxQxgrmJnzgP0"",""'TP# look up'!A:C""),3,0),"""")"),"")</f>
        <v/>
      </c>
      <c r="AH5775" s="49" t="str">
        <f t="shared" si="90"/>
        <v/>
      </c>
    </row>
    <row r="5776" spans="8:34" ht="12.75">
      <c r="H5776" s="43"/>
      <c r="AG5776" s="49" t="str">
        <f ca="1">IFERROR(__xludf.DUMMYFUNCTION("IFNA(vlookup(H5776,IMPORTRANGE(""1vUGwO1n0QQGx9kKbO0_M5gmuhXZ6-LaxQxgrmJnzgP0"",""'TP# look up'!A:C""),3,0),"""")"),"")</f>
        <v/>
      </c>
      <c r="AH5776" s="49" t="str">
        <f t="shared" si="90"/>
        <v/>
      </c>
    </row>
    <row r="5777" spans="8:34" ht="12.75">
      <c r="H5777" s="43"/>
      <c r="AG5777" s="49" t="str">
        <f ca="1">IFERROR(__xludf.DUMMYFUNCTION("IFNA(vlookup(H5777,IMPORTRANGE(""1vUGwO1n0QQGx9kKbO0_M5gmuhXZ6-LaxQxgrmJnzgP0"",""'TP# look up'!A:C""),3,0),"""")"),"")</f>
        <v/>
      </c>
      <c r="AH5777" s="49" t="str">
        <f t="shared" si="90"/>
        <v/>
      </c>
    </row>
    <row r="5778" spans="8:34" ht="12.75">
      <c r="H5778" s="43"/>
      <c r="AG5778" s="49" t="str">
        <f ca="1">IFERROR(__xludf.DUMMYFUNCTION("IFNA(vlookup(H5778,IMPORTRANGE(""1vUGwO1n0QQGx9kKbO0_M5gmuhXZ6-LaxQxgrmJnzgP0"",""'TP# look up'!A:C""),3,0),"""")"),"")</f>
        <v/>
      </c>
      <c r="AH5778" s="49" t="str">
        <f t="shared" si="90"/>
        <v/>
      </c>
    </row>
    <row r="5779" spans="8:34" ht="12.75">
      <c r="H5779" s="43"/>
      <c r="AG5779" s="49" t="str">
        <f ca="1">IFERROR(__xludf.DUMMYFUNCTION("IFNA(vlookup(H5779,IMPORTRANGE(""1vUGwO1n0QQGx9kKbO0_M5gmuhXZ6-LaxQxgrmJnzgP0"",""'TP# look up'!A:C""),3,0),"""")"),"")</f>
        <v/>
      </c>
      <c r="AH5779" s="49" t="str">
        <f t="shared" si="90"/>
        <v/>
      </c>
    </row>
    <row r="5780" spans="8:34" ht="12.75">
      <c r="H5780" s="43"/>
      <c r="AG5780" s="49" t="str">
        <f ca="1">IFERROR(__xludf.DUMMYFUNCTION("IFNA(vlookup(H5780,IMPORTRANGE(""1vUGwO1n0QQGx9kKbO0_M5gmuhXZ6-LaxQxgrmJnzgP0"",""'TP# look up'!A:C""),3,0),"""")"),"")</f>
        <v/>
      </c>
      <c r="AH5780" s="49" t="str">
        <f t="shared" si="90"/>
        <v/>
      </c>
    </row>
    <row r="5781" spans="8:34" ht="12.75">
      <c r="H5781" s="43"/>
      <c r="AG5781" s="49" t="str">
        <f ca="1">IFERROR(__xludf.DUMMYFUNCTION("IFNA(vlookup(H5781,IMPORTRANGE(""1vUGwO1n0QQGx9kKbO0_M5gmuhXZ6-LaxQxgrmJnzgP0"",""'TP# look up'!A:C""),3,0),"""")"),"")</f>
        <v/>
      </c>
      <c r="AH5781" s="49" t="str">
        <f t="shared" si="90"/>
        <v/>
      </c>
    </row>
    <row r="5782" spans="8:34" ht="12.75">
      <c r="H5782" s="43"/>
      <c r="AG5782" s="49" t="str">
        <f ca="1">IFERROR(__xludf.DUMMYFUNCTION("IFNA(vlookup(H5782,IMPORTRANGE(""1vUGwO1n0QQGx9kKbO0_M5gmuhXZ6-LaxQxgrmJnzgP0"",""'TP# look up'!A:C""),3,0),"""")"),"")</f>
        <v/>
      </c>
      <c r="AH5782" s="49" t="str">
        <f t="shared" si="90"/>
        <v/>
      </c>
    </row>
    <row r="5783" spans="8:34" ht="12.75">
      <c r="H5783" s="43"/>
      <c r="AG5783" s="49" t="str">
        <f ca="1">IFERROR(__xludf.DUMMYFUNCTION("IFNA(vlookup(H5783,IMPORTRANGE(""1vUGwO1n0QQGx9kKbO0_M5gmuhXZ6-LaxQxgrmJnzgP0"",""'TP# look up'!A:C""),3,0),"""")"),"")</f>
        <v/>
      </c>
      <c r="AH5783" s="49" t="str">
        <f t="shared" si="90"/>
        <v/>
      </c>
    </row>
    <row r="5784" spans="8:34" ht="12.75">
      <c r="H5784" s="43"/>
      <c r="AG5784" s="49" t="str">
        <f ca="1">IFERROR(__xludf.DUMMYFUNCTION("IFNA(vlookup(H5784,IMPORTRANGE(""1vUGwO1n0QQGx9kKbO0_M5gmuhXZ6-LaxQxgrmJnzgP0"",""'TP# look up'!A:C""),3,0),"""")"),"")</f>
        <v/>
      </c>
      <c r="AH5784" s="49" t="str">
        <f t="shared" si="90"/>
        <v/>
      </c>
    </row>
    <row r="5785" spans="8:34" ht="12.75">
      <c r="H5785" s="43"/>
      <c r="AG5785" s="49" t="str">
        <f ca="1">IFERROR(__xludf.DUMMYFUNCTION("IFNA(vlookup(H5785,IMPORTRANGE(""1vUGwO1n0QQGx9kKbO0_M5gmuhXZ6-LaxQxgrmJnzgP0"",""'TP# look up'!A:C""),3,0),"""")"),"")</f>
        <v/>
      </c>
      <c r="AH5785" s="49" t="str">
        <f t="shared" si="90"/>
        <v/>
      </c>
    </row>
    <row r="5786" spans="8:34" ht="12.75">
      <c r="H5786" s="43"/>
      <c r="AG5786" s="49" t="str">
        <f ca="1">IFERROR(__xludf.DUMMYFUNCTION("IFNA(vlookup(H5786,IMPORTRANGE(""1vUGwO1n0QQGx9kKbO0_M5gmuhXZ6-LaxQxgrmJnzgP0"",""'TP# look up'!A:C""),3,0),"""")"),"")</f>
        <v/>
      </c>
      <c r="AH5786" s="49" t="str">
        <f t="shared" si="90"/>
        <v/>
      </c>
    </row>
    <row r="5787" spans="8:34" ht="12.75">
      <c r="H5787" s="43"/>
      <c r="AG5787" s="49" t="str">
        <f ca="1">IFERROR(__xludf.DUMMYFUNCTION("IFNA(vlookup(H5787,IMPORTRANGE(""1vUGwO1n0QQGx9kKbO0_M5gmuhXZ6-LaxQxgrmJnzgP0"",""'TP# look up'!A:C""),3,0),"""")"),"")</f>
        <v/>
      </c>
      <c r="AH5787" s="49" t="str">
        <f t="shared" si="90"/>
        <v/>
      </c>
    </row>
    <row r="5788" spans="8:34" ht="12.75">
      <c r="H5788" s="43"/>
      <c r="AG5788" s="49" t="str">
        <f ca="1">IFERROR(__xludf.DUMMYFUNCTION("IFNA(vlookup(H5788,IMPORTRANGE(""1vUGwO1n0QQGx9kKbO0_M5gmuhXZ6-LaxQxgrmJnzgP0"",""'TP# look up'!A:C""),3,0),"""")"),"")</f>
        <v/>
      </c>
      <c r="AH5788" s="49" t="str">
        <f t="shared" si="90"/>
        <v/>
      </c>
    </row>
    <row r="5789" spans="8:34" ht="12.75">
      <c r="H5789" s="43"/>
      <c r="AG5789" s="49" t="str">
        <f ca="1">IFERROR(__xludf.DUMMYFUNCTION("IFNA(vlookup(H5789,IMPORTRANGE(""1vUGwO1n0QQGx9kKbO0_M5gmuhXZ6-LaxQxgrmJnzgP0"",""'TP# look up'!A:C""),3,0),"""")"),"")</f>
        <v/>
      </c>
      <c r="AH5789" s="49" t="str">
        <f t="shared" si="90"/>
        <v/>
      </c>
    </row>
    <row r="5790" spans="8:34" ht="12.75">
      <c r="H5790" s="43"/>
      <c r="AG5790" s="49" t="str">
        <f ca="1">IFERROR(__xludf.DUMMYFUNCTION("IFNA(vlookup(H5790,IMPORTRANGE(""1vUGwO1n0QQGx9kKbO0_M5gmuhXZ6-LaxQxgrmJnzgP0"",""'TP# look up'!A:C""),3,0),"""")"),"")</f>
        <v/>
      </c>
      <c r="AH5790" s="49" t="str">
        <f t="shared" si="90"/>
        <v/>
      </c>
    </row>
    <row r="5791" spans="8:34" ht="12.75">
      <c r="H5791" s="43"/>
      <c r="AG5791" s="49" t="str">
        <f ca="1">IFERROR(__xludf.DUMMYFUNCTION("IFNA(vlookup(H5791,IMPORTRANGE(""1vUGwO1n0QQGx9kKbO0_M5gmuhXZ6-LaxQxgrmJnzgP0"",""'TP# look up'!A:C""),3,0),"""")"),"")</f>
        <v/>
      </c>
      <c r="AH5791" s="49" t="str">
        <f t="shared" si="90"/>
        <v/>
      </c>
    </row>
    <row r="5792" spans="8:34" ht="12.75">
      <c r="H5792" s="43"/>
      <c r="AG5792" s="49" t="str">
        <f ca="1">IFERROR(__xludf.DUMMYFUNCTION("IFNA(vlookup(H5792,IMPORTRANGE(""1vUGwO1n0QQGx9kKbO0_M5gmuhXZ6-LaxQxgrmJnzgP0"",""'TP# look up'!A:C""),3,0),"""")"),"")</f>
        <v/>
      </c>
      <c r="AH5792" s="49" t="str">
        <f t="shared" si="90"/>
        <v/>
      </c>
    </row>
    <row r="5793" spans="8:34" ht="12.75">
      <c r="H5793" s="43"/>
      <c r="AG5793" s="49" t="str">
        <f ca="1">IFERROR(__xludf.DUMMYFUNCTION("IFNA(vlookup(H5793,IMPORTRANGE(""1vUGwO1n0QQGx9kKbO0_M5gmuhXZ6-LaxQxgrmJnzgP0"",""'TP# look up'!A:C""),3,0),"""")"),"")</f>
        <v/>
      </c>
      <c r="AH5793" s="49" t="str">
        <f t="shared" si="90"/>
        <v/>
      </c>
    </row>
    <row r="5794" spans="8:34" ht="12.75">
      <c r="H5794" s="43"/>
      <c r="AG5794" s="49" t="str">
        <f ca="1">IFERROR(__xludf.DUMMYFUNCTION("IFNA(vlookup(H5794,IMPORTRANGE(""1vUGwO1n0QQGx9kKbO0_M5gmuhXZ6-LaxQxgrmJnzgP0"",""'TP# look up'!A:C""),3,0),"""")"),"")</f>
        <v/>
      </c>
      <c r="AH5794" s="49" t="str">
        <f t="shared" si="90"/>
        <v/>
      </c>
    </row>
    <row r="5795" spans="8:34" ht="12.75">
      <c r="H5795" s="43"/>
      <c r="AG5795" s="49" t="str">
        <f ca="1">IFERROR(__xludf.DUMMYFUNCTION("IFNA(vlookup(H5795,IMPORTRANGE(""1vUGwO1n0QQGx9kKbO0_M5gmuhXZ6-LaxQxgrmJnzgP0"",""'TP# look up'!A:C""),3,0),"""")"),"")</f>
        <v/>
      </c>
      <c r="AH5795" s="49" t="str">
        <f t="shared" si="90"/>
        <v/>
      </c>
    </row>
    <row r="5796" spans="8:34" ht="12.75">
      <c r="H5796" s="43"/>
      <c r="AG5796" s="49" t="str">
        <f ca="1">IFERROR(__xludf.DUMMYFUNCTION("IFNA(vlookup(H5796,IMPORTRANGE(""1vUGwO1n0QQGx9kKbO0_M5gmuhXZ6-LaxQxgrmJnzgP0"",""'TP# look up'!A:C""),3,0),"""")"),"")</f>
        <v/>
      </c>
      <c r="AH5796" s="49" t="str">
        <f t="shared" si="90"/>
        <v/>
      </c>
    </row>
    <row r="5797" spans="8:34" ht="12.75">
      <c r="H5797" s="43"/>
      <c r="AG5797" s="49" t="str">
        <f ca="1">IFERROR(__xludf.DUMMYFUNCTION("IFNA(vlookup(H5797,IMPORTRANGE(""1vUGwO1n0QQGx9kKbO0_M5gmuhXZ6-LaxQxgrmJnzgP0"",""'TP# look up'!A:C""),3,0),"""")"),"")</f>
        <v/>
      </c>
      <c r="AH5797" s="49" t="str">
        <f t="shared" si="90"/>
        <v/>
      </c>
    </row>
    <row r="5798" spans="8:34" ht="12.75">
      <c r="H5798" s="43"/>
      <c r="AG5798" s="49" t="str">
        <f ca="1">IFERROR(__xludf.DUMMYFUNCTION("IFNA(vlookup(H5798,IMPORTRANGE(""1vUGwO1n0QQGx9kKbO0_M5gmuhXZ6-LaxQxgrmJnzgP0"",""'TP# look up'!A:C""),3,0),"""")"),"")</f>
        <v/>
      </c>
      <c r="AH5798" s="49" t="str">
        <f t="shared" si="90"/>
        <v/>
      </c>
    </row>
    <row r="5799" spans="8:34" ht="12.75">
      <c r="H5799" s="43"/>
      <c r="AG5799" s="49" t="str">
        <f ca="1">IFERROR(__xludf.DUMMYFUNCTION("IFNA(vlookup(H5799,IMPORTRANGE(""1vUGwO1n0QQGx9kKbO0_M5gmuhXZ6-LaxQxgrmJnzgP0"",""'TP# look up'!A:C""),3,0),"""")"),"")</f>
        <v/>
      </c>
      <c r="AH5799" s="49" t="str">
        <f t="shared" si="90"/>
        <v/>
      </c>
    </row>
    <row r="5800" spans="8:34" ht="12.75">
      <c r="H5800" s="43"/>
      <c r="AG5800" s="49" t="str">
        <f ca="1">IFERROR(__xludf.DUMMYFUNCTION("IFNA(vlookup(H5800,IMPORTRANGE(""1vUGwO1n0QQGx9kKbO0_M5gmuhXZ6-LaxQxgrmJnzgP0"",""'TP# look up'!A:C""),3,0),"""")"),"")</f>
        <v/>
      </c>
      <c r="AH5800" s="49" t="str">
        <f t="shared" si="90"/>
        <v/>
      </c>
    </row>
    <row r="5801" spans="8:34" ht="12.75">
      <c r="H5801" s="43"/>
      <c r="AG5801" s="49" t="str">
        <f ca="1">IFERROR(__xludf.DUMMYFUNCTION("IFNA(vlookup(H5801,IMPORTRANGE(""1vUGwO1n0QQGx9kKbO0_M5gmuhXZ6-LaxQxgrmJnzgP0"",""'TP# look up'!A:C""),3,0),"""")"),"")</f>
        <v/>
      </c>
      <c r="AH5801" s="49" t="str">
        <f t="shared" si="90"/>
        <v/>
      </c>
    </row>
    <row r="5802" spans="8:34" ht="12.75">
      <c r="H5802" s="43"/>
      <c r="AG5802" s="49" t="str">
        <f ca="1">IFERROR(__xludf.DUMMYFUNCTION("IFNA(vlookup(H5802,IMPORTRANGE(""1vUGwO1n0QQGx9kKbO0_M5gmuhXZ6-LaxQxgrmJnzgP0"",""'TP# look up'!A:C""),3,0),"""")"),"")</f>
        <v/>
      </c>
      <c r="AH5802" s="49" t="str">
        <f t="shared" si="90"/>
        <v/>
      </c>
    </row>
    <row r="5803" spans="8:34" ht="12.75">
      <c r="H5803" s="43"/>
      <c r="AG5803" s="49" t="str">
        <f ca="1">IFERROR(__xludf.DUMMYFUNCTION("IFNA(vlookup(H5803,IMPORTRANGE(""1vUGwO1n0QQGx9kKbO0_M5gmuhXZ6-LaxQxgrmJnzgP0"",""'TP# look up'!A:C""),3,0),"""")"),"")</f>
        <v/>
      </c>
      <c r="AH5803" s="49" t="str">
        <f t="shared" si="90"/>
        <v/>
      </c>
    </row>
    <row r="5804" spans="8:34" ht="12.75">
      <c r="H5804" s="43"/>
      <c r="AG5804" s="49" t="str">
        <f ca="1">IFERROR(__xludf.DUMMYFUNCTION("IFNA(vlookup(H5804,IMPORTRANGE(""1vUGwO1n0QQGx9kKbO0_M5gmuhXZ6-LaxQxgrmJnzgP0"",""'TP# look up'!A:C""),3,0),"""")"),"")</f>
        <v/>
      </c>
      <c r="AH5804" s="49" t="str">
        <f t="shared" si="90"/>
        <v/>
      </c>
    </row>
    <row r="5805" spans="8:34" ht="12.75">
      <c r="H5805" s="43"/>
      <c r="AG5805" s="49" t="str">
        <f ca="1">IFERROR(__xludf.DUMMYFUNCTION("IFNA(vlookup(H5805,IMPORTRANGE(""1vUGwO1n0QQGx9kKbO0_M5gmuhXZ6-LaxQxgrmJnzgP0"",""'TP# look up'!A:C""),3,0),"""")"),"")</f>
        <v/>
      </c>
      <c r="AH5805" s="49" t="str">
        <f t="shared" si="90"/>
        <v/>
      </c>
    </row>
    <row r="5806" spans="8:34" ht="12.75">
      <c r="H5806" s="43"/>
      <c r="AG5806" s="49" t="str">
        <f ca="1">IFERROR(__xludf.DUMMYFUNCTION("IFNA(vlookup(H5806,IMPORTRANGE(""1vUGwO1n0QQGx9kKbO0_M5gmuhXZ6-LaxQxgrmJnzgP0"",""'TP# look up'!A:C""),3,0),"""")"),"")</f>
        <v/>
      </c>
      <c r="AH5806" s="49" t="str">
        <f t="shared" si="90"/>
        <v/>
      </c>
    </row>
    <row r="5807" spans="8:34" ht="12.75">
      <c r="H5807" s="43"/>
      <c r="AG5807" s="49" t="str">
        <f ca="1">IFERROR(__xludf.DUMMYFUNCTION("IFNA(vlookup(H5807,IMPORTRANGE(""1vUGwO1n0QQGx9kKbO0_M5gmuhXZ6-LaxQxgrmJnzgP0"",""'TP# look up'!A:C""),3,0),"""")"),"")</f>
        <v/>
      </c>
      <c r="AH5807" s="49" t="str">
        <f t="shared" si="90"/>
        <v/>
      </c>
    </row>
    <row r="5808" spans="8:34" ht="12.75">
      <c r="H5808" s="43"/>
      <c r="AG5808" s="49" t="str">
        <f ca="1">IFERROR(__xludf.DUMMYFUNCTION("IFNA(vlookup(H5808,IMPORTRANGE(""1vUGwO1n0QQGx9kKbO0_M5gmuhXZ6-LaxQxgrmJnzgP0"",""'TP# look up'!A:C""),3,0),"""")"),"")</f>
        <v/>
      </c>
      <c r="AH5808" s="49" t="str">
        <f t="shared" si="90"/>
        <v/>
      </c>
    </row>
    <row r="5809" spans="8:34" ht="12.75">
      <c r="H5809" s="43"/>
      <c r="AG5809" s="49" t="str">
        <f ca="1">IFERROR(__xludf.DUMMYFUNCTION("IFNA(vlookup(H5809,IMPORTRANGE(""1vUGwO1n0QQGx9kKbO0_M5gmuhXZ6-LaxQxgrmJnzgP0"",""'TP# look up'!A:C""),3,0),"""")"),"")</f>
        <v/>
      </c>
      <c r="AH5809" s="49" t="str">
        <f t="shared" si="90"/>
        <v/>
      </c>
    </row>
    <row r="5810" spans="8:34" ht="12.75">
      <c r="H5810" s="43"/>
      <c r="AG5810" s="49" t="str">
        <f ca="1">IFERROR(__xludf.DUMMYFUNCTION("IFNA(vlookup(H5810,IMPORTRANGE(""1vUGwO1n0QQGx9kKbO0_M5gmuhXZ6-LaxQxgrmJnzgP0"",""'TP# look up'!A:C""),3,0),"""")"),"")</f>
        <v/>
      </c>
      <c r="AH5810" s="49" t="str">
        <f t="shared" si="90"/>
        <v/>
      </c>
    </row>
    <row r="5811" spans="8:34" ht="12.75">
      <c r="H5811" s="43"/>
      <c r="AG5811" s="49" t="str">
        <f ca="1">IFERROR(__xludf.DUMMYFUNCTION("IFNA(vlookup(H5811,IMPORTRANGE(""1vUGwO1n0QQGx9kKbO0_M5gmuhXZ6-LaxQxgrmJnzgP0"",""'TP# look up'!A:C""),3,0),"""")"),"")</f>
        <v/>
      </c>
      <c r="AH5811" s="49" t="str">
        <f t="shared" si="90"/>
        <v/>
      </c>
    </row>
    <row r="5812" spans="8:34" ht="12.75">
      <c r="H5812" s="43"/>
      <c r="AG5812" s="49" t="str">
        <f ca="1">IFERROR(__xludf.DUMMYFUNCTION("IFNA(vlookup(H5812,IMPORTRANGE(""1vUGwO1n0QQGx9kKbO0_M5gmuhXZ6-LaxQxgrmJnzgP0"",""'TP# look up'!A:C""),3,0),"""")"),"")</f>
        <v/>
      </c>
      <c r="AH5812" s="49" t="str">
        <f t="shared" si="90"/>
        <v/>
      </c>
    </row>
    <row r="5813" spans="8:34" ht="12.75">
      <c r="H5813" s="43"/>
      <c r="AG5813" s="49" t="str">
        <f ca="1">IFERROR(__xludf.DUMMYFUNCTION("IFNA(vlookup(H5813,IMPORTRANGE(""1vUGwO1n0QQGx9kKbO0_M5gmuhXZ6-LaxQxgrmJnzgP0"",""'TP# look up'!A:C""),3,0),"""")"),"")</f>
        <v/>
      </c>
      <c r="AH5813" s="49" t="str">
        <f t="shared" si="90"/>
        <v/>
      </c>
    </row>
    <row r="5814" spans="8:34" ht="12.75">
      <c r="H5814" s="43"/>
      <c r="AG5814" s="49" t="str">
        <f ca="1">IFERROR(__xludf.DUMMYFUNCTION("IFNA(vlookup(H5814,IMPORTRANGE(""1vUGwO1n0QQGx9kKbO0_M5gmuhXZ6-LaxQxgrmJnzgP0"",""'TP# look up'!A:C""),3,0),"""")"),"")</f>
        <v/>
      </c>
      <c r="AH5814" s="49" t="str">
        <f t="shared" si="90"/>
        <v/>
      </c>
    </row>
    <row r="5815" spans="8:34" ht="12.75">
      <c r="H5815" s="43"/>
      <c r="AG5815" s="49" t="str">
        <f ca="1">IFERROR(__xludf.DUMMYFUNCTION("IFNA(vlookup(H5815,IMPORTRANGE(""1vUGwO1n0QQGx9kKbO0_M5gmuhXZ6-LaxQxgrmJnzgP0"",""'TP# look up'!A:C""),3,0),"""")"),"")</f>
        <v/>
      </c>
      <c r="AH5815" s="49" t="str">
        <f t="shared" si="90"/>
        <v/>
      </c>
    </row>
    <row r="5816" spans="8:34" ht="12.75">
      <c r="H5816" s="43"/>
      <c r="AG5816" s="49" t="str">
        <f ca="1">IFERROR(__xludf.DUMMYFUNCTION("IFNA(vlookup(H5816,IMPORTRANGE(""1vUGwO1n0QQGx9kKbO0_M5gmuhXZ6-LaxQxgrmJnzgP0"",""'TP# look up'!A:C""),3,0),"""")"),"")</f>
        <v/>
      </c>
      <c r="AH5816" s="49" t="str">
        <f t="shared" si="90"/>
        <v/>
      </c>
    </row>
    <row r="5817" spans="8:34" ht="12.75">
      <c r="H5817" s="43"/>
      <c r="AG5817" s="49" t="str">
        <f ca="1">IFERROR(__xludf.DUMMYFUNCTION("IFNA(vlookup(H5817,IMPORTRANGE(""1vUGwO1n0QQGx9kKbO0_M5gmuhXZ6-LaxQxgrmJnzgP0"",""'TP# look up'!A:C""),3,0),"""")"),"")</f>
        <v/>
      </c>
      <c r="AH5817" s="49" t="str">
        <f t="shared" si="90"/>
        <v/>
      </c>
    </row>
    <row r="5818" spans="8:34" ht="12.75">
      <c r="H5818" s="43"/>
      <c r="AG5818" s="49" t="str">
        <f ca="1">IFERROR(__xludf.DUMMYFUNCTION("IFNA(vlookup(H5818,IMPORTRANGE(""1vUGwO1n0QQGx9kKbO0_M5gmuhXZ6-LaxQxgrmJnzgP0"",""'TP# look up'!A:C""),3,0),"""")"),"")</f>
        <v/>
      </c>
      <c r="AH5818" s="49" t="str">
        <f t="shared" si="90"/>
        <v/>
      </c>
    </row>
    <row r="5819" spans="8:34" ht="12.75">
      <c r="H5819" s="43"/>
      <c r="AG5819" s="49" t="str">
        <f ca="1">IFERROR(__xludf.DUMMYFUNCTION("IFNA(vlookup(H5819,IMPORTRANGE(""1vUGwO1n0QQGx9kKbO0_M5gmuhXZ6-LaxQxgrmJnzgP0"",""'TP# look up'!A:C""),3,0),"""")"),"")</f>
        <v/>
      </c>
      <c r="AH5819" s="49" t="str">
        <f t="shared" si="90"/>
        <v/>
      </c>
    </row>
    <row r="5820" spans="8:34" ht="12.75">
      <c r="H5820" s="43"/>
      <c r="AG5820" s="49" t="str">
        <f ca="1">IFERROR(__xludf.DUMMYFUNCTION("IFNA(vlookup(H5820,IMPORTRANGE(""1vUGwO1n0QQGx9kKbO0_M5gmuhXZ6-LaxQxgrmJnzgP0"",""'TP# look up'!A:C""),3,0),"""")"),"")</f>
        <v/>
      </c>
      <c r="AH5820" s="49" t="str">
        <f t="shared" si="90"/>
        <v/>
      </c>
    </row>
    <row r="5821" spans="8:34" ht="12.75">
      <c r="H5821" s="43"/>
      <c r="AG5821" s="49" t="str">
        <f ca="1">IFERROR(__xludf.DUMMYFUNCTION("IFNA(vlookup(H5821,IMPORTRANGE(""1vUGwO1n0QQGx9kKbO0_M5gmuhXZ6-LaxQxgrmJnzgP0"",""'TP# look up'!A:C""),3,0),"""")"),"")</f>
        <v/>
      </c>
      <c r="AH5821" s="49" t="str">
        <f t="shared" si="90"/>
        <v/>
      </c>
    </row>
    <row r="5822" spans="8:34" ht="12.75">
      <c r="H5822" s="43"/>
      <c r="AG5822" s="49" t="str">
        <f ca="1">IFERROR(__xludf.DUMMYFUNCTION("IFNA(vlookup(H5822,IMPORTRANGE(""1vUGwO1n0QQGx9kKbO0_M5gmuhXZ6-LaxQxgrmJnzgP0"",""'TP# look up'!A:C""),3,0),"""")"),"")</f>
        <v/>
      </c>
      <c r="AH5822" s="49" t="str">
        <f t="shared" si="90"/>
        <v/>
      </c>
    </row>
    <row r="5823" spans="8:34" ht="12.75">
      <c r="H5823" s="43"/>
      <c r="AG5823" s="49" t="str">
        <f ca="1">IFERROR(__xludf.DUMMYFUNCTION("IFNA(vlookup(H5823,IMPORTRANGE(""1vUGwO1n0QQGx9kKbO0_M5gmuhXZ6-LaxQxgrmJnzgP0"",""'TP# look up'!A:C""),3,0),"""")"),"")</f>
        <v/>
      </c>
      <c r="AH5823" s="49" t="str">
        <f t="shared" si="90"/>
        <v/>
      </c>
    </row>
    <row r="5824" spans="8:34" ht="12.75">
      <c r="H5824" s="43"/>
      <c r="AG5824" s="49" t="str">
        <f ca="1">IFERROR(__xludf.DUMMYFUNCTION("IFNA(vlookup(H5824,IMPORTRANGE(""1vUGwO1n0QQGx9kKbO0_M5gmuhXZ6-LaxQxgrmJnzgP0"",""'TP# look up'!A:C""),3,0),"""")"),"")</f>
        <v/>
      </c>
      <c r="AH5824" s="49" t="str">
        <f t="shared" si="90"/>
        <v/>
      </c>
    </row>
    <row r="5825" spans="8:34" ht="12.75">
      <c r="H5825" s="43"/>
      <c r="AG5825" s="49" t="str">
        <f ca="1">IFERROR(__xludf.DUMMYFUNCTION("IFNA(vlookup(H5825,IMPORTRANGE(""1vUGwO1n0QQGx9kKbO0_M5gmuhXZ6-LaxQxgrmJnzgP0"",""'TP# look up'!A:C""),3,0),"""")"),"")</f>
        <v/>
      </c>
      <c r="AH5825" s="49" t="str">
        <f t="shared" si="90"/>
        <v/>
      </c>
    </row>
    <row r="5826" spans="8:34" ht="12.75">
      <c r="H5826" s="43"/>
      <c r="AG5826" s="49" t="str">
        <f ca="1">IFERROR(__xludf.DUMMYFUNCTION("IFNA(vlookup(H5826,IMPORTRANGE(""1vUGwO1n0QQGx9kKbO0_M5gmuhXZ6-LaxQxgrmJnzgP0"",""'TP# look up'!A:C""),3,0),"""")"),"")</f>
        <v/>
      </c>
      <c r="AH5826" s="49" t="str">
        <f t="shared" ref="AH5826:AH5889" si="91">LEFT(J5826,2)</f>
        <v/>
      </c>
    </row>
    <row r="5827" spans="8:34" ht="12.75">
      <c r="H5827" s="43"/>
      <c r="AG5827" s="49" t="str">
        <f ca="1">IFERROR(__xludf.DUMMYFUNCTION("IFNA(vlookup(H5827,IMPORTRANGE(""1vUGwO1n0QQGx9kKbO0_M5gmuhXZ6-LaxQxgrmJnzgP0"",""'TP# look up'!A:C""),3,0),"""")"),"")</f>
        <v/>
      </c>
      <c r="AH5827" s="49" t="str">
        <f t="shared" si="91"/>
        <v/>
      </c>
    </row>
    <row r="5828" spans="8:34" ht="12.75">
      <c r="H5828" s="43"/>
      <c r="AG5828" s="49" t="str">
        <f ca="1">IFERROR(__xludf.DUMMYFUNCTION("IFNA(vlookup(H5828,IMPORTRANGE(""1vUGwO1n0QQGx9kKbO0_M5gmuhXZ6-LaxQxgrmJnzgP0"",""'TP# look up'!A:C""),3,0),"""")"),"")</f>
        <v/>
      </c>
      <c r="AH5828" s="49" t="str">
        <f t="shared" si="91"/>
        <v/>
      </c>
    </row>
    <row r="5829" spans="8:34" ht="12.75">
      <c r="H5829" s="43"/>
      <c r="AG5829" s="49" t="str">
        <f ca="1">IFERROR(__xludf.DUMMYFUNCTION("IFNA(vlookup(H5829,IMPORTRANGE(""1vUGwO1n0QQGx9kKbO0_M5gmuhXZ6-LaxQxgrmJnzgP0"",""'TP# look up'!A:C""),3,0),"""")"),"")</f>
        <v/>
      </c>
      <c r="AH5829" s="49" t="str">
        <f t="shared" si="91"/>
        <v/>
      </c>
    </row>
    <row r="5830" spans="8:34" ht="12.75">
      <c r="H5830" s="43"/>
      <c r="AG5830" s="49" t="str">
        <f ca="1">IFERROR(__xludf.DUMMYFUNCTION("IFNA(vlookup(H5830,IMPORTRANGE(""1vUGwO1n0QQGx9kKbO0_M5gmuhXZ6-LaxQxgrmJnzgP0"",""'TP# look up'!A:C""),3,0),"""")"),"")</f>
        <v/>
      </c>
      <c r="AH5830" s="49" t="str">
        <f t="shared" si="91"/>
        <v/>
      </c>
    </row>
    <row r="5831" spans="8:34" ht="12.75">
      <c r="H5831" s="43"/>
      <c r="AG5831" s="49" t="str">
        <f ca="1">IFERROR(__xludf.DUMMYFUNCTION("IFNA(vlookup(H5831,IMPORTRANGE(""1vUGwO1n0QQGx9kKbO0_M5gmuhXZ6-LaxQxgrmJnzgP0"",""'TP# look up'!A:C""),3,0),"""")"),"")</f>
        <v/>
      </c>
      <c r="AH5831" s="49" t="str">
        <f t="shared" si="91"/>
        <v/>
      </c>
    </row>
    <row r="5832" spans="8:34" ht="12.75">
      <c r="H5832" s="43"/>
      <c r="AG5832" s="49" t="str">
        <f ca="1">IFERROR(__xludf.DUMMYFUNCTION("IFNA(vlookup(H5832,IMPORTRANGE(""1vUGwO1n0QQGx9kKbO0_M5gmuhXZ6-LaxQxgrmJnzgP0"",""'TP# look up'!A:C""),3,0),"""")"),"")</f>
        <v/>
      </c>
      <c r="AH5832" s="49" t="str">
        <f t="shared" si="91"/>
        <v/>
      </c>
    </row>
    <row r="5833" spans="8:34" ht="12.75">
      <c r="H5833" s="43"/>
      <c r="AG5833" s="49" t="str">
        <f ca="1">IFERROR(__xludf.DUMMYFUNCTION("IFNA(vlookup(H5833,IMPORTRANGE(""1vUGwO1n0QQGx9kKbO0_M5gmuhXZ6-LaxQxgrmJnzgP0"",""'TP# look up'!A:C""),3,0),"""")"),"")</f>
        <v/>
      </c>
      <c r="AH5833" s="49" t="str">
        <f t="shared" si="91"/>
        <v/>
      </c>
    </row>
    <row r="5834" spans="8:34" ht="12.75">
      <c r="H5834" s="43"/>
      <c r="AG5834" s="49" t="str">
        <f ca="1">IFERROR(__xludf.DUMMYFUNCTION("IFNA(vlookup(H5834,IMPORTRANGE(""1vUGwO1n0QQGx9kKbO0_M5gmuhXZ6-LaxQxgrmJnzgP0"",""'TP# look up'!A:C""),3,0),"""")"),"")</f>
        <v/>
      </c>
      <c r="AH5834" s="49" t="str">
        <f t="shared" si="91"/>
        <v/>
      </c>
    </row>
    <row r="5835" spans="8:34" ht="12.75">
      <c r="H5835" s="43"/>
      <c r="AG5835" s="49" t="str">
        <f ca="1">IFERROR(__xludf.DUMMYFUNCTION("IFNA(vlookup(H5835,IMPORTRANGE(""1vUGwO1n0QQGx9kKbO0_M5gmuhXZ6-LaxQxgrmJnzgP0"",""'TP# look up'!A:C""),3,0),"""")"),"")</f>
        <v/>
      </c>
      <c r="AH5835" s="49" t="str">
        <f t="shared" si="91"/>
        <v/>
      </c>
    </row>
    <row r="5836" spans="8:34" ht="12.75">
      <c r="H5836" s="43"/>
      <c r="AG5836" s="49" t="str">
        <f ca="1">IFERROR(__xludf.DUMMYFUNCTION("IFNA(vlookup(H5836,IMPORTRANGE(""1vUGwO1n0QQGx9kKbO0_M5gmuhXZ6-LaxQxgrmJnzgP0"",""'TP# look up'!A:C""),3,0),"""")"),"")</f>
        <v/>
      </c>
      <c r="AH5836" s="49" t="str">
        <f t="shared" si="91"/>
        <v/>
      </c>
    </row>
    <row r="5837" spans="8:34" ht="12.75">
      <c r="H5837" s="43"/>
      <c r="AG5837" s="49" t="str">
        <f ca="1">IFERROR(__xludf.DUMMYFUNCTION("IFNA(vlookup(H5837,IMPORTRANGE(""1vUGwO1n0QQGx9kKbO0_M5gmuhXZ6-LaxQxgrmJnzgP0"",""'TP# look up'!A:C""),3,0),"""")"),"")</f>
        <v/>
      </c>
      <c r="AH5837" s="49" t="str">
        <f t="shared" si="91"/>
        <v/>
      </c>
    </row>
    <row r="5838" spans="8:34" ht="12.75">
      <c r="H5838" s="43"/>
      <c r="AG5838" s="49" t="str">
        <f ca="1">IFERROR(__xludf.DUMMYFUNCTION("IFNA(vlookup(H5838,IMPORTRANGE(""1vUGwO1n0QQGx9kKbO0_M5gmuhXZ6-LaxQxgrmJnzgP0"",""'TP# look up'!A:C""),3,0),"""")"),"")</f>
        <v/>
      </c>
      <c r="AH5838" s="49" t="str">
        <f t="shared" si="91"/>
        <v/>
      </c>
    </row>
    <row r="5839" spans="8:34" ht="12.75">
      <c r="H5839" s="43"/>
      <c r="AG5839" s="49" t="str">
        <f ca="1">IFERROR(__xludf.DUMMYFUNCTION("IFNA(vlookup(H5839,IMPORTRANGE(""1vUGwO1n0QQGx9kKbO0_M5gmuhXZ6-LaxQxgrmJnzgP0"",""'TP# look up'!A:C""),3,0),"""")"),"")</f>
        <v/>
      </c>
      <c r="AH5839" s="49" t="str">
        <f t="shared" si="91"/>
        <v/>
      </c>
    </row>
    <row r="5840" spans="8:34" ht="12.75">
      <c r="H5840" s="43"/>
      <c r="AG5840" s="49" t="str">
        <f ca="1">IFERROR(__xludf.DUMMYFUNCTION("IFNA(vlookup(H5840,IMPORTRANGE(""1vUGwO1n0QQGx9kKbO0_M5gmuhXZ6-LaxQxgrmJnzgP0"",""'TP# look up'!A:C""),3,0),"""")"),"")</f>
        <v/>
      </c>
      <c r="AH5840" s="49" t="str">
        <f t="shared" si="91"/>
        <v/>
      </c>
    </row>
    <row r="5841" spans="8:34" ht="12.75">
      <c r="H5841" s="43"/>
      <c r="AG5841" s="49" t="str">
        <f ca="1">IFERROR(__xludf.DUMMYFUNCTION("IFNA(vlookup(H5841,IMPORTRANGE(""1vUGwO1n0QQGx9kKbO0_M5gmuhXZ6-LaxQxgrmJnzgP0"",""'TP# look up'!A:C""),3,0),"""")"),"")</f>
        <v/>
      </c>
      <c r="AH5841" s="49" t="str">
        <f t="shared" si="91"/>
        <v/>
      </c>
    </row>
    <row r="5842" spans="8:34" ht="12.75">
      <c r="H5842" s="43"/>
      <c r="AG5842" s="49" t="str">
        <f ca="1">IFERROR(__xludf.DUMMYFUNCTION("IFNA(vlookup(H5842,IMPORTRANGE(""1vUGwO1n0QQGx9kKbO0_M5gmuhXZ6-LaxQxgrmJnzgP0"",""'TP# look up'!A:C""),3,0),"""")"),"")</f>
        <v/>
      </c>
      <c r="AH5842" s="49" t="str">
        <f t="shared" si="91"/>
        <v/>
      </c>
    </row>
    <row r="5843" spans="8:34" ht="12.75">
      <c r="H5843" s="43"/>
      <c r="AG5843" s="49" t="str">
        <f ca="1">IFERROR(__xludf.DUMMYFUNCTION("IFNA(vlookup(H5843,IMPORTRANGE(""1vUGwO1n0QQGx9kKbO0_M5gmuhXZ6-LaxQxgrmJnzgP0"",""'TP# look up'!A:C""),3,0),"""")"),"")</f>
        <v/>
      </c>
      <c r="AH5843" s="49" t="str">
        <f t="shared" si="91"/>
        <v/>
      </c>
    </row>
    <row r="5844" spans="8:34" ht="12.75">
      <c r="H5844" s="43"/>
      <c r="AG5844" s="49" t="str">
        <f ca="1">IFERROR(__xludf.DUMMYFUNCTION("IFNA(vlookup(H5844,IMPORTRANGE(""1vUGwO1n0QQGx9kKbO0_M5gmuhXZ6-LaxQxgrmJnzgP0"",""'TP# look up'!A:C""),3,0),"""")"),"")</f>
        <v/>
      </c>
      <c r="AH5844" s="49" t="str">
        <f t="shared" si="91"/>
        <v/>
      </c>
    </row>
    <row r="5845" spans="8:34" ht="12.75">
      <c r="H5845" s="43"/>
      <c r="AG5845" s="49" t="str">
        <f ca="1">IFERROR(__xludf.DUMMYFUNCTION("IFNA(vlookup(H5845,IMPORTRANGE(""1vUGwO1n0QQGx9kKbO0_M5gmuhXZ6-LaxQxgrmJnzgP0"",""'TP# look up'!A:C""),3,0),"""")"),"")</f>
        <v/>
      </c>
      <c r="AH5845" s="49" t="str">
        <f t="shared" si="91"/>
        <v/>
      </c>
    </row>
    <row r="5846" spans="8:34" ht="12.75">
      <c r="H5846" s="43"/>
      <c r="AG5846" s="49" t="str">
        <f ca="1">IFERROR(__xludf.DUMMYFUNCTION("IFNA(vlookup(H5846,IMPORTRANGE(""1vUGwO1n0QQGx9kKbO0_M5gmuhXZ6-LaxQxgrmJnzgP0"",""'TP# look up'!A:C""),3,0),"""")"),"")</f>
        <v/>
      </c>
      <c r="AH5846" s="49" t="str">
        <f t="shared" si="91"/>
        <v/>
      </c>
    </row>
    <row r="5847" spans="8:34" ht="12.75">
      <c r="H5847" s="43"/>
      <c r="AG5847" s="49" t="str">
        <f ca="1">IFERROR(__xludf.DUMMYFUNCTION("IFNA(vlookup(H5847,IMPORTRANGE(""1vUGwO1n0QQGx9kKbO0_M5gmuhXZ6-LaxQxgrmJnzgP0"",""'TP# look up'!A:C""),3,0),"""")"),"")</f>
        <v/>
      </c>
      <c r="AH5847" s="49" t="str">
        <f t="shared" si="91"/>
        <v/>
      </c>
    </row>
    <row r="5848" spans="8:34" ht="12.75">
      <c r="H5848" s="43"/>
      <c r="AG5848" s="49" t="str">
        <f ca="1">IFERROR(__xludf.DUMMYFUNCTION("IFNA(vlookup(H5848,IMPORTRANGE(""1vUGwO1n0QQGx9kKbO0_M5gmuhXZ6-LaxQxgrmJnzgP0"",""'TP# look up'!A:C""),3,0),"""")"),"")</f>
        <v/>
      </c>
      <c r="AH5848" s="49" t="str">
        <f t="shared" si="91"/>
        <v/>
      </c>
    </row>
    <row r="5849" spans="8:34" ht="12.75">
      <c r="H5849" s="43"/>
      <c r="AG5849" s="49" t="str">
        <f ca="1">IFERROR(__xludf.DUMMYFUNCTION("IFNA(vlookup(H5849,IMPORTRANGE(""1vUGwO1n0QQGx9kKbO0_M5gmuhXZ6-LaxQxgrmJnzgP0"",""'TP# look up'!A:C""),3,0),"""")"),"")</f>
        <v/>
      </c>
      <c r="AH5849" s="49" t="str">
        <f t="shared" si="91"/>
        <v/>
      </c>
    </row>
    <row r="5850" spans="8:34" ht="12.75">
      <c r="H5850" s="43"/>
      <c r="AG5850" s="49" t="str">
        <f ca="1">IFERROR(__xludf.DUMMYFUNCTION("IFNA(vlookup(H5850,IMPORTRANGE(""1vUGwO1n0QQGx9kKbO0_M5gmuhXZ6-LaxQxgrmJnzgP0"",""'TP# look up'!A:C""),3,0),"""")"),"")</f>
        <v/>
      </c>
      <c r="AH5850" s="49" t="str">
        <f t="shared" si="91"/>
        <v/>
      </c>
    </row>
    <row r="5851" spans="8:34" ht="12.75">
      <c r="H5851" s="43"/>
      <c r="AG5851" s="49" t="str">
        <f ca="1">IFERROR(__xludf.DUMMYFUNCTION("IFNA(vlookup(H5851,IMPORTRANGE(""1vUGwO1n0QQGx9kKbO0_M5gmuhXZ6-LaxQxgrmJnzgP0"",""'TP# look up'!A:C""),3,0),"""")"),"")</f>
        <v/>
      </c>
      <c r="AH5851" s="49" t="str">
        <f t="shared" si="91"/>
        <v/>
      </c>
    </row>
    <row r="5852" spans="8:34" ht="12.75">
      <c r="H5852" s="43"/>
      <c r="AG5852" s="49" t="str">
        <f ca="1">IFERROR(__xludf.DUMMYFUNCTION("IFNA(vlookup(H5852,IMPORTRANGE(""1vUGwO1n0QQGx9kKbO0_M5gmuhXZ6-LaxQxgrmJnzgP0"",""'TP# look up'!A:C""),3,0),"""")"),"")</f>
        <v/>
      </c>
      <c r="AH5852" s="49" t="str">
        <f t="shared" si="91"/>
        <v/>
      </c>
    </row>
    <row r="5853" spans="8:34" ht="12.75">
      <c r="H5853" s="43"/>
      <c r="AG5853" s="49" t="str">
        <f ca="1">IFERROR(__xludf.DUMMYFUNCTION("IFNA(vlookup(H5853,IMPORTRANGE(""1vUGwO1n0QQGx9kKbO0_M5gmuhXZ6-LaxQxgrmJnzgP0"",""'TP# look up'!A:C""),3,0),"""")"),"")</f>
        <v/>
      </c>
      <c r="AH5853" s="49" t="str">
        <f t="shared" si="91"/>
        <v/>
      </c>
    </row>
    <row r="5854" spans="8:34" ht="12.75">
      <c r="H5854" s="43"/>
      <c r="AG5854" s="49" t="str">
        <f ca="1">IFERROR(__xludf.DUMMYFUNCTION("IFNA(vlookup(H5854,IMPORTRANGE(""1vUGwO1n0QQGx9kKbO0_M5gmuhXZ6-LaxQxgrmJnzgP0"",""'TP# look up'!A:C""),3,0),"""")"),"")</f>
        <v/>
      </c>
      <c r="AH5854" s="49" t="str">
        <f t="shared" si="91"/>
        <v/>
      </c>
    </row>
    <row r="5855" spans="8:34" ht="12.75">
      <c r="H5855" s="43"/>
      <c r="AG5855" s="49" t="str">
        <f ca="1">IFERROR(__xludf.DUMMYFUNCTION("IFNA(vlookup(H5855,IMPORTRANGE(""1vUGwO1n0QQGx9kKbO0_M5gmuhXZ6-LaxQxgrmJnzgP0"",""'TP# look up'!A:C""),3,0),"""")"),"")</f>
        <v/>
      </c>
      <c r="AH5855" s="49" t="str">
        <f t="shared" si="91"/>
        <v/>
      </c>
    </row>
    <row r="5856" spans="8:34" ht="12.75">
      <c r="H5856" s="43"/>
      <c r="AG5856" s="49" t="str">
        <f ca="1">IFERROR(__xludf.DUMMYFUNCTION("IFNA(vlookup(H5856,IMPORTRANGE(""1vUGwO1n0QQGx9kKbO0_M5gmuhXZ6-LaxQxgrmJnzgP0"",""'TP# look up'!A:C""),3,0),"""")"),"")</f>
        <v/>
      </c>
      <c r="AH5856" s="49" t="str">
        <f t="shared" si="91"/>
        <v/>
      </c>
    </row>
    <row r="5857" spans="8:34" ht="12.75">
      <c r="H5857" s="43"/>
      <c r="AG5857" s="49" t="str">
        <f ca="1">IFERROR(__xludf.DUMMYFUNCTION("IFNA(vlookup(H5857,IMPORTRANGE(""1vUGwO1n0QQGx9kKbO0_M5gmuhXZ6-LaxQxgrmJnzgP0"",""'TP# look up'!A:C""),3,0),"""")"),"")</f>
        <v/>
      </c>
      <c r="AH5857" s="49" t="str">
        <f t="shared" si="91"/>
        <v/>
      </c>
    </row>
    <row r="5858" spans="8:34" ht="12.75">
      <c r="H5858" s="43"/>
      <c r="AG5858" s="49" t="str">
        <f ca="1">IFERROR(__xludf.DUMMYFUNCTION("IFNA(vlookup(H5858,IMPORTRANGE(""1vUGwO1n0QQGx9kKbO0_M5gmuhXZ6-LaxQxgrmJnzgP0"",""'TP# look up'!A:C""),3,0),"""")"),"")</f>
        <v/>
      </c>
      <c r="AH5858" s="49" t="str">
        <f t="shared" si="91"/>
        <v/>
      </c>
    </row>
    <row r="5859" spans="8:34" ht="12.75">
      <c r="H5859" s="43"/>
      <c r="AG5859" s="49" t="str">
        <f ca="1">IFERROR(__xludf.DUMMYFUNCTION("IFNA(vlookup(H5859,IMPORTRANGE(""1vUGwO1n0QQGx9kKbO0_M5gmuhXZ6-LaxQxgrmJnzgP0"",""'TP# look up'!A:C""),3,0),"""")"),"")</f>
        <v/>
      </c>
      <c r="AH5859" s="49" t="str">
        <f t="shared" si="91"/>
        <v/>
      </c>
    </row>
    <row r="5860" spans="8:34" ht="12.75">
      <c r="H5860" s="43"/>
      <c r="AG5860" s="49" t="str">
        <f ca="1">IFERROR(__xludf.DUMMYFUNCTION("IFNA(vlookup(H5860,IMPORTRANGE(""1vUGwO1n0QQGx9kKbO0_M5gmuhXZ6-LaxQxgrmJnzgP0"",""'TP# look up'!A:C""),3,0),"""")"),"")</f>
        <v/>
      </c>
      <c r="AH5860" s="49" t="str">
        <f t="shared" si="91"/>
        <v/>
      </c>
    </row>
    <row r="5861" spans="8:34" ht="12.75">
      <c r="H5861" s="43"/>
      <c r="AG5861" s="49" t="str">
        <f ca="1">IFERROR(__xludf.DUMMYFUNCTION("IFNA(vlookup(H5861,IMPORTRANGE(""1vUGwO1n0QQGx9kKbO0_M5gmuhXZ6-LaxQxgrmJnzgP0"",""'TP# look up'!A:C""),3,0),"""")"),"")</f>
        <v/>
      </c>
      <c r="AH5861" s="49" t="str">
        <f t="shared" si="91"/>
        <v/>
      </c>
    </row>
    <row r="5862" spans="8:34" ht="12.75">
      <c r="H5862" s="43"/>
      <c r="AG5862" s="49" t="str">
        <f ca="1">IFERROR(__xludf.DUMMYFUNCTION("IFNA(vlookup(H5862,IMPORTRANGE(""1vUGwO1n0QQGx9kKbO0_M5gmuhXZ6-LaxQxgrmJnzgP0"",""'TP# look up'!A:C""),3,0),"""")"),"")</f>
        <v/>
      </c>
      <c r="AH5862" s="49" t="str">
        <f t="shared" si="91"/>
        <v/>
      </c>
    </row>
    <row r="5863" spans="8:34" ht="12.75">
      <c r="H5863" s="43"/>
      <c r="AG5863" s="49" t="str">
        <f ca="1">IFERROR(__xludf.DUMMYFUNCTION("IFNA(vlookup(H5863,IMPORTRANGE(""1vUGwO1n0QQGx9kKbO0_M5gmuhXZ6-LaxQxgrmJnzgP0"",""'TP# look up'!A:C""),3,0),"""")"),"")</f>
        <v/>
      </c>
      <c r="AH5863" s="49" t="str">
        <f t="shared" si="91"/>
        <v/>
      </c>
    </row>
    <row r="5864" spans="8:34" ht="12.75">
      <c r="H5864" s="43"/>
      <c r="AG5864" s="49" t="str">
        <f ca="1">IFERROR(__xludf.DUMMYFUNCTION("IFNA(vlookup(H5864,IMPORTRANGE(""1vUGwO1n0QQGx9kKbO0_M5gmuhXZ6-LaxQxgrmJnzgP0"",""'TP# look up'!A:C""),3,0),"""")"),"")</f>
        <v/>
      </c>
      <c r="AH5864" s="49" t="str">
        <f t="shared" si="91"/>
        <v/>
      </c>
    </row>
    <row r="5865" spans="8:34" ht="12.75">
      <c r="H5865" s="43"/>
      <c r="AG5865" s="49" t="str">
        <f ca="1">IFERROR(__xludf.DUMMYFUNCTION("IFNA(vlookup(H5865,IMPORTRANGE(""1vUGwO1n0QQGx9kKbO0_M5gmuhXZ6-LaxQxgrmJnzgP0"",""'TP# look up'!A:C""),3,0),"""")"),"")</f>
        <v/>
      </c>
      <c r="AH5865" s="49" t="str">
        <f t="shared" si="91"/>
        <v/>
      </c>
    </row>
    <row r="5866" spans="8:34" ht="12.75">
      <c r="H5866" s="43"/>
      <c r="AG5866" s="49" t="str">
        <f ca="1">IFERROR(__xludf.DUMMYFUNCTION("IFNA(vlookup(H5866,IMPORTRANGE(""1vUGwO1n0QQGx9kKbO0_M5gmuhXZ6-LaxQxgrmJnzgP0"",""'TP# look up'!A:C""),3,0),"""")"),"")</f>
        <v/>
      </c>
      <c r="AH5866" s="49" t="str">
        <f t="shared" si="91"/>
        <v/>
      </c>
    </row>
    <row r="5867" spans="8:34" ht="12.75">
      <c r="H5867" s="43"/>
      <c r="AG5867" s="49" t="str">
        <f ca="1">IFERROR(__xludf.DUMMYFUNCTION("IFNA(vlookup(H5867,IMPORTRANGE(""1vUGwO1n0QQGx9kKbO0_M5gmuhXZ6-LaxQxgrmJnzgP0"",""'TP# look up'!A:C""),3,0),"""")"),"")</f>
        <v/>
      </c>
      <c r="AH5867" s="49" t="str">
        <f t="shared" si="91"/>
        <v/>
      </c>
    </row>
    <row r="5868" spans="8:34" ht="12.75">
      <c r="H5868" s="43"/>
      <c r="AG5868" s="49" t="str">
        <f ca="1">IFERROR(__xludf.DUMMYFUNCTION("IFNA(vlookup(H5868,IMPORTRANGE(""1vUGwO1n0QQGx9kKbO0_M5gmuhXZ6-LaxQxgrmJnzgP0"",""'TP# look up'!A:C""),3,0),"""")"),"")</f>
        <v/>
      </c>
      <c r="AH5868" s="49" t="str">
        <f t="shared" si="91"/>
        <v/>
      </c>
    </row>
    <row r="5869" spans="8:34" ht="12.75">
      <c r="H5869" s="43"/>
      <c r="AG5869" s="49" t="str">
        <f ca="1">IFERROR(__xludf.DUMMYFUNCTION("IFNA(vlookup(H5869,IMPORTRANGE(""1vUGwO1n0QQGx9kKbO0_M5gmuhXZ6-LaxQxgrmJnzgP0"",""'TP# look up'!A:C""),3,0),"""")"),"")</f>
        <v/>
      </c>
      <c r="AH5869" s="49" t="str">
        <f t="shared" si="91"/>
        <v/>
      </c>
    </row>
    <row r="5870" spans="8:34" ht="12.75">
      <c r="H5870" s="43"/>
      <c r="AG5870" s="49" t="str">
        <f ca="1">IFERROR(__xludf.DUMMYFUNCTION("IFNA(vlookup(H5870,IMPORTRANGE(""1vUGwO1n0QQGx9kKbO0_M5gmuhXZ6-LaxQxgrmJnzgP0"",""'TP# look up'!A:C""),3,0),"""")"),"")</f>
        <v/>
      </c>
      <c r="AH5870" s="49" t="str">
        <f t="shared" si="91"/>
        <v/>
      </c>
    </row>
    <row r="5871" spans="8:34" ht="12.75">
      <c r="H5871" s="43"/>
      <c r="AG5871" s="49" t="str">
        <f ca="1">IFERROR(__xludf.DUMMYFUNCTION("IFNA(vlookup(H5871,IMPORTRANGE(""1vUGwO1n0QQGx9kKbO0_M5gmuhXZ6-LaxQxgrmJnzgP0"",""'TP# look up'!A:C""),3,0),"""")"),"")</f>
        <v/>
      </c>
      <c r="AH5871" s="49" t="str">
        <f t="shared" si="91"/>
        <v/>
      </c>
    </row>
    <row r="5872" spans="8:34" ht="12.75">
      <c r="H5872" s="43"/>
      <c r="AG5872" s="49" t="str">
        <f ca="1">IFERROR(__xludf.DUMMYFUNCTION("IFNA(vlookup(H5872,IMPORTRANGE(""1vUGwO1n0QQGx9kKbO0_M5gmuhXZ6-LaxQxgrmJnzgP0"",""'TP# look up'!A:C""),3,0),"""")"),"")</f>
        <v/>
      </c>
      <c r="AH5872" s="49" t="str">
        <f t="shared" si="91"/>
        <v/>
      </c>
    </row>
    <row r="5873" spans="8:34" ht="12.75">
      <c r="H5873" s="43"/>
      <c r="AG5873" s="49" t="str">
        <f ca="1">IFERROR(__xludf.DUMMYFUNCTION("IFNA(vlookup(H5873,IMPORTRANGE(""1vUGwO1n0QQGx9kKbO0_M5gmuhXZ6-LaxQxgrmJnzgP0"",""'TP# look up'!A:C""),3,0),"""")"),"")</f>
        <v/>
      </c>
      <c r="AH5873" s="49" t="str">
        <f t="shared" si="91"/>
        <v/>
      </c>
    </row>
    <row r="5874" spans="8:34" ht="12.75">
      <c r="H5874" s="43"/>
      <c r="AG5874" s="49" t="str">
        <f ca="1">IFERROR(__xludf.DUMMYFUNCTION("IFNA(vlookup(H5874,IMPORTRANGE(""1vUGwO1n0QQGx9kKbO0_M5gmuhXZ6-LaxQxgrmJnzgP0"",""'TP# look up'!A:C""),3,0),"""")"),"")</f>
        <v/>
      </c>
      <c r="AH5874" s="49" t="str">
        <f t="shared" si="91"/>
        <v/>
      </c>
    </row>
    <row r="5875" spans="8:34" ht="12.75">
      <c r="H5875" s="43"/>
      <c r="AG5875" s="49" t="str">
        <f ca="1">IFERROR(__xludf.DUMMYFUNCTION("IFNA(vlookup(H5875,IMPORTRANGE(""1vUGwO1n0QQGx9kKbO0_M5gmuhXZ6-LaxQxgrmJnzgP0"",""'TP# look up'!A:C""),3,0),"""")"),"")</f>
        <v/>
      </c>
      <c r="AH5875" s="49" t="str">
        <f t="shared" si="91"/>
        <v/>
      </c>
    </row>
    <row r="5876" spans="8:34" ht="12.75">
      <c r="H5876" s="43"/>
      <c r="AG5876" s="49" t="str">
        <f ca="1">IFERROR(__xludf.DUMMYFUNCTION("IFNA(vlookup(H5876,IMPORTRANGE(""1vUGwO1n0QQGx9kKbO0_M5gmuhXZ6-LaxQxgrmJnzgP0"",""'TP# look up'!A:C""),3,0),"""")"),"")</f>
        <v/>
      </c>
      <c r="AH5876" s="49" t="str">
        <f t="shared" si="91"/>
        <v/>
      </c>
    </row>
    <row r="5877" spans="8:34" ht="12.75">
      <c r="H5877" s="43"/>
      <c r="AG5877" s="49" t="str">
        <f ca="1">IFERROR(__xludf.DUMMYFUNCTION("IFNA(vlookup(H5877,IMPORTRANGE(""1vUGwO1n0QQGx9kKbO0_M5gmuhXZ6-LaxQxgrmJnzgP0"",""'TP# look up'!A:C""),3,0),"""")"),"")</f>
        <v/>
      </c>
      <c r="AH5877" s="49" t="str">
        <f t="shared" si="91"/>
        <v/>
      </c>
    </row>
    <row r="5878" spans="8:34" ht="12.75">
      <c r="H5878" s="43"/>
      <c r="AG5878" s="49" t="str">
        <f ca="1">IFERROR(__xludf.DUMMYFUNCTION("IFNA(vlookup(H5878,IMPORTRANGE(""1vUGwO1n0QQGx9kKbO0_M5gmuhXZ6-LaxQxgrmJnzgP0"",""'TP# look up'!A:C""),3,0),"""")"),"")</f>
        <v/>
      </c>
      <c r="AH5878" s="49" t="str">
        <f t="shared" si="91"/>
        <v/>
      </c>
    </row>
    <row r="5879" spans="8:34" ht="12.75">
      <c r="H5879" s="43"/>
      <c r="AG5879" s="49" t="str">
        <f ca="1">IFERROR(__xludf.DUMMYFUNCTION("IFNA(vlookup(H5879,IMPORTRANGE(""1vUGwO1n0QQGx9kKbO0_M5gmuhXZ6-LaxQxgrmJnzgP0"",""'TP# look up'!A:C""),3,0),"""")"),"")</f>
        <v/>
      </c>
      <c r="AH5879" s="49" t="str">
        <f t="shared" si="91"/>
        <v/>
      </c>
    </row>
    <row r="5880" spans="8:34" ht="12.75">
      <c r="H5880" s="43"/>
      <c r="AG5880" s="49" t="str">
        <f ca="1">IFERROR(__xludf.DUMMYFUNCTION("IFNA(vlookup(H5880,IMPORTRANGE(""1vUGwO1n0QQGx9kKbO0_M5gmuhXZ6-LaxQxgrmJnzgP0"",""'TP# look up'!A:C""),3,0),"""")"),"")</f>
        <v/>
      </c>
      <c r="AH5880" s="49" t="str">
        <f t="shared" si="91"/>
        <v/>
      </c>
    </row>
    <row r="5881" spans="8:34" ht="12.75">
      <c r="H5881" s="43"/>
      <c r="AG5881" s="49" t="str">
        <f ca="1">IFERROR(__xludf.DUMMYFUNCTION("IFNA(vlookup(H5881,IMPORTRANGE(""1vUGwO1n0QQGx9kKbO0_M5gmuhXZ6-LaxQxgrmJnzgP0"",""'TP# look up'!A:C""),3,0),"""")"),"")</f>
        <v/>
      </c>
      <c r="AH5881" s="49" t="str">
        <f t="shared" si="91"/>
        <v/>
      </c>
    </row>
    <row r="5882" spans="8:34" ht="12.75">
      <c r="H5882" s="43"/>
      <c r="AG5882" s="49" t="str">
        <f ca="1">IFERROR(__xludf.DUMMYFUNCTION("IFNA(vlookup(H5882,IMPORTRANGE(""1vUGwO1n0QQGx9kKbO0_M5gmuhXZ6-LaxQxgrmJnzgP0"",""'TP# look up'!A:C""),3,0),"""")"),"")</f>
        <v/>
      </c>
      <c r="AH5882" s="49" t="str">
        <f t="shared" si="91"/>
        <v/>
      </c>
    </row>
    <row r="5883" spans="8:34" ht="12.75">
      <c r="H5883" s="43"/>
      <c r="AG5883" s="49" t="str">
        <f ca="1">IFERROR(__xludf.DUMMYFUNCTION("IFNA(vlookup(H5883,IMPORTRANGE(""1vUGwO1n0QQGx9kKbO0_M5gmuhXZ6-LaxQxgrmJnzgP0"",""'TP# look up'!A:C""),3,0),"""")"),"")</f>
        <v/>
      </c>
      <c r="AH5883" s="49" t="str">
        <f t="shared" si="91"/>
        <v/>
      </c>
    </row>
    <row r="5884" spans="8:34" ht="12.75">
      <c r="H5884" s="43"/>
      <c r="AG5884" s="49" t="str">
        <f ca="1">IFERROR(__xludf.DUMMYFUNCTION("IFNA(vlookup(H5884,IMPORTRANGE(""1vUGwO1n0QQGx9kKbO0_M5gmuhXZ6-LaxQxgrmJnzgP0"",""'TP# look up'!A:C""),3,0),"""")"),"")</f>
        <v/>
      </c>
      <c r="AH5884" s="49" t="str">
        <f t="shared" si="91"/>
        <v/>
      </c>
    </row>
    <row r="5885" spans="8:34" ht="12.75">
      <c r="H5885" s="43"/>
      <c r="AG5885" s="49" t="str">
        <f ca="1">IFERROR(__xludf.DUMMYFUNCTION("IFNA(vlookup(H5885,IMPORTRANGE(""1vUGwO1n0QQGx9kKbO0_M5gmuhXZ6-LaxQxgrmJnzgP0"",""'TP# look up'!A:C""),3,0),"""")"),"")</f>
        <v/>
      </c>
      <c r="AH5885" s="49" t="str">
        <f t="shared" si="91"/>
        <v/>
      </c>
    </row>
    <row r="5886" spans="8:34" ht="12.75">
      <c r="H5886" s="43"/>
      <c r="AG5886" s="49" t="str">
        <f ca="1">IFERROR(__xludf.DUMMYFUNCTION("IFNA(vlookup(H5886,IMPORTRANGE(""1vUGwO1n0QQGx9kKbO0_M5gmuhXZ6-LaxQxgrmJnzgP0"",""'TP# look up'!A:C""),3,0),"""")"),"")</f>
        <v/>
      </c>
      <c r="AH5886" s="49" t="str">
        <f t="shared" si="91"/>
        <v/>
      </c>
    </row>
    <row r="5887" spans="8:34" ht="12.75">
      <c r="H5887" s="43"/>
      <c r="AG5887" s="49" t="str">
        <f ca="1">IFERROR(__xludf.DUMMYFUNCTION("IFNA(vlookup(H5887,IMPORTRANGE(""1vUGwO1n0QQGx9kKbO0_M5gmuhXZ6-LaxQxgrmJnzgP0"",""'TP# look up'!A:C""),3,0),"""")"),"")</f>
        <v/>
      </c>
      <c r="AH5887" s="49" t="str">
        <f t="shared" si="91"/>
        <v/>
      </c>
    </row>
    <row r="5888" spans="8:34" ht="12.75">
      <c r="H5888" s="43"/>
      <c r="AG5888" s="49" t="str">
        <f ca="1">IFERROR(__xludf.DUMMYFUNCTION("IFNA(vlookup(H5888,IMPORTRANGE(""1vUGwO1n0QQGx9kKbO0_M5gmuhXZ6-LaxQxgrmJnzgP0"",""'TP# look up'!A:C""),3,0),"""")"),"")</f>
        <v/>
      </c>
      <c r="AH5888" s="49" t="str">
        <f t="shared" si="91"/>
        <v/>
      </c>
    </row>
    <row r="5889" spans="8:34" ht="12.75">
      <c r="H5889" s="43"/>
      <c r="AG5889" s="49" t="str">
        <f ca="1">IFERROR(__xludf.DUMMYFUNCTION("IFNA(vlookup(H5889,IMPORTRANGE(""1vUGwO1n0QQGx9kKbO0_M5gmuhXZ6-LaxQxgrmJnzgP0"",""'TP# look up'!A:C""),3,0),"""")"),"")</f>
        <v/>
      </c>
      <c r="AH5889" s="49" t="str">
        <f t="shared" si="91"/>
        <v/>
      </c>
    </row>
    <row r="5890" spans="8:34" ht="12.75">
      <c r="H5890" s="43"/>
      <c r="AG5890" s="49" t="str">
        <f ca="1">IFERROR(__xludf.DUMMYFUNCTION("IFNA(vlookup(H5890,IMPORTRANGE(""1vUGwO1n0QQGx9kKbO0_M5gmuhXZ6-LaxQxgrmJnzgP0"",""'TP# look up'!A:C""),3,0),"""")"),"")</f>
        <v/>
      </c>
      <c r="AH5890" s="49" t="str">
        <f t="shared" ref="AH5890:AH5953" si="92">LEFT(J5890,2)</f>
        <v/>
      </c>
    </row>
    <row r="5891" spans="8:34" ht="12.75">
      <c r="H5891" s="43"/>
      <c r="AG5891" s="49" t="str">
        <f ca="1">IFERROR(__xludf.DUMMYFUNCTION("IFNA(vlookup(H5891,IMPORTRANGE(""1vUGwO1n0QQGx9kKbO0_M5gmuhXZ6-LaxQxgrmJnzgP0"",""'TP# look up'!A:C""),3,0),"""")"),"")</f>
        <v/>
      </c>
      <c r="AH5891" s="49" t="str">
        <f t="shared" si="92"/>
        <v/>
      </c>
    </row>
    <row r="5892" spans="8:34" ht="12.75">
      <c r="H5892" s="43"/>
      <c r="AG5892" s="49" t="str">
        <f ca="1">IFERROR(__xludf.DUMMYFUNCTION("IFNA(vlookup(H5892,IMPORTRANGE(""1vUGwO1n0QQGx9kKbO0_M5gmuhXZ6-LaxQxgrmJnzgP0"",""'TP# look up'!A:C""),3,0),"""")"),"")</f>
        <v/>
      </c>
      <c r="AH5892" s="49" t="str">
        <f t="shared" si="92"/>
        <v/>
      </c>
    </row>
    <row r="5893" spans="8:34" ht="12.75">
      <c r="H5893" s="43"/>
      <c r="AG5893" s="49" t="str">
        <f ca="1">IFERROR(__xludf.DUMMYFUNCTION("IFNA(vlookup(H5893,IMPORTRANGE(""1vUGwO1n0QQGx9kKbO0_M5gmuhXZ6-LaxQxgrmJnzgP0"",""'TP# look up'!A:C""),3,0),"""")"),"")</f>
        <v/>
      </c>
      <c r="AH5893" s="49" t="str">
        <f t="shared" si="92"/>
        <v/>
      </c>
    </row>
    <row r="5894" spans="8:34" ht="12.75">
      <c r="H5894" s="43"/>
      <c r="AG5894" s="49" t="str">
        <f ca="1">IFERROR(__xludf.DUMMYFUNCTION("IFNA(vlookup(H5894,IMPORTRANGE(""1vUGwO1n0QQGx9kKbO0_M5gmuhXZ6-LaxQxgrmJnzgP0"",""'TP# look up'!A:C""),3,0),"""")"),"")</f>
        <v/>
      </c>
      <c r="AH5894" s="49" t="str">
        <f t="shared" si="92"/>
        <v/>
      </c>
    </row>
    <row r="5895" spans="8:34" ht="12.75">
      <c r="H5895" s="43"/>
      <c r="AG5895" s="49" t="str">
        <f ca="1">IFERROR(__xludf.DUMMYFUNCTION("IFNA(vlookup(H5895,IMPORTRANGE(""1vUGwO1n0QQGx9kKbO0_M5gmuhXZ6-LaxQxgrmJnzgP0"",""'TP# look up'!A:C""),3,0),"""")"),"")</f>
        <v/>
      </c>
      <c r="AH5895" s="49" t="str">
        <f t="shared" si="92"/>
        <v/>
      </c>
    </row>
    <row r="5896" spans="8:34" ht="12.75">
      <c r="H5896" s="43"/>
      <c r="AG5896" s="49" t="str">
        <f ca="1">IFERROR(__xludf.DUMMYFUNCTION("IFNA(vlookup(H5896,IMPORTRANGE(""1vUGwO1n0QQGx9kKbO0_M5gmuhXZ6-LaxQxgrmJnzgP0"",""'TP# look up'!A:C""),3,0),"""")"),"")</f>
        <v/>
      </c>
      <c r="AH5896" s="49" t="str">
        <f t="shared" si="92"/>
        <v/>
      </c>
    </row>
    <row r="5897" spans="8:34" ht="12.75">
      <c r="H5897" s="43"/>
      <c r="AG5897" s="49" t="str">
        <f ca="1">IFERROR(__xludf.DUMMYFUNCTION("IFNA(vlookup(H5897,IMPORTRANGE(""1vUGwO1n0QQGx9kKbO0_M5gmuhXZ6-LaxQxgrmJnzgP0"",""'TP# look up'!A:C""),3,0),"""")"),"")</f>
        <v/>
      </c>
      <c r="AH5897" s="49" t="str">
        <f t="shared" si="92"/>
        <v/>
      </c>
    </row>
    <row r="5898" spans="8:34" ht="12.75">
      <c r="H5898" s="43"/>
      <c r="AG5898" s="49" t="str">
        <f ca="1">IFERROR(__xludf.DUMMYFUNCTION("IFNA(vlookup(H5898,IMPORTRANGE(""1vUGwO1n0QQGx9kKbO0_M5gmuhXZ6-LaxQxgrmJnzgP0"",""'TP# look up'!A:C""),3,0),"""")"),"")</f>
        <v/>
      </c>
      <c r="AH5898" s="49" t="str">
        <f t="shared" si="92"/>
        <v/>
      </c>
    </row>
    <row r="5899" spans="8:34" ht="12.75">
      <c r="H5899" s="43"/>
      <c r="AG5899" s="49" t="str">
        <f ca="1">IFERROR(__xludf.DUMMYFUNCTION("IFNA(vlookup(H5899,IMPORTRANGE(""1vUGwO1n0QQGx9kKbO0_M5gmuhXZ6-LaxQxgrmJnzgP0"",""'TP# look up'!A:C""),3,0),"""")"),"")</f>
        <v/>
      </c>
      <c r="AH5899" s="49" t="str">
        <f t="shared" si="92"/>
        <v/>
      </c>
    </row>
    <row r="5900" spans="8:34" ht="12.75">
      <c r="H5900" s="43"/>
      <c r="AG5900" s="49" t="str">
        <f ca="1">IFERROR(__xludf.DUMMYFUNCTION("IFNA(vlookup(H5900,IMPORTRANGE(""1vUGwO1n0QQGx9kKbO0_M5gmuhXZ6-LaxQxgrmJnzgP0"",""'TP# look up'!A:C""),3,0),"""")"),"")</f>
        <v/>
      </c>
      <c r="AH5900" s="49" t="str">
        <f t="shared" si="92"/>
        <v/>
      </c>
    </row>
    <row r="5901" spans="8:34" ht="12.75">
      <c r="H5901" s="43"/>
      <c r="AG5901" s="49" t="str">
        <f ca="1">IFERROR(__xludf.DUMMYFUNCTION("IFNA(vlookup(H5901,IMPORTRANGE(""1vUGwO1n0QQGx9kKbO0_M5gmuhXZ6-LaxQxgrmJnzgP0"",""'TP# look up'!A:C""),3,0),"""")"),"")</f>
        <v/>
      </c>
      <c r="AH5901" s="49" t="str">
        <f t="shared" si="92"/>
        <v/>
      </c>
    </row>
    <row r="5902" spans="8:34" ht="12.75">
      <c r="H5902" s="43"/>
      <c r="AG5902" s="49" t="str">
        <f ca="1">IFERROR(__xludf.DUMMYFUNCTION("IFNA(vlookup(H5902,IMPORTRANGE(""1vUGwO1n0QQGx9kKbO0_M5gmuhXZ6-LaxQxgrmJnzgP0"",""'TP# look up'!A:C""),3,0),"""")"),"")</f>
        <v/>
      </c>
      <c r="AH5902" s="49" t="str">
        <f t="shared" si="92"/>
        <v/>
      </c>
    </row>
    <row r="5903" spans="8:34" ht="12.75">
      <c r="H5903" s="43"/>
      <c r="AG5903" s="49" t="str">
        <f ca="1">IFERROR(__xludf.DUMMYFUNCTION("IFNA(vlookup(H5903,IMPORTRANGE(""1vUGwO1n0QQGx9kKbO0_M5gmuhXZ6-LaxQxgrmJnzgP0"",""'TP# look up'!A:C""),3,0),"""")"),"")</f>
        <v/>
      </c>
      <c r="AH5903" s="49" t="str">
        <f t="shared" si="92"/>
        <v/>
      </c>
    </row>
    <row r="5904" spans="8:34" ht="12.75">
      <c r="H5904" s="43"/>
      <c r="AG5904" s="49" t="str">
        <f ca="1">IFERROR(__xludf.DUMMYFUNCTION("IFNA(vlookup(H5904,IMPORTRANGE(""1vUGwO1n0QQGx9kKbO0_M5gmuhXZ6-LaxQxgrmJnzgP0"",""'TP# look up'!A:C""),3,0),"""")"),"")</f>
        <v/>
      </c>
      <c r="AH5904" s="49" t="str">
        <f t="shared" si="92"/>
        <v/>
      </c>
    </row>
    <row r="5905" spans="8:34" ht="12.75">
      <c r="H5905" s="43"/>
      <c r="AG5905" s="49" t="str">
        <f ca="1">IFERROR(__xludf.DUMMYFUNCTION("IFNA(vlookup(H5905,IMPORTRANGE(""1vUGwO1n0QQGx9kKbO0_M5gmuhXZ6-LaxQxgrmJnzgP0"",""'TP# look up'!A:C""),3,0),"""")"),"")</f>
        <v/>
      </c>
      <c r="AH5905" s="49" t="str">
        <f t="shared" si="92"/>
        <v/>
      </c>
    </row>
    <row r="5906" spans="8:34" ht="12.75">
      <c r="H5906" s="43"/>
      <c r="AG5906" s="49" t="str">
        <f ca="1">IFERROR(__xludf.DUMMYFUNCTION("IFNA(vlookup(H5906,IMPORTRANGE(""1vUGwO1n0QQGx9kKbO0_M5gmuhXZ6-LaxQxgrmJnzgP0"",""'TP# look up'!A:C""),3,0),"""")"),"")</f>
        <v/>
      </c>
      <c r="AH5906" s="49" t="str">
        <f t="shared" si="92"/>
        <v/>
      </c>
    </row>
    <row r="5907" spans="8:34" ht="12.75">
      <c r="H5907" s="43"/>
      <c r="AG5907" s="49" t="str">
        <f ca="1">IFERROR(__xludf.DUMMYFUNCTION("IFNA(vlookup(H5907,IMPORTRANGE(""1vUGwO1n0QQGx9kKbO0_M5gmuhXZ6-LaxQxgrmJnzgP0"",""'TP# look up'!A:C""),3,0),"""")"),"")</f>
        <v/>
      </c>
      <c r="AH5907" s="49" t="str">
        <f t="shared" si="92"/>
        <v/>
      </c>
    </row>
    <row r="5908" spans="8:34" ht="12.75">
      <c r="H5908" s="43"/>
      <c r="AG5908" s="49" t="str">
        <f ca="1">IFERROR(__xludf.DUMMYFUNCTION("IFNA(vlookup(H5908,IMPORTRANGE(""1vUGwO1n0QQGx9kKbO0_M5gmuhXZ6-LaxQxgrmJnzgP0"",""'TP# look up'!A:C""),3,0),"""")"),"")</f>
        <v/>
      </c>
      <c r="AH5908" s="49" t="str">
        <f t="shared" si="92"/>
        <v/>
      </c>
    </row>
    <row r="5909" spans="8:34" ht="12.75">
      <c r="H5909" s="43"/>
      <c r="AG5909" s="49" t="str">
        <f ca="1">IFERROR(__xludf.DUMMYFUNCTION("IFNA(vlookup(H5909,IMPORTRANGE(""1vUGwO1n0QQGx9kKbO0_M5gmuhXZ6-LaxQxgrmJnzgP0"",""'TP# look up'!A:C""),3,0),"""")"),"")</f>
        <v/>
      </c>
      <c r="AH5909" s="49" t="str">
        <f t="shared" si="92"/>
        <v/>
      </c>
    </row>
    <row r="5910" spans="8:34" ht="12.75">
      <c r="H5910" s="43"/>
      <c r="AG5910" s="49" t="str">
        <f ca="1">IFERROR(__xludf.DUMMYFUNCTION("IFNA(vlookup(H5910,IMPORTRANGE(""1vUGwO1n0QQGx9kKbO0_M5gmuhXZ6-LaxQxgrmJnzgP0"",""'TP# look up'!A:C""),3,0),"""")"),"")</f>
        <v/>
      </c>
      <c r="AH5910" s="49" t="str">
        <f t="shared" si="92"/>
        <v/>
      </c>
    </row>
    <row r="5911" spans="8:34" ht="12.75">
      <c r="H5911" s="43"/>
      <c r="AG5911" s="49" t="str">
        <f ca="1">IFERROR(__xludf.DUMMYFUNCTION("IFNA(vlookup(H5911,IMPORTRANGE(""1vUGwO1n0QQGx9kKbO0_M5gmuhXZ6-LaxQxgrmJnzgP0"",""'TP# look up'!A:C""),3,0),"""")"),"")</f>
        <v/>
      </c>
      <c r="AH5911" s="49" t="str">
        <f t="shared" si="92"/>
        <v/>
      </c>
    </row>
    <row r="5912" spans="8:34" ht="12.75">
      <c r="H5912" s="43"/>
      <c r="AG5912" s="49" t="str">
        <f ca="1">IFERROR(__xludf.DUMMYFUNCTION("IFNA(vlookup(H5912,IMPORTRANGE(""1vUGwO1n0QQGx9kKbO0_M5gmuhXZ6-LaxQxgrmJnzgP0"",""'TP# look up'!A:C""),3,0),"""")"),"")</f>
        <v/>
      </c>
      <c r="AH5912" s="49" t="str">
        <f t="shared" si="92"/>
        <v/>
      </c>
    </row>
    <row r="5913" spans="8:34" ht="12.75">
      <c r="H5913" s="43"/>
      <c r="AG5913" s="49" t="str">
        <f ca="1">IFERROR(__xludf.DUMMYFUNCTION("IFNA(vlookup(H5913,IMPORTRANGE(""1vUGwO1n0QQGx9kKbO0_M5gmuhXZ6-LaxQxgrmJnzgP0"",""'TP# look up'!A:C""),3,0),"""")"),"")</f>
        <v/>
      </c>
      <c r="AH5913" s="49" t="str">
        <f t="shared" si="92"/>
        <v/>
      </c>
    </row>
    <row r="5914" spans="8:34" ht="12.75">
      <c r="H5914" s="43"/>
      <c r="AG5914" s="49" t="str">
        <f ca="1">IFERROR(__xludf.DUMMYFUNCTION("IFNA(vlookup(H5914,IMPORTRANGE(""1vUGwO1n0QQGx9kKbO0_M5gmuhXZ6-LaxQxgrmJnzgP0"",""'TP# look up'!A:C""),3,0),"""")"),"")</f>
        <v/>
      </c>
      <c r="AH5914" s="49" t="str">
        <f t="shared" si="92"/>
        <v/>
      </c>
    </row>
    <row r="5915" spans="8:34" ht="12.75">
      <c r="H5915" s="43"/>
      <c r="AG5915" s="49" t="str">
        <f ca="1">IFERROR(__xludf.DUMMYFUNCTION("IFNA(vlookup(H5915,IMPORTRANGE(""1vUGwO1n0QQGx9kKbO0_M5gmuhXZ6-LaxQxgrmJnzgP0"",""'TP# look up'!A:C""),3,0),"""")"),"")</f>
        <v/>
      </c>
      <c r="AH5915" s="49" t="str">
        <f t="shared" si="92"/>
        <v/>
      </c>
    </row>
    <row r="5916" spans="8:34" ht="12.75">
      <c r="H5916" s="43"/>
      <c r="AG5916" s="49" t="str">
        <f ca="1">IFERROR(__xludf.DUMMYFUNCTION("IFNA(vlookup(H5916,IMPORTRANGE(""1vUGwO1n0QQGx9kKbO0_M5gmuhXZ6-LaxQxgrmJnzgP0"",""'TP# look up'!A:C""),3,0),"""")"),"")</f>
        <v/>
      </c>
      <c r="AH5916" s="49" t="str">
        <f t="shared" si="92"/>
        <v/>
      </c>
    </row>
    <row r="5917" spans="8:34" ht="12.75">
      <c r="H5917" s="43"/>
      <c r="AG5917" s="49" t="str">
        <f ca="1">IFERROR(__xludf.DUMMYFUNCTION("IFNA(vlookup(H5917,IMPORTRANGE(""1vUGwO1n0QQGx9kKbO0_M5gmuhXZ6-LaxQxgrmJnzgP0"",""'TP# look up'!A:C""),3,0),"""")"),"")</f>
        <v/>
      </c>
      <c r="AH5917" s="49" t="str">
        <f t="shared" si="92"/>
        <v/>
      </c>
    </row>
    <row r="5918" spans="8:34" ht="12.75">
      <c r="H5918" s="43"/>
      <c r="AG5918" s="49" t="str">
        <f ca="1">IFERROR(__xludf.DUMMYFUNCTION("IFNA(vlookup(H5918,IMPORTRANGE(""1vUGwO1n0QQGx9kKbO0_M5gmuhXZ6-LaxQxgrmJnzgP0"",""'TP# look up'!A:C""),3,0),"""")"),"")</f>
        <v/>
      </c>
      <c r="AH5918" s="49" t="str">
        <f t="shared" si="92"/>
        <v/>
      </c>
    </row>
    <row r="5919" spans="8:34" ht="12.75">
      <c r="H5919" s="43"/>
      <c r="AG5919" s="49" t="str">
        <f ca="1">IFERROR(__xludf.DUMMYFUNCTION("IFNA(vlookup(H5919,IMPORTRANGE(""1vUGwO1n0QQGx9kKbO0_M5gmuhXZ6-LaxQxgrmJnzgP0"",""'TP# look up'!A:C""),3,0),"""")"),"")</f>
        <v/>
      </c>
      <c r="AH5919" s="49" t="str">
        <f t="shared" si="92"/>
        <v/>
      </c>
    </row>
    <row r="5920" spans="8:34" ht="12.75">
      <c r="H5920" s="43"/>
      <c r="AG5920" s="49" t="str">
        <f ca="1">IFERROR(__xludf.DUMMYFUNCTION("IFNA(vlookup(H5920,IMPORTRANGE(""1vUGwO1n0QQGx9kKbO0_M5gmuhXZ6-LaxQxgrmJnzgP0"",""'TP# look up'!A:C""),3,0),"""")"),"")</f>
        <v/>
      </c>
      <c r="AH5920" s="49" t="str">
        <f t="shared" si="92"/>
        <v/>
      </c>
    </row>
    <row r="5921" spans="8:34" ht="12.75">
      <c r="H5921" s="43"/>
      <c r="AG5921" s="49" t="str">
        <f ca="1">IFERROR(__xludf.DUMMYFUNCTION("IFNA(vlookup(H5921,IMPORTRANGE(""1vUGwO1n0QQGx9kKbO0_M5gmuhXZ6-LaxQxgrmJnzgP0"",""'TP# look up'!A:C""),3,0),"""")"),"")</f>
        <v/>
      </c>
      <c r="AH5921" s="49" t="str">
        <f t="shared" si="92"/>
        <v/>
      </c>
    </row>
    <row r="5922" spans="8:34" ht="12.75">
      <c r="H5922" s="43"/>
      <c r="AG5922" s="49" t="str">
        <f ca="1">IFERROR(__xludf.DUMMYFUNCTION("IFNA(vlookup(H5922,IMPORTRANGE(""1vUGwO1n0QQGx9kKbO0_M5gmuhXZ6-LaxQxgrmJnzgP0"",""'TP# look up'!A:C""),3,0),"""")"),"")</f>
        <v/>
      </c>
      <c r="AH5922" s="49" t="str">
        <f t="shared" si="92"/>
        <v/>
      </c>
    </row>
    <row r="5923" spans="8:34" ht="12.75">
      <c r="H5923" s="43"/>
      <c r="AG5923" s="49" t="str">
        <f ca="1">IFERROR(__xludf.DUMMYFUNCTION("IFNA(vlookup(H5923,IMPORTRANGE(""1vUGwO1n0QQGx9kKbO0_M5gmuhXZ6-LaxQxgrmJnzgP0"",""'TP# look up'!A:C""),3,0),"""")"),"")</f>
        <v/>
      </c>
      <c r="AH5923" s="49" t="str">
        <f t="shared" si="92"/>
        <v/>
      </c>
    </row>
    <row r="5924" spans="8:34" ht="12.75">
      <c r="H5924" s="43"/>
      <c r="AG5924" s="49" t="str">
        <f ca="1">IFERROR(__xludf.DUMMYFUNCTION("IFNA(vlookup(H5924,IMPORTRANGE(""1vUGwO1n0QQGx9kKbO0_M5gmuhXZ6-LaxQxgrmJnzgP0"",""'TP# look up'!A:C""),3,0),"""")"),"")</f>
        <v/>
      </c>
      <c r="AH5924" s="49" t="str">
        <f t="shared" si="92"/>
        <v/>
      </c>
    </row>
    <row r="5925" spans="8:34" ht="12.75">
      <c r="H5925" s="43"/>
      <c r="AG5925" s="49" t="str">
        <f ca="1">IFERROR(__xludf.DUMMYFUNCTION("IFNA(vlookup(H5925,IMPORTRANGE(""1vUGwO1n0QQGx9kKbO0_M5gmuhXZ6-LaxQxgrmJnzgP0"",""'TP# look up'!A:C""),3,0),"""")"),"")</f>
        <v/>
      </c>
      <c r="AH5925" s="49" t="str">
        <f t="shared" si="92"/>
        <v/>
      </c>
    </row>
    <row r="5926" spans="8:34" ht="12.75">
      <c r="H5926" s="43"/>
      <c r="AG5926" s="49" t="str">
        <f ca="1">IFERROR(__xludf.DUMMYFUNCTION("IFNA(vlookup(H5926,IMPORTRANGE(""1vUGwO1n0QQGx9kKbO0_M5gmuhXZ6-LaxQxgrmJnzgP0"",""'TP# look up'!A:C""),3,0),"""")"),"")</f>
        <v/>
      </c>
      <c r="AH5926" s="49" t="str">
        <f t="shared" si="92"/>
        <v/>
      </c>
    </row>
    <row r="5927" spans="8:34" ht="12.75">
      <c r="H5927" s="43"/>
      <c r="AG5927" s="49" t="str">
        <f ca="1">IFERROR(__xludf.DUMMYFUNCTION("IFNA(vlookup(H5927,IMPORTRANGE(""1vUGwO1n0QQGx9kKbO0_M5gmuhXZ6-LaxQxgrmJnzgP0"",""'TP# look up'!A:C""),3,0),"""")"),"")</f>
        <v/>
      </c>
      <c r="AH5927" s="49" t="str">
        <f t="shared" si="92"/>
        <v/>
      </c>
    </row>
    <row r="5928" spans="8:34" ht="12.75">
      <c r="H5928" s="43"/>
      <c r="AG5928" s="49" t="str">
        <f ca="1">IFERROR(__xludf.DUMMYFUNCTION("IFNA(vlookup(H5928,IMPORTRANGE(""1vUGwO1n0QQGx9kKbO0_M5gmuhXZ6-LaxQxgrmJnzgP0"",""'TP# look up'!A:C""),3,0),"""")"),"")</f>
        <v/>
      </c>
      <c r="AH5928" s="49" t="str">
        <f t="shared" si="92"/>
        <v/>
      </c>
    </row>
    <row r="5929" spans="8:34" ht="12.75">
      <c r="H5929" s="43"/>
      <c r="AG5929" s="49" t="str">
        <f ca="1">IFERROR(__xludf.DUMMYFUNCTION("IFNA(vlookup(H5929,IMPORTRANGE(""1vUGwO1n0QQGx9kKbO0_M5gmuhXZ6-LaxQxgrmJnzgP0"",""'TP# look up'!A:C""),3,0),"""")"),"")</f>
        <v/>
      </c>
      <c r="AH5929" s="49" t="str">
        <f t="shared" si="92"/>
        <v/>
      </c>
    </row>
    <row r="5930" spans="8:34" ht="12.75">
      <c r="H5930" s="43"/>
      <c r="AG5930" s="49" t="str">
        <f ca="1">IFERROR(__xludf.DUMMYFUNCTION("IFNA(vlookup(H5930,IMPORTRANGE(""1vUGwO1n0QQGx9kKbO0_M5gmuhXZ6-LaxQxgrmJnzgP0"",""'TP# look up'!A:C""),3,0),"""")"),"")</f>
        <v/>
      </c>
      <c r="AH5930" s="49" t="str">
        <f t="shared" si="92"/>
        <v/>
      </c>
    </row>
    <row r="5931" spans="8:34" ht="12.75">
      <c r="H5931" s="43"/>
      <c r="AG5931" s="49" t="str">
        <f ca="1">IFERROR(__xludf.DUMMYFUNCTION("IFNA(vlookup(H5931,IMPORTRANGE(""1vUGwO1n0QQGx9kKbO0_M5gmuhXZ6-LaxQxgrmJnzgP0"",""'TP# look up'!A:C""),3,0),"""")"),"")</f>
        <v/>
      </c>
      <c r="AH5931" s="49" t="str">
        <f t="shared" si="92"/>
        <v/>
      </c>
    </row>
    <row r="5932" spans="8:34" ht="12.75">
      <c r="H5932" s="43"/>
      <c r="AG5932" s="49" t="str">
        <f ca="1">IFERROR(__xludf.DUMMYFUNCTION("IFNA(vlookup(H5932,IMPORTRANGE(""1vUGwO1n0QQGx9kKbO0_M5gmuhXZ6-LaxQxgrmJnzgP0"",""'TP# look up'!A:C""),3,0),"""")"),"")</f>
        <v/>
      </c>
      <c r="AH5932" s="49" t="str">
        <f t="shared" si="92"/>
        <v/>
      </c>
    </row>
    <row r="5933" spans="8:34" ht="12.75">
      <c r="H5933" s="43"/>
      <c r="AG5933" s="49" t="str">
        <f ca="1">IFERROR(__xludf.DUMMYFUNCTION("IFNA(vlookup(H5933,IMPORTRANGE(""1vUGwO1n0QQGx9kKbO0_M5gmuhXZ6-LaxQxgrmJnzgP0"",""'TP# look up'!A:C""),3,0),"""")"),"")</f>
        <v/>
      </c>
      <c r="AH5933" s="49" t="str">
        <f t="shared" si="92"/>
        <v/>
      </c>
    </row>
    <row r="5934" spans="8:34" ht="12.75">
      <c r="H5934" s="43"/>
      <c r="AG5934" s="49" t="str">
        <f ca="1">IFERROR(__xludf.DUMMYFUNCTION("IFNA(vlookup(H5934,IMPORTRANGE(""1vUGwO1n0QQGx9kKbO0_M5gmuhXZ6-LaxQxgrmJnzgP0"",""'TP# look up'!A:C""),3,0),"""")"),"")</f>
        <v/>
      </c>
      <c r="AH5934" s="49" t="str">
        <f t="shared" si="92"/>
        <v/>
      </c>
    </row>
    <row r="5935" spans="8:34" ht="12.75">
      <c r="H5935" s="43"/>
      <c r="AG5935" s="49" t="str">
        <f ca="1">IFERROR(__xludf.DUMMYFUNCTION("IFNA(vlookup(H5935,IMPORTRANGE(""1vUGwO1n0QQGx9kKbO0_M5gmuhXZ6-LaxQxgrmJnzgP0"",""'TP# look up'!A:C""),3,0),"""")"),"")</f>
        <v/>
      </c>
      <c r="AH5935" s="49" t="str">
        <f t="shared" si="92"/>
        <v/>
      </c>
    </row>
    <row r="5936" spans="8:34" ht="12.75">
      <c r="H5936" s="43"/>
      <c r="AG5936" s="49" t="str">
        <f ca="1">IFERROR(__xludf.DUMMYFUNCTION("IFNA(vlookup(H5936,IMPORTRANGE(""1vUGwO1n0QQGx9kKbO0_M5gmuhXZ6-LaxQxgrmJnzgP0"",""'TP# look up'!A:C""),3,0),"""")"),"")</f>
        <v/>
      </c>
      <c r="AH5936" s="49" t="str">
        <f t="shared" si="92"/>
        <v/>
      </c>
    </row>
    <row r="5937" spans="8:34" ht="12.75">
      <c r="H5937" s="43"/>
      <c r="AG5937" s="49" t="str">
        <f ca="1">IFERROR(__xludf.DUMMYFUNCTION("IFNA(vlookup(H5937,IMPORTRANGE(""1vUGwO1n0QQGx9kKbO0_M5gmuhXZ6-LaxQxgrmJnzgP0"",""'TP# look up'!A:C""),3,0),"""")"),"")</f>
        <v/>
      </c>
      <c r="AH5937" s="49" t="str">
        <f t="shared" si="92"/>
        <v/>
      </c>
    </row>
    <row r="5938" spans="8:34" ht="12.75">
      <c r="H5938" s="43"/>
      <c r="AG5938" s="49" t="str">
        <f ca="1">IFERROR(__xludf.DUMMYFUNCTION("IFNA(vlookup(H5938,IMPORTRANGE(""1vUGwO1n0QQGx9kKbO0_M5gmuhXZ6-LaxQxgrmJnzgP0"",""'TP# look up'!A:C""),3,0),"""")"),"")</f>
        <v/>
      </c>
      <c r="AH5938" s="49" t="str">
        <f t="shared" si="92"/>
        <v/>
      </c>
    </row>
    <row r="5939" spans="8:34" ht="12.75">
      <c r="H5939" s="43"/>
      <c r="AG5939" s="49" t="str">
        <f ca="1">IFERROR(__xludf.DUMMYFUNCTION("IFNA(vlookup(H5939,IMPORTRANGE(""1vUGwO1n0QQGx9kKbO0_M5gmuhXZ6-LaxQxgrmJnzgP0"",""'TP# look up'!A:C""),3,0),"""")"),"")</f>
        <v/>
      </c>
      <c r="AH5939" s="49" t="str">
        <f t="shared" si="92"/>
        <v/>
      </c>
    </row>
    <row r="5940" spans="8:34" ht="12.75">
      <c r="H5940" s="43"/>
      <c r="AG5940" s="49" t="str">
        <f ca="1">IFERROR(__xludf.DUMMYFUNCTION("IFNA(vlookup(H5940,IMPORTRANGE(""1vUGwO1n0QQGx9kKbO0_M5gmuhXZ6-LaxQxgrmJnzgP0"",""'TP# look up'!A:C""),3,0),"""")"),"")</f>
        <v/>
      </c>
      <c r="AH5940" s="49" t="str">
        <f t="shared" si="92"/>
        <v/>
      </c>
    </row>
    <row r="5941" spans="8:34" ht="12.75">
      <c r="H5941" s="43"/>
      <c r="AG5941" s="49" t="str">
        <f ca="1">IFERROR(__xludf.DUMMYFUNCTION("IFNA(vlookup(H5941,IMPORTRANGE(""1vUGwO1n0QQGx9kKbO0_M5gmuhXZ6-LaxQxgrmJnzgP0"",""'TP# look up'!A:C""),3,0),"""")"),"")</f>
        <v/>
      </c>
      <c r="AH5941" s="49" t="str">
        <f t="shared" si="92"/>
        <v/>
      </c>
    </row>
    <row r="5942" spans="8:34" ht="12.75">
      <c r="H5942" s="43"/>
      <c r="AG5942" s="49" t="str">
        <f ca="1">IFERROR(__xludf.DUMMYFUNCTION("IFNA(vlookup(H5942,IMPORTRANGE(""1vUGwO1n0QQGx9kKbO0_M5gmuhXZ6-LaxQxgrmJnzgP0"",""'TP# look up'!A:C""),3,0),"""")"),"")</f>
        <v/>
      </c>
      <c r="AH5942" s="49" t="str">
        <f t="shared" si="92"/>
        <v/>
      </c>
    </row>
    <row r="5943" spans="8:34" ht="12.75">
      <c r="H5943" s="43"/>
      <c r="AG5943" s="49" t="str">
        <f ca="1">IFERROR(__xludf.DUMMYFUNCTION("IFNA(vlookup(H5943,IMPORTRANGE(""1vUGwO1n0QQGx9kKbO0_M5gmuhXZ6-LaxQxgrmJnzgP0"",""'TP# look up'!A:C""),3,0),"""")"),"")</f>
        <v/>
      </c>
      <c r="AH5943" s="49" t="str">
        <f t="shared" si="92"/>
        <v/>
      </c>
    </row>
    <row r="5944" spans="8:34" ht="12.75">
      <c r="H5944" s="43"/>
      <c r="AG5944" s="49" t="str">
        <f ca="1">IFERROR(__xludf.DUMMYFUNCTION("IFNA(vlookup(H5944,IMPORTRANGE(""1vUGwO1n0QQGx9kKbO0_M5gmuhXZ6-LaxQxgrmJnzgP0"",""'TP# look up'!A:C""),3,0),"""")"),"")</f>
        <v/>
      </c>
      <c r="AH5944" s="49" t="str">
        <f t="shared" si="92"/>
        <v/>
      </c>
    </row>
    <row r="5945" spans="8:34" ht="12.75">
      <c r="H5945" s="43"/>
      <c r="AG5945" s="49" t="str">
        <f ca="1">IFERROR(__xludf.DUMMYFUNCTION("IFNA(vlookup(H5945,IMPORTRANGE(""1vUGwO1n0QQGx9kKbO0_M5gmuhXZ6-LaxQxgrmJnzgP0"",""'TP# look up'!A:C""),3,0),"""")"),"")</f>
        <v/>
      </c>
      <c r="AH5945" s="49" t="str">
        <f t="shared" si="92"/>
        <v/>
      </c>
    </row>
    <row r="5946" spans="8:34" ht="12.75">
      <c r="H5946" s="43"/>
      <c r="AG5946" s="49" t="str">
        <f ca="1">IFERROR(__xludf.DUMMYFUNCTION("IFNA(vlookup(H5946,IMPORTRANGE(""1vUGwO1n0QQGx9kKbO0_M5gmuhXZ6-LaxQxgrmJnzgP0"",""'TP# look up'!A:C""),3,0),"""")"),"")</f>
        <v/>
      </c>
      <c r="AH5946" s="49" t="str">
        <f t="shared" si="92"/>
        <v/>
      </c>
    </row>
    <row r="5947" spans="8:34" ht="12.75">
      <c r="H5947" s="43"/>
      <c r="AG5947" s="49" t="str">
        <f ca="1">IFERROR(__xludf.DUMMYFUNCTION("IFNA(vlookup(H5947,IMPORTRANGE(""1vUGwO1n0QQGx9kKbO0_M5gmuhXZ6-LaxQxgrmJnzgP0"",""'TP# look up'!A:C""),3,0),"""")"),"")</f>
        <v/>
      </c>
      <c r="AH5947" s="49" t="str">
        <f t="shared" si="92"/>
        <v/>
      </c>
    </row>
    <row r="5948" spans="8:34" ht="12.75">
      <c r="H5948" s="43"/>
      <c r="AG5948" s="49" t="str">
        <f ca="1">IFERROR(__xludf.DUMMYFUNCTION("IFNA(vlookup(H5948,IMPORTRANGE(""1vUGwO1n0QQGx9kKbO0_M5gmuhXZ6-LaxQxgrmJnzgP0"",""'TP# look up'!A:C""),3,0),"""")"),"")</f>
        <v/>
      </c>
      <c r="AH5948" s="49" t="str">
        <f t="shared" si="92"/>
        <v/>
      </c>
    </row>
    <row r="5949" spans="8:34" ht="12.75">
      <c r="H5949" s="43"/>
      <c r="AG5949" s="49" t="str">
        <f ca="1">IFERROR(__xludf.DUMMYFUNCTION("IFNA(vlookup(H5949,IMPORTRANGE(""1vUGwO1n0QQGx9kKbO0_M5gmuhXZ6-LaxQxgrmJnzgP0"",""'TP# look up'!A:C""),3,0),"""")"),"")</f>
        <v/>
      </c>
      <c r="AH5949" s="49" t="str">
        <f t="shared" si="92"/>
        <v/>
      </c>
    </row>
    <row r="5950" spans="8:34" ht="12.75">
      <c r="H5950" s="43"/>
      <c r="AG5950" s="49" t="str">
        <f ca="1">IFERROR(__xludf.DUMMYFUNCTION("IFNA(vlookup(H5950,IMPORTRANGE(""1vUGwO1n0QQGx9kKbO0_M5gmuhXZ6-LaxQxgrmJnzgP0"",""'TP# look up'!A:C""),3,0),"""")"),"")</f>
        <v/>
      </c>
      <c r="AH5950" s="49" t="str">
        <f t="shared" si="92"/>
        <v/>
      </c>
    </row>
    <row r="5951" spans="8:34" ht="12.75">
      <c r="H5951" s="43"/>
      <c r="AG5951" s="49" t="str">
        <f ca="1">IFERROR(__xludf.DUMMYFUNCTION("IFNA(vlookup(H5951,IMPORTRANGE(""1vUGwO1n0QQGx9kKbO0_M5gmuhXZ6-LaxQxgrmJnzgP0"",""'TP# look up'!A:C""),3,0),"""")"),"")</f>
        <v/>
      </c>
      <c r="AH5951" s="49" t="str">
        <f t="shared" si="92"/>
        <v/>
      </c>
    </row>
    <row r="5952" spans="8:34" ht="12.75">
      <c r="H5952" s="43"/>
      <c r="AG5952" s="49" t="str">
        <f ca="1">IFERROR(__xludf.DUMMYFUNCTION("IFNA(vlookup(H5952,IMPORTRANGE(""1vUGwO1n0QQGx9kKbO0_M5gmuhXZ6-LaxQxgrmJnzgP0"",""'TP# look up'!A:C""),3,0),"""")"),"")</f>
        <v/>
      </c>
      <c r="AH5952" s="49" t="str">
        <f t="shared" si="92"/>
        <v/>
      </c>
    </row>
    <row r="5953" spans="8:34" ht="12.75">
      <c r="H5953" s="43"/>
      <c r="AG5953" s="49" t="str">
        <f ca="1">IFERROR(__xludf.DUMMYFUNCTION("IFNA(vlookup(H5953,IMPORTRANGE(""1vUGwO1n0QQGx9kKbO0_M5gmuhXZ6-LaxQxgrmJnzgP0"",""'TP# look up'!A:C""),3,0),"""")"),"")</f>
        <v/>
      </c>
      <c r="AH5953" s="49" t="str">
        <f t="shared" si="92"/>
        <v/>
      </c>
    </row>
    <row r="5954" spans="8:34" ht="12.75">
      <c r="H5954" s="43"/>
      <c r="AG5954" s="49" t="str">
        <f ca="1">IFERROR(__xludf.DUMMYFUNCTION("IFNA(vlookup(H5954,IMPORTRANGE(""1vUGwO1n0QQGx9kKbO0_M5gmuhXZ6-LaxQxgrmJnzgP0"",""'TP# look up'!A:C""),3,0),"""")"),"")</f>
        <v/>
      </c>
      <c r="AH5954" s="49" t="str">
        <f t="shared" ref="AH5954:AH6017" si="93">LEFT(J5954,2)</f>
        <v/>
      </c>
    </row>
    <row r="5955" spans="8:34" ht="12.75">
      <c r="H5955" s="43"/>
      <c r="AG5955" s="49" t="str">
        <f ca="1">IFERROR(__xludf.DUMMYFUNCTION("IFNA(vlookup(H5955,IMPORTRANGE(""1vUGwO1n0QQGx9kKbO0_M5gmuhXZ6-LaxQxgrmJnzgP0"",""'TP# look up'!A:C""),3,0),"""")"),"")</f>
        <v/>
      </c>
      <c r="AH5955" s="49" t="str">
        <f t="shared" si="93"/>
        <v/>
      </c>
    </row>
    <row r="5956" spans="8:34" ht="12.75">
      <c r="H5956" s="43"/>
      <c r="AG5956" s="49" t="str">
        <f ca="1">IFERROR(__xludf.DUMMYFUNCTION("IFNA(vlookup(H5956,IMPORTRANGE(""1vUGwO1n0QQGx9kKbO0_M5gmuhXZ6-LaxQxgrmJnzgP0"",""'TP# look up'!A:C""),3,0),"""")"),"")</f>
        <v/>
      </c>
      <c r="AH5956" s="49" t="str">
        <f t="shared" si="93"/>
        <v/>
      </c>
    </row>
    <row r="5957" spans="8:34" ht="12.75">
      <c r="H5957" s="43"/>
      <c r="AG5957" s="49" t="str">
        <f ca="1">IFERROR(__xludf.DUMMYFUNCTION("IFNA(vlookup(H5957,IMPORTRANGE(""1vUGwO1n0QQGx9kKbO0_M5gmuhXZ6-LaxQxgrmJnzgP0"",""'TP# look up'!A:C""),3,0),"""")"),"")</f>
        <v/>
      </c>
      <c r="AH5957" s="49" t="str">
        <f t="shared" si="93"/>
        <v/>
      </c>
    </row>
    <row r="5958" spans="8:34" ht="12.75">
      <c r="H5958" s="43"/>
      <c r="AG5958" s="49" t="str">
        <f ca="1">IFERROR(__xludf.DUMMYFUNCTION("IFNA(vlookup(H5958,IMPORTRANGE(""1vUGwO1n0QQGx9kKbO0_M5gmuhXZ6-LaxQxgrmJnzgP0"",""'TP# look up'!A:C""),3,0),"""")"),"")</f>
        <v/>
      </c>
      <c r="AH5958" s="49" t="str">
        <f t="shared" si="93"/>
        <v/>
      </c>
    </row>
    <row r="5959" spans="8:34" ht="12.75">
      <c r="H5959" s="43"/>
      <c r="AG5959" s="49" t="str">
        <f ca="1">IFERROR(__xludf.DUMMYFUNCTION("IFNA(vlookup(H5959,IMPORTRANGE(""1vUGwO1n0QQGx9kKbO0_M5gmuhXZ6-LaxQxgrmJnzgP0"",""'TP# look up'!A:C""),3,0),"""")"),"")</f>
        <v/>
      </c>
      <c r="AH5959" s="49" t="str">
        <f t="shared" si="93"/>
        <v/>
      </c>
    </row>
    <row r="5960" spans="8:34" ht="12.75">
      <c r="H5960" s="43"/>
      <c r="AG5960" s="49" t="str">
        <f ca="1">IFERROR(__xludf.DUMMYFUNCTION("IFNA(vlookup(H5960,IMPORTRANGE(""1vUGwO1n0QQGx9kKbO0_M5gmuhXZ6-LaxQxgrmJnzgP0"",""'TP# look up'!A:C""),3,0),"""")"),"")</f>
        <v/>
      </c>
      <c r="AH5960" s="49" t="str">
        <f t="shared" si="93"/>
        <v/>
      </c>
    </row>
    <row r="5961" spans="8:34" ht="12.75">
      <c r="H5961" s="43"/>
      <c r="AG5961" s="49" t="str">
        <f ca="1">IFERROR(__xludf.DUMMYFUNCTION("IFNA(vlookup(H5961,IMPORTRANGE(""1vUGwO1n0QQGx9kKbO0_M5gmuhXZ6-LaxQxgrmJnzgP0"",""'TP# look up'!A:C""),3,0),"""")"),"")</f>
        <v/>
      </c>
      <c r="AH5961" s="49" t="str">
        <f t="shared" si="93"/>
        <v/>
      </c>
    </row>
    <row r="5962" spans="8:34" ht="12.75">
      <c r="H5962" s="43"/>
      <c r="AG5962" s="49" t="str">
        <f ca="1">IFERROR(__xludf.DUMMYFUNCTION("IFNA(vlookup(H5962,IMPORTRANGE(""1vUGwO1n0QQGx9kKbO0_M5gmuhXZ6-LaxQxgrmJnzgP0"",""'TP# look up'!A:C""),3,0),"""")"),"")</f>
        <v/>
      </c>
      <c r="AH5962" s="49" t="str">
        <f t="shared" si="93"/>
        <v/>
      </c>
    </row>
    <row r="5963" spans="8:34" ht="12.75">
      <c r="H5963" s="43"/>
      <c r="AG5963" s="49" t="str">
        <f ca="1">IFERROR(__xludf.DUMMYFUNCTION("IFNA(vlookup(H5963,IMPORTRANGE(""1vUGwO1n0QQGx9kKbO0_M5gmuhXZ6-LaxQxgrmJnzgP0"",""'TP# look up'!A:C""),3,0),"""")"),"")</f>
        <v/>
      </c>
      <c r="AH5963" s="49" t="str">
        <f t="shared" si="93"/>
        <v/>
      </c>
    </row>
    <row r="5964" spans="8:34" ht="12.75">
      <c r="H5964" s="43"/>
      <c r="AG5964" s="49" t="str">
        <f ca="1">IFERROR(__xludf.DUMMYFUNCTION("IFNA(vlookup(H5964,IMPORTRANGE(""1vUGwO1n0QQGx9kKbO0_M5gmuhXZ6-LaxQxgrmJnzgP0"",""'TP# look up'!A:C""),3,0),"""")"),"")</f>
        <v/>
      </c>
      <c r="AH5964" s="49" t="str">
        <f t="shared" si="93"/>
        <v/>
      </c>
    </row>
    <row r="5965" spans="8:34" ht="12.75">
      <c r="H5965" s="43"/>
      <c r="AG5965" s="49" t="str">
        <f ca="1">IFERROR(__xludf.DUMMYFUNCTION("IFNA(vlookup(H5965,IMPORTRANGE(""1vUGwO1n0QQGx9kKbO0_M5gmuhXZ6-LaxQxgrmJnzgP0"",""'TP# look up'!A:C""),3,0),"""")"),"")</f>
        <v/>
      </c>
      <c r="AH5965" s="49" t="str">
        <f t="shared" si="93"/>
        <v/>
      </c>
    </row>
    <row r="5966" spans="8:34" ht="12.75">
      <c r="H5966" s="43"/>
      <c r="AG5966" s="49" t="str">
        <f ca="1">IFERROR(__xludf.DUMMYFUNCTION("IFNA(vlookup(H5966,IMPORTRANGE(""1vUGwO1n0QQGx9kKbO0_M5gmuhXZ6-LaxQxgrmJnzgP0"",""'TP# look up'!A:C""),3,0),"""")"),"")</f>
        <v/>
      </c>
      <c r="AH5966" s="49" t="str">
        <f t="shared" si="93"/>
        <v/>
      </c>
    </row>
    <row r="5967" spans="8:34" ht="12.75">
      <c r="H5967" s="43"/>
      <c r="AG5967" s="49" t="str">
        <f ca="1">IFERROR(__xludf.DUMMYFUNCTION("IFNA(vlookup(H5967,IMPORTRANGE(""1vUGwO1n0QQGx9kKbO0_M5gmuhXZ6-LaxQxgrmJnzgP0"",""'TP# look up'!A:C""),3,0),"""")"),"")</f>
        <v/>
      </c>
      <c r="AH5967" s="49" t="str">
        <f t="shared" si="93"/>
        <v/>
      </c>
    </row>
    <row r="5968" spans="8:34" ht="12.75">
      <c r="H5968" s="43"/>
      <c r="AG5968" s="49" t="str">
        <f ca="1">IFERROR(__xludf.DUMMYFUNCTION("IFNA(vlookup(H5968,IMPORTRANGE(""1vUGwO1n0QQGx9kKbO0_M5gmuhXZ6-LaxQxgrmJnzgP0"",""'TP# look up'!A:C""),3,0),"""")"),"")</f>
        <v/>
      </c>
      <c r="AH5968" s="49" t="str">
        <f t="shared" si="93"/>
        <v/>
      </c>
    </row>
    <row r="5969" spans="8:34" ht="12.75">
      <c r="H5969" s="43"/>
      <c r="AG5969" s="49" t="str">
        <f ca="1">IFERROR(__xludf.DUMMYFUNCTION("IFNA(vlookup(H5969,IMPORTRANGE(""1vUGwO1n0QQGx9kKbO0_M5gmuhXZ6-LaxQxgrmJnzgP0"",""'TP# look up'!A:C""),3,0),"""")"),"")</f>
        <v/>
      </c>
      <c r="AH5969" s="49" t="str">
        <f t="shared" si="93"/>
        <v/>
      </c>
    </row>
    <row r="5970" spans="8:34" ht="12.75">
      <c r="H5970" s="43"/>
      <c r="AG5970" s="49" t="str">
        <f ca="1">IFERROR(__xludf.DUMMYFUNCTION("IFNA(vlookup(H5970,IMPORTRANGE(""1vUGwO1n0QQGx9kKbO0_M5gmuhXZ6-LaxQxgrmJnzgP0"",""'TP# look up'!A:C""),3,0),"""")"),"")</f>
        <v/>
      </c>
      <c r="AH5970" s="49" t="str">
        <f t="shared" si="93"/>
        <v/>
      </c>
    </row>
    <row r="5971" spans="8:34" ht="12.75">
      <c r="H5971" s="43"/>
      <c r="AG5971" s="49" t="str">
        <f ca="1">IFERROR(__xludf.DUMMYFUNCTION("IFNA(vlookup(H5971,IMPORTRANGE(""1vUGwO1n0QQGx9kKbO0_M5gmuhXZ6-LaxQxgrmJnzgP0"",""'TP# look up'!A:C""),3,0),"""")"),"")</f>
        <v/>
      </c>
      <c r="AH5971" s="49" t="str">
        <f t="shared" si="93"/>
        <v/>
      </c>
    </row>
    <row r="5972" spans="8:34" ht="12.75">
      <c r="H5972" s="43"/>
      <c r="AG5972" s="49" t="str">
        <f ca="1">IFERROR(__xludf.DUMMYFUNCTION("IFNA(vlookup(H5972,IMPORTRANGE(""1vUGwO1n0QQGx9kKbO0_M5gmuhXZ6-LaxQxgrmJnzgP0"",""'TP# look up'!A:C""),3,0),"""")"),"")</f>
        <v/>
      </c>
      <c r="AH5972" s="49" t="str">
        <f t="shared" si="93"/>
        <v/>
      </c>
    </row>
    <row r="5973" spans="8:34" ht="12.75">
      <c r="H5973" s="43"/>
      <c r="AG5973" s="49" t="str">
        <f ca="1">IFERROR(__xludf.DUMMYFUNCTION("IFNA(vlookup(H5973,IMPORTRANGE(""1vUGwO1n0QQGx9kKbO0_M5gmuhXZ6-LaxQxgrmJnzgP0"",""'TP# look up'!A:C""),3,0),"""")"),"")</f>
        <v/>
      </c>
      <c r="AH5973" s="49" t="str">
        <f t="shared" si="93"/>
        <v/>
      </c>
    </row>
    <row r="5974" spans="8:34" ht="12.75">
      <c r="H5974" s="43"/>
      <c r="AG5974" s="49" t="str">
        <f ca="1">IFERROR(__xludf.DUMMYFUNCTION("IFNA(vlookup(H5974,IMPORTRANGE(""1vUGwO1n0QQGx9kKbO0_M5gmuhXZ6-LaxQxgrmJnzgP0"",""'TP# look up'!A:C""),3,0),"""")"),"")</f>
        <v/>
      </c>
      <c r="AH5974" s="49" t="str">
        <f t="shared" si="93"/>
        <v/>
      </c>
    </row>
    <row r="5975" spans="8:34" ht="12.75">
      <c r="H5975" s="43"/>
      <c r="AG5975" s="49" t="str">
        <f ca="1">IFERROR(__xludf.DUMMYFUNCTION("IFNA(vlookup(H5975,IMPORTRANGE(""1vUGwO1n0QQGx9kKbO0_M5gmuhXZ6-LaxQxgrmJnzgP0"",""'TP# look up'!A:C""),3,0),"""")"),"")</f>
        <v/>
      </c>
      <c r="AH5975" s="49" t="str">
        <f t="shared" si="93"/>
        <v/>
      </c>
    </row>
    <row r="5976" spans="8:34" ht="12.75">
      <c r="H5976" s="43"/>
      <c r="AG5976" s="49" t="str">
        <f ca="1">IFERROR(__xludf.DUMMYFUNCTION("IFNA(vlookup(H5976,IMPORTRANGE(""1vUGwO1n0QQGx9kKbO0_M5gmuhXZ6-LaxQxgrmJnzgP0"",""'TP# look up'!A:C""),3,0),"""")"),"")</f>
        <v/>
      </c>
      <c r="AH5976" s="49" t="str">
        <f t="shared" si="93"/>
        <v/>
      </c>
    </row>
    <row r="5977" spans="8:34" ht="12.75">
      <c r="H5977" s="43"/>
      <c r="AG5977" s="49" t="str">
        <f ca="1">IFERROR(__xludf.DUMMYFUNCTION("IFNA(vlookup(H5977,IMPORTRANGE(""1vUGwO1n0QQGx9kKbO0_M5gmuhXZ6-LaxQxgrmJnzgP0"",""'TP# look up'!A:C""),3,0),"""")"),"")</f>
        <v/>
      </c>
      <c r="AH5977" s="49" t="str">
        <f t="shared" si="93"/>
        <v/>
      </c>
    </row>
    <row r="5978" spans="8:34" ht="12.75">
      <c r="H5978" s="43"/>
      <c r="AG5978" s="49" t="str">
        <f ca="1">IFERROR(__xludf.DUMMYFUNCTION("IFNA(vlookup(H5978,IMPORTRANGE(""1vUGwO1n0QQGx9kKbO0_M5gmuhXZ6-LaxQxgrmJnzgP0"",""'TP# look up'!A:C""),3,0),"""")"),"")</f>
        <v/>
      </c>
      <c r="AH5978" s="49" t="str">
        <f t="shared" si="93"/>
        <v/>
      </c>
    </row>
    <row r="5979" spans="8:34" ht="12.75">
      <c r="H5979" s="43"/>
      <c r="AG5979" s="49" t="str">
        <f ca="1">IFERROR(__xludf.DUMMYFUNCTION("IFNA(vlookup(H5979,IMPORTRANGE(""1vUGwO1n0QQGx9kKbO0_M5gmuhXZ6-LaxQxgrmJnzgP0"",""'TP# look up'!A:C""),3,0),"""")"),"")</f>
        <v/>
      </c>
      <c r="AH5979" s="49" t="str">
        <f t="shared" si="93"/>
        <v/>
      </c>
    </row>
    <row r="5980" spans="8:34" ht="12.75">
      <c r="H5980" s="43"/>
      <c r="AG5980" s="49" t="str">
        <f ca="1">IFERROR(__xludf.DUMMYFUNCTION("IFNA(vlookup(H5980,IMPORTRANGE(""1vUGwO1n0QQGx9kKbO0_M5gmuhXZ6-LaxQxgrmJnzgP0"",""'TP# look up'!A:C""),3,0),"""")"),"")</f>
        <v/>
      </c>
      <c r="AH5980" s="49" t="str">
        <f t="shared" si="93"/>
        <v/>
      </c>
    </row>
    <row r="5981" spans="8:34" ht="12.75">
      <c r="H5981" s="43"/>
      <c r="AG5981" s="49" t="str">
        <f ca="1">IFERROR(__xludf.DUMMYFUNCTION("IFNA(vlookup(H5981,IMPORTRANGE(""1vUGwO1n0QQGx9kKbO0_M5gmuhXZ6-LaxQxgrmJnzgP0"",""'TP# look up'!A:C""),3,0),"""")"),"")</f>
        <v/>
      </c>
      <c r="AH5981" s="49" t="str">
        <f t="shared" si="93"/>
        <v/>
      </c>
    </row>
    <row r="5982" spans="8:34" ht="12.75">
      <c r="H5982" s="43"/>
      <c r="AG5982" s="49" t="str">
        <f ca="1">IFERROR(__xludf.DUMMYFUNCTION("IFNA(vlookup(H5982,IMPORTRANGE(""1vUGwO1n0QQGx9kKbO0_M5gmuhXZ6-LaxQxgrmJnzgP0"",""'TP# look up'!A:C""),3,0),"""")"),"")</f>
        <v/>
      </c>
      <c r="AH5982" s="49" t="str">
        <f t="shared" si="93"/>
        <v/>
      </c>
    </row>
    <row r="5983" spans="8:34" ht="12.75">
      <c r="H5983" s="43"/>
      <c r="AG5983" s="49" t="str">
        <f ca="1">IFERROR(__xludf.DUMMYFUNCTION("IFNA(vlookup(H5983,IMPORTRANGE(""1vUGwO1n0QQGx9kKbO0_M5gmuhXZ6-LaxQxgrmJnzgP0"",""'TP# look up'!A:C""),3,0),"""")"),"")</f>
        <v/>
      </c>
      <c r="AH5983" s="49" t="str">
        <f t="shared" si="93"/>
        <v/>
      </c>
    </row>
    <row r="5984" spans="8:34" ht="12.75">
      <c r="H5984" s="43"/>
      <c r="AG5984" s="49" t="str">
        <f ca="1">IFERROR(__xludf.DUMMYFUNCTION("IFNA(vlookup(H5984,IMPORTRANGE(""1vUGwO1n0QQGx9kKbO0_M5gmuhXZ6-LaxQxgrmJnzgP0"",""'TP# look up'!A:C""),3,0),"""")"),"")</f>
        <v/>
      </c>
      <c r="AH5984" s="49" t="str">
        <f t="shared" si="93"/>
        <v/>
      </c>
    </row>
    <row r="5985" spans="8:34" ht="12.75">
      <c r="H5985" s="43"/>
      <c r="AG5985" s="49" t="str">
        <f ca="1">IFERROR(__xludf.DUMMYFUNCTION("IFNA(vlookup(H5985,IMPORTRANGE(""1vUGwO1n0QQGx9kKbO0_M5gmuhXZ6-LaxQxgrmJnzgP0"",""'TP# look up'!A:C""),3,0),"""")"),"")</f>
        <v/>
      </c>
      <c r="AH5985" s="49" t="str">
        <f t="shared" si="93"/>
        <v/>
      </c>
    </row>
    <row r="5986" spans="8:34" ht="12.75">
      <c r="H5986" s="43"/>
      <c r="AG5986" s="49" t="str">
        <f ca="1">IFERROR(__xludf.DUMMYFUNCTION("IFNA(vlookup(H5986,IMPORTRANGE(""1vUGwO1n0QQGx9kKbO0_M5gmuhXZ6-LaxQxgrmJnzgP0"",""'TP# look up'!A:C""),3,0),"""")"),"")</f>
        <v/>
      </c>
      <c r="AH5986" s="49" t="str">
        <f t="shared" si="93"/>
        <v/>
      </c>
    </row>
    <row r="5987" spans="8:34" ht="12.75">
      <c r="H5987" s="43"/>
      <c r="AG5987" s="49" t="str">
        <f ca="1">IFERROR(__xludf.DUMMYFUNCTION("IFNA(vlookup(H5987,IMPORTRANGE(""1vUGwO1n0QQGx9kKbO0_M5gmuhXZ6-LaxQxgrmJnzgP0"",""'TP# look up'!A:C""),3,0),"""")"),"")</f>
        <v/>
      </c>
      <c r="AH5987" s="49" t="str">
        <f t="shared" si="93"/>
        <v/>
      </c>
    </row>
    <row r="5988" spans="8:34" ht="12.75">
      <c r="H5988" s="43"/>
      <c r="AG5988" s="49" t="str">
        <f ca="1">IFERROR(__xludf.DUMMYFUNCTION("IFNA(vlookup(H5988,IMPORTRANGE(""1vUGwO1n0QQGx9kKbO0_M5gmuhXZ6-LaxQxgrmJnzgP0"",""'TP# look up'!A:C""),3,0),"""")"),"")</f>
        <v/>
      </c>
      <c r="AH5988" s="49" t="str">
        <f t="shared" si="93"/>
        <v/>
      </c>
    </row>
    <row r="5989" spans="8:34" ht="12.75">
      <c r="H5989" s="43"/>
      <c r="AG5989" s="49" t="str">
        <f ca="1">IFERROR(__xludf.DUMMYFUNCTION("IFNA(vlookup(H5989,IMPORTRANGE(""1vUGwO1n0QQGx9kKbO0_M5gmuhXZ6-LaxQxgrmJnzgP0"",""'TP# look up'!A:C""),3,0),"""")"),"")</f>
        <v/>
      </c>
      <c r="AH5989" s="49" t="str">
        <f t="shared" si="93"/>
        <v/>
      </c>
    </row>
    <row r="5990" spans="8:34" ht="12.75">
      <c r="H5990" s="43"/>
      <c r="AG5990" s="49" t="str">
        <f ca="1">IFERROR(__xludf.DUMMYFUNCTION("IFNA(vlookup(H5990,IMPORTRANGE(""1vUGwO1n0QQGx9kKbO0_M5gmuhXZ6-LaxQxgrmJnzgP0"",""'TP# look up'!A:C""),3,0),"""")"),"")</f>
        <v/>
      </c>
      <c r="AH5990" s="49" t="str">
        <f t="shared" si="93"/>
        <v/>
      </c>
    </row>
    <row r="5991" spans="8:34" ht="12.75">
      <c r="H5991" s="43"/>
      <c r="AG5991" s="49" t="str">
        <f ca="1">IFERROR(__xludf.DUMMYFUNCTION("IFNA(vlookup(H5991,IMPORTRANGE(""1vUGwO1n0QQGx9kKbO0_M5gmuhXZ6-LaxQxgrmJnzgP0"",""'TP# look up'!A:C""),3,0),"""")"),"")</f>
        <v/>
      </c>
      <c r="AH5991" s="49" t="str">
        <f t="shared" si="93"/>
        <v/>
      </c>
    </row>
    <row r="5992" spans="8:34" ht="12.75">
      <c r="H5992" s="43"/>
      <c r="AG5992" s="49" t="str">
        <f ca="1">IFERROR(__xludf.DUMMYFUNCTION("IFNA(vlookup(H5992,IMPORTRANGE(""1vUGwO1n0QQGx9kKbO0_M5gmuhXZ6-LaxQxgrmJnzgP0"",""'TP# look up'!A:C""),3,0),"""")"),"")</f>
        <v/>
      </c>
      <c r="AH5992" s="49" t="str">
        <f t="shared" si="93"/>
        <v/>
      </c>
    </row>
    <row r="5993" spans="8:34" ht="12.75">
      <c r="H5993" s="43"/>
      <c r="AG5993" s="49" t="str">
        <f ca="1">IFERROR(__xludf.DUMMYFUNCTION("IFNA(vlookup(H5993,IMPORTRANGE(""1vUGwO1n0QQGx9kKbO0_M5gmuhXZ6-LaxQxgrmJnzgP0"",""'TP# look up'!A:C""),3,0),"""")"),"")</f>
        <v/>
      </c>
      <c r="AH5993" s="49" t="str">
        <f t="shared" si="93"/>
        <v/>
      </c>
    </row>
    <row r="5994" spans="8:34" ht="12.75">
      <c r="H5994" s="43"/>
      <c r="AG5994" s="49" t="str">
        <f ca="1">IFERROR(__xludf.DUMMYFUNCTION("IFNA(vlookup(H5994,IMPORTRANGE(""1vUGwO1n0QQGx9kKbO0_M5gmuhXZ6-LaxQxgrmJnzgP0"",""'TP# look up'!A:C""),3,0),"""")"),"")</f>
        <v/>
      </c>
      <c r="AH5994" s="49" t="str">
        <f t="shared" si="93"/>
        <v/>
      </c>
    </row>
    <row r="5995" spans="8:34" ht="12.75">
      <c r="H5995" s="43"/>
      <c r="AG5995" s="49" t="str">
        <f ca="1">IFERROR(__xludf.DUMMYFUNCTION("IFNA(vlookup(H5995,IMPORTRANGE(""1vUGwO1n0QQGx9kKbO0_M5gmuhXZ6-LaxQxgrmJnzgP0"",""'TP# look up'!A:C""),3,0),"""")"),"")</f>
        <v/>
      </c>
      <c r="AH5995" s="49" t="str">
        <f t="shared" si="93"/>
        <v/>
      </c>
    </row>
    <row r="5996" spans="8:34" ht="12.75">
      <c r="H5996" s="43"/>
      <c r="AG5996" s="49" t="str">
        <f ca="1">IFERROR(__xludf.DUMMYFUNCTION("IFNA(vlookup(H5996,IMPORTRANGE(""1vUGwO1n0QQGx9kKbO0_M5gmuhXZ6-LaxQxgrmJnzgP0"",""'TP# look up'!A:C""),3,0),"""")"),"")</f>
        <v/>
      </c>
      <c r="AH5996" s="49" t="str">
        <f t="shared" si="93"/>
        <v/>
      </c>
    </row>
    <row r="5997" spans="8:34" ht="12.75">
      <c r="H5997" s="43"/>
      <c r="AG5997" s="49" t="str">
        <f ca="1">IFERROR(__xludf.DUMMYFUNCTION("IFNA(vlookup(H5997,IMPORTRANGE(""1vUGwO1n0QQGx9kKbO0_M5gmuhXZ6-LaxQxgrmJnzgP0"",""'TP# look up'!A:C""),3,0),"""")"),"")</f>
        <v/>
      </c>
      <c r="AH5997" s="49" t="str">
        <f t="shared" si="93"/>
        <v/>
      </c>
    </row>
    <row r="5998" spans="8:34" ht="12.75">
      <c r="H5998" s="43"/>
      <c r="AG5998" s="49" t="str">
        <f ca="1">IFERROR(__xludf.DUMMYFUNCTION("IFNA(vlookup(H5998,IMPORTRANGE(""1vUGwO1n0QQGx9kKbO0_M5gmuhXZ6-LaxQxgrmJnzgP0"",""'TP# look up'!A:C""),3,0),"""")"),"")</f>
        <v/>
      </c>
      <c r="AH5998" s="49" t="str">
        <f t="shared" si="93"/>
        <v/>
      </c>
    </row>
    <row r="5999" spans="8:34" ht="12.75">
      <c r="H5999" s="43"/>
      <c r="AG5999" s="49" t="str">
        <f ca="1">IFERROR(__xludf.DUMMYFUNCTION("IFNA(vlookup(H5999,IMPORTRANGE(""1vUGwO1n0QQGx9kKbO0_M5gmuhXZ6-LaxQxgrmJnzgP0"",""'TP# look up'!A:C""),3,0),"""")"),"")</f>
        <v/>
      </c>
      <c r="AH5999" s="49" t="str">
        <f t="shared" si="93"/>
        <v/>
      </c>
    </row>
    <row r="6000" spans="8:34" ht="12.75">
      <c r="H6000" s="43"/>
      <c r="AG6000" s="49" t="str">
        <f ca="1">IFERROR(__xludf.DUMMYFUNCTION("IFNA(vlookup(H6000,IMPORTRANGE(""1vUGwO1n0QQGx9kKbO0_M5gmuhXZ6-LaxQxgrmJnzgP0"",""'TP# look up'!A:C""),3,0),"""")"),"")</f>
        <v/>
      </c>
      <c r="AH6000" s="49" t="str">
        <f t="shared" si="93"/>
        <v/>
      </c>
    </row>
    <row r="6001" spans="8:34" ht="12.75">
      <c r="H6001" s="43"/>
      <c r="AG6001" s="49" t="str">
        <f ca="1">IFERROR(__xludf.DUMMYFUNCTION("IFNA(vlookup(H6001,IMPORTRANGE(""1vUGwO1n0QQGx9kKbO0_M5gmuhXZ6-LaxQxgrmJnzgP0"",""'TP# look up'!A:C""),3,0),"""")"),"")</f>
        <v/>
      </c>
      <c r="AH6001" s="49" t="str">
        <f t="shared" si="93"/>
        <v/>
      </c>
    </row>
    <row r="6002" spans="8:34" ht="12.75">
      <c r="H6002" s="43"/>
      <c r="AG6002" s="49" t="str">
        <f ca="1">IFERROR(__xludf.DUMMYFUNCTION("IFNA(vlookup(H6002,IMPORTRANGE(""1vUGwO1n0QQGx9kKbO0_M5gmuhXZ6-LaxQxgrmJnzgP0"",""'TP# look up'!A:C""),3,0),"""")"),"")</f>
        <v/>
      </c>
      <c r="AH6002" s="49" t="str">
        <f t="shared" si="93"/>
        <v/>
      </c>
    </row>
    <row r="6003" spans="8:34" ht="12.75">
      <c r="H6003" s="43"/>
      <c r="AG6003" s="49" t="str">
        <f ca="1">IFERROR(__xludf.DUMMYFUNCTION("IFNA(vlookup(H6003,IMPORTRANGE(""1vUGwO1n0QQGx9kKbO0_M5gmuhXZ6-LaxQxgrmJnzgP0"",""'TP# look up'!A:C""),3,0),"""")"),"")</f>
        <v/>
      </c>
      <c r="AH6003" s="49" t="str">
        <f t="shared" si="93"/>
        <v/>
      </c>
    </row>
    <row r="6004" spans="8:34" ht="12.75">
      <c r="H6004" s="43"/>
      <c r="AG6004" s="49" t="str">
        <f ca="1">IFERROR(__xludf.DUMMYFUNCTION("IFNA(vlookup(H6004,IMPORTRANGE(""1vUGwO1n0QQGx9kKbO0_M5gmuhXZ6-LaxQxgrmJnzgP0"",""'TP# look up'!A:C""),3,0),"""")"),"")</f>
        <v/>
      </c>
      <c r="AH6004" s="49" t="str">
        <f t="shared" si="93"/>
        <v/>
      </c>
    </row>
    <row r="6005" spans="8:34" ht="12.75">
      <c r="H6005" s="43"/>
      <c r="AG6005" s="49" t="str">
        <f ca="1">IFERROR(__xludf.DUMMYFUNCTION("IFNA(vlookup(H6005,IMPORTRANGE(""1vUGwO1n0QQGx9kKbO0_M5gmuhXZ6-LaxQxgrmJnzgP0"",""'TP# look up'!A:C""),3,0),"""")"),"")</f>
        <v/>
      </c>
      <c r="AH6005" s="49" t="str">
        <f t="shared" si="93"/>
        <v/>
      </c>
    </row>
    <row r="6006" spans="8:34" ht="12.75">
      <c r="H6006" s="43"/>
      <c r="AG6006" s="49" t="str">
        <f ca="1">IFERROR(__xludf.DUMMYFUNCTION("IFNA(vlookup(H6006,IMPORTRANGE(""1vUGwO1n0QQGx9kKbO0_M5gmuhXZ6-LaxQxgrmJnzgP0"",""'TP# look up'!A:C""),3,0),"""")"),"")</f>
        <v/>
      </c>
      <c r="AH6006" s="49" t="str">
        <f t="shared" si="93"/>
        <v/>
      </c>
    </row>
    <row r="6007" spans="8:34" ht="12.75">
      <c r="H6007" s="43"/>
      <c r="AG6007" s="49" t="str">
        <f ca="1">IFERROR(__xludf.DUMMYFUNCTION("IFNA(vlookup(H6007,IMPORTRANGE(""1vUGwO1n0QQGx9kKbO0_M5gmuhXZ6-LaxQxgrmJnzgP0"",""'TP# look up'!A:C""),3,0),"""")"),"")</f>
        <v/>
      </c>
      <c r="AH6007" s="49" t="str">
        <f t="shared" si="93"/>
        <v/>
      </c>
    </row>
    <row r="6008" spans="8:34" ht="12.75">
      <c r="H6008" s="43"/>
      <c r="AG6008" s="49" t="str">
        <f ca="1">IFERROR(__xludf.DUMMYFUNCTION("IFNA(vlookup(H6008,IMPORTRANGE(""1vUGwO1n0QQGx9kKbO0_M5gmuhXZ6-LaxQxgrmJnzgP0"",""'TP# look up'!A:C""),3,0),"""")"),"")</f>
        <v/>
      </c>
      <c r="AH6008" s="49" t="str">
        <f t="shared" si="93"/>
        <v/>
      </c>
    </row>
    <row r="6009" spans="8:34" ht="12.75">
      <c r="H6009" s="43"/>
      <c r="AG6009" s="49" t="str">
        <f ca="1">IFERROR(__xludf.DUMMYFUNCTION("IFNA(vlookup(H6009,IMPORTRANGE(""1vUGwO1n0QQGx9kKbO0_M5gmuhXZ6-LaxQxgrmJnzgP0"",""'TP# look up'!A:C""),3,0),"""")"),"")</f>
        <v/>
      </c>
      <c r="AH6009" s="49" t="str">
        <f t="shared" si="93"/>
        <v/>
      </c>
    </row>
    <row r="6010" spans="8:34" ht="12.75">
      <c r="H6010" s="43"/>
      <c r="AG6010" s="49" t="str">
        <f ca="1">IFERROR(__xludf.DUMMYFUNCTION("IFNA(vlookup(H6010,IMPORTRANGE(""1vUGwO1n0QQGx9kKbO0_M5gmuhXZ6-LaxQxgrmJnzgP0"",""'TP# look up'!A:C""),3,0),"""")"),"")</f>
        <v/>
      </c>
      <c r="AH6010" s="49" t="str">
        <f t="shared" si="93"/>
        <v/>
      </c>
    </row>
    <row r="6011" spans="8:34" ht="12.75">
      <c r="H6011" s="43"/>
      <c r="AG6011" s="49" t="str">
        <f ca="1">IFERROR(__xludf.DUMMYFUNCTION("IFNA(vlookup(H6011,IMPORTRANGE(""1vUGwO1n0QQGx9kKbO0_M5gmuhXZ6-LaxQxgrmJnzgP0"",""'TP# look up'!A:C""),3,0),"""")"),"")</f>
        <v/>
      </c>
      <c r="AH6011" s="49" t="str">
        <f t="shared" si="93"/>
        <v/>
      </c>
    </row>
    <row r="6012" spans="8:34" ht="12.75">
      <c r="H6012" s="43"/>
      <c r="AG6012" s="49" t="str">
        <f ca="1">IFERROR(__xludf.DUMMYFUNCTION("IFNA(vlookup(H6012,IMPORTRANGE(""1vUGwO1n0QQGx9kKbO0_M5gmuhXZ6-LaxQxgrmJnzgP0"",""'TP# look up'!A:C""),3,0),"""")"),"")</f>
        <v/>
      </c>
      <c r="AH6012" s="49" t="str">
        <f t="shared" si="93"/>
        <v/>
      </c>
    </row>
    <row r="6013" spans="8:34" ht="12.75">
      <c r="H6013" s="43"/>
      <c r="AG6013" s="49" t="str">
        <f ca="1">IFERROR(__xludf.DUMMYFUNCTION("IFNA(vlookup(H6013,IMPORTRANGE(""1vUGwO1n0QQGx9kKbO0_M5gmuhXZ6-LaxQxgrmJnzgP0"",""'TP# look up'!A:C""),3,0),"""")"),"")</f>
        <v/>
      </c>
      <c r="AH6013" s="49" t="str">
        <f t="shared" si="93"/>
        <v/>
      </c>
    </row>
    <row r="6014" spans="8:34" ht="12.75">
      <c r="H6014" s="43"/>
      <c r="AG6014" s="49" t="str">
        <f ca="1">IFERROR(__xludf.DUMMYFUNCTION("IFNA(vlookup(H6014,IMPORTRANGE(""1vUGwO1n0QQGx9kKbO0_M5gmuhXZ6-LaxQxgrmJnzgP0"",""'TP# look up'!A:C""),3,0),"""")"),"")</f>
        <v/>
      </c>
      <c r="AH6014" s="49" t="str">
        <f t="shared" si="93"/>
        <v/>
      </c>
    </row>
    <row r="6015" spans="8:34" ht="12.75">
      <c r="H6015" s="43"/>
      <c r="AG6015" s="49" t="str">
        <f ca="1">IFERROR(__xludf.DUMMYFUNCTION("IFNA(vlookup(H6015,IMPORTRANGE(""1vUGwO1n0QQGx9kKbO0_M5gmuhXZ6-LaxQxgrmJnzgP0"",""'TP# look up'!A:C""),3,0),"""")"),"")</f>
        <v/>
      </c>
      <c r="AH6015" s="49" t="str">
        <f t="shared" si="93"/>
        <v/>
      </c>
    </row>
    <row r="6016" spans="8:34" ht="12.75">
      <c r="H6016" s="43"/>
      <c r="AG6016" s="49" t="str">
        <f ca="1">IFERROR(__xludf.DUMMYFUNCTION("IFNA(vlookup(H6016,IMPORTRANGE(""1vUGwO1n0QQGx9kKbO0_M5gmuhXZ6-LaxQxgrmJnzgP0"",""'TP# look up'!A:C""),3,0),"""")"),"")</f>
        <v/>
      </c>
      <c r="AH6016" s="49" t="str">
        <f t="shared" si="93"/>
        <v/>
      </c>
    </row>
    <row r="6017" spans="8:34" ht="12.75">
      <c r="H6017" s="43"/>
      <c r="AG6017" s="49" t="str">
        <f ca="1">IFERROR(__xludf.DUMMYFUNCTION("IFNA(vlookup(H6017,IMPORTRANGE(""1vUGwO1n0QQGx9kKbO0_M5gmuhXZ6-LaxQxgrmJnzgP0"",""'TP# look up'!A:C""),3,0),"""")"),"")</f>
        <v/>
      </c>
      <c r="AH6017" s="49" t="str">
        <f t="shared" si="93"/>
        <v/>
      </c>
    </row>
    <row r="6018" spans="8:34" ht="12.75">
      <c r="H6018" s="43"/>
      <c r="AG6018" s="49" t="str">
        <f ca="1">IFERROR(__xludf.DUMMYFUNCTION("IFNA(vlookup(H6018,IMPORTRANGE(""1vUGwO1n0QQGx9kKbO0_M5gmuhXZ6-LaxQxgrmJnzgP0"",""'TP# look up'!A:C""),3,0),"""")"),"")</f>
        <v/>
      </c>
      <c r="AH6018" s="49" t="str">
        <f t="shared" ref="AH6018:AH6081" si="94">LEFT(J6018,2)</f>
        <v/>
      </c>
    </row>
    <row r="6019" spans="8:34" ht="12.75">
      <c r="H6019" s="43"/>
      <c r="AG6019" s="49" t="str">
        <f ca="1">IFERROR(__xludf.DUMMYFUNCTION("IFNA(vlookup(H6019,IMPORTRANGE(""1vUGwO1n0QQGx9kKbO0_M5gmuhXZ6-LaxQxgrmJnzgP0"",""'TP# look up'!A:C""),3,0),"""")"),"")</f>
        <v/>
      </c>
      <c r="AH6019" s="49" t="str">
        <f t="shared" si="94"/>
        <v/>
      </c>
    </row>
    <row r="6020" spans="8:34" ht="12.75">
      <c r="H6020" s="43"/>
      <c r="AG6020" s="49" t="str">
        <f ca="1">IFERROR(__xludf.DUMMYFUNCTION("IFNA(vlookup(H6020,IMPORTRANGE(""1vUGwO1n0QQGx9kKbO0_M5gmuhXZ6-LaxQxgrmJnzgP0"",""'TP# look up'!A:C""),3,0),"""")"),"")</f>
        <v/>
      </c>
      <c r="AH6020" s="49" t="str">
        <f t="shared" si="94"/>
        <v/>
      </c>
    </row>
    <row r="6021" spans="8:34" ht="12.75">
      <c r="H6021" s="43"/>
      <c r="AG6021" s="49" t="str">
        <f ca="1">IFERROR(__xludf.DUMMYFUNCTION("IFNA(vlookup(H6021,IMPORTRANGE(""1vUGwO1n0QQGx9kKbO0_M5gmuhXZ6-LaxQxgrmJnzgP0"",""'TP# look up'!A:C""),3,0),"""")"),"")</f>
        <v/>
      </c>
      <c r="AH6021" s="49" t="str">
        <f t="shared" si="94"/>
        <v/>
      </c>
    </row>
    <row r="6022" spans="8:34" ht="12.75">
      <c r="H6022" s="43"/>
      <c r="AG6022" s="49" t="str">
        <f ca="1">IFERROR(__xludf.DUMMYFUNCTION("IFNA(vlookup(H6022,IMPORTRANGE(""1vUGwO1n0QQGx9kKbO0_M5gmuhXZ6-LaxQxgrmJnzgP0"",""'TP# look up'!A:C""),3,0),"""")"),"")</f>
        <v/>
      </c>
      <c r="AH6022" s="49" t="str">
        <f t="shared" si="94"/>
        <v/>
      </c>
    </row>
    <row r="6023" spans="8:34" ht="12.75">
      <c r="H6023" s="43"/>
      <c r="AG6023" s="49" t="str">
        <f ca="1">IFERROR(__xludf.DUMMYFUNCTION("IFNA(vlookup(H6023,IMPORTRANGE(""1vUGwO1n0QQGx9kKbO0_M5gmuhXZ6-LaxQxgrmJnzgP0"",""'TP# look up'!A:C""),3,0),"""")"),"")</f>
        <v/>
      </c>
      <c r="AH6023" s="49" t="str">
        <f t="shared" si="94"/>
        <v/>
      </c>
    </row>
    <row r="6024" spans="8:34" ht="12.75">
      <c r="H6024" s="43"/>
      <c r="AG6024" s="49" t="str">
        <f ca="1">IFERROR(__xludf.DUMMYFUNCTION("IFNA(vlookup(H6024,IMPORTRANGE(""1vUGwO1n0QQGx9kKbO0_M5gmuhXZ6-LaxQxgrmJnzgP0"",""'TP# look up'!A:C""),3,0),"""")"),"")</f>
        <v/>
      </c>
      <c r="AH6024" s="49" t="str">
        <f t="shared" si="94"/>
        <v/>
      </c>
    </row>
    <row r="6025" spans="8:34" ht="12.75">
      <c r="H6025" s="43"/>
      <c r="AG6025" s="49" t="str">
        <f ca="1">IFERROR(__xludf.DUMMYFUNCTION("IFNA(vlookup(H6025,IMPORTRANGE(""1vUGwO1n0QQGx9kKbO0_M5gmuhXZ6-LaxQxgrmJnzgP0"",""'TP# look up'!A:C""),3,0),"""")"),"")</f>
        <v/>
      </c>
      <c r="AH6025" s="49" t="str">
        <f t="shared" si="94"/>
        <v/>
      </c>
    </row>
    <row r="6026" spans="8:34" ht="12.75">
      <c r="H6026" s="43"/>
      <c r="AG6026" s="49" t="str">
        <f ca="1">IFERROR(__xludf.DUMMYFUNCTION("IFNA(vlookup(H6026,IMPORTRANGE(""1vUGwO1n0QQGx9kKbO0_M5gmuhXZ6-LaxQxgrmJnzgP0"",""'TP# look up'!A:C""),3,0),"""")"),"")</f>
        <v/>
      </c>
      <c r="AH6026" s="49" t="str">
        <f t="shared" si="94"/>
        <v/>
      </c>
    </row>
    <row r="6027" spans="8:34" ht="12.75">
      <c r="H6027" s="43"/>
      <c r="AG6027" s="49" t="str">
        <f ca="1">IFERROR(__xludf.DUMMYFUNCTION("IFNA(vlookup(H6027,IMPORTRANGE(""1vUGwO1n0QQGx9kKbO0_M5gmuhXZ6-LaxQxgrmJnzgP0"",""'TP# look up'!A:C""),3,0),"""")"),"")</f>
        <v/>
      </c>
      <c r="AH6027" s="49" t="str">
        <f t="shared" si="94"/>
        <v/>
      </c>
    </row>
    <row r="6028" spans="8:34" ht="12.75">
      <c r="H6028" s="43"/>
      <c r="AG6028" s="49" t="str">
        <f ca="1">IFERROR(__xludf.DUMMYFUNCTION("IFNA(vlookup(H6028,IMPORTRANGE(""1vUGwO1n0QQGx9kKbO0_M5gmuhXZ6-LaxQxgrmJnzgP0"",""'TP# look up'!A:C""),3,0),"""")"),"")</f>
        <v/>
      </c>
      <c r="AH6028" s="49" t="str">
        <f t="shared" si="94"/>
        <v/>
      </c>
    </row>
    <row r="6029" spans="8:34" ht="12.75">
      <c r="H6029" s="43"/>
      <c r="AG6029" s="49" t="str">
        <f ca="1">IFERROR(__xludf.DUMMYFUNCTION("IFNA(vlookup(H6029,IMPORTRANGE(""1vUGwO1n0QQGx9kKbO0_M5gmuhXZ6-LaxQxgrmJnzgP0"",""'TP# look up'!A:C""),3,0),"""")"),"")</f>
        <v/>
      </c>
      <c r="AH6029" s="49" t="str">
        <f t="shared" si="94"/>
        <v/>
      </c>
    </row>
    <row r="6030" spans="8:34" ht="12.75">
      <c r="H6030" s="43"/>
      <c r="AG6030" s="49" t="str">
        <f ca="1">IFERROR(__xludf.DUMMYFUNCTION("IFNA(vlookup(H6030,IMPORTRANGE(""1vUGwO1n0QQGx9kKbO0_M5gmuhXZ6-LaxQxgrmJnzgP0"",""'TP# look up'!A:C""),3,0),"""")"),"")</f>
        <v/>
      </c>
      <c r="AH6030" s="49" t="str">
        <f t="shared" si="94"/>
        <v/>
      </c>
    </row>
    <row r="6031" spans="8:34" ht="12.75">
      <c r="H6031" s="43"/>
      <c r="AG6031" s="49" t="str">
        <f ca="1">IFERROR(__xludf.DUMMYFUNCTION("IFNA(vlookup(H6031,IMPORTRANGE(""1vUGwO1n0QQGx9kKbO0_M5gmuhXZ6-LaxQxgrmJnzgP0"",""'TP# look up'!A:C""),3,0),"""")"),"")</f>
        <v/>
      </c>
      <c r="AH6031" s="49" t="str">
        <f t="shared" si="94"/>
        <v/>
      </c>
    </row>
    <row r="6032" spans="8:34" ht="12.75">
      <c r="H6032" s="43"/>
      <c r="AG6032" s="49" t="str">
        <f ca="1">IFERROR(__xludf.DUMMYFUNCTION("IFNA(vlookup(H6032,IMPORTRANGE(""1vUGwO1n0QQGx9kKbO0_M5gmuhXZ6-LaxQxgrmJnzgP0"",""'TP# look up'!A:C""),3,0),"""")"),"")</f>
        <v/>
      </c>
      <c r="AH6032" s="49" t="str">
        <f t="shared" si="94"/>
        <v/>
      </c>
    </row>
    <row r="6033" spans="8:34" ht="12.75">
      <c r="H6033" s="43"/>
      <c r="AG6033" s="49" t="str">
        <f ca="1">IFERROR(__xludf.DUMMYFUNCTION("IFNA(vlookup(H6033,IMPORTRANGE(""1vUGwO1n0QQGx9kKbO0_M5gmuhXZ6-LaxQxgrmJnzgP0"",""'TP# look up'!A:C""),3,0),"""")"),"")</f>
        <v/>
      </c>
      <c r="AH6033" s="49" t="str">
        <f t="shared" si="94"/>
        <v/>
      </c>
    </row>
    <row r="6034" spans="8:34" ht="12.75">
      <c r="H6034" s="43"/>
      <c r="AG6034" s="49" t="str">
        <f ca="1">IFERROR(__xludf.DUMMYFUNCTION("IFNA(vlookup(H6034,IMPORTRANGE(""1vUGwO1n0QQGx9kKbO0_M5gmuhXZ6-LaxQxgrmJnzgP0"",""'TP# look up'!A:C""),3,0),"""")"),"")</f>
        <v/>
      </c>
      <c r="AH6034" s="49" t="str">
        <f t="shared" si="94"/>
        <v/>
      </c>
    </row>
    <row r="6035" spans="8:34" ht="12.75">
      <c r="H6035" s="43"/>
      <c r="AG6035" s="49" t="str">
        <f ca="1">IFERROR(__xludf.DUMMYFUNCTION("IFNA(vlookup(H6035,IMPORTRANGE(""1vUGwO1n0QQGx9kKbO0_M5gmuhXZ6-LaxQxgrmJnzgP0"",""'TP# look up'!A:C""),3,0),"""")"),"")</f>
        <v/>
      </c>
      <c r="AH6035" s="49" t="str">
        <f t="shared" si="94"/>
        <v/>
      </c>
    </row>
    <row r="6036" spans="8:34" ht="12.75">
      <c r="H6036" s="43"/>
      <c r="AG6036" s="49" t="str">
        <f ca="1">IFERROR(__xludf.DUMMYFUNCTION("IFNA(vlookup(H6036,IMPORTRANGE(""1vUGwO1n0QQGx9kKbO0_M5gmuhXZ6-LaxQxgrmJnzgP0"",""'TP# look up'!A:C""),3,0),"""")"),"")</f>
        <v/>
      </c>
      <c r="AH6036" s="49" t="str">
        <f t="shared" si="94"/>
        <v/>
      </c>
    </row>
    <row r="6037" spans="8:34" ht="12.75">
      <c r="H6037" s="43"/>
      <c r="AG6037" s="49" t="str">
        <f ca="1">IFERROR(__xludf.DUMMYFUNCTION("IFNA(vlookup(H6037,IMPORTRANGE(""1vUGwO1n0QQGx9kKbO0_M5gmuhXZ6-LaxQxgrmJnzgP0"",""'TP# look up'!A:C""),3,0),"""")"),"")</f>
        <v/>
      </c>
      <c r="AH6037" s="49" t="str">
        <f t="shared" si="94"/>
        <v/>
      </c>
    </row>
    <row r="6038" spans="8:34" ht="12.75">
      <c r="H6038" s="43"/>
      <c r="AG6038" s="49" t="str">
        <f ca="1">IFERROR(__xludf.DUMMYFUNCTION("IFNA(vlookup(H6038,IMPORTRANGE(""1vUGwO1n0QQGx9kKbO0_M5gmuhXZ6-LaxQxgrmJnzgP0"",""'TP# look up'!A:C""),3,0),"""")"),"")</f>
        <v/>
      </c>
      <c r="AH6038" s="49" t="str">
        <f t="shared" si="94"/>
        <v/>
      </c>
    </row>
    <row r="6039" spans="8:34" ht="12.75">
      <c r="H6039" s="43"/>
      <c r="AG6039" s="49" t="str">
        <f ca="1">IFERROR(__xludf.DUMMYFUNCTION("IFNA(vlookup(H6039,IMPORTRANGE(""1vUGwO1n0QQGx9kKbO0_M5gmuhXZ6-LaxQxgrmJnzgP0"",""'TP# look up'!A:C""),3,0),"""")"),"")</f>
        <v/>
      </c>
      <c r="AH6039" s="49" t="str">
        <f t="shared" si="94"/>
        <v/>
      </c>
    </row>
    <row r="6040" spans="8:34" ht="12.75">
      <c r="H6040" s="43"/>
      <c r="AG6040" s="49" t="str">
        <f ca="1">IFERROR(__xludf.DUMMYFUNCTION("IFNA(vlookup(H6040,IMPORTRANGE(""1vUGwO1n0QQGx9kKbO0_M5gmuhXZ6-LaxQxgrmJnzgP0"",""'TP# look up'!A:C""),3,0),"""")"),"")</f>
        <v/>
      </c>
      <c r="AH6040" s="49" t="str">
        <f t="shared" si="94"/>
        <v/>
      </c>
    </row>
    <row r="6041" spans="8:34" ht="12.75">
      <c r="H6041" s="43"/>
      <c r="AG6041" s="49" t="str">
        <f ca="1">IFERROR(__xludf.DUMMYFUNCTION("IFNA(vlookup(H6041,IMPORTRANGE(""1vUGwO1n0QQGx9kKbO0_M5gmuhXZ6-LaxQxgrmJnzgP0"",""'TP# look up'!A:C""),3,0),"""")"),"")</f>
        <v/>
      </c>
      <c r="AH6041" s="49" t="str">
        <f t="shared" si="94"/>
        <v/>
      </c>
    </row>
    <row r="6042" spans="8:34" ht="12.75">
      <c r="H6042" s="43"/>
      <c r="AG6042" s="49" t="str">
        <f ca="1">IFERROR(__xludf.DUMMYFUNCTION("IFNA(vlookup(H6042,IMPORTRANGE(""1vUGwO1n0QQGx9kKbO0_M5gmuhXZ6-LaxQxgrmJnzgP0"",""'TP# look up'!A:C""),3,0),"""")"),"")</f>
        <v/>
      </c>
      <c r="AH6042" s="49" t="str">
        <f t="shared" si="94"/>
        <v/>
      </c>
    </row>
    <row r="6043" spans="8:34" ht="12.75">
      <c r="H6043" s="43"/>
      <c r="AG6043" s="49" t="str">
        <f ca="1">IFERROR(__xludf.DUMMYFUNCTION("IFNA(vlookup(H6043,IMPORTRANGE(""1vUGwO1n0QQGx9kKbO0_M5gmuhXZ6-LaxQxgrmJnzgP0"",""'TP# look up'!A:C""),3,0),"""")"),"")</f>
        <v/>
      </c>
      <c r="AH6043" s="49" t="str">
        <f t="shared" si="94"/>
        <v/>
      </c>
    </row>
    <row r="6044" spans="8:34" ht="12.75">
      <c r="H6044" s="43"/>
      <c r="AG6044" s="49" t="str">
        <f ca="1">IFERROR(__xludf.DUMMYFUNCTION("IFNA(vlookup(H6044,IMPORTRANGE(""1vUGwO1n0QQGx9kKbO0_M5gmuhXZ6-LaxQxgrmJnzgP0"",""'TP# look up'!A:C""),3,0),"""")"),"")</f>
        <v/>
      </c>
      <c r="AH6044" s="49" t="str">
        <f t="shared" si="94"/>
        <v/>
      </c>
    </row>
    <row r="6045" spans="8:34" ht="12.75">
      <c r="H6045" s="43"/>
      <c r="AG6045" s="49" t="str">
        <f ca="1">IFERROR(__xludf.DUMMYFUNCTION("IFNA(vlookup(H6045,IMPORTRANGE(""1vUGwO1n0QQGx9kKbO0_M5gmuhXZ6-LaxQxgrmJnzgP0"",""'TP# look up'!A:C""),3,0),"""")"),"")</f>
        <v/>
      </c>
      <c r="AH6045" s="49" t="str">
        <f t="shared" si="94"/>
        <v/>
      </c>
    </row>
    <row r="6046" spans="8:34" ht="12.75">
      <c r="H6046" s="43"/>
      <c r="AG6046" s="49" t="str">
        <f ca="1">IFERROR(__xludf.DUMMYFUNCTION("IFNA(vlookup(H6046,IMPORTRANGE(""1vUGwO1n0QQGx9kKbO0_M5gmuhXZ6-LaxQxgrmJnzgP0"",""'TP# look up'!A:C""),3,0),"""")"),"")</f>
        <v/>
      </c>
      <c r="AH6046" s="49" t="str">
        <f t="shared" si="94"/>
        <v/>
      </c>
    </row>
    <row r="6047" spans="8:34" ht="12.75">
      <c r="H6047" s="43"/>
      <c r="AG6047" s="49" t="str">
        <f ca="1">IFERROR(__xludf.DUMMYFUNCTION("IFNA(vlookup(H6047,IMPORTRANGE(""1vUGwO1n0QQGx9kKbO0_M5gmuhXZ6-LaxQxgrmJnzgP0"",""'TP# look up'!A:C""),3,0),"""")"),"")</f>
        <v/>
      </c>
      <c r="AH6047" s="49" t="str">
        <f t="shared" si="94"/>
        <v/>
      </c>
    </row>
    <row r="6048" spans="8:34" ht="12.75">
      <c r="H6048" s="43"/>
      <c r="AG6048" s="49" t="str">
        <f ca="1">IFERROR(__xludf.DUMMYFUNCTION("IFNA(vlookup(H6048,IMPORTRANGE(""1vUGwO1n0QQGx9kKbO0_M5gmuhXZ6-LaxQxgrmJnzgP0"",""'TP# look up'!A:C""),3,0),"""")"),"")</f>
        <v/>
      </c>
      <c r="AH6048" s="49" t="str">
        <f t="shared" si="94"/>
        <v/>
      </c>
    </row>
    <row r="6049" spans="8:34" ht="12.75">
      <c r="H6049" s="43"/>
      <c r="AG6049" s="49" t="str">
        <f ca="1">IFERROR(__xludf.DUMMYFUNCTION("IFNA(vlookup(H6049,IMPORTRANGE(""1vUGwO1n0QQGx9kKbO0_M5gmuhXZ6-LaxQxgrmJnzgP0"",""'TP# look up'!A:C""),3,0),"""")"),"")</f>
        <v/>
      </c>
      <c r="AH6049" s="49" t="str">
        <f t="shared" si="94"/>
        <v/>
      </c>
    </row>
    <row r="6050" spans="8:34" ht="12.75">
      <c r="H6050" s="43"/>
      <c r="AG6050" s="49" t="str">
        <f ca="1">IFERROR(__xludf.DUMMYFUNCTION("IFNA(vlookup(H6050,IMPORTRANGE(""1vUGwO1n0QQGx9kKbO0_M5gmuhXZ6-LaxQxgrmJnzgP0"",""'TP# look up'!A:C""),3,0),"""")"),"")</f>
        <v/>
      </c>
      <c r="AH6050" s="49" t="str">
        <f t="shared" si="94"/>
        <v/>
      </c>
    </row>
    <row r="6051" spans="8:34" ht="12.75">
      <c r="H6051" s="43"/>
      <c r="AG6051" s="49" t="str">
        <f ca="1">IFERROR(__xludf.DUMMYFUNCTION("IFNA(vlookup(H6051,IMPORTRANGE(""1vUGwO1n0QQGx9kKbO0_M5gmuhXZ6-LaxQxgrmJnzgP0"",""'TP# look up'!A:C""),3,0),"""")"),"")</f>
        <v/>
      </c>
      <c r="AH6051" s="49" t="str">
        <f t="shared" si="94"/>
        <v/>
      </c>
    </row>
    <row r="6052" spans="8:34" ht="12.75">
      <c r="H6052" s="43"/>
      <c r="AG6052" s="49" t="str">
        <f ca="1">IFERROR(__xludf.DUMMYFUNCTION("IFNA(vlookup(H6052,IMPORTRANGE(""1vUGwO1n0QQGx9kKbO0_M5gmuhXZ6-LaxQxgrmJnzgP0"",""'TP# look up'!A:C""),3,0),"""")"),"")</f>
        <v/>
      </c>
      <c r="AH6052" s="49" t="str">
        <f t="shared" si="94"/>
        <v/>
      </c>
    </row>
    <row r="6053" spans="8:34" ht="12.75">
      <c r="H6053" s="43"/>
      <c r="AG6053" s="49" t="str">
        <f ca="1">IFERROR(__xludf.DUMMYFUNCTION("IFNA(vlookup(H6053,IMPORTRANGE(""1vUGwO1n0QQGx9kKbO0_M5gmuhXZ6-LaxQxgrmJnzgP0"",""'TP# look up'!A:C""),3,0),"""")"),"")</f>
        <v/>
      </c>
      <c r="AH6053" s="49" t="str">
        <f t="shared" si="94"/>
        <v/>
      </c>
    </row>
    <row r="6054" spans="8:34" ht="12.75">
      <c r="H6054" s="43"/>
      <c r="AG6054" s="49" t="str">
        <f ca="1">IFERROR(__xludf.DUMMYFUNCTION("IFNA(vlookup(H6054,IMPORTRANGE(""1vUGwO1n0QQGx9kKbO0_M5gmuhXZ6-LaxQxgrmJnzgP0"",""'TP# look up'!A:C""),3,0),"""")"),"")</f>
        <v/>
      </c>
      <c r="AH6054" s="49" t="str">
        <f t="shared" si="94"/>
        <v/>
      </c>
    </row>
    <row r="6055" spans="8:34" ht="12.75">
      <c r="H6055" s="43"/>
      <c r="AG6055" s="49" t="str">
        <f ca="1">IFERROR(__xludf.DUMMYFUNCTION("IFNA(vlookup(H6055,IMPORTRANGE(""1vUGwO1n0QQGx9kKbO0_M5gmuhXZ6-LaxQxgrmJnzgP0"",""'TP# look up'!A:C""),3,0),"""")"),"")</f>
        <v/>
      </c>
      <c r="AH6055" s="49" t="str">
        <f t="shared" si="94"/>
        <v/>
      </c>
    </row>
    <row r="6056" spans="8:34" ht="12.75">
      <c r="H6056" s="43"/>
      <c r="AG6056" s="49" t="str">
        <f ca="1">IFERROR(__xludf.DUMMYFUNCTION("IFNA(vlookup(H6056,IMPORTRANGE(""1vUGwO1n0QQGx9kKbO0_M5gmuhXZ6-LaxQxgrmJnzgP0"",""'TP# look up'!A:C""),3,0),"""")"),"")</f>
        <v/>
      </c>
      <c r="AH6056" s="49" t="str">
        <f t="shared" si="94"/>
        <v/>
      </c>
    </row>
    <row r="6057" spans="8:34" ht="12.75">
      <c r="H6057" s="43"/>
      <c r="AG6057" s="49" t="str">
        <f ca="1">IFERROR(__xludf.DUMMYFUNCTION("IFNA(vlookup(H6057,IMPORTRANGE(""1vUGwO1n0QQGx9kKbO0_M5gmuhXZ6-LaxQxgrmJnzgP0"",""'TP# look up'!A:C""),3,0),"""")"),"")</f>
        <v/>
      </c>
      <c r="AH6057" s="49" t="str">
        <f t="shared" si="94"/>
        <v/>
      </c>
    </row>
    <row r="6058" spans="8:34" ht="12.75">
      <c r="H6058" s="43"/>
      <c r="AG6058" s="49" t="str">
        <f ca="1">IFERROR(__xludf.DUMMYFUNCTION("IFNA(vlookup(H6058,IMPORTRANGE(""1vUGwO1n0QQGx9kKbO0_M5gmuhXZ6-LaxQxgrmJnzgP0"",""'TP# look up'!A:C""),3,0),"""")"),"")</f>
        <v/>
      </c>
      <c r="AH6058" s="49" t="str">
        <f t="shared" si="94"/>
        <v/>
      </c>
    </row>
    <row r="6059" spans="8:34" ht="12.75">
      <c r="H6059" s="43"/>
      <c r="AG6059" s="49" t="str">
        <f ca="1">IFERROR(__xludf.DUMMYFUNCTION("IFNA(vlookup(H6059,IMPORTRANGE(""1vUGwO1n0QQGx9kKbO0_M5gmuhXZ6-LaxQxgrmJnzgP0"",""'TP# look up'!A:C""),3,0),"""")"),"")</f>
        <v/>
      </c>
      <c r="AH6059" s="49" t="str">
        <f t="shared" si="94"/>
        <v/>
      </c>
    </row>
    <row r="6060" spans="8:34" ht="12.75">
      <c r="H6060" s="43"/>
      <c r="AG6060" s="49" t="str">
        <f ca="1">IFERROR(__xludf.DUMMYFUNCTION("IFNA(vlookup(H6060,IMPORTRANGE(""1vUGwO1n0QQGx9kKbO0_M5gmuhXZ6-LaxQxgrmJnzgP0"",""'TP# look up'!A:C""),3,0),"""")"),"")</f>
        <v/>
      </c>
      <c r="AH6060" s="49" t="str">
        <f t="shared" si="94"/>
        <v/>
      </c>
    </row>
    <row r="6061" spans="8:34" ht="12.75">
      <c r="H6061" s="43"/>
      <c r="AG6061" s="49" t="str">
        <f ca="1">IFERROR(__xludf.DUMMYFUNCTION("IFNA(vlookup(H6061,IMPORTRANGE(""1vUGwO1n0QQGx9kKbO0_M5gmuhXZ6-LaxQxgrmJnzgP0"",""'TP# look up'!A:C""),3,0),"""")"),"")</f>
        <v/>
      </c>
      <c r="AH6061" s="49" t="str">
        <f t="shared" si="94"/>
        <v/>
      </c>
    </row>
    <row r="6062" spans="8:34" ht="12.75">
      <c r="H6062" s="43"/>
      <c r="AG6062" s="49" t="str">
        <f ca="1">IFERROR(__xludf.DUMMYFUNCTION("IFNA(vlookup(H6062,IMPORTRANGE(""1vUGwO1n0QQGx9kKbO0_M5gmuhXZ6-LaxQxgrmJnzgP0"",""'TP# look up'!A:C""),3,0),"""")"),"")</f>
        <v/>
      </c>
      <c r="AH6062" s="49" t="str">
        <f t="shared" si="94"/>
        <v/>
      </c>
    </row>
    <row r="6063" spans="8:34" ht="12.75">
      <c r="H6063" s="43"/>
      <c r="AG6063" s="49" t="str">
        <f ca="1">IFERROR(__xludf.DUMMYFUNCTION("IFNA(vlookup(H6063,IMPORTRANGE(""1vUGwO1n0QQGx9kKbO0_M5gmuhXZ6-LaxQxgrmJnzgP0"",""'TP# look up'!A:C""),3,0),"""")"),"")</f>
        <v/>
      </c>
      <c r="AH6063" s="49" t="str">
        <f t="shared" si="94"/>
        <v/>
      </c>
    </row>
    <row r="6064" spans="8:34" ht="12.75">
      <c r="H6064" s="43"/>
      <c r="AG6064" s="49" t="str">
        <f ca="1">IFERROR(__xludf.DUMMYFUNCTION("IFNA(vlookup(H6064,IMPORTRANGE(""1vUGwO1n0QQGx9kKbO0_M5gmuhXZ6-LaxQxgrmJnzgP0"",""'TP# look up'!A:C""),3,0),"""")"),"")</f>
        <v/>
      </c>
      <c r="AH6064" s="49" t="str">
        <f t="shared" si="94"/>
        <v/>
      </c>
    </row>
    <row r="6065" spans="8:34" ht="12.75">
      <c r="H6065" s="43"/>
      <c r="AG6065" s="49" t="str">
        <f ca="1">IFERROR(__xludf.DUMMYFUNCTION("IFNA(vlookup(H6065,IMPORTRANGE(""1vUGwO1n0QQGx9kKbO0_M5gmuhXZ6-LaxQxgrmJnzgP0"",""'TP# look up'!A:C""),3,0),"""")"),"")</f>
        <v/>
      </c>
      <c r="AH6065" s="49" t="str">
        <f t="shared" si="94"/>
        <v/>
      </c>
    </row>
    <row r="6066" spans="8:34" ht="12.75">
      <c r="H6066" s="43"/>
      <c r="AG6066" s="49" t="str">
        <f ca="1">IFERROR(__xludf.DUMMYFUNCTION("IFNA(vlookup(H6066,IMPORTRANGE(""1vUGwO1n0QQGx9kKbO0_M5gmuhXZ6-LaxQxgrmJnzgP0"",""'TP# look up'!A:C""),3,0),"""")"),"")</f>
        <v/>
      </c>
      <c r="AH6066" s="49" t="str">
        <f t="shared" si="94"/>
        <v/>
      </c>
    </row>
    <row r="6067" spans="8:34" ht="12.75">
      <c r="H6067" s="43"/>
      <c r="AG6067" s="49" t="str">
        <f ca="1">IFERROR(__xludf.DUMMYFUNCTION("IFNA(vlookup(H6067,IMPORTRANGE(""1vUGwO1n0QQGx9kKbO0_M5gmuhXZ6-LaxQxgrmJnzgP0"",""'TP# look up'!A:C""),3,0),"""")"),"")</f>
        <v/>
      </c>
      <c r="AH6067" s="49" t="str">
        <f t="shared" si="94"/>
        <v/>
      </c>
    </row>
    <row r="6068" spans="8:34" ht="12.75">
      <c r="H6068" s="43"/>
      <c r="AG6068" s="49" t="str">
        <f ca="1">IFERROR(__xludf.DUMMYFUNCTION("IFNA(vlookup(H6068,IMPORTRANGE(""1vUGwO1n0QQGx9kKbO0_M5gmuhXZ6-LaxQxgrmJnzgP0"",""'TP# look up'!A:C""),3,0),"""")"),"")</f>
        <v/>
      </c>
      <c r="AH6068" s="49" t="str">
        <f t="shared" si="94"/>
        <v/>
      </c>
    </row>
    <row r="6069" spans="8:34" ht="12.75">
      <c r="H6069" s="43"/>
      <c r="AG6069" s="49" t="str">
        <f ca="1">IFERROR(__xludf.DUMMYFUNCTION("IFNA(vlookup(H6069,IMPORTRANGE(""1vUGwO1n0QQGx9kKbO0_M5gmuhXZ6-LaxQxgrmJnzgP0"",""'TP# look up'!A:C""),3,0),"""")"),"")</f>
        <v/>
      </c>
      <c r="AH6069" s="49" t="str">
        <f t="shared" si="94"/>
        <v/>
      </c>
    </row>
    <row r="6070" spans="8:34" ht="12.75">
      <c r="H6070" s="43"/>
      <c r="AG6070" s="49" t="str">
        <f ca="1">IFERROR(__xludf.DUMMYFUNCTION("IFNA(vlookup(H6070,IMPORTRANGE(""1vUGwO1n0QQGx9kKbO0_M5gmuhXZ6-LaxQxgrmJnzgP0"",""'TP# look up'!A:C""),3,0),"""")"),"")</f>
        <v/>
      </c>
      <c r="AH6070" s="49" t="str">
        <f t="shared" si="94"/>
        <v/>
      </c>
    </row>
    <row r="6071" spans="8:34" ht="12.75">
      <c r="H6071" s="43"/>
      <c r="AG6071" s="49" t="str">
        <f ca="1">IFERROR(__xludf.DUMMYFUNCTION("IFNA(vlookup(H6071,IMPORTRANGE(""1vUGwO1n0QQGx9kKbO0_M5gmuhXZ6-LaxQxgrmJnzgP0"",""'TP# look up'!A:C""),3,0),"""")"),"")</f>
        <v/>
      </c>
      <c r="AH6071" s="49" t="str">
        <f t="shared" si="94"/>
        <v/>
      </c>
    </row>
    <row r="6072" spans="8:34" ht="12.75">
      <c r="H6072" s="43"/>
      <c r="AG6072" s="49" t="str">
        <f ca="1">IFERROR(__xludf.DUMMYFUNCTION("IFNA(vlookup(H6072,IMPORTRANGE(""1vUGwO1n0QQGx9kKbO0_M5gmuhXZ6-LaxQxgrmJnzgP0"",""'TP# look up'!A:C""),3,0),"""")"),"")</f>
        <v/>
      </c>
      <c r="AH6072" s="49" t="str">
        <f t="shared" si="94"/>
        <v/>
      </c>
    </row>
    <row r="6073" spans="8:34" ht="12.75">
      <c r="H6073" s="43"/>
      <c r="AG6073" s="49" t="str">
        <f ca="1">IFERROR(__xludf.DUMMYFUNCTION("IFNA(vlookup(H6073,IMPORTRANGE(""1vUGwO1n0QQGx9kKbO0_M5gmuhXZ6-LaxQxgrmJnzgP0"",""'TP# look up'!A:C""),3,0),"""")"),"")</f>
        <v/>
      </c>
      <c r="AH6073" s="49" t="str">
        <f t="shared" si="94"/>
        <v/>
      </c>
    </row>
    <row r="6074" spans="8:34" ht="12.75">
      <c r="H6074" s="43"/>
      <c r="AG6074" s="49" t="str">
        <f ca="1">IFERROR(__xludf.DUMMYFUNCTION("IFNA(vlookup(H6074,IMPORTRANGE(""1vUGwO1n0QQGx9kKbO0_M5gmuhXZ6-LaxQxgrmJnzgP0"",""'TP# look up'!A:C""),3,0),"""")"),"")</f>
        <v/>
      </c>
      <c r="AH6074" s="49" t="str">
        <f t="shared" si="94"/>
        <v/>
      </c>
    </row>
    <row r="6075" spans="8:34" ht="12.75">
      <c r="H6075" s="43"/>
      <c r="AG6075" s="49" t="str">
        <f ca="1">IFERROR(__xludf.DUMMYFUNCTION("IFNA(vlookup(H6075,IMPORTRANGE(""1vUGwO1n0QQGx9kKbO0_M5gmuhXZ6-LaxQxgrmJnzgP0"",""'TP# look up'!A:C""),3,0),"""")"),"")</f>
        <v/>
      </c>
      <c r="AH6075" s="49" t="str">
        <f t="shared" si="94"/>
        <v/>
      </c>
    </row>
    <row r="6076" spans="8:34" ht="12.75">
      <c r="H6076" s="43"/>
      <c r="AG6076" s="49" t="str">
        <f ca="1">IFERROR(__xludf.DUMMYFUNCTION("IFNA(vlookup(H6076,IMPORTRANGE(""1vUGwO1n0QQGx9kKbO0_M5gmuhXZ6-LaxQxgrmJnzgP0"",""'TP# look up'!A:C""),3,0),"""")"),"")</f>
        <v/>
      </c>
      <c r="AH6076" s="49" t="str">
        <f t="shared" si="94"/>
        <v/>
      </c>
    </row>
    <row r="6077" spans="8:34" ht="12.75">
      <c r="H6077" s="43"/>
      <c r="AG6077" s="49" t="str">
        <f ca="1">IFERROR(__xludf.DUMMYFUNCTION("IFNA(vlookup(H6077,IMPORTRANGE(""1vUGwO1n0QQGx9kKbO0_M5gmuhXZ6-LaxQxgrmJnzgP0"",""'TP# look up'!A:C""),3,0),"""")"),"")</f>
        <v/>
      </c>
      <c r="AH6077" s="49" t="str">
        <f t="shared" si="94"/>
        <v/>
      </c>
    </row>
    <row r="6078" spans="8:34" ht="12.75">
      <c r="H6078" s="43"/>
      <c r="AG6078" s="49" t="str">
        <f ca="1">IFERROR(__xludf.DUMMYFUNCTION("IFNA(vlookup(H6078,IMPORTRANGE(""1vUGwO1n0QQGx9kKbO0_M5gmuhXZ6-LaxQxgrmJnzgP0"",""'TP# look up'!A:C""),3,0),"""")"),"")</f>
        <v/>
      </c>
      <c r="AH6078" s="49" t="str">
        <f t="shared" si="94"/>
        <v/>
      </c>
    </row>
    <row r="6079" spans="8:34" ht="12.75">
      <c r="H6079" s="43"/>
      <c r="AG6079" s="49" t="str">
        <f ca="1">IFERROR(__xludf.DUMMYFUNCTION("IFNA(vlookup(H6079,IMPORTRANGE(""1vUGwO1n0QQGx9kKbO0_M5gmuhXZ6-LaxQxgrmJnzgP0"",""'TP# look up'!A:C""),3,0),"""")"),"")</f>
        <v/>
      </c>
      <c r="AH6079" s="49" t="str">
        <f t="shared" si="94"/>
        <v/>
      </c>
    </row>
    <row r="6080" spans="8:34" ht="12.75">
      <c r="H6080" s="43"/>
      <c r="AG6080" s="49" t="str">
        <f ca="1">IFERROR(__xludf.DUMMYFUNCTION("IFNA(vlookup(H6080,IMPORTRANGE(""1vUGwO1n0QQGx9kKbO0_M5gmuhXZ6-LaxQxgrmJnzgP0"",""'TP# look up'!A:C""),3,0),"""")"),"")</f>
        <v/>
      </c>
      <c r="AH6080" s="49" t="str">
        <f t="shared" si="94"/>
        <v/>
      </c>
    </row>
    <row r="6081" spans="8:34" ht="12.75">
      <c r="H6081" s="43"/>
      <c r="AG6081" s="49" t="str">
        <f ca="1">IFERROR(__xludf.DUMMYFUNCTION("IFNA(vlookup(H6081,IMPORTRANGE(""1vUGwO1n0QQGx9kKbO0_M5gmuhXZ6-LaxQxgrmJnzgP0"",""'TP# look up'!A:C""),3,0),"""")"),"")</f>
        <v/>
      </c>
      <c r="AH6081" s="49" t="str">
        <f t="shared" si="94"/>
        <v/>
      </c>
    </row>
    <row r="6082" spans="8:34" ht="12.75">
      <c r="H6082" s="43"/>
      <c r="AG6082" s="49" t="str">
        <f ca="1">IFERROR(__xludf.DUMMYFUNCTION("IFNA(vlookup(H6082,IMPORTRANGE(""1vUGwO1n0QQGx9kKbO0_M5gmuhXZ6-LaxQxgrmJnzgP0"",""'TP# look up'!A:C""),3,0),"""")"),"")</f>
        <v/>
      </c>
      <c r="AH6082" s="49" t="str">
        <f t="shared" ref="AH6082:AH6145" si="95">LEFT(J6082,2)</f>
        <v/>
      </c>
    </row>
    <row r="6083" spans="8:34" ht="12.75">
      <c r="H6083" s="43"/>
      <c r="AG6083" s="49" t="str">
        <f ca="1">IFERROR(__xludf.DUMMYFUNCTION("IFNA(vlookup(H6083,IMPORTRANGE(""1vUGwO1n0QQGx9kKbO0_M5gmuhXZ6-LaxQxgrmJnzgP0"",""'TP# look up'!A:C""),3,0),"""")"),"")</f>
        <v/>
      </c>
      <c r="AH6083" s="49" t="str">
        <f t="shared" si="95"/>
        <v/>
      </c>
    </row>
    <row r="6084" spans="8:34" ht="12.75">
      <c r="H6084" s="43"/>
      <c r="AG6084" s="49" t="str">
        <f ca="1">IFERROR(__xludf.DUMMYFUNCTION("IFNA(vlookup(H6084,IMPORTRANGE(""1vUGwO1n0QQGx9kKbO0_M5gmuhXZ6-LaxQxgrmJnzgP0"",""'TP# look up'!A:C""),3,0),"""")"),"")</f>
        <v/>
      </c>
      <c r="AH6084" s="49" t="str">
        <f t="shared" si="95"/>
        <v/>
      </c>
    </row>
    <row r="6085" spans="8:34" ht="12.75">
      <c r="H6085" s="43"/>
      <c r="AG6085" s="49" t="str">
        <f ca="1">IFERROR(__xludf.DUMMYFUNCTION("IFNA(vlookup(H6085,IMPORTRANGE(""1vUGwO1n0QQGx9kKbO0_M5gmuhXZ6-LaxQxgrmJnzgP0"",""'TP# look up'!A:C""),3,0),"""")"),"")</f>
        <v/>
      </c>
      <c r="AH6085" s="49" t="str">
        <f t="shared" si="95"/>
        <v/>
      </c>
    </row>
    <row r="6086" spans="8:34" ht="12.75">
      <c r="H6086" s="43"/>
      <c r="AG6086" s="49" t="str">
        <f ca="1">IFERROR(__xludf.DUMMYFUNCTION("IFNA(vlookup(H6086,IMPORTRANGE(""1vUGwO1n0QQGx9kKbO0_M5gmuhXZ6-LaxQxgrmJnzgP0"",""'TP# look up'!A:C""),3,0),"""")"),"")</f>
        <v/>
      </c>
      <c r="AH6086" s="49" t="str">
        <f t="shared" si="95"/>
        <v/>
      </c>
    </row>
    <row r="6087" spans="8:34" ht="12.75">
      <c r="H6087" s="43"/>
      <c r="AG6087" s="49" t="str">
        <f ca="1">IFERROR(__xludf.DUMMYFUNCTION("IFNA(vlookup(H6087,IMPORTRANGE(""1vUGwO1n0QQGx9kKbO0_M5gmuhXZ6-LaxQxgrmJnzgP0"",""'TP# look up'!A:C""),3,0),"""")"),"")</f>
        <v/>
      </c>
      <c r="AH6087" s="49" t="str">
        <f t="shared" si="95"/>
        <v/>
      </c>
    </row>
    <row r="6088" spans="8:34" ht="12.75">
      <c r="H6088" s="43"/>
      <c r="AG6088" s="49" t="str">
        <f ca="1">IFERROR(__xludf.DUMMYFUNCTION("IFNA(vlookup(H6088,IMPORTRANGE(""1vUGwO1n0QQGx9kKbO0_M5gmuhXZ6-LaxQxgrmJnzgP0"",""'TP# look up'!A:C""),3,0),"""")"),"")</f>
        <v/>
      </c>
      <c r="AH6088" s="49" t="str">
        <f t="shared" si="95"/>
        <v/>
      </c>
    </row>
    <row r="6089" spans="8:34" ht="12.75">
      <c r="H6089" s="43"/>
      <c r="AG6089" s="49" t="str">
        <f ca="1">IFERROR(__xludf.DUMMYFUNCTION("IFNA(vlookup(H6089,IMPORTRANGE(""1vUGwO1n0QQGx9kKbO0_M5gmuhXZ6-LaxQxgrmJnzgP0"",""'TP# look up'!A:C""),3,0),"""")"),"")</f>
        <v/>
      </c>
      <c r="AH6089" s="49" t="str">
        <f t="shared" si="95"/>
        <v/>
      </c>
    </row>
    <row r="6090" spans="8:34" ht="12.75">
      <c r="H6090" s="43"/>
      <c r="AG6090" s="49" t="str">
        <f ca="1">IFERROR(__xludf.DUMMYFUNCTION("IFNA(vlookup(H6090,IMPORTRANGE(""1vUGwO1n0QQGx9kKbO0_M5gmuhXZ6-LaxQxgrmJnzgP0"",""'TP# look up'!A:C""),3,0),"""")"),"")</f>
        <v/>
      </c>
      <c r="AH6090" s="49" t="str">
        <f t="shared" si="95"/>
        <v/>
      </c>
    </row>
    <row r="6091" spans="8:34" ht="12.75">
      <c r="H6091" s="43"/>
      <c r="AG6091" s="49" t="str">
        <f ca="1">IFERROR(__xludf.DUMMYFUNCTION("IFNA(vlookup(H6091,IMPORTRANGE(""1vUGwO1n0QQGx9kKbO0_M5gmuhXZ6-LaxQxgrmJnzgP0"",""'TP# look up'!A:C""),3,0),"""")"),"")</f>
        <v/>
      </c>
      <c r="AH6091" s="49" t="str">
        <f t="shared" si="95"/>
        <v/>
      </c>
    </row>
    <row r="6092" spans="8:34" ht="12.75">
      <c r="H6092" s="43"/>
      <c r="AG6092" s="49" t="str">
        <f ca="1">IFERROR(__xludf.DUMMYFUNCTION("IFNA(vlookup(H6092,IMPORTRANGE(""1vUGwO1n0QQGx9kKbO0_M5gmuhXZ6-LaxQxgrmJnzgP0"",""'TP# look up'!A:C""),3,0),"""")"),"")</f>
        <v/>
      </c>
      <c r="AH6092" s="49" t="str">
        <f t="shared" si="95"/>
        <v/>
      </c>
    </row>
    <row r="6093" spans="8:34" ht="12.75">
      <c r="H6093" s="43"/>
      <c r="AG6093" s="49" t="str">
        <f ca="1">IFERROR(__xludf.DUMMYFUNCTION("IFNA(vlookup(H6093,IMPORTRANGE(""1vUGwO1n0QQGx9kKbO0_M5gmuhXZ6-LaxQxgrmJnzgP0"",""'TP# look up'!A:C""),3,0),"""")"),"")</f>
        <v/>
      </c>
      <c r="AH6093" s="49" t="str">
        <f t="shared" si="95"/>
        <v/>
      </c>
    </row>
    <row r="6094" spans="8:34" ht="12.75">
      <c r="H6094" s="43"/>
      <c r="AG6094" s="49" t="str">
        <f ca="1">IFERROR(__xludf.DUMMYFUNCTION("IFNA(vlookup(H6094,IMPORTRANGE(""1vUGwO1n0QQGx9kKbO0_M5gmuhXZ6-LaxQxgrmJnzgP0"",""'TP# look up'!A:C""),3,0),"""")"),"")</f>
        <v/>
      </c>
      <c r="AH6094" s="49" t="str">
        <f t="shared" si="95"/>
        <v/>
      </c>
    </row>
    <row r="6095" spans="8:34" ht="12.75">
      <c r="H6095" s="43"/>
      <c r="AG6095" s="49" t="str">
        <f ca="1">IFERROR(__xludf.DUMMYFUNCTION("IFNA(vlookup(H6095,IMPORTRANGE(""1vUGwO1n0QQGx9kKbO0_M5gmuhXZ6-LaxQxgrmJnzgP0"",""'TP# look up'!A:C""),3,0),"""")"),"")</f>
        <v/>
      </c>
      <c r="AH6095" s="49" t="str">
        <f t="shared" si="95"/>
        <v/>
      </c>
    </row>
    <row r="6096" spans="8:34" ht="12.75">
      <c r="H6096" s="43"/>
      <c r="AG6096" s="49" t="str">
        <f ca="1">IFERROR(__xludf.DUMMYFUNCTION("IFNA(vlookup(H6096,IMPORTRANGE(""1vUGwO1n0QQGx9kKbO0_M5gmuhXZ6-LaxQxgrmJnzgP0"",""'TP# look up'!A:C""),3,0),"""")"),"")</f>
        <v/>
      </c>
      <c r="AH6096" s="49" t="str">
        <f t="shared" si="95"/>
        <v/>
      </c>
    </row>
    <row r="6097" spans="8:34" ht="12.75">
      <c r="H6097" s="43"/>
      <c r="AG6097" s="49" t="str">
        <f ca="1">IFERROR(__xludf.DUMMYFUNCTION("IFNA(vlookup(H6097,IMPORTRANGE(""1vUGwO1n0QQGx9kKbO0_M5gmuhXZ6-LaxQxgrmJnzgP0"",""'TP# look up'!A:C""),3,0),"""")"),"")</f>
        <v/>
      </c>
      <c r="AH6097" s="49" t="str">
        <f t="shared" si="95"/>
        <v/>
      </c>
    </row>
    <row r="6098" spans="8:34" ht="12.75">
      <c r="H6098" s="43"/>
      <c r="AG6098" s="49" t="str">
        <f ca="1">IFERROR(__xludf.DUMMYFUNCTION("IFNA(vlookup(H6098,IMPORTRANGE(""1vUGwO1n0QQGx9kKbO0_M5gmuhXZ6-LaxQxgrmJnzgP0"",""'TP# look up'!A:C""),3,0),"""")"),"")</f>
        <v/>
      </c>
      <c r="AH6098" s="49" t="str">
        <f t="shared" si="95"/>
        <v/>
      </c>
    </row>
    <row r="6099" spans="8:34" ht="12.75">
      <c r="H6099" s="43"/>
      <c r="AG6099" s="49" t="str">
        <f ca="1">IFERROR(__xludf.DUMMYFUNCTION("IFNA(vlookup(H6099,IMPORTRANGE(""1vUGwO1n0QQGx9kKbO0_M5gmuhXZ6-LaxQxgrmJnzgP0"",""'TP# look up'!A:C""),3,0),"""")"),"")</f>
        <v/>
      </c>
      <c r="AH6099" s="49" t="str">
        <f t="shared" si="95"/>
        <v/>
      </c>
    </row>
    <row r="6100" spans="8:34" ht="12.75">
      <c r="H6100" s="43"/>
      <c r="AG6100" s="49" t="str">
        <f ca="1">IFERROR(__xludf.DUMMYFUNCTION("IFNA(vlookup(H6100,IMPORTRANGE(""1vUGwO1n0QQGx9kKbO0_M5gmuhXZ6-LaxQxgrmJnzgP0"",""'TP# look up'!A:C""),3,0),"""")"),"")</f>
        <v/>
      </c>
      <c r="AH6100" s="49" t="str">
        <f t="shared" si="95"/>
        <v/>
      </c>
    </row>
    <row r="6101" spans="8:34" ht="12.75">
      <c r="H6101" s="43"/>
      <c r="AG6101" s="49" t="str">
        <f ca="1">IFERROR(__xludf.DUMMYFUNCTION("IFNA(vlookup(H6101,IMPORTRANGE(""1vUGwO1n0QQGx9kKbO0_M5gmuhXZ6-LaxQxgrmJnzgP0"",""'TP# look up'!A:C""),3,0),"""")"),"")</f>
        <v/>
      </c>
      <c r="AH6101" s="49" t="str">
        <f t="shared" si="95"/>
        <v/>
      </c>
    </row>
    <row r="6102" spans="8:34" ht="12.75">
      <c r="H6102" s="43"/>
      <c r="AG6102" s="49" t="str">
        <f ca="1">IFERROR(__xludf.DUMMYFUNCTION("IFNA(vlookup(H6102,IMPORTRANGE(""1vUGwO1n0QQGx9kKbO0_M5gmuhXZ6-LaxQxgrmJnzgP0"",""'TP# look up'!A:C""),3,0),"""")"),"")</f>
        <v/>
      </c>
      <c r="AH6102" s="49" t="str">
        <f t="shared" si="95"/>
        <v/>
      </c>
    </row>
    <row r="6103" spans="8:34" ht="12.75">
      <c r="H6103" s="43"/>
      <c r="AG6103" s="49" t="str">
        <f ca="1">IFERROR(__xludf.DUMMYFUNCTION("IFNA(vlookup(H6103,IMPORTRANGE(""1vUGwO1n0QQGx9kKbO0_M5gmuhXZ6-LaxQxgrmJnzgP0"",""'TP# look up'!A:C""),3,0),"""")"),"")</f>
        <v/>
      </c>
      <c r="AH6103" s="49" t="str">
        <f t="shared" si="95"/>
        <v/>
      </c>
    </row>
    <row r="6104" spans="8:34" ht="12.75">
      <c r="H6104" s="43"/>
      <c r="AG6104" s="49" t="str">
        <f ca="1">IFERROR(__xludf.DUMMYFUNCTION("IFNA(vlookup(H6104,IMPORTRANGE(""1vUGwO1n0QQGx9kKbO0_M5gmuhXZ6-LaxQxgrmJnzgP0"",""'TP# look up'!A:C""),3,0),"""")"),"")</f>
        <v/>
      </c>
      <c r="AH6104" s="49" t="str">
        <f t="shared" si="95"/>
        <v/>
      </c>
    </row>
    <row r="6105" spans="8:34" ht="12.75">
      <c r="H6105" s="43"/>
      <c r="AG6105" s="49" t="str">
        <f ca="1">IFERROR(__xludf.DUMMYFUNCTION("IFNA(vlookup(H6105,IMPORTRANGE(""1vUGwO1n0QQGx9kKbO0_M5gmuhXZ6-LaxQxgrmJnzgP0"",""'TP# look up'!A:C""),3,0),"""")"),"")</f>
        <v/>
      </c>
      <c r="AH6105" s="49" t="str">
        <f t="shared" si="95"/>
        <v/>
      </c>
    </row>
    <row r="6106" spans="8:34" ht="12.75">
      <c r="H6106" s="43"/>
      <c r="AG6106" s="49" t="str">
        <f ca="1">IFERROR(__xludf.DUMMYFUNCTION("IFNA(vlookup(H6106,IMPORTRANGE(""1vUGwO1n0QQGx9kKbO0_M5gmuhXZ6-LaxQxgrmJnzgP0"",""'TP# look up'!A:C""),3,0),"""")"),"")</f>
        <v/>
      </c>
      <c r="AH6106" s="49" t="str">
        <f t="shared" si="95"/>
        <v/>
      </c>
    </row>
    <row r="6107" spans="8:34" ht="12.75">
      <c r="H6107" s="43"/>
      <c r="AG6107" s="49" t="str">
        <f ca="1">IFERROR(__xludf.DUMMYFUNCTION("IFNA(vlookup(H6107,IMPORTRANGE(""1vUGwO1n0QQGx9kKbO0_M5gmuhXZ6-LaxQxgrmJnzgP0"",""'TP# look up'!A:C""),3,0),"""")"),"")</f>
        <v/>
      </c>
      <c r="AH6107" s="49" t="str">
        <f t="shared" si="95"/>
        <v/>
      </c>
    </row>
    <row r="6108" spans="8:34" ht="12.75">
      <c r="H6108" s="43"/>
      <c r="AG6108" s="49" t="str">
        <f ca="1">IFERROR(__xludf.DUMMYFUNCTION("IFNA(vlookup(H6108,IMPORTRANGE(""1vUGwO1n0QQGx9kKbO0_M5gmuhXZ6-LaxQxgrmJnzgP0"",""'TP# look up'!A:C""),3,0),"""")"),"")</f>
        <v/>
      </c>
      <c r="AH6108" s="49" t="str">
        <f t="shared" si="95"/>
        <v/>
      </c>
    </row>
    <row r="6109" spans="8:34" ht="12.75">
      <c r="H6109" s="43"/>
      <c r="AG6109" s="49" t="str">
        <f ca="1">IFERROR(__xludf.DUMMYFUNCTION("IFNA(vlookup(H6109,IMPORTRANGE(""1vUGwO1n0QQGx9kKbO0_M5gmuhXZ6-LaxQxgrmJnzgP0"",""'TP# look up'!A:C""),3,0),"""")"),"")</f>
        <v/>
      </c>
      <c r="AH6109" s="49" t="str">
        <f t="shared" si="95"/>
        <v/>
      </c>
    </row>
    <row r="6110" spans="8:34" ht="12.75">
      <c r="H6110" s="43"/>
      <c r="AG6110" s="49" t="str">
        <f ca="1">IFERROR(__xludf.DUMMYFUNCTION("IFNA(vlookup(H6110,IMPORTRANGE(""1vUGwO1n0QQGx9kKbO0_M5gmuhXZ6-LaxQxgrmJnzgP0"",""'TP# look up'!A:C""),3,0),"""")"),"")</f>
        <v/>
      </c>
      <c r="AH6110" s="49" t="str">
        <f t="shared" si="95"/>
        <v/>
      </c>
    </row>
    <row r="6111" spans="8:34" ht="12.75">
      <c r="H6111" s="43"/>
      <c r="AG6111" s="49" t="str">
        <f ca="1">IFERROR(__xludf.DUMMYFUNCTION("IFNA(vlookup(H6111,IMPORTRANGE(""1vUGwO1n0QQGx9kKbO0_M5gmuhXZ6-LaxQxgrmJnzgP0"",""'TP# look up'!A:C""),3,0),"""")"),"")</f>
        <v/>
      </c>
      <c r="AH6111" s="49" t="str">
        <f t="shared" si="95"/>
        <v/>
      </c>
    </row>
    <row r="6112" spans="8:34" ht="12.75">
      <c r="H6112" s="43"/>
      <c r="AG6112" s="49" t="str">
        <f ca="1">IFERROR(__xludf.DUMMYFUNCTION("IFNA(vlookup(H6112,IMPORTRANGE(""1vUGwO1n0QQGx9kKbO0_M5gmuhXZ6-LaxQxgrmJnzgP0"",""'TP# look up'!A:C""),3,0),"""")"),"")</f>
        <v/>
      </c>
      <c r="AH6112" s="49" t="str">
        <f t="shared" si="95"/>
        <v/>
      </c>
    </row>
    <row r="6113" spans="8:34" ht="12.75">
      <c r="H6113" s="43"/>
      <c r="AG6113" s="49" t="str">
        <f ca="1">IFERROR(__xludf.DUMMYFUNCTION("IFNA(vlookup(H6113,IMPORTRANGE(""1vUGwO1n0QQGx9kKbO0_M5gmuhXZ6-LaxQxgrmJnzgP0"",""'TP# look up'!A:C""),3,0),"""")"),"")</f>
        <v/>
      </c>
      <c r="AH6113" s="49" t="str">
        <f t="shared" si="95"/>
        <v/>
      </c>
    </row>
    <row r="6114" spans="8:34" ht="12.75">
      <c r="H6114" s="43"/>
      <c r="AG6114" s="49" t="str">
        <f ca="1">IFERROR(__xludf.DUMMYFUNCTION("IFNA(vlookup(H6114,IMPORTRANGE(""1vUGwO1n0QQGx9kKbO0_M5gmuhXZ6-LaxQxgrmJnzgP0"",""'TP# look up'!A:C""),3,0),"""")"),"")</f>
        <v/>
      </c>
      <c r="AH6114" s="49" t="str">
        <f t="shared" si="95"/>
        <v/>
      </c>
    </row>
    <row r="6115" spans="8:34" ht="12.75">
      <c r="H6115" s="43"/>
      <c r="AG6115" s="49" t="str">
        <f ca="1">IFERROR(__xludf.DUMMYFUNCTION("IFNA(vlookup(H6115,IMPORTRANGE(""1vUGwO1n0QQGx9kKbO0_M5gmuhXZ6-LaxQxgrmJnzgP0"",""'TP# look up'!A:C""),3,0),"""")"),"")</f>
        <v/>
      </c>
      <c r="AH6115" s="49" t="str">
        <f t="shared" si="95"/>
        <v/>
      </c>
    </row>
    <row r="6116" spans="8:34" ht="12.75">
      <c r="H6116" s="43"/>
      <c r="AG6116" s="49" t="str">
        <f ca="1">IFERROR(__xludf.DUMMYFUNCTION("IFNA(vlookup(H6116,IMPORTRANGE(""1vUGwO1n0QQGx9kKbO0_M5gmuhXZ6-LaxQxgrmJnzgP0"",""'TP# look up'!A:C""),3,0),"""")"),"")</f>
        <v/>
      </c>
      <c r="AH6116" s="49" t="str">
        <f t="shared" si="95"/>
        <v/>
      </c>
    </row>
    <row r="6117" spans="8:34" ht="12.75">
      <c r="H6117" s="43"/>
      <c r="AG6117" s="49" t="str">
        <f ca="1">IFERROR(__xludf.DUMMYFUNCTION("IFNA(vlookup(H6117,IMPORTRANGE(""1vUGwO1n0QQGx9kKbO0_M5gmuhXZ6-LaxQxgrmJnzgP0"",""'TP# look up'!A:C""),3,0),"""")"),"")</f>
        <v/>
      </c>
      <c r="AH6117" s="49" t="str">
        <f t="shared" si="95"/>
        <v/>
      </c>
    </row>
    <row r="6118" spans="8:34" ht="12.75">
      <c r="H6118" s="43"/>
      <c r="AG6118" s="49" t="str">
        <f ca="1">IFERROR(__xludf.DUMMYFUNCTION("IFNA(vlookup(H6118,IMPORTRANGE(""1vUGwO1n0QQGx9kKbO0_M5gmuhXZ6-LaxQxgrmJnzgP0"",""'TP# look up'!A:C""),3,0),"""")"),"")</f>
        <v/>
      </c>
      <c r="AH6118" s="49" t="str">
        <f t="shared" si="95"/>
        <v/>
      </c>
    </row>
    <row r="6119" spans="8:34" ht="12.75">
      <c r="H6119" s="43"/>
      <c r="AG6119" s="49" t="str">
        <f ca="1">IFERROR(__xludf.DUMMYFUNCTION("IFNA(vlookup(H6119,IMPORTRANGE(""1vUGwO1n0QQGx9kKbO0_M5gmuhXZ6-LaxQxgrmJnzgP0"",""'TP# look up'!A:C""),3,0),"""")"),"")</f>
        <v/>
      </c>
      <c r="AH6119" s="49" t="str">
        <f t="shared" si="95"/>
        <v/>
      </c>
    </row>
    <row r="6120" spans="8:34" ht="12.75">
      <c r="H6120" s="43"/>
      <c r="AG6120" s="49" t="str">
        <f ca="1">IFERROR(__xludf.DUMMYFUNCTION("IFNA(vlookup(H6120,IMPORTRANGE(""1vUGwO1n0QQGx9kKbO0_M5gmuhXZ6-LaxQxgrmJnzgP0"",""'TP# look up'!A:C""),3,0),"""")"),"")</f>
        <v/>
      </c>
      <c r="AH6120" s="49" t="str">
        <f t="shared" si="95"/>
        <v/>
      </c>
    </row>
    <row r="6121" spans="8:34" ht="12.75">
      <c r="H6121" s="43"/>
      <c r="AG6121" s="49" t="str">
        <f ca="1">IFERROR(__xludf.DUMMYFUNCTION("IFNA(vlookup(H6121,IMPORTRANGE(""1vUGwO1n0QQGx9kKbO0_M5gmuhXZ6-LaxQxgrmJnzgP0"",""'TP# look up'!A:C""),3,0),"""")"),"")</f>
        <v/>
      </c>
      <c r="AH6121" s="49" t="str">
        <f t="shared" si="95"/>
        <v/>
      </c>
    </row>
    <row r="6122" spans="8:34" ht="12.75">
      <c r="H6122" s="43"/>
      <c r="AG6122" s="49" t="str">
        <f ca="1">IFERROR(__xludf.DUMMYFUNCTION("IFNA(vlookup(H6122,IMPORTRANGE(""1vUGwO1n0QQGx9kKbO0_M5gmuhXZ6-LaxQxgrmJnzgP0"",""'TP# look up'!A:C""),3,0),"""")"),"")</f>
        <v/>
      </c>
      <c r="AH6122" s="49" t="str">
        <f t="shared" si="95"/>
        <v/>
      </c>
    </row>
    <row r="6123" spans="8:34" ht="12.75">
      <c r="H6123" s="43"/>
      <c r="AG6123" s="49" t="str">
        <f ca="1">IFERROR(__xludf.DUMMYFUNCTION("IFNA(vlookup(H6123,IMPORTRANGE(""1vUGwO1n0QQGx9kKbO0_M5gmuhXZ6-LaxQxgrmJnzgP0"",""'TP# look up'!A:C""),3,0),"""")"),"")</f>
        <v/>
      </c>
      <c r="AH6123" s="49" t="str">
        <f t="shared" si="95"/>
        <v/>
      </c>
    </row>
    <row r="6124" spans="8:34" ht="12.75">
      <c r="H6124" s="43"/>
      <c r="AG6124" s="49" t="str">
        <f ca="1">IFERROR(__xludf.DUMMYFUNCTION("IFNA(vlookup(H6124,IMPORTRANGE(""1vUGwO1n0QQGx9kKbO0_M5gmuhXZ6-LaxQxgrmJnzgP0"",""'TP# look up'!A:C""),3,0),"""")"),"")</f>
        <v/>
      </c>
      <c r="AH6124" s="49" t="str">
        <f t="shared" si="95"/>
        <v/>
      </c>
    </row>
    <row r="6125" spans="8:34" ht="12.75">
      <c r="H6125" s="43"/>
      <c r="AG6125" s="49" t="str">
        <f ca="1">IFERROR(__xludf.DUMMYFUNCTION("IFNA(vlookup(H6125,IMPORTRANGE(""1vUGwO1n0QQGx9kKbO0_M5gmuhXZ6-LaxQxgrmJnzgP0"",""'TP# look up'!A:C""),3,0),"""")"),"")</f>
        <v/>
      </c>
      <c r="AH6125" s="49" t="str">
        <f t="shared" si="95"/>
        <v/>
      </c>
    </row>
    <row r="6126" spans="8:34" ht="12.75">
      <c r="H6126" s="43"/>
      <c r="AG6126" s="49" t="str">
        <f ca="1">IFERROR(__xludf.DUMMYFUNCTION("IFNA(vlookup(H6126,IMPORTRANGE(""1vUGwO1n0QQGx9kKbO0_M5gmuhXZ6-LaxQxgrmJnzgP0"",""'TP# look up'!A:C""),3,0),"""")"),"")</f>
        <v/>
      </c>
      <c r="AH6126" s="49" t="str">
        <f t="shared" si="95"/>
        <v/>
      </c>
    </row>
    <row r="6127" spans="8:34" ht="12.75">
      <c r="H6127" s="43"/>
      <c r="AG6127" s="49" t="str">
        <f ca="1">IFERROR(__xludf.DUMMYFUNCTION("IFNA(vlookup(H6127,IMPORTRANGE(""1vUGwO1n0QQGx9kKbO0_M5gmuhXZ6-LaxQxgrmJnzgP0"",""'TP# look up'!A:C""),3,0),"""")"),"")</f>
        <v/>
      </c>
      <c r="AH6127" s="49" t="str">
        <f t="shared" si="95"/>
        <v/>
      </c>
    </row>
    <row r="6128" spans="8:34" ht="12.75">
      <c r="H6128" s="43"/>
      <c r="AG6128" s="49" t="str">
        <f ca="1">IFERROR(__xludf.DUMMYFUNCTION("IFNA(vlookup(H6128,IMPORTRANGE(""1vUGwO1n0QQGx9kKbO0_M5gmuhXZ6-LaxQxgrmJnzgP0"",""'TP# look up'!A:C""),3,0),"""")"),"")</f>
        <v/>
      </c>
      <c r="AH6128" s="49" t="str">
        <f t="shared" si="95"/>
        <v/>
      </c>
    </row>
    <row r="6129" spans="8:34" ht="12.75">
      <c r="H6129" s="43"/>
      <c r="AG6129" s="49" t="str">
        <f ca="1">IFERROR(__xludf.DUMMYFUNCTION("IFNA(vlookup(H6129,IMPORTRANGE(""1vUGwO1n0QQGx9kKbO0_M5gmuhXZ6-LaxQxgrmJnzgP0"",""'TP# look up'!A:C""),3,0),"""")"),"")</f>
        <v/>
      </c>
      <c r="AH6129" s="49" t="str">
        <f t="shared" si="95"/>
        <v/>
      </c>
    </row>
    <row r="6130" spans="8:34" ht="12.75">
      <c r="H6130" s="43"/>
      <c r="AG6130" s="49" t="str">
        <f ca="1">IFERROR(__xludf.DUMMYFUNCTION("IFNA(vlookup(H6130,IMPORTRANGE(""1vUGwO1n0QQGx9kKbO0_M5gmuhXZ6-LaxQxgrmJnzgP0"",""'TP# look up'!A:C""),3,0),"""")"),"")</f>
        <v/>
      </c>
      <c r="AH6130" s="49" t="str">
        <f t="shared" si="95"/>
        <v/>
      </c>
    </row>
    <row r="6131" spans="8:34" ht="12.75">
      <c r="H6131" s="43"/>
      <c r="AG6131" s="49" t="str">
        <f ca="1">IFERROR(__xludf.DUMMYFUNCTION("IFNA(vlookup(H6131,IMPORTRANGE(""1vUGwO1n0QQGx9kKbO0_M5gmuhXZ6-LaxQxgrmJnzgP0"",""'TP# look up'!A:C""),3,0),"""")"),"")</f>
        <v/>
      </c>
      <c r="AH6131" s="49" t="str">
        <f t="shared" si="95"/>
        <v/>
      </c>
    </row>
    <row r="6132" spans="8:34" ht="12.75">
      <c r="H6132" s="43"/>
      <c r="AG6132" s="49" t="str">
        <f ca="1">IFERROR(__xludf.DUMMYFUNCTION("IFNA(vlookup(H6132,IMPORTRANGE(""1vUGwO1n0QQGx9kKbO0_M5gmuhXZ6-LaxQxgrmJnzgP0"",""'TP# look up'!A:C""),3,0),"""")"),"")</f>
        <v/>
      </c>
      <c r="AH6132" s="49" t="str">
        <f t="shared" si="95"/>
        <v/>
      </c>
    </row>
    <row r="6133" spans="8:34" ht="12.75">
      <c r="H6133" s="43"/>
      <c r="AG6133" s="49" t="str">
        <f ca="1">IFERROR(__xludf.DUMMYFUNCTION("IFNA(vlookup(H6133,IMPORTRANGE(""1vUGwO1n0QQGx9kKbO0_M5gmuhXZ6-LaxQxgrmJnzgP0"",""'TP# look up'!A:C""),3,0),"""")"),"")</f>
        <v/>
      </c>
      <c r="AH6133" s="49" t="str">
        <f t="shared" si="95"/>
        <v/>
      </c>
    </row>
    <row r="6134" spans="8:34" ht="12.75">
      <c r="H6134" s="43"/>
      <c r="AG6134" s="49" t="str">
        <f ca="1">IFERROR(__xludf.DUMMYFUNCTION("IFNA(vlookup(H6134,IMPORTRANGE(""1vUGwO1n0QQGx9kKbO0_M5gmuhXZ6-LaxQxgrmJnzgP0"",""'TP# look up'!A:C""),3,0),"""")"),"")</f>
        <v/>
      </c>
      <c r="AH6134" s="49" t="str">
        <f t="shared" si="95"/>
        <v/>
      </c>
    </row>
    <row r="6135" spans="8:34" ht="12.75">
      <c r="H6135" s="43"/>
      <c r="AG6135" s="49" t="str">
        <f ca="1">IFERROR(__xludf.DUMMYFUNCTION("IFNA(vlookup(H6135,IMPORTRANGE(""1vUGwO1n0QQGx9kKbO0_M5gmuhXZ6-LaxQxgrmJnzgP0"",""'TP# look up'!A:C""),3,0),"""")"),"")</f>
        <v/>
      </c>
      <c r="AH6135" s="49" t="str">
        <f t="shared" si="95"/>
        <v/>
      </c>
    </row>
    <row r="6136" spans="8:34" ht="12.75">
      <c r="H6136" s="43"/>
      <c r="AG6136" s="49" t="str">
        <f ca="1">IFERROR(__xludf.DUMMYFUNCTION("IFNA(vlookup(H6136,IMPORTRANGE(""1vUGwO1n0QQGx9kKbO0_M5gmuhXZ6-LaxQxgrmJnzgP0"",""'TP# look up'!A:C""),3,0),"""")"),"")</f>
        <v/>
      </c>
      <c r="AH6136" s="49" t="str">
        <f t="shared" si="95"/>
        <v/>
      </c>
    </row>
    <row r="6137" spans="8:34" ht="12.75">
      <c r="H6137" s="43"/>
      <c r="AG6137" s="49" t="str">
        <f ca="1">IFERROR(__xludf.DUMMYFUNCTION("IFNA(vlookup(H6137,IMPORTRANGE(""1vUGwO1n0QQGx9kKbO0_M5gmuhXZ6-LaxQxgrmJnzgP0"",""'TP# look up'!A:C""),3,0),"""")"),"")</f>
        <v/>
      </c>
      <c r="AH6137" s="49" t="str">
        <f t="shared" si="95"/>
        <v/>
      </c>
    </row>
    <row r="6138" spans="8:34" ht="12.75">
      <c r="H6138" s="43"/>
      <c r="AG6138" s="49" t="str">
        <f ca="1">IFERROR(__xludf.DUMMYFUNCTION("IFNA(vlookup(H6138,IMPORTRANGE(""1vUGwO1n0QQGx9kKbO0_M5gmuhXZ6-LaxQxgrmJnzgP0"",""'TP# look up'!A:C""),3,0),"""")"),"")</f>
        <v/>
      </c>
      <c r="AH6138" s="49" t="str">
        <f t="shared" si="95"/>
        <v/>
      </c>
    </row>
    <row r="6139" spans="8:34" ht="12.75">
      <c r="H6139" s="43"/>
      <c r="AG6139" s="49" t="str">
        <f ca="1">IFERROR(__xludf.DUMMYFUNCTION("IFNA(vlookup(H6139,IMPORTRANGE(""1vUGwO1n0QQGx9kKbO0_M5gmuhXZ6-LaxQxgrmJnzgP0"",""'TP# look up'!A:C""),3,0),"""")"),"")</f>
        <v/>
      </c>
      <c r="AH6139" s="49" t="str">
        <f t="shared" si="95"/>
        <v/>
      </c>
    </row>
    <row r="6140" spans="8:34" ht="12.75">
      <c r="H6140" s="43"/>
      <c r="AG6140" s="49" t="str">
        <f ca="1">IFERROR(__xludf.DUMMYFUNCTION("IFNA(vlookup(H6140,IMPORTRANGE(""1vUGwO1n0QQGx9kKbO0_M5gmuhXZ6-LaxQxgrmJnzgP0"",""'TP# look up'!A:C""),3,0),"""")"),"")</f>
        <v/>
      </c>
      <c r="AH6140" s="49" t="str">
        <f t="shared" si="95"/>
        <v/>
      </c>
    </row>
    <row r="6141" spans="8:34" ht="12.75">
      <c r="H6141" s="43"/>
      <c r="AG6141" s="49" t="str">
        <f ca="1">IFERROR(__xludf.DUMMYFUNCTION("IFNA(vlookup(H6141,IMPORTRANGE(""1vUGwO1n0QQGx9kKbO0_M5gmuhXZ6-LaxQxgrmJnzgP0"",""'TP# look up'!A:C""),3,0),"""")"),"")</f>
        <v/>
      </c>
      <c r="AH6141" s="49" t="str">
        <f t="shared" si="95"/>
        <v/>
      </c>
    </row>
    <row r="6142" spans="8:34" ht="12.75">
      <c r="H6142" s="43"/>
      <c r="AG6142" s="49" t="str">
        <f ca="1">IFERROR(__xludf.DUMMYFUNCTION("IFNA(vlookup(H6142,IMPORTRANGE(""1vUGwO1n0QQGx9kKbO0_M5gmuhXZ6-LaxQxgrmJnzgP0"",""'TP# look up'!A:C""),3,0),"""")"),"")</f>
        <v/>
      </c>
      <c r="AH6142" s="49" t="str">
        <f t="shared" si="95"/>
        <v/>
      </c>
    </row>
    <row r="6143" spans="8:34" ht="12.75">
      <c r="H6143" s="43"/>
      <c r="AG6143" s="49" t="str">
        <f ca="1">IFERROR(__xludf.DUMMYFUNCTION("IFNA(vlookup(H6143,IMPORTRANGE(""1vUGwO1n0QQGx9kKbO0_M5gmuhXZ6-LaxQxgrmJnzgP0"",""'TP# look up'!A:C""),3,0),"""")"),"")</f>
        <v/>
      </c>
      <c r="AH6143" s="49" t="str">
        <f t="shared" si="95"/>
        <v/>
      </c>
    </row>
    <row r="6144" spans="8:34" ht="12.75">
      <c r="H6144" s="43"/>
      <c r="AG6144" s="49" t="str">
        <f ca="1">IFERROR(__xludf.DUMMYFUNCTION("IFNA(vlookup(H6144,IMPORTRANGE(""1vUGwO1n0QQGx9kKbO0_M5gmuhXZ6-LaxQxgrmJnzgP0"",""'TP# look up'!A:C""),3,0),"""")"),"")</f>
        <v/>
      </c>
      <c r="AH6144" s="49" t="str">
        <f t="shared" si="95"/>
        <v/>
      </c>
    </row>
    <row r="6145" spans="8:34" ht="12.75">
      <c r="H6145" s="43"/>
      <c r="AG6145" s="49" t="str">
        <f ca="1">IFERROR(__xludf.DUMMYFUNCTION("IFNA(vlookup(H6145,IMPORTRANGE(""1vUGwO1n0QQGx9kKbO0_M5gmuhXZ6-LaxQxgrmJnzgP0"",""'TP# look up'!A:C""),3,0),"""")"),"")</f>
        <v/>
      </c>
      <c r="AH6145" s="49" t="str">
        <f t="shared" si="95"/>
        <v/>
      </c>
    </row>
    <row r="6146" spans="8:34" ht="12.75">
      <c r="H6146" s="43"/>
      <c r="AG6146" s="49" t="str">
        <f ca="1">IFERROR(__xludf.DUMMYFUNCTION("IFNA(vlookup(H6146,IMPORTRANGE(""1vUGwO1n0QQGx9kKbO0_M5gmuhXZ6-LaxQxgrmJnzgP0"",""'TP# look up'!A:C""),3,0),"""")"),"")</f>
        <v/>
      </c>
      <c r="AH6146" s="49" t="str">
        <f t="shared" ref="AH6146:AH6209" si="96">LEFT(J6146,2)</f>
        <v/>
      </c>
    </row>
    <row r="6147" spans="8:34" ht="12.75">
      <c r="H6147" s="43"/>
      <c r="AG6147" s="49" t="str">
        <f ca="1">IFERROR(__xludf.DUMMYFUNCTION("IFNA(vlookup(H6147,IMPORTRANGE(""1vUGwO1n0QQGx9kKbO0_M5gmuhXZ6-LaxQxgrmJnzgP0"",""'TP# look up'!A:C""),3,0),"""")"),"")</f>
        <v/>
      </c>
      <c r="AH6147" s="49" t="str">
        <f t="shared" si="96"/>
        <v/>
      </c>
    </row>
    <row r="6148" spans="8:34" ht="12.75">
      <c r="H6148" s="43"/>
      <c r="AG6148" s="49" t="str">
        <f ca="1">IFERROR(__xludf.DUMMYFUNCTION("IFNA(vlookup(H6148,IMPORTRANGE(""1vUGwO1n0QQGx9kKbO0_M5gmuhXZ6-LaxQxgrmJnzgP0"",""'TP# look up'!A:C""),3,0),"""")"),"")</f>
        <v/>
      </c>
      <c r="AH6148" s="49" t="str">
        <f t="shared" si="96"/>
        <v/>
      </c>
    </row>
    <row r="6149" spans="8:34" ht="12.75">
      <c r="H6149" s="43"/>
      <c r="AG6149" s="49" t="str">
        <f ca="1">IFERROR(__xludf.DUMMYFUNCTION("IFNA(vlookup(H6149,IMPORTRANGE(""1vUGwO1n0QQGx9kKbO0_M5gmuhXZ6-LaxQxgrmJnzgP0"",""'TP# look up'!A:C""),3,0),"""")"),"")</f>
        <v/>
      </c>
      <c r="AH6149" s="49" t="str">
        <f t="shared" si="96"/>
        <v/>
      </c>
    </row>
    <row r="6150" spans="8:34" ht="12.75">
      <c r="H6150" s="43"/>
      <c r="AG6150" s="49" t="str">
        <f ca="1">IFERROR(__xludf.DUMMYFUNCTION("IFNA(vlookup(H6150,IMPORTRANGE(""1vUGwO1n0QQGx9kKbO0_M5gmuhXZ6-LaxQxgrmJnzgP0"",""'TP# look up'!A:C""),3,0),"""")"),"")</f>
        <v/>
      </c>
      <c r="AH6150" s="49" t="str">
        <f t="shared" si="96"/>
        <v/>
      </c>
    </row>
    <row r="6151" spans="8:34" ht="12.75">
      <c r="H6151" s="43"/>
      <c r="AG6151" s="49" t="str">
        <f ca="1">IFERROR(__xludf.DUMMYFUNCTION("IFNA(vlookup(H6151,IMPORTRANGE(""1vUGwO1n0QQGx9kKbO0_M5gmuhXZ6-LaxQxgrmJnzgP0"",""'TP# look up'!A:C""),3,0),"""")"),"")</f>
        <v/>
      </c>
      <c r="AH6151" s="49" t="str">
        <f t="shared" si="96"/>
        <v/>
      </c>
    </row>
    <row r="6152" spans="8:34" ht="12.75">
      <c r="H6152" s="43"/>
      <c r="AG6152" s="49" t="str">
        <f ca="1">IFERROR(__xludf.DUMMYFUNCTION("IFNA(vlookup(H6152,IMPORTRANGE(""1vUGwO1n0QQGx9kKbO0_M5gmuhXZ6-LaxQxgrmJnzgP0"",""'TP# look up'!A:C""),3,0),"""")"),"")</f>
        <v/>
      </c>
      <c r="AH6152" s="49" t="str">
        <f t="shared" si="96"/>
        <v/>
      </c>
    </row>
    <row r="6153" spans="8:34" ht="12.75">
      <c r="H6153" s="43"/>
      <c r="AG6153" s="49" t="str">
        <f ca="1">IFERROR(__xludf.DUMMYFUNCTION("IFNA(vlookup(H6153,IMPORTRANGE(""1vUGwO1n0QQGx9kKbO0_M5gmuhXZ6-LaxQxgrmJnzgP0"",""'TP# look up'!A:C""),3,0),"""")"),"")</f>
        <v/>
      </c>
      <c r="AH6153" s="49" t="str">
        <f t="shared" si="96"/>
        <v/>
      </c>
    </row>
    <row r="6154" spans="8:34" ht="12.75">
      <c r="H6154" s="43"/>
      <c r="AG6154" s="49" t="str">
        <f ca="1">IFERROR(__xludf.DUMMYFUNCTION("IFNA(vlookup(H6154,IMPORTRANGE(""1vUGwO1n0QQGx9kKbO0_M5gmuhXZ6-LaxQxgrmJnzgP0"",""'TP# look up'!A:C""),3,0),"""")"),"")</f>
        <v/>
      </c>
      <c r="AH6154" s="49" t="str">
        <f t="shared" si="96"/>
        <v/>
      </c>
    </row>
    <row r="6155" spans="8:34" ht="12.75">
      <c r="H6155" s="43"/>
      <c r="AG6155" s="49" t="str">
        <f ca="1">IFERROR(__xludf.DUMMYFUNCTION("IFNA(vlookup(H6155,IMPORTRANGE(""1vUGwO1n0QQGx9kKbO0_M5gmuhXZ6-LaxQxgrmJnzgP0"",""'TP# look up'!A:C""),3,0),"""")"),"")</f>
        <v/>
      </c>
      <c r="AH6155" s="49" t="str">
        <f t="shared" si="96"/>
        <v/>
      </c>
    </row>
    <row r="6156" spans="8:34" ht="12.75">
      <c r="H6156" s="43"/>
      <c r="AG6156" s="49" t="str">
        <f ca="1">IFERROR(__xludf.DUMMYFUNCTION("IFNA(vlookup(H6156,IMPORTRANGE(""1vUGwO1n0QQGx9kKbO0_M5gmuhXZ6-LaxQxgrmJnzgP0"",""'TP# look up'!A:C""),3,0),"""")"),"")</f>
        <v/>
      </c>
      <c r="AH6156" s="49" t="str">
        <f t="shared" si="96"/>
        <v/>
      </c>
    </row>
    <row r="6157" spans="8:34" ht="12.75">
      <c r="H6157" s="43"/>
      <c r="AG6157" s="49" t="str">
        <f ca="1">IFERROR(__xludf.DUMMYFUNCTION("IFNA(vlookup(H6157,IMPORTRANGE(""1vUGwO1n0QQGx9kKbO0_M5gmuhXZ6-LaxQxgrmJnzgP0"",""'TP# look up'!A:C""),3,0),"""")"),"")</f>
        <v/>
      </c>
      <c r="AH6157" s="49" t="str">
        <f t="shared" si="96"/>
        <v/>
      </c>
    </row>
    <row r="6158" spans="8:34" ht="12.75">
      <c r="H6158" s="43"/>
      <c r="AG6158" s="49" t="str">
        <f ca="1">IFERROR(__xludf.DUMMYFUNCTION("IFNA(vlookup(H6158,IMPORTRANGE(""1vUGwO1n0QQGx9kKbO0_M5gmuhXZ6-LaxQxgrmJnzgP0"",""'TP# look up'!A:C""),3,0),"""")"),"")</f>
        <v/>
      </c>
      <c r="AH6158" s="49" t="str">
        <f t="shared" si="96"/>
        <v/>
      </c>
    </row>
    <row r="6159" spans="8:34" ht="12.75">
      <c r="H6159" s="43"/>
      <c r="AG6159" s="49" t="str">
        <f ca="1">IFERROR(__xludf.DUMMYFUNCTION("IFNA(vlookup(H6159,IMPORTRANGE(""1vUGwO1n0QQGx9kKbO0_M5gmuhXZ6-LaxQxgrmJnzgP0"",""'TP# look up'!A:C""),3,0),"""")"),"")</f>
        <v/>
      </c>
      <c r="AH6159" s="49" t="str">
        <f t="shared" si="96"/>
        <v/>
      </c>
    </row>
    <row r="6160" spans="8:34" ht="12.75">
      <c r="H6160" s="43"/>
      <c r="AG6160" s="49" t="str">
        <f ca="1">IFERROR(__xludf.DUMMYFUNCTION("IFNA(vlookup(H6160,IMPORTRANGE(""1vUGwO1n0QQGx9kKbO0_M5gmuhXZ6-LaxQxgrmJnzgP0"",""'TP# look up'!A:C""),3,0),"""")"),"")</f>
        <v/>
      </c>
      <c r="AH6160" s="49" t="str">
        <f t="shared" si="96"/>
        <v/>
      </c>
    </row>
    <row r="6161" spans="8:34" ht="12.75">
      <c r="H6161" s="43"/>
      <c r="AG6161" s="49" t="str">
        <f ca="1">IFERROR(__xludf.DUMMYFUNCTION("IFNA(vlookup(H6161,IMPORTRANGE(""1vUGwO1n0QQGx9kKbO0_M5gmuhXZ6-LaxQxgrmJnzgP0"",""'TP# look up'!A:C""),3,0),"""")"),"")</f>
        <v/>
      </c>
      <c r="AH6161" s="49" t="str">
        <f t="shared" si="96"/>
        <v/>
      </c>
    </row>
    <row r="6162" spans="8:34" ht="12.75">
      <c r="H6162" s="43"/>
      <c r="AG6162" s="49" t="str">
        <f ca="1">IFERROR(__xludf.DUMMYFUNCTION("IFNA(vlookup(H6162,IMPORTRANGE(""1vUGwO1n0QQGx9kKbO0_M5gmuhXZ6-LaxQxgrmJnzgP0"",""'TP# look up'!A:C""),3,0),"""")"),"")</f>
        <v/>
      </c>
      <c r="AH6162" s="49" t="str">
        <f t="shared" si="96"/>
        <v/>
      </c>
    </row>
    <row r="6163" spans="8:34" ht="12.75">
      <c r="H6163" s="43"/>
      <c r="AG6163" s="49" t="str">
        <f ca="1">IFERROR(__xludf.DUMMYFUNCTION("IFNA(vlookup(H6163,IMPORTRANGE(""1vUGwO1n0QQGx9kKbO0_M5gmuhXZ6-LaxQxgrmJnzgP0"",""'TP# look up'!A:C""),3,0),"""")"),"")</f>
        <v/>
      </c>
      <c r="AH6163" s="49" t="str">
        <f t="shared" si="96"/>
        <v/>
      </c>
    </row>
    <row r="6164" spans="8:34" ht="12.75">
      <c r="H6164" s="43"/>
      <c r="AG6164" s="49" t="str">
        <f ca="1">IFERROR(__xludf.DUMMYFUNCTION("IFNA(vlookup(H6164,IMPORTRANGE(""1vUGwO1n0QQGx9kKbO0_M5gmuhXZ6-LaxQxgrmJnzgP0"",""'TP# look up'!A:C""),3,0),"""")"),"")</f>
        <v/>
      </c>
      <c r="AH6164" s="49" t="str">
        <f t="shared" si="96"/>
        <v/>
      </c>
    </row>
    <row r="6165" spans="8:34" ht="12.75">
      <c r="H6165" s="43"/>
      <c r="AG6165" s="49" t="str">
        <f ca="1">IFERROR(__xludf.DUMMYFUNCTION("IFNA(vlookup(H6165,IMPORTRANGE(""1vUGwO1n0QQGx9kKbO0_M5gmuhXZ6-LaxQxgrmJnzgP0"",""'TP# look up'!A:C""),3,0),"""")"),"")</f>
        <v/>
      </c>
      <c r="AH6165" s="49" t="str">
        <f t="shared" si="96"/>
        <v/>
      </c>
    </row>
    <row r="6166" spans="8:34" ht="12.75">
      <c r="H6166" s="43"/>
      <c r="AG6166" s="49" t="str">
        <f ca="1">IFERROR(__xludf.DUMMYFUNCTION("IFNA(vlookup(H6166,IMPORTRANGE(""1vUGwO1n0QQGx9kKbO0_M5gmuhXZ6-LaxQxgrmJnzgP0"",""'TP# look up'!A:C""),3,0),"""")"),"")</f>
        <v/>
      </c>
      <c r="AH6166" s="49" t="str">
        <f t="shared" si="96"/>
        <v/>
      </c>
    </row>
    <row r="6167" spans="8:34" ht="12.75">
      <c r="H6167" s="43"/>
      <c r="AG6167" s="49" t="str">
        <f ca="1">IFERROR(__xludf.DUMMYFUNCTION("IFNA(vlookup(H6167,IMPORTRANGE(""1vUGwO1n0QQGx9kKbO0_M5gmuhXZ6-LaxQxgrmJnzgP0"",""'TP# look up'!A:C""),3,0),"""")"),"")</f>
        <v/>
      </c>
      <c r="AH6167" s="49" t="str">
        <f t="shared" si="96"/>
        <v/>
      </c>
    </row>
    <row r="6168" spans="8:34" ht="12.75">
      <c r="H6168" s="43"/>
      <c r="AG6168" s="49" t="str">
        <f ca="1">IFERROR(__xludf.DUMMYFUNCTION("IFNA(vlookup(H6168,IMPORTRANGE(""1vUGwO1n0QQGx9kKbO0_M5gmuhXZ6-LaxQxgrmJnzgP0"",""'TP# look up'!A:C""),3,0),"""")"),"")</f>
        <v/>
      </c>
      <c r="AH6168" s="49" t="str">
        <f t="shared" si="96"/>
        <v/>
      </c>
    </row>
    <row r="6169" spans="8:34" ht="12.75">
      <c r="H6169" s="43"/>
      <c r="AG6169" s="49" t="str">
        <f ca="1">IFERROR(__xludf.DUMMYFUNCTION("IFNA(vlookup(H6169,IMPORTRANGE(""1vUGwO1n0QQGx9kKbO0_M5gmuhXZ6-LaxQxgrmJnzgP0"",""'TP# look up'!A:C""),3,0),"""")"),"")</f>
        <v/>
      </c>
      <c r="AH6169" s="49" t="str">
        <f t="shared" si="96"/>
        <v/>
      </c>
    </row>
    <row r="6170" spans="8:34" ht="12.75">
      <c r="H6170" s="43"/>
      <c r="AG6170" s="49" t="str">
        <f ca="1">IFERROR(__xludf.DUMMYFUNCTION("IFNA(vlookup(H6170,IMPORTRANGE(""1vUGwO1n0QQGx9kKbO0_M5gmuhXZ6-LaxQxgrmJnzgP0"",""'TP# look up'!A:C""),3,0),"""")"),"")</f>
        <v/>
      </c>
      <c r="AH6170" s="49" t="str">
        <f t="shared" si="96"/>
        <v/>
      </c>
    </row>
    <row r="6171" spans="8:34" ht="12.75">
      <c r="H6171" s="43"/>
      <c r="AG6171" s="49" t="str">
        <f ca="1">IFERROR(__xludf.DUMMYFUNCTION("IFNA(vlookup(H6171,IMPORTRANGE(""1vUGwO1n0QQGx9kKbO0_M5gmuhXZ6-LaxQxgrmJnzgP0"",""'TP# look up'!A:C""),3,0),"""")"),"")</f>
        <v/>
      </c>
      <c r="AH6171" s="49" t="str">
        <f t="shared" si="96"/>
        <v/>
      </c>
    </row>
    <row r="6172" spans="8:34" ht="12.75">
      <c r="H6172" s="43"/>
      <c r="AG6172" s="49" t="str">
        <f ca="1">IFERROR(__xludf.DUMMYFUNCTION("IFNA(vlookup(H6172,IMPORTRANGE(""1vUGwO1n0QQGx9kKbO0_M5gmuhXZ6-LaxQxgrmJnzgP0"",""'TP# look up'!A:C""),3,0),"""")"),"")</f>
        <v/>
      </c>
      <c r="AH6172" s="49" t="str">
        <f t="shared" si="96"/>
        <v/>
      </c>
    </row>
    <row r="6173" spans="8:34" ht="12.75">
      <c r="H6173" s="43"/>
      <c r="AG6173" s="49" t="str">
        <f ca="1">IFERROR(__xludf.DUMMYFUNCTION("IFNA(vlookup(H6173,IMPORTRANGE(""1vUGwO1n0QQGx9kKbO0_M5gmuhXZ6-LaxQxgrmJnzgP0"",""'TP# look up'!A:C""),3,0),"""")"),"")</f>
        <v/>
      </c>
      <c r="AH6173" s="49" t="str">
        <f t="shared" si="96"/>
        <v/>
      </c>
    </row>
    <row r="6174" spans="8:34" ht="12.75">
      <c r="H6174" s="43"/>
      <c r="AG6174" s="49" t="str">
        <f ca="1">IFERROR(__xludf.DUMMYFUNCTION("IFNA(vlookup(H6174,IMPORTRANGE(""1vUGwO1n0QQGx9kKbO0_M5gmuhXZ6-LaxQxgrmJnzgP0"",""'TP# look up'!A:C""),3,0),"""")"),"")</f>
        <v/>
      </c>
      <c r="AH6174" s="49" t="str">
        <f t="shared" si="96"/>
        <v/>
      </c>
    </row>
    <row r="6175" spans="8:34" ht="12.75">
      <c r="H6175" s="43"/>
      <c r="AG6175" s="49" t="str">
        <f ca="1">IFERROR(__xludf.DUMMYFUNCTION("IFNA(vlookup(H6175,IMPORTRANGE(""1vUGwO1n0QQGx9kKbO0_M5gmuhXZ6-LaxQxgrmJnzgP0"",""'TP# look up'!A:C""),3,0),"""")"),"")</f>
        <v/>
      </c>
      <c r="AH6175" s="49" t="str">
        <f t="shared" si="96"/>
        <v/>
      </c>
    </row>
    <row r="6176" spans="8:34" ht="12.75">
      <c r="H6176" s="43"/>
      <c r="AG6176" s="49" t="str">
        <f ca="1">IFERROR(__xludf.DUMMYFUNCTION("IFNA(vlookup(H6176,IMPORTRANGE(""1vUGwO1n0QQGx9kKbO0_M5gmuhXZ6-LaxQxgrmJnzgP0"",""'TP# look up'!A:C""),3,0),"""")"),"")</f>
        <v/>
      </c>
      <c r="AH6176" s="49" t="str">
        <f t="shared" si="96"/>
        <v/>
      </c>
    </row>
    <row r="6177" spans="8:34" ht="12.75">
      <c r="H6177" s="43"/>
      <c r="AG6177" s="49" t="str">
        <f ca="1">IFERROR(__xludf.DUMMYFUNCTION("IFNA(vlookup(H6177,IMPORTRANGE(""1vUGwO1n0QQGx9kKbO0_M5gmuhXZ6-LaxQxgrmJnzgP0"",""'TP# look up'!A:C""),3,0),"""")"),"")</f>
        <v/>
      </c>
      <c r="AH6177" s="49" t="str">
        <f t="shared" si="96"/>
        <v/>
      </c>
    </row>
    <row r="6178" spans="8:34" ht="12.75">
      <c r="H6178" s="43"/>
      <c r="AG6178" s="49" t="str">
        <f ca="1">IFERROR(__xludf.DUMMYFUNCTION("IFNA(vlookup(H6178,IMPORTRANGE(""1vUGwO1n0QQGx9kKbO0_M5gmuhXZ6-LaxQxgrmJnzgP0"",""'TP# look up'!A:C""),3,0),"""")"),"")</f>
        <v/>
      </c>
      <c r="AH6178" s="49" t="str">
        <f t="shared" si="96"/>
        <v/>
      </c>
    </row>
    <row r="6179" spans="8:34" ht="12.75">
      <c r="H6179" s="43"/>
      <c r="AG6179" s="49" t="str">
        <f ca="1">IFERROR(__xludf.DUMMYFUNCTION("IFNA(vlookup(H6179,IMPORTRANGE(""1vUGwO1n0QQGx9kKbO0_M5gmuhXZ6-LaxQxgrmJnzgP0"",""'TP# look up'!A:C""),3,0),"""")"),"")</f>
        <v/>
      </c>
      <c r="AH6179" s="49" t="str">
        <f t="shared" si="96"/>
        <v/>
      </c>
    </row>
    <row r="6180" spans="8:34" ht="12.75">
      <c r="H6180" s="43"/>
      <c r="AG6180" s="49" t="str">
        <f ca="1">IFERROR(__xludf.DUMMYFUNCTION("IFNA(vlookup(H6180,IMPORTRANGE(""1vUGwO1n0QQGx9kKbO0_M5gmuhXZ6-LaxQxgrmJnzgP0"",""'TP# look up'!A:C""),3,0),"""")"),"")</f>
        <v/>
      </c>
      <c r="AH6180" s="49" t="str">
        <f t="shared" si="96"/>
        <v/>
      </c>
    </row>
    <row r="6181" spans="8:34" ht="12.75">
      <c r="H6181" s="43"/>
      <c r="AG6181" s="49" t="str">
        <f ca="1">IFERROR(__xludf.DUMMYFUNCTION("IFNA(vlookup(H6181,IMPORTRANGE(""1vUGwO1n0QQGx9kKbO0_M5gmuhXZ6-LaxQxgrmJnzgP0"",""'TP# look up'!A:C""),3,0),"""")"),"")</f>
        <v/>
      </c>
      <c r="AH6181" s="49" t="str">
        <f t="shared" si="96"/>
        <v/>
      </c>
    </row>
    <row r="6182" spans="8:34" ht="12.75">
      <c r="H6182" s="43"/>
      <c r="AG6182" s="49" t="str">
        <f ca="1">IFERROR(__xludf.DUMMYFUNCTION("IFNA(vlookup(H6182,IMPORTRANGE(""1vUGwO1n0QQGx9kKbO0_M5gmuhXZ6-LaxQxgrmJnzgP0"",""'TP# look up'!A:C""),3,0),"""")"),"")</f>
        <v/>
      </c>
      <c r="AH6182" s="49" t="str">
        <f t="shared" si="96"/>
        <v/>
      </c>
    </row>
    <row r="6183" spans="8:34" ht="12.75">
      <c r="H6183" s="43"/>
      <c r="AG6183" s="49" t="str">
        <f ca="1">IFERROR(__xludf.DUMMYFUNCTION("IFNA(vlookup(H6183,IMPORTRANGE(""1vUGwO1n0QQGx9kKbO0_M5gmuhXZ6-LaxQxgrmJnzgP0"",""'TP# look up'!A:C""),3,0),"""")"),"")</f>
        <v/>
      </c>
      <c r="AH6183" s="49" t="str">
        <f t="shared" si="96"/>
        <v/>
      </c>
    </row>
    <row r="6184" spans="8:34" ht="12.75">
      <c r="H6184" s="43"/>
      <c r="AG6184" s="49" t="str">
        <f ca="1">IFERROR(__xludf.DUMMYFUNCTION("IFNA(vlookup(H6184,IMPORTRANGE(""1vUGwO1n0QQGx9kKbO0_M5gmuhXZ6-LaxQxgrmJnzgP0"",""'TP# look up'!A:C""),3,0),"""")"),"")</f>
        <v/>
      </c>
      <c r="AH6184" s="49" t="str">
        <f t="shared" si="96"/>
        <v/>
      </c>
    </row>
    <row r="6185" spans="8:34" ht="12.75">
      <c r="H6185" s="43"/>
      <c r="AG6185" s="49" t="str">
        <f ca="1">IFERROR(__xludf.DUMMYFUNCTION("IFNA(vlookup(H6185,IMPORTRANGE(""1vUGwO1n0QQGx9kKbO0_M5gmuhXZ6-LaxQxgrmJnzgP0"",""'TP# look up'!A:C""),3,0),"""")"),"")</f>
        <v/>
      </c>
      <c r="AH6185" s="49" t="str">
        <f t="shared" si="96"/>
        <v/>
      </c>
    </row>
    <row r="6186" spans="8:34" ht="12.75">
      <c r="H6186" s="43"/>
      <c r="AG6186" s="49" t="str">
        <f ca="1">IFERROR(__xludf.DUMMYFUNCTION("IFNA(vlookup(H6186,IMPORTRANGE(""1vUGwO1n0QQGx9kKbO0_M5gmuhXZ6-LaxQxgrmJnzgP0"",""'TP# look up'!A:C""),3,0),"""")"),"")</f>
        <v/>
      </c>
      <c r="AH6186" s="49" t="str">
        <f t="shared" si="96"/>
        <v/>
      </c>
    </row>
    <row r="6187" spans="8:34" ht="12.75">
      <c r="H6187" s="43"/>
      <c r="AG6187" s="49" t="str">
        <f ca="1">IFERROR(__xludf.DUMMYFUNCTION("IFNA(vlookup(H6187,IMPORTRANGE(""1vUGwO1n0QQGx9kKbO0_M5gmuhXZ6-LaxQxgrmJnzgP0"",""'TP# look up'!A:C""),3,0),"""")"),"")</f>
        <v/>
      </c>
      <c r="AH6187" s="49" t="str">
        <f t="shared" si="96"/>
        <v/>
      </c>
    </row>
    <row r="6188" spans="8:34" ht="12.75">
      <c r="H6188" s="43"/>
      <c r="AG6188" s="49" t="str">
        <f ca="1">IFERROR(__xludf.DUMMYFUNCTION("IFNA(vlookup(H6188,IMPORTRANGE(""1vUGwO1n0QQGx9kKbO0_M5gmuhXZ6-LaxQxgrmJnzgP0"",""'TP# look up'!A:C""),3,0),"""")"),"")</f>
        <v/>
      </c>
      <c r="AH6188" s="49" t="str">
        <f t="shared" si="96"/>
        <v/>
      </c>
    </row>
    <row r="6189" spans="8:34" ht="12.75">
      <c r="H6189" s="43"/>
      <c r="AG6189" s="49" t="str">
        <f ca="1">IFERROR(__xludf.DUMMYFUNCTION("IFNA(vlookup(H6189,IMPORTRANGE(""1vUGwO1n0QQGx9kKbO0_M5gmuhXZ6-LaxQxgrmJnzgP0"",""'TP# look up'!A:C""),3,0),"""")"),"")</f>
        <v/>
      </c>
      <c r="AH6189" s="49" t="str">
        <f t="shared" si="96"/>
        <v/>
      </c>
    </row>
    <row r="6190" spans="8:34" ht="12.75">
      <c r="H6190" s="43"/>
      <c r="AG6190" s="49" t="str">
        <f ca="1">IFERROR(__xludf.DUMMYFUNCTION("IFNA(vlookup(H6190,IMPORTRANGE(""1vUGwO1n0QQGx9kKbO0_M5gmuhXZ6-LaxQxgrmJnzgP0"",""'TP# look up'!A:C""),3,0),"""")"),"")</f>
        <v/>
      </c>
      <c r="AH6190" s="49" t="str">
        <f t="shared" si="96"/>
        <v/>
      </c>
    </row>
    <row r="6191" spans="8:34" ht="12.75">
      <c r="H6191" s="43"/>
      <c r="AG6191" s="49" t="str">
        <f ca="1">IFERROR(__xludf.DUMMYFUNCTION("IFNA(vlookup(H6191,IMPORTRANGE(""1vUGwO1n0QQGx9kKbO0_M5gmuhXZ6-LaxQxgrmJnzgP0"",""'TP# look up'!A:C""),3,0),"""")"),"")</f>
        <v/>
      </c>
      <c r="AH6191" s="49" t="str">
        <f t="shared" si="96"/>
        <v/>
      </c>
    </row>
    <row r="6192" spans="8:34" ht="12.75">
      <c r="H6192" s="43"/>
      <c r="AG6192" s="49" t="str">
        <f ca="1">IFERROR(__xludf.DUMMYFUNCTION("IFNA(vlookup(H6192,IMPORTRANGE(""1vUGwO1n0QQGx9kKbO0_M5gmuhXZ6-LaxQxgrmJnzgP0"",""'TP# look up'!A:C""),3,0),"""")"),"")</f>
        <v/>
      </c>
      <c r="AH6192" s="49" t="str">
        <f t="shared" si="96"/>
        <v/>
      </c>
    </row>
    <row r="6193" spans="8:34" ht="12.75">
      <c r="H6193" s="43"/>
      <c r="AG6193" s="49" t="str">
        <f ca="1">IFERROR(__xludf.DUMMYFUNCTION("IFNA(vlookup(H6193,IMPORTRANGE(""1vUGwO1n0QQGx9kKbO0_M5gmuhXZ6-LaxQxgrmJnzgP0"",""'TP# look up'!A:C""),3,0),"""")"),"")</f>
        <v/>
      </c>
      <c r="AH6193" s="49" t="str">
        <f t="shared" si="96"/>
        <v/>
      </c>
    </row>
    <row r="6194" spans="8:34" ht="12.75">
      <c r="H6194" s="43"/>
      <c r="AG6194" s="49" t="str">
        <f ca="1">IFERROR(__xludf.DUMMYFUNCTION("IFNA(vlookup(H6194,IMPORTRANGE(""1vUGwO1n0QQGx9kKbO0_M5gmuhXZ6-LaxQxgrmJnzgP0"",""'TP# look up'!A:C""),3,0),"""")"),"")</f>
        <v/>
      </c>
      <c r="AH6194" s="49" t="str">
        <f t="shared" si="96"/>
        <v/>
      </c>
    </row>
    <row r="6195" spans="8:34" ht="12.75">
      <c r="H6195" s="43"/>
      <c r="AG6195" s="49" t="str">
        <f ca="1">IFERROR(__xludf.DUMMYFUNCTION("IFNA(vlookup(H6195,IMPORTRANGE(""1vUGwO1n0QQGx9kKbO0_M5gmuhXZ6-LaxQxgrmJnzgP0"",""'TP# look up'!A:C""),3,0),"""")"),"")</f>
        <v/>
      </c>
      <c r="AH6195" s="49" t="str">
        <f t="shared" si="96"/>
        <v/>
      </c>
    </row>
    <row r="6196" spans="8:34" ht="12.75">
      <c r="H6196" s="43"/>
      <c r="AG6196" s="49" t="str">
        <f ca="1">IFERROR(__xludf.DUMMYFUNCTION("IFNA(vlookup(H6196,IMPORTRANGE(""1vUGwO1n0QQGx9kKbO0_M5gmuhXZ6-LaxQxgrmJnzgP0"",""'TP# look up'!A:C""),3,0),"""")"),"")</f>
        <v/>
      </c>
      <c r="AH6196" s="49" t="str">
        <f t="shared" si="96"/>
        <v/>
      </c>
    </row>
    <row r="6197" spans="8:34" ht="12.75">
      <c r="H6197" s="43"/>
      <c r="AG6197" s="49" t="str">
        <f ca="1">IFERROR(__xludf.DUMMYFUNCTION("IFNA(vlookup(H6197,IMPORTRANGE(""1vUGwO1n0QQGx9kKbO0_M5gmuhXZ6-LaxQxgrmJnzgP0"",""'TP# look up'!A:C""),3,0),"""")"),"")</f>
        <v/>
      </c>
      <c r="AH6197" s="49" t="str">
        <f t="shared" si="96"/>
        <v/>
      </c>
    </row>
    <row r="6198" spans="8:34" ht="12.75">
      <c r="H6198" s="43"/>
      <c r="AG6198" s="49" t="str">
        <f ca="1">IFERROR(__xludf.DUMMYFUNCTION("IFNA(vlookup(H6198,IMPORTRANGE(""1vUGwO1n0QQGx9kKbO0_M5gmuhXZ6-LaxQxgrmJnzgP0"",""'TP# look up'!A:C""),3,0),"""")"),"")</f>
        <v/>
      </c>
      <c r="AH6198" s="49" t="str">
        <f t="shared" si="96"/>
        <v/>
      </c>
    </row>
    <row r="6199" spans="8:34" ht="12.75">
      <c r="H6199" s="43"/>
      <c r="AG6199" s="49" t="str">
        <f ca="1">IFERROR(__xludf.DUMMYFUNCTION("IFNA(vlookup(H6199,IMPORTRANGE(""1vUGwO1n0QQGx9kKbO0_M5gmuhXZ6-LaxQxgrmJnzgP0"",""'TP# look up'!A:C""),3,0),"""")"),"")</f>
        <v/>
      </c>
      <c r="AH6199" s="49" t="str">
        <f t="shared" si="96"/>
        <v/>
      </c>
    </row>
    <row r="6200" spans="8:34" ht="12.75">
      <c r="H6200" s="43"/>
      <c r="AG6200" s="49" t="str">
        <f ca="1">IFERROR(__xludf.DUMMYFUNCTION("IFNA(vlookup(H6200,IMPORTRANGE(""1vUGwO1n0QQGx9kKbO0_M5gmuhXZ6-LaxQxgrmJnzgP0"",""'TP# look up'!A:C""),3,0),"""")"),"")</f>
        <v/>
      </c>
      <c r="AH6200" s="49" t="str">
        <f t="shared" si="96"/>
        <v/>
      </c>
    </row>
    <row r="6201" spans="8:34" ht="12.75">
      <c r="H6201" s="43"/>
      <c r="AG6201" s="49" t="str">
        <f ca="1">IFERROR(__xludf.DUMMYFUNCTION("IFNA(vlookup(H6201,IMPORTRANGE(""1vUGwO1n0QQGx9kKbO0_M5gmuhXZ6-LaxQxgrmJnzgP0"",""'TP# look up'!A:C""),3,0),"""")"),"")</f>
        <v/>
      </c>
      <c r="AH6201" s="49" t="str">
        <f t="shared" si="96"/>
        <v/>
      </c>
    </row>
    <row r="6202" spans="8:34" ht="12.75">
      <c r="H6202" s="43"/>
      <c r="AG6202" s="49" t="str">
        <f ca="1">IFERROR(__xludf.DUMMYFUNCTION("IFNA(vlookup(H6202,IMPORTRANGE(""1vUGwO1n0QQGx9kKbO0_M5gmuhXZ6-LaxQxgrmJnzgP0"",""'TP# look up'!A:C""),3,0),"""")"),"")</f>
        <v/>
      </c>
      <c r="AH6202" s="49" t="str">
        <f t="shared" si="96"/>
        <v/>
      </c>
    </row>
    <row r="6203" spans="8:34" ht="12.75">
      <c r="H6203" s="43"/>
      <c r="AG6203" s="49" t="str">
        <f ca="1">IFERROR(__xludf.DUMMYFUNCTION("IFNA(vlookup(H6203,IMPORTRANGE(""1vUGwO1n0QQGx9kKbO0_M5gmuhXZ6-LaxQxgrmJnzgP0"",""'TP# look up'!A:C""),3,0),"""")"),"")</f>
        <v/>
      </c>
      <c r="AH6203" s="49" t="str">
        <f t="shared" si="96"/>
        <v/>
      </c>
    </row>
    <row r="6204" spans="8:34" ht="12.75">
      <c r="H6204" s="43"/>
      <c r="AG6204" s="49" t="str">
        <f ca="1">IFERROR(__xludf.DUMMYFUNCTION("IFNA(vlookup(H6204,IMPORTRANGE(""1vUGwO1n0QQGx9kKbO0_M5gmuhXZ6-LaxQxgrmJnzgP0"",""'TP# look up'!A:C""),3,0),"""")"),"")</f>
        <v/>
      </c>
      <c r="AH6204" s="49" t="str">
        <f t="shared" si="96"/>
        <v/>
      </c>
    </row>
    <row r="6205" spans="8:34" ht="12.75">
      <c r="H6205" s="43"/>
      <c r="AG6205" s="49" t="str">
        <f ca="1">IFERROR(__xludf.DUMMYFUNCTION("IFNA(vlookup(H6205,IMPORTRANGE(""1vUGwO1n0QQGx9kKbO0_M5gmuhXZ6-LaxQxgrmJnzgP0"",""'TP# look up'!A:C""),3,0),"""")"),"")</f>
        <v/>
      </c>
      <c r="AH6205" s="49" t="str">
        <f t="shared" si="96"/>
        <v/>
      </c>
    </row>
    <row r="6206" spans="8:34" ht="12.75">
      <c r="H6206" s="43"/>
      <c r="AG6206" s="49" t="str">
        <f ca="1">IFERROR(__xludf.DUMMYFUNCTION("IFNA(vlookup(H6206,IMPORTRANGE(""1vUGwO1n0QQGx9kKbO0_M5gmuhXZ6-LaxQxgrmJnzgP0"",""'TP# look up'!A:C""),3,0),"""")"),"")</f>
        <v/>
      </c>
      <c r="AH6206" s="49" t="str">
        <f t="shared" si="96"/>
        <v/>
      </c>
    </row>
    <row r="6207" spans="8:34" ht="12.75">
      <c r="H6207" s="43"/>
      <c r="AG6207" s="49" t="str">
        <f ca="1">IFERROR(__xludf.DUMMYFUNCTION("IFNA(vlookup(H6207,IMPORTRANGE(""1vUGwO1n0QQGx9kKbO0_M5gmuhXZ6-LaxQxgrmJnzgP0"",""'TP# look up'!A:C""),3,0),"""")"),"")</f>
        <v/>
      </c>
      <c r="AH6207" s="49" t="str">
        <f t="shared" si="96"/>
        <v/>
      </c>
    </row>
    <row r="6208" spans="8:34" ht="12.75">
      <c r="H6208" s="43"/>
      <c r="AG6208" s="49" t="str">
        <f ca="1">IFERROR(__xludf.DUMMYFUNCTION("IFNA(vlookup(H6208,IMPORTRANGE(""1vUGwO1n0QQGx9kKbO0_M5gmuhXZ6-LaxQxgrmJnzgP0"",""'TP# look up'!A:C""),3,0),"""")"),"")</f>
        <v/>
      </c>
      <c r="AH6208" s="49" t="str">
        <f t="shared" si="96"/>
        <v/>
      </c>
    </row>
    <row r="6209" spans="8:34" ht="12.75">
      <c r="H6209" s="43"/>
      <c r="AG6209" s="49" t="str">
        <f ca="1">IFERROR(__xludf.DUMMYFUNCTION("IFNA(vlookup(H6209,IMPORTRANGE(""1vUGwO1n0QQGx9kKbO0_M5gmuhXZ6-LaxQxgrmJnzgP0"",""'TP# look up'!A:C""),3,0),"""")"),"")</f>
        <v/>
      </c>
      <c r="AH6209" s="49" t="str">
        <f t="shared" si="96"/>
        <v/>
      </c>
    </row>
    <row r="6210" spans="8:34" ht="12.75">
      <c r="H6210" s="43"/>
      <c r="AG6210" s="49" t="str">
        <f ca="1">IFERROR(__xludf.DUMMYFUNCTION("IFNA(vlookup(H6210,IMPORTRANGE(""1vUGwO1n0QQGx9kKbO0_M5gmuhXZ6-LaxQxgrmJnzgP0"",""'TP# look up'!A:C""),3,0),"""")"),"")</f>
        <v/>
      </c>
      <c r="AH6210" s="49" t="str">
        <f t="shared" ref="AH6210:AH6273" si="97">LEFT(J6210,2)</f>
        <v/>
      </c>
    </row>
    <row r="6211" spans="8:34" ht="12.75">
      <c r="H6211" s="43"/>
      <c r="AG6211" s="49" t="str">
        <f ca="1">IFERROR(__xludf.DUMMYFUNCTION("IFNA(vlookup(H6211,IMPORTRANGE(""1vUGwO1n0QQGx9kKbO0_M5gmuhXZ6-LaxQxgrmJnzgP0"",""'TP# look up'!A:C""),3,0),"""")"),"")</f>
        <v/>
      </c>
      <c r="AH6211" s="49" t="str">
        <f t="shared" si="97"/>
        <v/>
      </c>
    </row>
    <row r="6212" spans="8:34" ht="12.75">
      <c r="H6212" s="43"/>
      <c r="AG6212" s="49" t="str">
        <f ca="1">IFERROR(__xludf.DUMMYFUNCTION("IFNA(vlookup(H6212,IMPORTRANGE(""1vUGwO1n0QQGx9kKbO0_M5gmuhXZ6-LaxQxgrmJnzgP0"",""'TP# look up'!A:C""),3,0),"""")"),"")</f>
        <v/>
      </c>
      <c r="AH6212" s="49" t="str">
        <f t="shared" si="97"/>
        <v/>
      </c>
    </row>
    <row r="6213" spans="8:34" ht="12.75">
      <c r="H6213" s="43"/>
      <c r="AG6213" s="49" t="str">
        <f ca="1">IFERROR(__xludf.DUMMYFUNCTION("IFNA(vlookup(H6213,IMPORTRANGE(""1vUGwO1n0QQGx9kKbO0_M5gmuhXZ6-LaxQxgrmJnzgP0"",""'TP# look up'!A:C""),3,0),"""")"),"")</f>
        <v/>
      </c>
      <c r="AH6213" s="49" t="str">
        <f t="shared" si="97"/>
        <v/>
      </c>
    </row>
    <row r="6214" spans="8:34" ht="12.75">
      <c r="H6214" s="43"/>
      <c r="AG6214" s="49" t="str">
        <f ca="1">IFERROR(__xludf.DUMMYFUNCTION("IFNA(vlookup(H6214,IMPORTRANGE(""1vUGwO1n0QQGx9kKbO0_M5gmuhXZ6-LaxQxgrmJnzgP0"",""'TP# look up'!A:C""),3,0),"""")"),"")</f>
        <v/>
      </c>
      <c r="AH6214" s="49" t="str">
        <f t="shared" si="97"/>
        <v/>
      </c>
    </row>
    <row r="6215" spans="8:34" ht="12.75">
      <c r="H6215" s="43"/>
      <c r="AG6215" s="49" t="str">
        <f ca="1">IFERROR(__xludf.DUMMYFUNCTION("IFNA(vlookup(H6215,IMPORTRANGE(""1vUGwO1n0QQGx9kKbO0_M5gmuhXZ6-LaxQxgrmJnzgP0"",""'TP# look up'!A:C""),3,0),"""")"),"")</f>
        <v/>
      </c>
      <c r="AH6215" s="49" t="str">
        <f t="shared" si="97"/>
        <v/>
      </c>
    </row>
    <row r="6216" spans="8:34" ht="12.75">
      <c r="H6216" s="43"/>
      <c r="AG6216" s="49" t="str">
        <f ca="1">IFERROR(__xludf.DUMMYFUNCTION("IFNA(vlookup(H6216,IMPORTRANGE(""1vUGwO1n0QQGx9kKbO0_M5gmuhXZ6-LaxQxgrmJnzgP0"",""'TP# look up'!A:C""),3,0),"""")"),"")</f>
        <v/>
      </c>
      <c r="AH6216" s="49" t="str">
        <f t="shared" si="97"/>
        <v/>
      </c>
    </row>
    <row r="6217" spans="8:34" ht="12.75">
      <c r="H6217" s="43"/>
      <c r="AG6217" s="49" t="str">
        <f ca="1">IFERROR(__xludf.DUMMYFUNCTION("IFNA(vlookup(H6217,IMPORTRANGE(""1vUGwO1n0QQGx9kKbO0_M5gmuhXZ6-LaxQxgrmJnzgP0"",""'TP# look up'!A:C""),3,0),"""")"),"")</f>
        <v/>
      </c>
      <c r="AH6217" s="49" t="str">
        <f t="shared" si="97"/>
        <v/>
      </c>
    </row>
    <row r="6218" spans="8:34" ht="12.75">
      <c r="H6218" s="43"/>
      <c r="AG6218" s="49" t="str">
        <f ca="1">IFERROR(__xludf.DUMMYFUNCTION("IFNA(vlookup(H6218,IMPORTRANGE(""1vUGwO1n0QQGx9kKbO0_M5gmuhXZ6-LaxQxgrmJnzgP0"",""'TP# look up'!A:C""),3,0),"""")"),"")</f>
        <v/>
      </c>
      <c r="AH6218" s="49" t="str">
        <f t="shared" si="97"/>
        <v/>
      </c>
    </row>
    <row r="6219" spans="8:34" ht="12.75">
      <c r="H6219" s="43"/>
      <c r="AG6219" s="49" t="str">
        <f ca="1">IFERROR(__xludf.DUMMYFUNCTION("IFNA(vlookup(H6219,IMPORTRANGE(""1vUGwO1n0QQGx9kKbO0_M5gmuhXZ6-LaxQxgrmJnzgP0"",""'TP# look up'!A:C""),3,0),"""")"),"")</f>
        <v/>
      </c>
      <c r="AH6219" s="49" t="str">
        <f t="shared" si="97"/>
        <v/>
      </c>
    </row>
    <row r="6220" spans="8:34" ht="12.75">
      <c r="H6220" s="43"/>
      <c r="AG6220" s="49" t="str">
        <f ca="1">IFERROR(__xludf.DUMMYFUNCTION("IFNA(vlookup(H6220,IMPORTRANGE(""1vUGwO1n0QQGx9kKbO0_M5gmuhXZ6-LaxQxgrmJnzgP0"",""'TP# look up'!A:C""),3,0),"""")"),"")</f>
        <v/>
      </c>
      <c r="AH6220" s="49" t="str">
        <f t="shared" si="97"/>
        <v/>
      </c>
    </row>
    <row r="6221" spans="8:34" ht="12.75">
      <c r="H6221" s="43"/>
      <c r="AG6221" s="49" t="str">
        <f ca="1">IFERROR(__xludf.DUMMYFUNCTION("IFNA(vlookup(H6221,IMPORTRANGE(""1vUGwO1n0QQGx9kKbO0_M5gmuhXZ6-LaxQxgrmJnzgP0"",""'TP# look up'!A:C""),3,0),"""")"),"")</f>
        <v/>
      </c>
      <c r="AH6221" s="49" t="str">
        <f t="shared" si="97"/>
        <v/>
      </c>
    </row>
    <row r="6222" spans="8:34" ht="12.75">
      <c r="H6222" s="43"/>
      <c r="AG6222" s="49" t="str">
        <f ca="1">IFERROR(__xludf.DUMMYFUNCTION("IFNA(vlookup(H6222,IMPORTRANGE(""1vUGwO1n0QQGx9kKbO0_M5gmuhXZ6-LaxQxgrmJnzgP0"",""'TP# look up'!A:C""),3,0),"""")"),"")</f>
        <v/>
      </c>
      <c r="AH6222" s="49" t="str">
        <f t="shared" si="97"/>
        <v/>
      </c>
    </row>
    <row r="6223" spans="8:34" ht="12.75">
      <c r="H6223" s="43"/>
      <c r="AG6223" s="49" t="str">
        <f ca="1">IFERROR(__xludf.DUMMYFUNCTION("IFNA(vlookup(H6223,IMPORTRANGE(""1vUGwO1n0QQGx9kKbO0_M5gmuhXZ6-LaxQxgrmJnzgP0"",""'TP# look up'!A:C""),3,0),"""")"),"")</f>
        <v/>
      </c>
      <c r="AH6223" s="49" t="str">
        <f t="shared" si="97"/>
        <v/>
      </c>
    </row>
    <row r="6224" spans="8:34" ht="12.75">
      <c r="H6224" s="43"/>
      <c r="AG6224" s="49" t="str">
        <f ca="1">IFERROR(__xludf.DUMMYFUNCTION("IFNA(vlookup(H6224,IMPORTRANGE(""1vUGwO1n0QQGx9kKbO0_M5gmuhXZ6-LaxQxgrmJnzgP0"",""'TP# look up'!A:C""),3,0),"""")"),"")</f>
        <v/>
      </c>
      <c r="AH6224" s="49" t="str">
        <f t="shared" si="97"/>
        <v/>
      </c>
    </row>
    <row r="6225" spans="8:34" ht="12.75">
      <c r="H6225" s="43"/>
      <c r="AG6225" s="49" t="str">
        <f ca="1">IFERROR(__xludf.DUMMYFUNCTION("IFNA(vlookup(H6225,IMPORTRANGE(""1vUGwO1n0QQGx9kKbO0_M5gmuhXZ6-LaxQxgrmJnzgP0"",""'TP# look up'!A:C""),3,0),"""")"),"")</f>
        <v/>
      </c>
      <c r="AH6225" s="49" t="str">
        <f t="shared" si="97"/>
        <v/>
      </c>
    </row>
    <row r="6226" spans="8:34" ht="12.75">
      <c r="H6226" s="43"/>
      <c r="AG6226" s="49" t="str">
        <f ca="1">IFERROR(__xludf.DUMMYFUNCTION("IFNA(vlookup(H6226,IMPORTRANGE(""1vUGwO1n0QQGx9kKbO0_M5gmuhXZ6-LaxQxgrmJnzgP0"",""'TP# look up'!A:C""),3,0),"""")"),"")</f>
        <v/>
      </c>
      <c r="AH6226" s="49" t="str">
        <f t="shared" si="97"/>
        <v/>
      </c>
    </row>
    <row r="6227" spans="8:34" ht="12.75">
      <c r="H6227" s="43"/>
      <c r="AG6227" s="49" t="str">
        <f ca="1">IFERROR(__xludf.DUMMYFUNCTION("IFNA(vlookup(H6227,IMPORTRANGE(""1vUGwO1n0QQGx9kKbO0_M5gmuhXZ6-LaxQxgrmJnzgP0"",""'TP# look up'!A:C""),3,0),"""")"),"")</f>
        <v/>
      </c>
      <c r="AH6227" s="49" t="str">
        <f t="shared" si="97"/>
        <v/>
      </c>
    </row>
    <row r="6228" spans="8:34" ht="12.75">
      <c r="H6228" s="43"/>
      <c r="AG6228" s="49" t="str">
        <f ca="1">IFERROR(__xludf.DUMMYFUNCTION("IFNA(vlookup(H6228,IMPORTRANGE(""1vUGwO1n0QQGx9kKbO0_M5gmuhXZ6-LaxQxgrmJnzgP0"",""'TP# look up'!A:C""),3,0),"""")"),"")</f>
        <v/>
      </c>
      <c r="AH6228" s="49" t="str">
        <f t="shared" si="97"/>
        <v/>
      </c>
    </row>
    <row r="6229" spans="8:34" ht="12.75">
      <c r="H6229" s="43"/>
      <c r="AG6229" s="49" t="str">
        <f ca="1">IFERROR(__xludf.DUMMYFUNCTION("IFNA(vlookup(H6229,IMPORTRANGE(""1vUGwO1n0QQGx9kKbO0_M5gmuhXZ6-LaxQxgrmJnzgP0"",""'TP# look up'!A:C""),3,0),"""")"),"")</f>
        <v/>
      </c>
      <c r="AH6229" s="49" t="str">
        <f t="shared" si="97"/>
        <v/>
      </c>
    </row>
    <row r="6230" spans="8:34" ht="12.75">
      <c r="H6230" s="43"/>
      <c r="AG6230" s="49" t="str">
        <f ca="1">IFERROR(__xludf.DUMMYFUNCTION("IFNA(vlookup(H6230,IMPORTRANGE(""1vUGwO1n0QQGx9kKbO0_M5gmuhXZ6-LaxQxgrmJnzgP0"",""'TP# look up'!A:C""),3,0),"""")"),"")</f>
        <v/>
      </c>
      <c r="AH6230" s="49" t="str">
        <f t="shared" si="97"/>
        <v/>
      </c>
    </row>
    <row r="6231" spans="8:34" ht="12.75">
      <c r="H6231" s="43"/>
      <c r="AG6231" s="49" t="str">
        <f ca="1">IFERROR(__xludf.DUMMYFUNCTION("IFNA(vlookup(H6231,IMPORTRANGE(""1vUGwO1n0QQGx9kKbO0_M5gmuhXZ6-LaxQxgrmJnzgP0"",""'TP# look up'!A:C""),3,0),"""")"),"")</f>
        <v/>
      </c>
      <c r="AH6231" s="49" t="str">
        <f t="shared" si="97"/>
        <v/>
      </c>
    </row>
    <row r="6232" spans="8:34" ht="12.75">
      <c r="H6232" s="43"/>
      <c r="AG6232" s="49" t="str">
        <f ca="1">IFERROR(__xludf.DUMMYFUNCTION("IFNA(vlookup(H6232,IMPORTRANGE(""1vUGwO1n0QQGx9kKbO0_M5gmuhXZ6-LaxQxgrmJnzgP0"",""'TP# look up'!A:C""),3,0),"""")"),"")</f>
        <v/>
      </c>
      <c r="AH6232" s="49" t="str">
        <f t="shared" si="97"/>
        <v/>
      </c>
    </row>
    <row r="6233" spans="8:34" ht="12.75">
      <c r="H6233" s="43"/>
      <c r="AG6233" s="49" t="str">
        <f ca="1">IFERROR(__xludf.DUMMYFUNCTION("IFNA(vlookup(H6233,IMPORTRANGE(""1vUGwO1n0QQGx9kKbO0_M5gmuhXZ6-LaxQxgrmJnzgP0"",""'TP# look up'!A:C""),3,0),"""")"),"")</f>
        <v/>
      </c>
      <c r="AH6233" s="49" t="str">
        <f t="shared" si="97"/>
        <v/>
      </c>
    </row>
    <row r="6234" spans="8:34" ht="12.75">
      <c r="H6234" s="43"/>
      <c r="AG6234" s="49" t="str">
        <f ca="1">IFERROR(__xludf.DUMMYFUNCTION("IFNA(vlookup(H6234,IMPORTRANGE(""1vUGwO1n0QQGx9kKbO0_M5gmuhXZ6-LaxQxgrmJnzgP0"",""'TP# look up'!A:C""),3,0),"""")"),"")</f>
        <v/>
      </c>
      <c r="AH6234" s="49" t="str">
        <f t="shared" si="97"/>
        <v/>
      </c>
    </row>
    <row r="6235" spans="8:34" ht="12.75">
      <c r="H6235" s="43"/>
      <c r="AG6235" s="49" t="str">
        <f ca="1">IFERROR(__xludf.DUMMYFUNCTION("IFNA(vlookup(H6235,IMPORTRANGE(""1vUGwO1n0QQGx9kKbO0_M5gmuhXZ6-LaxQxgrmJnzgP0"",""'TP# look up'!A:C""),3,0),"""")"),"")</f>
        <v/>
      </c>
      <c r="AH6235" s="49" t="str">
        <f t="shared" si="97"/>
        <v/>
      </c>
    </row>
    <row r="6236" spans="8:34" ht="12.75">
      <c r="H6236" s="43"/>
      <c r="AG6236" s="49" t="str">
        <f ca="1">IFERROR(__xludf.DUMMYFUNCTION("IFNA(vlookup(H6236,IMPORTRANGE(""1vUGwO1n0QQGx9kKbO0_M5gmuhXZ6-LaxQxgrmJnzgP0"",""'TP# look up'!A:C""),3,0),"""")"),"")</f>
        <v/>
      </c>
      <c r="AH6236" s="49" t="str">
        <f t="shared" si="97"/>
        <v/>
      </c>
    </row>
    <row r="6237" spans="8:34" ht="12.75">
      <c r="H6237" s="43"/>
      <c r="AG6237" s="49" t="str">
        <f ca="1">IFERROR(__xludf.DUMMYFUNCTION("IFNA(vlookup(H6237,IMPORTRANGE(""1vUGwO1n0QQGx9kKbO0_M5gmuhXZ6-LaxQxgrmJnzgP0"",""'TP# look up'!A:C""),3,0),"""")"),"")</f>
        <v/>
      </c>
      <c r="AH6237" s="49" t="str">
        <f t="shared" si="97"/>
        <v/>
      </c>
    </row>
    <row r="6238" spans="8:34" ht="12.75">
      <c r="H6238" s="43"/>
      <c r="AG6238" s="49" t="str">
        <f ca="1">IFERROR(__xludf.DUMMYFUNCTION("IFNA(vlookup(H6238,IMPORTRANGE(""1vUGwO1n0QQGx9kKbO0_M5gmuhXZ6-LaxQxgrmJnzgP0"",""'TP# look up'!A:C""),3,0),"""")"),"")</f>
        <v/>
      </c>
      <c r="AH6238" s="49" t="str">
        <f t="shared" si="97"/>
        <v/>
      </c>
    </row>
    <row r="6239" spans="8:34" ht="12.75">
      <c r="H6239" s="43"/>
      <c r="AG6239" s="49" t="str">
        <f ca="1">IFERROR(__xludf.DUMMYFUNCTION("IFNA(vlookup(H6239,IMPORTRANGE(""1vUGwO1n0QQGx9kKbO0_M5gmuhXZ6-LaxQxgrmJnzgP0"",""'TP# look up'!A:C""),3,0),"""")"),"")</f>
        <v/>
      </c>
      <c r="AH6239" s="49" t="str">
        <f t="shared" si="97"/>
        <v/>
      </c>
    </row>
    <row r="6240" spans="8:34" ht="12.75">
      <c r="H6240" s="43"/>
      <c r="AG6240" s="49" t="str">
        <f ca="1">IFERROR(__xludf.DUMMYFUNCTION("IFNA(vlookup(H6240,IMPORTRANGE(""1vUGwO1n0QQGx9kKbO0_M5gmuhXZ6-LaxQxgrmJnzgP0"",""'TP# look up'!A:C""),3,0),"""")"),"")</f>
        <v/>
      </c>
      <c r="AH6240" s="49" t="str">
        <f t="shared" si="97"/>
        <v/>
      </c>
    </row>
    <row r="6241" spans="8:34" ht="12.75">
      <c r="H6241" s="43"/>
      <c r="AG6241" s="49" t="str">
        <f ca="1">IFERROR(__xludf.DUMMYFUNCTION("IFNA(vlookup(H6241,IMPORTRANGE(""1vUGwO1n0QQGx9kKbO0_M5gmuhXZ6-LaxQxgrmJnzgP0"",""'TP# look up'!A:C""),3,0),"""")"),"")</f>
        <v/>
      </c>
      <c r="AH6241" s="49" t="str">
        <f t="shared" si="97"/>
        <v/>
      </c>
    </row>
    <row r="6242" spans="8:34" ht="12.75">
      <c r="H6242" s="43"/>
      <c r="AG6242" s="49" t="str">
        <f ca="1">IFERROR(__xludf.DUMMYFUNCTION("IFNA(vlookup(H6242,IMPORTRANGE(""1vUGwO1n0QQGx9kKbO0_M5gmuhXZ6-LaxQxgrmJnzgP0"",""'TP# look up'!A:C""),3,0),"""")"),"")</f>
        <v/>
      </c>
      <c r="AH6242" s="49" t="str">
        <f t="shared" si="97"/>
        <v/>
      </c>
    </row>
    <row r="6243" spans="8:34" ht="12.75">
      <c r="H6243" s="43"/>
      <c r="AG6243" s="49" t="str">
        <f ca="1">IFERROR(__xludf.DUMMYFUNCTION("IFNA(vlookup(H6243,IMPORTRANGE(""1vUGwO1n0QQGx9kKbO0_M5gmuhXZ6-LaxQxgrmJnzgP0"",""'TP# look up'!A:C""),3,0),"""")"),"")</f>
        <v/>
      </c>
      <c r="AH6243" s="49" t="str">
        <f t="shared" si="97"/>
        <v/>
      </c>
    </row>
    <row r="6244" spans="8:34" ht="12.75">
      <c r="H6244" s="43"/>
      <c r="AG6244" s="49" t="str">
        <f ca="1">IFERROR(__xludf.DUMMYFUNCTION("IFNA(vlookup(H6244,IMPORTRANGE(""1vUGwO1n0QQGx9kKbO0_M5gmuhXZ6-LaxQxgrmJnzgP0"",""'TP# look up'!A:C""),3,0),"""")"),"")</f>
        <v/>
      </c>
      <c r="AH6244" s="49" t="str">
        <f t="shared" si="97"/>
        <v/>
      </c>
    </row>
    <row r="6245" spans="8:34" ht="12.75">
      <c r="H6245" s="43"/>
      <c r="AG6245" s="49" t="str">
        <f ca="1">IFERROR(__xludf.DUMMYFUNCTION("IFNA(vlookup(H6245,IMPORTRANGE(""1vUGwO1n0QQGx9kKbO0_M5gmuhXZ6-LaxQxgrmJnzgP0"",""'TP# look up'!A:C""),3,0),"""")"),"")</f>
        <v/>
      </c>
      <c r="AH6245" s="49" t="str">
        <f t="shared" si="97"/>
        <v/>
      </c>
    </row>
    <row r="6246" spans="8:34" ht="12.75">
      <c r="H6246" s="43"/>
      <c r="AG6246" s="49" t="str">
        <f ca="1">IFERROR(__xludf.DUMMYFUNCTION("IFNA(vlookup(H6246,IMPORTRANGE(""1vUGwO1n0QQGx9kKbO0_M5gmuhXZ6-LaxQxgrmJnzgP0"",""'TP# look up'!A:C""),3,0),"""")"),"")</f>
        <v/>
      </c>
      <c r="AH6246" s="49" t="str">
        <f t="shared" si="97"/>
        <v/>
      </c>
    </row>
    <row r="6247" spans="8:34" ht="12.75">
      <c r="H6247" s="43"/>
      <c r="AG6247" s="49" t="str">
        <f ca="1">IFERROR(__xludf.DUMMYFUNCTION("IFNA(vlookup(H6247,IMPORTRANGE(""1vUGwO1n0QQGx9kKbO0_M5gmuhXZ6-LaxQxgrmJnzgP0"",""'TP# look up'!A:C""),3,0),"""")"),"")</f>
        <v/>
      </c>
      <c r="AH6247" s="49" t="str">
        <f t="shared" si="97"/>
        <v/>
      </c>
    </row>
    <row r="6248" spans="8:34" ht="12.75">
      <c r="H6248" s="43"/>
      <c r="AG6248" s="49" t="str">
        <f ca="1">IFERROR(__xludf.DUMMYFUNCTION("IFNA(vlookup(H6248,IMPORTRANGE(""1vUGwO1n0QQGx9kKbO0_M5gmuhXZ6-LaxQxgrmJnzgP0"",""'TP# look up'!A:C""),3,0),"""")"),"")</f>
        <v/>
      </c>
      <c r="AH6248" s="49" t="str">
        <f t="shared" si="97"/>
        <v/>
      </c>
    </row>
    <row r="6249" spans="8:34" ht="12.75">
      <c r="H6249" s="43"/>
      <c r="AG6249" s="49" t="str">
        <f ca="1">IFERROR(__xludf.DUMMYFUNCTION("IFNA(vlookup(H6249,IMPORTRANGE(""1vUGwO1n0QQGx9kKbO0_M5gmuhXZ6-LaxQxgrmJnzgP0"",""'TP# look up'!A:C""),3,0),"""")"),"")</f>
        <v/>
      </c>
      <c r="AH6249" s="49" t="str">
        <f t="shared" si="97"/>
        <v/>
      </c>
    </row>
    <row r="6250" spans="8:34" ht="12.75">
      <c r="H6250" s="43"/>
      <c r="AG6250" s="49" t="str">
        <f ca="1">IFERROR(__xludf.DUMMYFUNCTION("IFNA(vlookup(H6250,IMPORTRANGE(""1vUGwO1n0QQGx9kKbO0_M5gmuhXZ6-LaxQxgrmJnzgP0"",""'TP# look up'!A:C""),3,0),"""")"),"")</f>
        <v/>
      </c>
      <c r="AH6250" s="49" t="str">
        <f t="shared" si="97"/>
        <v/>
      </c>
    </row>
    <row r="6251" spans="8:34" ht="12.75">
      <c r="H6251" s="43"/>
      <c r="AG6251" s="49" t="str">
        <f ca="1">IFERROR(__xludf.DUMMYFUNCTION("IFNA(vlookup(H6251,IMPORTRANGE(""1vUGwO1n0QQGx9kKbO0_M5gmuhXZ6-LaxQxgrmJnzgP0"",""'TP# look up'!A:C""),3,0),"""")"),"")</f>
        <v/>
      </c>
      <c r="AH6251" s="49" t="str">
        <f t="shared" si="97"/>
        <v/>
      </c>
    </row>
    <row r="6252" spans="8:34" ht="12.75">
      <c r="H6252" s="43"/>
      <c r="AG6252" s="49" t="str">
        <f ca="1">IFERROR(__xludf.DUMMYFUNCTION("IFNA(vlookup(H6252,IMPORTRANGE(""1vUGwO1n0QQGx9kKbO0_M5gmuhXZ6-LaxQxgrmJnzgP0"",""'TP# look up'!A:C""),3,0),"""")"),"")</f>
        <v/>
      </c>
      <c r="AH6252" s="49" t="str">
        <f t="shared" si="97"/>
        <v/>
      </c>
    </row>
    <row r="6253" spans="8:34" ht="12.75">
      <c r="H6253" s="43"/>
      <c r="AG6253" s="49" t="str">
        <f ca="1">IFERROR(__xludf.DUMMYFUNCTION("IFNA(vlookup(H6253,IMPORTRANGE(""1vUGwO1n0QQGx9kKbO0_M5gmuhXZ6-LaxQxgrmJnzgP0"",""'TP# look up'!A:C""),3,0),"""")"),"")</f>
        <v/>
      </c>
      <c r="AH6253" s="49" t="str">
        <f t="shared" si="97"/>
        <v/>
      </c>
    </row>
    <row r="6254" spans="8:34" ht="12.75">
      <c r="H6254" s="43"/>
      <c r="AG6254" s="49" t="str">
        <f ca="1">IFERROR(__xludf.DUMMYFUNCTION("IFNA(vlookup(H6254,IMPORTRANGE(""1vUGwO1n0QQGx9kKbO0_M5gmuhXZ6-LaxQxgrmJnzgP0"",""'TP# look up'!A:C""),3,0),"""")"),"")</f>
        <v/>
      </c>
      <c r="AH6254" s="49" t="str">
        <f t="shared" si="97"/>
        <v/>
      </c>
    </row>
    <row r="6255" spans="8:34" ht="12.75">
      <c r="H6255" s="43"/>
      <c r="AG6255" s="49" t="str">
        <f ca="1">IFERROR(__xludf.DUMMYFUNCTION("IFNA(vlookup(H6255,IMPORTRANGE(""1vUGwO1n0QQGx9kKbO0_M5gmuhXZ6-LaxQxgrmJnzgP0"",""'TP# look up'!A:C""),3,0),"""")"),"")</f>
        <v/>
      </c>
      <c r="AH6255" s="49" t="str">
        <f t="shared" si="97"/>
        <v/>
      </c>
    </row>
    <row r="6256" spans="8:34" ht="12.75">
      <c r="H6256" s="43"/>
      <c r="AG6256" s="49" t="str">
        <f ca="1">IFERROR(__xludf.DUMMYFUNCTION("IFNA(vlookup(H6256,IMPORTRANGE(""1vUGwO1n0QQGx9kKbO0_M5gmuhXZ6-LaxQxgrmJnzgP0"",""'TP# look up'!A:C""),3,0),"""")"),"")</f>
        <v/>
      </c>
      <c r="AH6256" s="49" t="str">
        <f t="shared" si="97"/>
        <v/>
      </c>
    </row>
    <row r="6257" spans="8:34" ht="12.75">
      <c r="H6257" s="43"/>
      <c r="AG6257" s="49" t="str">
        <f ca="1">IFERROR(__xludf.DUMMYFUNCTION("IFNA(vlookup(H6257,IMPORTRANGE(""1vUGwO1n0QQGx9kKbO0_M5gmuhXZ6-LaxQxgrmJnzgP0"",""'TP# look up'!A:C""),3,0),"""")"),"")</f>
        <v/>
      </c>
      <c r="AH6257" s="49" t="str">
        <f t="shared" si="97"/>
        <v/>
      </c>
    </row>
    <row r="6258" spans="8:34" ht="12.75">
      <c r="H6258" s="43"/>
      <c r="AG6258" s="49" t="str">
        <f ca="1">IFERROR(__xludf.DUMMYFUNCTION("IFNA(vlookup(H6258,IMPORTRANGE(""1vUGwO1n0QQGx9kKbO0_M5gmuhXZ6-LaxQxgrmJnzgP0"",""'TP# look up'!A:C""),3,0),"""")"),"")</f>
        <v/>
      </c>
      <c r="AH6258" s="49" t="str">
        <f t="shared" si="97"/>
        <v/>
      </c>
    </row>
    <row r="6259" spans="8:34" ht="12.75">
      <c r="H6259" s="43"/>
      <c r="AG6259" s="49" t="str">
        <f ca="1">IFERROR(__xludf.DUMMYFUNCTION("IFNA(vlookup(H6259,IMPORTRANGE(""1vUGwO1n0QQGx9kKbO0_M5gmuhXZ6-LaxQxgrmJnzgP0"",""'TP# look up'!A:C""),3,0),"""")"),"")</f>
        <v/>
      </c>
      <c r="AH6259" s="49" t="str">
        <f t="shared" si="97"/>
        <v/>
      </c>
    </row>
    <row r="6260" spans="8:34" ht="12.75">
      <c r="H6260" s="43"/>
      <c r="AG6260" s="49" t="str">
        <f ca="1">IFERROR(__xludf.DUMMYFUNCTION("IFNA(vlookup(H6260,IMPORTRANGE(""1vUGwO1n0QQGx9kKbO0_M5gmuhXZ6-LaxQxgrmJnzgP0"",""'TP# look up'!A:C""),3,0),"""")"),"")</f>
        <v/>
      </c>
      <c r="AH6260" s="49" t="str">
        <f t="shared" si="97"/>
        <v/>
      </c>
    </row>
    <row r="6261" spans="8:34" ht="12.75">
      <c r="H6261" s="43"/>
      <c r="AG6261" s="49" t="str">
        <f ca="1">IFERROR(__xludf.DUMMYFUNCTION("IFNA(vlookup(H6261,IMPORTRANGE(""1vUGwO1n0QQGx9kKbO0_M5gmuhXZ6-LaxQxgrmJnzgP0"",""'TP# look up'!A:C""),3,0),"""")"),"")</f>
        <v/>
      </c>
      <c r="AH6261" s="49" t="str">
        <f t="shared" si="97"/>
        <v/>
      </c>
    </row>
    <row r="6262" spans="8:34" ht="12.75">
      <c r="H6262" s="43"/>
      <c r="AG6262" s="49" t="str">
        <f ca="1">IFERROR(__xludf.DUMMYFUNCTION("IFNA(vlookup(H6262,IMPORTRANGE(""1vUGwO1n0QQGx9kKbO0_M5gmuhXZ6-LaxQxgrmJnzgP0"",""'TP# look up'!A:C""),3,0),"""")"),"")</f>
        <v/>
      </c>
      <c r="AH6262" s="49" t="str">
        <f t="shared" si="97"/>
        <v/>
      </c>
    </row>
    <row r="6263" spans="8:34" ht="12.75">
      <c r="H6263" s="43"/>
      <c r="AG6263" s="49" t="str">
        <f ca="1">IFERROR(__xludf.DUMMYFUNCTION("IFNA(vlookup(H6263,IMPORTRANGE(""1vUGwO1n0QQGx9kKbO0_M5gmuhXZ6-LaxQxgrmJnzgP0"",""'TP# look up'!A:C""),3,0),"""")"),"")</f>
        <v/>
      </c>
      <c r="AH6263" s="49" t="str">
        <f t="shared" si="97"/>
        <v/>
      </c>
    </row>
    <row r="6264" spans="8:34" ht="12.75">
      <c r="H6264" s="43"/>
      <c r="AG6264" s="49" t="str">
        <f ca="1">IFERROR(__xludf.DUMMYFUNCTION("IFNA(vlookup(H6264,IMPORTRANGE(""1vUGwO1n0QQGx9kKbO0_M5gmuhXZ6-LaxQxgrmJnzgP0"",""'TP# look up'!A:C""),3,0),"""")"),"")</f>
        <v/>
      </c>
      <c r="AH6264" s="49" t="str">
        <f t="shared" si="97"/>
        <v/>
      </c>
    </row>
    <row r="6265" spans="8:34" ht="12.75">
      <c r="H6265" s="43"/>
      <c r="AG6265" s="49" t="str">
        <f ca="1">IFERROR(__xludf.DUMMYFUNCTION("IFNA(vlookup(H6265,IMPORTRANGE(""1vUGwO1n0QQGx9kKbO0_M5gmuhXZ6-LaxQxgrmJnzgP0"",""'TP# look up'!A:C""),3,0),"""")"),"")</f>
        <v/>
      </c>
      <c r="AH6265" s="49" t="str">
        <f t="shared" si="97"/>
        <v/>
      </c>
    </row>
    <row r="6266" spans="8:34" ht="12.75">
      <c r="H6266" s="43"/>
      <c r="AG6266" s="49" t="str">
        <f ca="1">IFERROR(__xludf.DUMMYFUNCTION("IFNA(vlookup(H6266,IMPORTRANGE(""1vUGwO1n0QQGx9kKbO0_M5gmuhXZ6-LaxQxgrmJnzgP0"",""'TP# look up'!A:C""),3,0),"""")"),"")</f>
        <v/>
      </c>
      <c r="AH6266" s="49" t="str">
        <f t="shared" si="97"/>
        <v/>
      </c>
    </row>
    <row r="6267" spans="8:34" ht="12.75">
      <c r="H6267" s="43"/>
      <c r="AG6267" s="49" t="str">
        <f ca="1">IFERROR(__xludf.DUMMYFUNCTION("IFNA(vlookup(H6267,IMPORTRANGE(""1vUGwO1n0QQGx9kKbO0_M5gmuhXZ6-LaxQxgrmJnzgP0"",""'TP# look up'!A:C""),3,0),"""")"),"")</f>
        <v/>
      </c>
      <c r="AH6267" s="49" t="str">
        <f t="shared" si="97"/>
        <v/>
      </c>
    </row>
    <row r="6268" spans="8:34" ht="12.75">
      <c r="H6268" s="43"/>
      <c r="AG6268" s="49" t="str">
        <f ca="1">IFERROR(__xludf.DUMMYFUNCTION("IFNA(vlookup(H6268,IMPORTRANGE(""1vUGwO1n0QQGx9kKbO0_M5gmuhXZ6-LaxQxgrmJnzgP0"",""'TP# look up'!A:C""),3,0),"""")"),"")</f>
        <v/>
      </c>
      <c r="AH6268" s="49" t="str">
        <f t="shared" si="97"/>
        <v/>
      </c>
    </row>
    <row r="6269" spans="8:34" ht="12.75">
      <c r="H6269" s="43"/>
      <c r="AG6269" s="49" t="str">
        <f ca="1">IFERROR(__xludf.DUMMYFUNCTION("IFNA(vlookup(H6269,IMPORTRANGE(""1vUGwO1n0QQGx9kKbO0_M5gmuhXZ6-LaxQxgrmJnzgP0"",""'TP# look up'!A:C""),3,0),"""")"),"")</f>
        <v/>
      </c>
      <c r="AH6269" s="49" t="str">
        <f t="shared" si="97"/>
        <v/>
      </c>
    </row>
    <row r="6270" spans="8:34" ht="12.75">
      <c r="H6270" s="43"/>
      <c r="AG6270" s="49" t="str">
        <f ca="1">IFERROR(__xludf.DUMMYFUNCTION("IFNA(vlookup(H6270,IMPORTRANGE(""1vUGwO1n0QQGx9kKbO0_M5gmuhXZ6-LaxQxgrmJnzgP0"",""'TP# look up'!A:C""),3,0),"""")"),"")</f>
        <v/>
      </c>
      <c r="AH6270" s="49" t="str">
        <f t="shared" si="97"/>
        <v/>
      </c>
    </row>
    <row r="6271" spans="8:34" ht="12.75">
      <c r="H6271" s="43"/>
      <c r="AG6271" s="49" t="str">
        <f ca="1">IFERROR(__xludf.DUMMYFUNCTION("IFNA(vlookup(H6271,IMPORTRANGE(""1vUGwO1n0QQGx9kKbO0_M5gmuhXZ6-LaxQxgrmJnzgP0"",""'TP# look up'!A:C""),3,0),"""")"),"")</f>
        <v/>
      </c>
      <c r="AH6271" s="49" t="str">
        <f t="shared" si="97"/>
        <v/>
      </c>
    </row>
    <row r="6272" spans="8:34" ht="12.75">
      <c r="H6272" s="43"/>
      <c r="AG6272" s="49" t="str">
        <f ca="1">IFERROR(__xludf.DUMMYFUNCTION("IFNA(vlookup(H6272,IMPORTRANGE(""1vUGwO1n0QQGx9kKbO0_M5gmuhXZ6-LaxQxgrmJnzgP0"",""'TP# look up'!A:C""),3,0),"""")"),"")</f>
        <v/>
      </c>
      <c r="AH6272" s="49" t="str">
        <f t="shared" si="97"/>
        <v/>
      </c>
    </row>
    <row r="6273" spans="8:34" ht="12.75">
      <c r="H6273" s="43"/>
      <c r="AG6273" s="49" t="str">
        <f ca="1">IFERROR(__xludf.DUMMYFUNCTION("IFNA(vlookup(H6273,IMPORTRANGE(""1vUGwO1n0QQGx9kKbO0_M5gmuhXZ6-LaxQxgrmJnzgP0"",""'TP# look up'!A:C""),3,0),"""")"),"")</f>
        <v/>
      </c>
      <c r="AH6273" s="49" t="str">
        <f t="shared" si="97"/>
        <v/>
      </c>
    </row>
    <row r="6274" spans="8:34" ht="12.75">
      <c r="H6274" s="43"/>
      <c r="AG6274" s="49" t="str">
        <f ca="1">IFERROR(__xludf.DUMMYFUNCTION("IFNA(vlookup(H6274,IMPORTRANGE(""1vUGwO1n0QQGx9kKbO0_M5gmuhXZ6-LaxQxgrmJnzgP0"",""'TP# look up'!A:C""),3,0),"""")"),"")</f>
        <v/>
      </c>
      <c r="AH6274" s="49" t="str">
        <f t="shared" ref="AH6274:AH6337" si="98">LEFT(J6274,2)</f>
        <v/>
      </c>
    </row>
    <row r="6275" spans="8:34" ht="12.75">
      <c r="H6275" s="43"/>
      <c r="AG6275" s="49" t="str">
        <f ca="1">IFERROR(__xludf.DUMMYFUNCTION("IFNA(vlookup(H6275,IMPORTRANGE(""1vUGwO1n0QQGx9kKbO0_M5gmuhXZ6-LaxQxgrmJnzgP0"",""'TP# look up'!A:C""),3,0),"""")"),"")</f>
        <v/>
      </c>
      <c r="AH6275" s="49" t="str">
        <f t="shared" si="98"/>
        <v/>
      </c>
    </row>
    <row r="6276" spans="8:34" ht="12.75">
      <c r="H6276" s="43"/>
      <c r="AG6276" s="49" t="str">
        <f ca="1">IFERROR(__xludf.DUMMYFUNCTION("IFNA(vlookup(H6276,IMPORTRANGE(""1vUGwO1n0QQGx9kKbO0_M5gmuhXZ6-LaxQxgrmJnzgP0"",""'TP# look up'!A:C""),3,0),"""")"),"")</f>
        <v/>
      </c>
      <c r="AH6276" s="49" t="str">
        <f t="shared" si="98"/>
        <v/>
      </c>
    </row>
    <row r="6277" spans="8:34" ht="12.75">
      <c r="H6277" s="43"/>
      <c r="AG6277" s="49" t="str">
        <f ca="1">IFERROR(__xludf.DUMMYFUNCTION("IFNA(vlookup(H6277,IMPORTRANGE(""1vUGwO1n0QQGx9kKbO0_M5gmuhXZ6-LaxQxgrmJnzgP0"",""'TP# look up'!A:C""),3,0),"""")"),"")</f>
        <v/>
      </c>
      <c r="AH6277" s="49" t="str">
        <f t="shared" si="98"/>
        <v/>
      </c>
    </row>
    <row r="6278" spans="8:34" ht="12.75">
      <c r="H6278" s="43"/>
      <c r="AG6278" s="49" t="str">
        <f ca="1">IFERROR(__xludf.DUMMYFUNCTION("IFNA(vlookup(H6278,IMPORTRANGE(""1vUGwO1n0QQGx9kKbO0_M5gmuhXZ6-LaxQxgrmJnzgP0"",""'TP# look up'!A:C""),3,0),"""")"),"")</f>
        <v/>
      </c>
      <c r="AH6278" s="49" t="str">
        <f t="shared" si="98"/>
        <v/>
      </c>
    </row>
    <row r="6279" spans="8:34" ht="12.75">
      <c r="H6279" s="43"/>
      <c r="AG6279" s="49" t="str">
        <f ca="1">IFERROR(__xludf.DUMMYFUNCTION("IFNA(vlookup(H6279,IMPORTRANGE(""1vUGwO1n0QQGx9kKbO0_M5gmuhXZ6-LaxQxgrmJnzgP0"",""'TP# look up'!A:C""),3,0),"""")"),"")</f>
        <v/>
      </c>
      <c r="AH6279" s="49" t="str">
        <f t="shared" si="98"/>
        <v/>
      </c>
    </row>
    <row r="6280" spans="8:34" ht="12.75">
      <c r="H6280" s="43"/>
      <c r="AG6280" s="49" t="str">
        <f ca="1">IFERROR(__xludf.DUMMYFUNCTION("IFNA(vlookup(H6280,IMPORTRANGE(""1vUGwO1n0QQGx9kKbO0_M5gmuhXZ6-LaxQxgrmJnzgP0"",""'TP# look up'!A:C""),3,0),"""")"),"")</f>
        <v/>
      </c>
      <c r="AH6280" s="49" t="str">
        <f t="shared" si="98"/>
        <v/>
      </c>
    </row>
    <row r="6281" spans="8:34" ht="12.75">
      <c r="H6281" s="43"/>
      <c r="AG6281" s="49" t="str">
        <f ca="1">IFERROR(__xludf.DUMMYFUNCTION("IFNA(vlookup(H6281,IMPORTRANGE(""1vUGwO1n0QQGx9kKbO0_M5gmuhXZ6-LaxQxgrmJnzgP0"",""'TP# look up'!A:C""),3,0),"""")"),"")</f>
        <v/>
      </c>
      <c r="AH6281" s="49" t="str">
        <f t="shared" si="98"/>
        <v/>
      </c>
    </row>
    <row r="6282" spans="8:34" ht="12.75">
      <c r="H6282" s="43"/>
      <c r="AG6282" s="49" t="str">
        <f ca="1">IFERROR(__xludf.DUMMYFUNCTION("IFNA(vlookup(H6282,IMPORTRANGE(""1vUGwO1n0QQGx9kKbO0_M5gmuhXZ6-LaxQxgrmJnzgP0"",""'TP# look up'!A:C""),3,0),"""")"),"")</f>
        <v/>
      </c>
      <c r="AH6282" s="49" t="str">
        <f t="shared" si="98"/>
        <v/>
      </c>
    </row>
    <row r="6283" spans="8:34" ht="12.75">
      <c r="H6283" s="43"/>
      <c r="AG6283" s="49" t="str">
        <f ca="1">IFERROR(__xludf.DUMMYFUNCTION("IFNA(vlookup(H6283,IMPORTRANGE(""1vUGwO1n0QQGx9kKbO0_M5gmuhXZ6-LaxQxgrmJnzgP0"",""'TP# look up'!A:C""),3,0),"""")"),"")</f>
        <v/>
      </c>
      <c r="AH6283" s="49" t="str">
        <f t="shared" si="98"/>
        <v/>
      </c>
    </row>
    <row r="6284" spans="8:34" ht="12.75">
      <c r="H6284" s="43"/>
      <c r="AG6284" s="49" t="str">
        <f ca="1">IFERROR(__xludf.DUMMYFUNCTION("IFNA(vlookup(H6284,IMPORTRANGE(""1vUGwO1n0QQGx9kKbO0_M5gmuhXZ6-LaxQxgrmJnzgP0"",""'TP# look up'!A:C""),3,0),"""")"),"")</f>
        <v/>
      </c>
      <c r="AH6284" s="49" t="str">
        <f t="shared" si="98"/>
        <v/>
      </c>
    </row>
    <row r="6285" spans="8:34" ht="12.75">
      <c r="H6285" s="43"/>
      <c r="AG6285" s="49" t="str">
        <f ca="1">IFERROR(__xludf.DUMMYFUNCTION("IFNA(vlookup(H6285,IMPORTRANGE(""1vUGwO1n0QQGx9kKbO0_M5gmuhXZ6-LaxQxgrmJnzgP0"",""'TP# look up'!A:C""),3,0),"""")"),"")</f>
        <v/>
      </c>
      <c r="AH6285" s="49" t="str">
        <f t="shared" si="98"/>
        <v/>
      </c>
    </row>
    <row r="6286" spans="8:34" ht="12.75">
      <c r="H6286" s="43"/>
      <c r="AG6286" s="49" t="str">
        <f ca="1">IFERROR(__xludf.DUMMYFUNCTION("IFNA(vlookup(H6286,IMPORTRANGE(""1vUGwO1n0QQGx9kKbO0_M5gmuhXZ6-LaxQxgrmJnzgP0"",""'TP# look up'!A:C""),3,0),"""")"),"")</f>
        <v/>
      </c>
      <c r="AH6286" s="49" t="str">
        <f t="shared" si="98"/>
        <v/>
      </c>
    </row>
    <row r="6287" spans="8:34" ht="12.75">
      <c r="H6287" s="43"/>
      <c r="AG6287" s="49" t="str">
        <f ca="1">IFERROR(__xludf.DUMMYFUNCTION("IFNA(vlookup(H6287,IMPORTRANGE(""1vUGwO1n0QQGx9kKbO0_M5gmuhXZ6-LaxQxgrmJnzgP0"",""'TP# look up'!A:C""),3,0),"""")"),"")</f>
        <v/>
      </c>
      <c r="AH6287" s="49" t="str">
        <f t="shared" si="98"/>
        <v/>
      </c>
    </row>
    <row r="6288" spans="8:34" ht="12.75">
      <c r="H6288" s="43"/>
      <c r="AG6288" s="49" t="str">
        <f ca="1">IFERROR(__xludf.DUMMYFUNCTION("IFNA(vlookup(H6288,IMPORTRANGE(""1vUGwO1n0QQGx9kKbO0_M5gmuhXZ6-LaxQxgrmJnzgP0"",""'TP# look up'!A:C""),3,0),"""")"),"")</f>
        <v/>
      </c>
      <c r="AH6288" s="49" t="str">
        <f t="shared" si="98"/>
        <v/>
      </c>
    </row>
    <row r="6289" spans="8:34" ht="12.75">
      <c r="H6289" s="43"/>
      <c r="AG6289" s="49" t="str">
        <f ca="1">IFERROR(__xludf.DUMMYFUNCTION("IFNA(vlookup(H6289,IMPORTRANGE(""1vUGwO1n0QQGx9kKbO0_M5gmuhXZ6-LaxQxgrmJnzgP0"",""'TP# look up'!A:C""),3,0),"""")"),"")</f>
        <v/>
      </c>
      <c r="AH6289" s="49" t="str">
        <f t="shared" si="98"/>
        <v/>
      </c>
    </row>
    <row r="6290" spans="8:34" ht="12.75">
      <c r="H6290" s="43"/>
      <c r="AG6290" s="49" t="str">
        <f ca="1">IFERROR(__xludf.DUMMYFUNCTION("IFNA(vlookup(H6290,IMPORTRANGE(""1vUGwO1n0QQGx9kKbO0_M5gmuhXZ6-LaxQxgrmJnzgP0"",""'TP# look up'!A:C""),3,0),"""")"),"")</f>
        <v/>
      </c>
      <c r="AH6290" s="49" t="str">
        <f t="shared" si="98"/>
        <v/>
      </c>
    </row>
    <row r="6291" spans="8:34" ht="12.75">
      <c r="H6291" s="43"/>
      <c r="AG6291" s="49" t="str">
        <f ca="1">IFERROR(__xludf.DUMMYFUNCTION("IFNA(vlookup(H6291,IMPORTRANGE(""1vUGwO1n0QQGx9kKbO0_M5gmuhXZ6-LaxQxgrmJnzgP0"",""'TP# look up'!A:C""),3,0),"""")"),"")</f>
        <v/>
      </c>
      <c r="AH6291" s="49" t="str">
        <f t="shared" si="98"/>
        <v/>
      </c>
    </row>
    <row r="6292" spans="8:34" ht="12.75">
      <c r="H6292" s="43"/>
      <c r="AG6292" s="49" t="str">
        <f ca="1">IFERROR(__xludf.DUMMYFUNCTION("IFNA(vlookup(H6292,IMPORTRANGE(""1vUGwO1n0QQGx9kKbO0_M5gmuhXZ6-LaxQxgrmJnzgP0"",""'TP# look up'!A:C""),3,0),"""")"),"")</f>
        <v/>
      </c>
      <c r="AH6292" s="49" t="str">
        <f t="shared" si="98"/>
        <v/>
      </c>
    </row>
    <row r="6293" spans="8:34" ht="12.75">
      <c r="H6293" s="43"/>
      <c r="AG6293" s="49" t="str">
        <f ca="1">IFERROR(__xludf.DUMMYFUNCTION("IFNA(vlookup(H6293,IMPORTRANGE(""1vUGwO1n0QQGx9kKbO0_M5gmuhXZ6-LaxQxgrmJnzgP0"",""'TP# look up'!A:C""),3,0),"""")"),"")</f>
        <v/>
      </c>
      <c r="AH6293" s="49" t="str">
        <f t="shared" si="98"/>
        <v/>
      </c>
    </row>
    <row r="6294" spans="8:34" ht="12.75">
      <c r="H6294" s="43"/>
      <c r="AG6294" s="49" t="str">
        <f ca="1">IFERROR(__xludf.DUMMYFUNCTION("IFNA(vlookup(H6294,IMPORTRANGE(""1vUGwO1n0QQGx9kKbO0_M5gmuhXZ6-LaxQxgrmJnzgP0"",""'TP# look up'!A:C""),3,0),"""")"),"")</f>
        <v/>
      </c>
      <c r="AH6294" s="49" t="str">
        <f t="shared" si="98"/>
        <v/>
      </c>
    </row>
    <row r="6295" spans="8:34" ht="12.75">
      <c r="H6295" s="43"/>
      <c r="AG6295" s="49" t="str">
        <f ca="1">IFERROR(__xludf.DUMMYFUNCTION("IFNA(vlookup(H6295,IMPORTRANGE(""1vUGwO1n0QQGx9kKbO0_M5gmuhXZ6-LaxQxgrmJnzgP0"",""'TP# look up'!A:C""),3,0),"""")"),"")</f>
        <v/>
      </c>
      <c r="AH6295" s="49" t="str">
        <f t="shared" si="98"/>
        <v/>
      </c>
    </row>
    <row r="6296" spans="8:34" ht="12.75">
      <c r="H6296" s="43"/>
      <c r="AG6296" s="49" t="str">
        <f ca="1">IFERROR(__xludf.DUMMYFUNCTION("IFNA(vlookup(H6296,IMPORTRANGE(""1vUGwO1n0QQGx9kKbO0_M5gmuhXZ6-LaxQxgrmJnzgP0"",""'TP# look up'!A:C""),3,0),"""")"),"")</f>
        <v/>
      </c>
      <c r="AH6296" s="49" t="str">
        <f t="shared" si="98"/>
        <v/>
      </c>
    </row>
    <row r="6297" spans="8:34" ht="12.75">
      <c r="H6297" s="43"/>
      <c r="AG6297" s="49" t="str">
        <f ca="1">IFERROR(__xludf.DUMMYFUNCTION("IFNA(vlookup(H6297,IMPORTRANGE(""1vUGwO1n0QQGx9kKbO0_M5gmuhXZ6-LaxQxgrmJnzgP0"",""'TP# look up'!A:C""),3,0),"""")"),"")</f>
        <v/>
      </c>
      <c r="AH6297" s="49" t="str">
        <f t="shared" si="98"/>
        <v/>
      </c>
    </row>
    <row r="6298" spans="8:34" ht="12.75">
      <c r="H6298" s="43"/>
      <c r="AG6298" s="49" t="str">
        <f ca="1">IFERROR(__xludf.DUMMYFUNCTION("IFNA(vlookup(H6298,IMPORTRANGE(""1vUGwO1n0QQGx9kKbO0_M5gmuhXZ6-LaxQxgrmJnzgP0"",""'TP# look up'!A:C""),3,0),"""")"),"")</f>
        <v/>
      </c>
      <c r="AH6298" s="49" t="str">
        <f t="shared" si="98"/>
        <v/>
      </c>
    </row>
    <row r="6299" spans="8:34" ht="12.75">
      <c r="H6299" s="43"/>
      <c r="AG6299" s="49" t="str">
        <f ca="1">IFERROR(__xludf.DUMMYFUNCTION("IFNA(vlookup(H6299,IMPORTRANGE(""1vUGwO1n0QQGx9kKbO0_M5gmuhXZ6-LaxQxgrmJnzgP0"",""'TP# look up'!A:C""),3,0),"""")"),"")</f>
        <v/>
      </c>
      <c r="AH6299" s="49" t="str">
        <f t="shared" si="98"/>
        <v/>
      </c>
    </row>
    <row r="6300" spans="8:34" ht="12.75">
      <c r="H6300" s="43"/>
      <c r="AG6300" s="49" t="str">
        <f ca="1">IFERROR(__xludf.DUMMYFUNCTION("IFNA(vlookup(H6300,IMPORTRANGE(""1vUGwO1n0QQGx9kKbO0_M5gmuhXZ6-LaxQxgrmJnzgP0"",""'TP# look up'!A:C""),3,0),"""")"),"")</f>
        <v/>
      </c>
      <c r="AH6300" s="49" t="str">
        <f t="shared" si="98"/>
        <v/>
      </c>
    </row>
    <row r="6301" spans="8:34" ht="12.75">
      <c r="H6301" s="43"/>
      <c r="AG6301" s="49" t="str">
        <f ca="1">IFERROR(__xludf.DUMMYFUNCTION("IFNA(vlookup(H6301,IMPORTRANGE(""1vUGwO1n0QQGx9kKbO0_M5gmuhXZ6-LaxQxgrmJnzgP0"",""'TP# look up'!A:C""),3,0),"""")"),"")</f>
        <v/>
      </c>
      <c r="AH6301" s="49" t="str">
        <f t="shared" si="98"/>
        <v/>
      </c>
    </row>
    <row r="6302" spans="8:34" ht="12.75">
      <c r="H6302" s="43"/>
      <c r="AG6302" s="49" t="str">
        <f ca="1">IFERROR(__xludf.DUMMYFUNCTION("IFNA(vlookup(H6302,IMPORTRANGE(""1vUGwO1n0QQGx9kKbO0_M5gmuhXZ6-LaxQxgrmJnzgP0"",""'TP# look up'!A:C""),3,0),"""")"),"")</f>
        <v/>
      </c>
      <c r="AH6302" s="49" t="str">
        <f t="shared" si="98"/>
        <v/>
      </c>
    </row>
    <row r="6303" spans="8:34" ht="12.75">
      <c r="H6303" s="43"/>
      <c r="AG6303" s="49" t="str">
        <f ca="1">IFERROR(__xludf.DUMMYFUNCTION("IFNA(vlookup(H6303,IMPORTRANGE(""1vUGwO1n0QQGx9kKbO0_M5gmuhXZ6-LaxQxgrmJnzgP0"",""'TP# look up'!A:C""),3,0),"""")"),"")</f>
        <v/>
      </c>
      <c r="AH6303" s="49" t="str">
        <f t="shared" si="98"/>
        <v/>
      </c>
    </row>
    <row r="6304" spans="8:34" ht="12.75">
      <c r="H6304" s="43"/>
      <c r="AG6304" s="49" t="str">
        <f ca="1">IFERROR(__xludf.DUMMYFUNCTION("IFNA(vlookup(H6304,IMPORTRANGE(""1vUGwO1n0QQGx9kKbO0_M5gmuhXZ6-LaxQxgrmJnzgP0"",""'TP# look up'!A:C""),3,0),"""")"),"")</f>
        <v/>
      </c>
      <c r="AH6304" s="49" t="str">
        <f t="shared" si="98"/>
        <v/>
      </c>
    </row>
    <row r="6305" spans="8:34" ht="12.75">
      <c r="H6305" s="43"/>
      <c r="AG6305" s="49" t="str">
        <f ca="1">IFERROR(__xludf.DUMMYFUNCTION("IFNA(vlookup(H6305,IMPORTRANGE(""1vUGwO1n0QQGx9kKbO0_M5gmuhXZ6-LaxQxgrmJnzgP0"",""'TP# look up'!A:C""),3,0),"""")"),"")</f>
        <v/>
      </c>
      <c r="AH6305" s="49" t="str">
        <f t="shared" si="98"/>
        <v/>
      </c>
    </row>
    <row r="6306" spans="8:34" ht="12.75">
      <c r="H6306" s="43"/>
      <c r="AG6306" s="49" t="str">
        <f ca="1">IFERROR(__xludf.DUMMYFUNCTION("IFNA(vlookup(H6306,IMPORTRANGE(""1vUGwO1n0QQGx9kKbO0_M5gmuhXZ6-LaxQxgrmJnzgP0"",""'TP# look up'!A:C""),3,0),"""")"),"")</f>
        <v/>
      </c>
      <c r="AH6306" s="49" t="str">
        <f t="shared" si="98"/>
        <v/>
      </c>
    </row>
    <row r="6307" spans="8:34" ht="12.75">
      <c r="H6307" s="43"/>
      <c r="AG6307" s="49" t="str">
        <f ca="1">IFERROR(__xludf.DUMMYFUNCTION("IFNA(vlookup(H6307,IMPORTRANGE(""1vUGwO1n0QQGx9kKbO0_M5gmuhXZ6-LaxQxgrmJnzgP0"",""'TP# look up'!A:C""),3,0),"""")"),"")</f>
        <v/>
      </c>
      <c r="AH6307" s="49" t="str">
        <f t="shared" si="98"/>
        <v/>
      </c>
    </row>
    <row r="6308" spans="8:34" ht="12.75">
      <c r="H6308" s="43"/>
      <c r="AG6308" s="49" t="str">
        <f ca="1">IFERROR(__xludf.DUMMYFUNCTION("IFNA(vlookup(H6308,IMPORTRANGE(""1vUGwO1n0QQGx9kKbO0_M5gmuhXZ6-LaxQxgrmJnzgP0"",""'TP# look up'!A:C""),3,0),"""")"),"")</f>
        <v/>
      </c>
      <c r="AH6308" s="49" t="str">
        <f t="shared" si="98"/>
        <v/>
      </c>
    </row>
    <row r="6309" spans="8:34" ht="12.75">
      <c r="H6309" s="43"/>
      <c r="AG6309" s="49" t="str">
        <f ca="1">IFERROR(__xludf.DUMMYFUNCTION("IFNA(vlookup(H6309,IMPORTRANGE(""1vUGwO1n0QQGx9kKbO0_M5gmuhXZ6-LaxQxgrmJnzgP0"",""'TP# look up'!A:C""),3,0),"""")"),"")</f>
        <v/>
      </c>
      <c r="AH6309" s="49" t="str">
        <f t="shared" si="98"/>
        <v/>
      </c>
    </row>
    <row r="6310" spans="8:34" ht="12.75">
      <c r="H6310" s="43"/>
      <c r="AG6310" s="49" t="str">
        <f ca="1">IFERROR(__xludf.DUMMYFUNCTION("IFNA(vlookup(H6310,IMPORTRANGE(""1vUGwO1n0QQGx9kKbO0_M5gmuhXZ6-LaxQxgrmJnzgP0"",""'TP# look up'!A:C""),3,0),"""")"),"")</f>
        <v/>
      </c>
      <c r="AH6310" s="49" t="str">
        <f t="shared" si="98"/>
        <v/>
      </c>
    </row>
    <row r="6311" spans="8:34" ht="12.75">
      <c r="H6311" s="43"/>
      <c r="AG6311" s="49" t="str">
        <f ca="1">IFERROR(__xludf.DUMMYFUNCTION("IFNA(vlookup(H6311,IMPORTRANGE(""1vUGwO1n0QQGx9kKbO0_M5gmuhXZ6-LaxQxgrmJnzgP0"",""'TP# look up'!A:C""),3,0),"""")"),"")</f>
        <v/>
      </c>
      <c r="AH6311" s="49" t="str">
        <f t="shared" si="98"/>
        <v/>
      </c>
    </row>
    <row r="6312" spans="8:34" ht="12.75">
      <c r="H6312" s="43"/>
      <c r="AG6312" s="49" t="str">
        <f ca="1">IFERROR(__xludf.DUMMYFUNCTION("IFNA(vlookup(H6312,IMPORTRANGE(""1vUGwO1n0QQGx9kKbO0_M5gmuhXZ6-LaxQxgrmJnzgP0"",""'TP# look up'!A:C""),3,0),"""")"),"")</f>
        <v/>
      </c>
      <c r="AH6312" s="49" t="str">
        <f t="shared" si="98"/>
        <v/>
      </c>
    </row>
    <row r="6313" spans="8:34" ht="12.75">
      <c r="H6313" s="43"/>
      <c r="AG6313" s="49" t="str">
        <f ca="1">IFERROR(__xludf.DUMMYFUNCTION("IFNA(vlookup(H6313,IMPORTRANGE(""1vUGwO1n0QQGx9kKbO0_M5gmuhXZ6-LaxQxgrmJnzgP0"",""'TP# look up'!A:C""),3,0),"""")"),"")</f>
        <v/>
      </c>
      <c r="AH6313" s="49" t="str">
        <f t="shared" si="98"/>
        <v/>
      </c>
    </row>
    <row r="6314" spans="8:34" ht="12.75">
      <c r="H6314" s="43"/>
      <c r="AG6314" s="49" t="str">
        <f ca="1">IFERROR(__xludf.DUMMYFUNCTION("IFNA(vlookup(H6314,IMPORTRANGE(""1vUGwO1n0QQGx9kKbO0_M5gmuhXZ6-LaxQxgrmJnzgP0"",""'TP# look up'!A:C""),3,0),"""")"),"")</f>
        <v/>
      </c>
      <c r="AH6314" s="49" t="str">
        <f t="shared" si="98"/>
        <v/>
      </c>
    </row>
    <row r="6315" spans="8:34" ht="12.75">
      <c r="H6315" s="43"/>
      <c r="AG6315" s="49" t="str">
        <f ca="1">IFERROR(__xludf.DUMMYFUNCTION("IFNA(vlookup(H6315,IMPORTRANGE(""1vUGwO1n0QQGx9kKbO0_M5gmuhXZ6-LaxQxgrmJnzgP0"",""'TP# look up'!A:C""),3,0),"""")"),"")</f>
        <v/>
      </c>
      <c r="AH6315" s="49" t="str">
        <f t="shared" si="98"/>
        <v/>
      </c>
    </row>
    <row r="6316" spans="8:34" ht="12.75">
      <c r="H6316" s="43"/>
      <c r="AG6316" s="49" t="str">
        <f ca="1">IFERROR(__xludf.DUMMYFUNCTION("IFNA(vlookup(H6316,IMPORTRANGE(""1vUGwO1n0QQGx9kKbO0_M5gmuhXZ6-LaxQxgrmJnzgP0"",""'TP# look up'!A:C""),3,0),"""")"),"")</f>
        <v/>
      </c>
      <c r="AH6316" s="49" t="str">
        <f t="shared" si="98"/>
        <v/>
      </c>
    </row>
    <row r="6317" spans="8:34" ht="12.75">
      <c r="H6317" s="43"/>
      <c r="AG6317" s="49" t="str">
        <f ca="1">IFERROR(__xludf.DUMMYFUNCTION("IFNA(vlookup(H6317,IMPORTRANGE(""1vUGwO1n0QQGx9kKbO0_M5gmuhXZ6-LaxQxgrmJnzgP0"",""'TP# look up'!A:C""),3,0),"""")"),"")</f>
        <v/>
      </c>
      <c r="AH6317" s="49" t="str">
        <f t="shared" si="98"/>
        <v/>
      </c>
    </row>
    <row r="6318" spans="8:34" ht="12.75">
      <c r="H6318" s="43"/>
      <c r="AG6318" s="49" t="str">
        <f ca="1">IFERROR(__xludf.DUMMYFUNCTION("IFNA(vlookup(H6318,IMPORTRANGE(""1vUGwO1n0QQGx9kKbO0_M5gmuhXZ6-LaxQxgrmJnzgP0"",""'TP# look up'!A:C""),3,0),"""")"),"")</f>
        <v/>
      </c>
      <c r="AH6318" s="49" t="str">
        <f t="shared" si="98"/>
        <v/>
      </c>
    </row>
    <row r="6319" spans="8:34" ht="12.75">
      <c r="H6319" s="43"/>
      <c r="AG6319" s="49" t="str">
        <f ca="1">IFERROR(__xludf.DUMMYFUNCTION("IFNA(vlookup(H6319,IMPORTRANGE(""1vUGwO1n0QQGx9kKbO0_M5gmuhXZ6-LaxQxgrmJnzgP0"",""'TP# look up'!A:C""),3,0),"""")"),"")</f>
        <v/>
      </c>
      <c r="AH6319" s="49" t="str">
        <f t="shared" si="98"/>
        <v/>
      </c>
    </row>
    <row r="6320" spans="8:34" ht="12.75">
      <c r="H6320" s="43"/>
      <c r="AG6320" s="49" t="str">
        <f ca="1">IFERROR(__xludf.DUMMYFUNCTION("IFNA(vlookup(H6320,IMPORTRANGE(""1vUGwO1n0QQGx9kKbO0_M5gmuhXZ6-LaxQxgrmJnzgP0"",""'TP# look up'!A:C""),3,0),"""")"),"")</f>
        <v/>
      </c>
      <c r="AH6320" s="49" t="str">
        <f t="shared" si="98"/>
        <v/>
      </c>
    </row>
    <row r="6321" spans="8:34" ht="12.75">
      <c r="H6321" s="43"/>
      <c r="AG6321" s="49" t="str">
        <f ca="1">IFERROR(__xludf.DUMMYFUNCTION("IFNA(vlookup(H6321,IMPORTRANGE(""1vUGwO1n0QQGx9kKbO0_M5gmuhXZ6-LaxQxgrmJnzgP0"",""'TP# look up'!A:C""),3,0),"""")"),"")</f>
        <v/>
      </c>
      <c r="AH6321" s="49" t="str">
        <f t="shared" si="98"/>
        <v/>
      </c>
    </row>
    <row r="6322" spans="8:34" ht="12.75">
      <c r="H6322" s="43"/>
      <c r="AG6322" s="49" t="str">
        <f ca="1">IFERROR(__xludf.DUMMYFUNCTION("IFNA(vlookup(H6322,IMPORTRANGE(""1vUGwO1n0QQGx9kKbO0_M5gmuhXZ6-LaxQxgrmJnzgP0"",""'TP# look up'!A:C""),3,0),"""")"),"")</f>
        <v/>
      </c>
      <c r="AH6322" s="49" t="str">
        <f t="shared" si="98"/>
        <v/>
      </c>
    </row>
    <row r="6323" spans="8:34" ht="12.75">
      <c r="H6323" s="43"/>
      <c r="AG6323" s="49" t="str">
        <f ca="1">IFERROR(__xludf.DUMMYFUNCTION("IFNA(vlookup(H6323,IMPORTRANGE(""1vUGwO1n0QQGx9kKbO0_M5gmuhXZ6-LaxQxgrmJnzgP0"",""'TP# look up'!A:C""),3,0),"""")"),"")</f>
        <v/>
      </c>
      <c r="AH6323" s="49" t="str">
        <f t="shared" si="98"/>
        <v/>
      </c>
    </row>
    <row r="6324" spans="8:34" ht="12.75">
      <c r="H6324" s="43"/>
      <c r="AG6324" s="49" t="str">
        <f ca="1">IFERROR(__xludf.DUMMYFUNCTION("IFNA(vlookup(H6324,IMPORTRANGE(""1vUGwO1n0QQGx9kKbO0_M5gmuhXZ6-LaxQxgrmJnzgP0"",""'TP# look up'!A:C""),3,0),"""")"),"")</f>
        <v/>
      </c>
      <c r="AH6324" s="49" t="str">
        <f t="shared" si="98"/>
        <v/>
      </c>
    </row>
    <row r="6325" spans="8:34" ht="12.75">
      <c r="H6325" s="43"/>
      <c r="AG6325" s="49" t="str">
        <f ca="1">IFERROR(__xludf.DUMMYFUNCTION("IFNA(vlookup(H6325,IMPORTRANGE(""1vUGwO1n0QQGx9kKbO0_M5gmuhXZ6-LaxQxgrmJnzgP0"",""'TP# look up'!A:C""),3,0),"""")"),"")</f>
        <v/>
      </c>
      <c r="AH6325" s="49" t="str">
        <f t="shared" si="98"/>
        <v/>
      </c>
    </row>
    <row r="6326" spans="8:34" ht="12.75">
      <c r="H6326" s="43"/>
      <c r="AG6326" s="49" t="str">
        <f ca="1">IFERROR(__xludf.DUMMYFUNCTION("IFNA(vlookup(H6326,IMPORTRANGE(""1vUGwO1n0QQGx9kKbO0_M5gmuhXZ6-LaxQxgrmJnzgP0"",""'TP# look up'!A:C""),3,0),"""")"),"")</f>
        <v/>
      </c>
      <c r="AH6326" s="49" t="str">
        <f t="shared" si="98"/>
        <v/>
      </c>
    </row>
    <row r="6327" spans="8:34" ht="12.75">
      <c r="H6327" s="43"/>
      <c r="AG6327" s="49" t="str">
        <f ca="1">IFERROR(__xludf.DUMMYFUNCTION("IFNA(vlookup(H6327,IMPORTRANGE(""1vUGwO1n0QQGx9kKbO0_M5gmuhXZ6-LaxQxgrmJnzgP0"",""'TP# look up'!A:C""),3,0),"""")"),"")</f>
        <v/>
      </c>
      <c r="AH6327" s="49" t="str">
        <f t="shared" si="98"/>
        <v/>
      </c>
    </row>
    <row r="6328" spans="8:34" ht="12.75">
      <c r="H6328" s="43"/>
      <c r="AG6328" s="49" t="str">
        <f ca="1">IFERROR(__xludf.DUMMYFUNCTION("IFNA(vlookup(H6328,IMPORTRANGE(""1vUGwO1n0QQGx9kKbO0_M5gmuhXZ6-LaxQxgrmJnzgP0"",""'TP# look up'!A:C""),3,0),"""")"),"")</f>
        <v/>
      </c>
      <c r="AH6328" s="49" t="str">
        <f t="shared" si="98"/>
        <v/>
      </c>
    </row>
    <row r="6329" spans="8:34" ht="12.75">
      <c r="H6329" s="43"/>
      <c r="AG6329" s="49" t="str">
        <f ca="1">IFERROR(__xludf.DUMMYFUNCTION("IFNA(vlookup(H6329,IMPORTRANGE(""1vUGwO1n0QQGx9kKbO0_M5gmuhXZ6-LaxQxgrmJnzgP0"",""'TP# look up'!A:C""),3,0),"""")"),"")</f>
        <v/>
      </c>
      <c r="AH6329" s="49" t="str">
        <f t="shared" si="98"/>
        <v/>
      </c>
    </row>
    <row r="6330" spans="8:34" ht="12.75">
      <c r="H6330" s="43"/>
      <c r="AG6330" s="49" t="str">
        <f ca="1">IFERROR(__xludf.DUMMYFUNCTION("IFNA(vlookup(H6330,IMPORTRANGE(""1vUGwO1n0QQGx9kKbO0_M5gmuhXZ6-LaxQxgrmJnzgP0"",""'TP# look up'!A:C""),3,0),"""")"),"")</f>
        <v/>
      </c>
      <c r="AH6330" s="49" t="str">
        <f t="shared" si="98"/>
        <v/>
      </c>
    </row>
    <row r="6331" spans="8:34" ht="12.75">
      <c r="H6331" s="43"/>
      <c r="AG6331" s="49" t="str">
        <f ca="1">IFERROR(__xludf.DUMMYFUNCTION("IFNA(vlookup(H6331,IMPORTRANGE(""1vUGwO1n0QQGx9kKbO0_M5gmuhXZ6-LaxQxgrmJnzgP0"",""'TP# look up'!A:C""),3,0),"""")"),"")</f>
        <v/>
      </c>
      <c r="AH6331" s="49" t="str">
        <f t="shared" si="98"/>
        <v/>
      </c>
    </row>
    <row r="6332" spans="8:34" ht="12.75">
      <c r="H6332" s="43"/>
      <c r="AG6332" s="49" t="str">
        <f ca="1">IFERROR(__xludf.DUMMYFUNCTION("IFNA(vlookup(H6332,IMPORTRANGE(""1vUGwO1n0QQGx9kKbO0_M5gmuhXZ6-LaxQxgrmJnzgP0"",""'TP# look up'!A:C""),3,0),"""")"),"")</f>
        <v/>
      </c>
      <c r="AH6332" s="49" t="str">
        <f t="shared" si="98"/>
        <v/>
      </c>
    </row>
    <row r="6333" spans="8:34" ht="12.75">
      <c r="H6333" s="43"/>
      <c r="AG6333" s="49" t="str">
        <f ca="1">IFERROR(__xludf.DUMMYFUNCTION("IFNA(vlookup(H6333,IMPORTRANGE(""1vUGwO1n0QQGx9kKbO0_M5gmuhXZ6-LaxQxgrmJnzgP0"",""'TP# look up'!A:C""),3,0),"""")"),"")</f>
        <v/>
      </c>
      <c r="AH6333" s="49" t="str">
        <f t="shared" si="98"/>
        <v/>
      </c>
    </row>
    <row r="6334" spans="8:34" ht="12.75">
      <c r="H6334" s="43"/>
      <c r="AG6334" s="49" t="str">
        <f ca="1">IFERROR(__xludf.DUMMYFUNCTION("IFNA(vlookup(H6334,IMPORTRANGE(""1vUGwO1n0QQGx9kKbO0_M5gmuhXZ6-LaxQxgrmJnzgP0"",""'TP# look up'!A:C""),3,0),"""")"),"")</f>
        <v/>
      </c>
      <c r="AH6334" s="49" t="str">
        <f t="shared" si="98"/>
        <v/>
      </c>
    </row>
    <row r="6335" spans="8:34" ht="12.75">
      <c r="H6335" s="43"/>
      <c r="AG6335" s="49" t="str">
        <f ca="1">IFERROR(__xludf.DUMMYFUNCTION("IFNA(vlookup(H6335,IMPORTRANGE(""1vUGwO1n0QQGx9kKbO0_M5gmuhXZ6-LaxQxgrmJnzgP0"",""'TP# look up'!A:C""),3,0),"""")"),"")</f>
        <v/>
      </c>
      <c r="AH6335" s="49" t="str">
        <f t="shared" si="98"/>
        <v/>
      </c>
    </row>
    <row r="6336" spans="8:34" ht="12.75">
      <c r="H6336" s="43"/>
      <c r="AG6336" s="49" t="str">
        <f ca="1">IFERROR(__xludf.DUMMYFUNCTION("IFNA(vlookup(H6336,IMPORTRANGE(""1vUGwO1n0QQGx9kKbO0_M5gmuhXZ6-LaxQxgrmJnzgP0"",""'TP# look up'!A:C""),3,0),"""")"),"")</f>
        <v/>
      </c>
      <c r="AH6336" s="49" t="str">
        <f t="shared" si="98"/>
        <v/>
      </c>
    </row>
    <row r="6337" spans="8:34" ht="12.75">
      <c r="H6337" s="43"/>
      <c r="AG6337" s="49" t="str">
        <f ca="1">IFERROR(__xludf.DUMMYFUNCTION("IFNA(vlookup(H6337,IMPORTRANGE(""1vUGwO1n0QQGx9kKbO0_M5gmuhXZ6-LaxQxgrmJnzgP0"",""'TP# look up'!A:C""),3,0),"""")"),"")</f>
        <v/>
      </c>
      <c r="AH6337" s="49" t="str">
        <f t="shared" si="98"/>
        <v/>
      </c>
    </row>
    <row r="6338" spans="8:34" ht="12.75">
      <c r="H6338" s="43"/>
      <c r="AG6338" s="49" t="str">
        <f ca="1">IFERROR(__xludf.DUMMYFUNCTION("IFNA(vlookup(H6338,IMPORTRANGE(""1vUGwO1n0QQGx9kKbO0_M5gmuhXZ6-LaxQxgrmJnzgP0"",""'TP# look up'!A:C""),3,0),"""")"),"")</f>
        <v/>
      </c>
      <c r="AH6338" s="49" t="str">
        <f t="shared" ref="AH6338:AH6401" si="99">LEFT(J6338,2)</f>
        <v/>
      </c>
    </row>
    <row r="6339" spans="8:34" ht="12.75">
      <c r="H6339" s="43"/>
      <c r="AG6339" s="49" t="str">
        <f ca="1">IFERROR(__xludf.DUMMYFUNCTION("IFNA(vlookup(H6339,IMPORTRANGE(""1vUGwO1n0QQGx9kKbO0_M5gmuhXZ6-LaxQxgrmJnzgP0"",""'TP# look up'!A:C""),3,0),"""")"),"")</f>
        <v/>
      </c>
      <c r="AH6339" s="49" t="str">
        <f t="shared" si="99"/>
        <v/>
      </c>
    </row>
    <row r="6340" spans="8:34" ht="12.75">
      <c r="H6340" s="43"/>
      <c r="AG6340" s="49" t="str">
        <f ca="1">IFERROR(__xludf.DUMMYFUNCTION("IFNA(vlookup(H6340,IMPORTRANGE(""1vUGwO1n0QQGx9kKbO0_M5gmuhXZ6-LaxQxgrmJnzgP0"",""'TP# look up'!A:C""),3,0),"""")"),"")</f>
        <v/>
      </c>
      <c r="AH6340" s="49" t="str">
        <f t="shared" si="99"/>
        <v/>
      </c>
    </row>
    <row r="6341" spans="8:34" ht="12.75">
      <c r="H6341" s="43"/>
      <c r="AG6341" s="49" t="str">
        <f ca="1">IFERROR(__xludf.DUMMYFUNCTION("IFNA(vlookup(H6341,IMPORTRANGE(""1vUGwO1n0QQGx9kKbO0_M5gmuhXZ6-LaxQxgrmJnzgP0"",""'TP# look up'!A:C""),3,0),"""")"),"")</f>
        <v/>
      </c>
      <c r="AH6341" s="49" t="str">
        <f t="shared" si="99"/>
        <v/>
      </c>
    </row>
    <row r="6342" spans="8:34" ht="12.75">
      <c r="H6342" s="43"/>
      <c r="AG6342" s="49" t="str">
        <f ca="1">IFERROR(__xludf.DUMMYFUNCTION("IFNA(vlookup(H6342,IMPORTRANGE(""1vUGwO1n0QQGx9kKbO0_M5gmuhXZ6-LaxQxgrmJnzgP0"",""'TP# look up'!A:C""),3,0),"""")"),"")</f>
        <v/>
      </c>
      <c r="AH6342" s="49" t="str">
        <f t="shared" si="99"/>
        <v/>
      </c>
    </row>
    <row r="6343" spans="8:34" ht="12.75">
      <c r="H6343" s="43"/>
      <c r="AG6343" s="49" t="str">
        <f ca="1">IFERROR(__xludf.DUMMYFUNCTION("IFNA(vlookup(H6343,IMPORTRANGE(""1vUGwO1n0QQGx9kKbO0_M5gmuhXZ6-LaxQxgrmJnzgP0"",""'TP# look up'!A:C""),3,0),"""")"),"")</f>
        <v/>
      </c>
      <c r="AH6343" s="49" t="str">
        <f t="shared" si="99"/>
        <v/>
      </c>
    </row>
    <row r="6344" spans="8:34" ht="12.75">
      <c r="H6344" s="43"/>
      <c r="AG6344" s="49" t="str">
        <f ca="1">IFERROR(__xludf.DUMMYFUNCTION("IFNA(vlookup(H6344,IMPORTRANGE(""1vUGwO1n0QQGx9kKbO0_M5gmuhXZ6-LaxQxgrmJnzgP0"",""'TP# look up'!A:C""),3,0),"""")"),"")</f>
        <v/>
      </c>
      <c r="AH6344" s="49" t="str">
        <f t="shared" si="99"/>
        <v/>
      </c>
    </row>
    <row r="6345" spans="8:34" ht="12.75">
      <c r="H6345" s="43"/>
      <c r="AG6345" s="49" t="str">
        <f ca="1">IFERROR(__xludf.DUMMYFUNCTION("IFNA(vlookup(H6345,IMPORTRANGE(""1vUGwO1n0QQGx9kKbO0_M5gmuhXZ6-LaxQxgrmJnzgP0"",""'TP# look up'!A:C""),3,0),"""")"),"")</f>
        <v/>
      </c>
      <c r="AH6345" s="49" t="str">
        <f t="shared" si="99"/>
        <v/>
      </c>
    </row>
    <row r="6346" spans="8:34" ht="12.75">
      <c r="H6346" s="43"/>
      <c r="AG6346" s="49" t="str">
        <f ca="1">IFERROR(__xludf.DUMMYFUNCTION("IFNA(vlookup(H6346,IMPORTRANGE(""1vUGwO1n0QQGx9kKbO0_M5gmuhXZ6-LaxQxgrmJnzgP0"",""'TP# look up'!A:C""),3,0),"""")"),"")</f>
        <v/>
      </c>
      <c r="AH6346" s="49" t="str">
        <f t="shared" si="99"/>
        <v/>
      </c>
    </row>
    <row r="6347" spans="8:34" ht="12.75">
      <c r="H6347" s="43"/>
      <c r="AG6347" s="49" t="str">
        <f ca="1">IFERROR(__xludf.DUMMYFUNCTION("IFNA(vlookup(H6347,IMPORTRANGE(""1vUGwO1n0QQGx9kKbO0_M5gmuhXZ6-LaxQxgrmJnzgP0"",""'TP# look up'!A:C""),3,0),"""")"),"")</f>
        <v/>
      </c>
      <c r="AH6347" s="49" t="str">
        <f t="shared" si="99"/>
        <v/>
      </c>
    </row>
    <row r="6348" spans="8:34" ht="12.75">
      <c r="H6348" s="43"/>
      <c r="AG6348" s="49" t="str">
        <f ca="1">IFERROR(__xludf.DUMMYFUNCTION("IFNA(vlookup(H6348,IMPORTRANGE(""1vUGwO1n0QQGx9kKbO0_M5gmuhXZ6-LaxQxgrmJnzgP0"",""'TP# look up'!A:C""),3,0),"""")"),"")</f>
        <v/>
      </c>
      <c r="AH6348" s="49" t="str">
        <f t="shared" si="99"/>
        <v/>
      </c>
    </row>
    <row r="6349" spans="8:34" ht="12.75">
      <c r="H6349" s="43"/>
      <c r="AG6349" s="49" t="str">
        <f ca="1">IFERROR(__xludf.DUMMYFUNCTION("IFNA(vlookup(H6349,IMPORTRANGE(""1vUGwO1n0QQGx9kKbO0_M5gmuhXZ6-LaxQxgrmJnzgP0"",""'TP# look up'!A:C""),3,0),"""")"),"")</f>
        <v/>
      </c>
      <c r="AH6349" s="49" t="str">
        <f t="shared" si="99"/>
        <v/>
      </c>
    </row>
    <row r="6350" spans="8:34" ht="12.75">
      <c r="H6350" s="43"/>
      <c r="AG6350" s="49" t="str">
        <f ca="1">IFERROR(__xludf.DUMMYFUNCTION("IFNA(vlookup(H6350,IMPORTRANGE(""1vUGwO1n0QQGx9kKbO0_M5gmuhXZ6-LaxQxgrmJnzgP0"",""'TP# look up'!A:C""),3,0),"""")"),"")</f>
        <v/>
      </c>
      <c r="AH6350" s="49" t="str">
        <f t="shared" si="99"/>
        <v/>
      </c>
    </row>
    <row r="6351" spans="8:34" ht="12.75">
      <c r="H6351" s="43"/>
      <c r="AG6351" s="49" t="str">
        <f ca="1">IFERROR(__xludf.DUMMYFUNCTION("IFNA(vlookup(H6351,IMPORTRANGE(""1vUGwO1n0QQGx9kKbO0_M5gmuhXZ6-LaxQxgrmJnzgP0"",""'TP# look up'!A:C""),3,0),"""")"),"")</f>
        <v/>
      </c>
      <c r="AH6351" s="49" t="str">
        <f t="shared" si="99"/>
        <v/>
      </c>
    </row>
    <row r="6352" spans="8:34" ht="12.75">
      <c r="H6352" s="43"/>
      <c r="AG6352" s="49" t="str">
        <f ca="1">IFERROR(__xludf.DUMMYFUNCTION("IFNA(vlookup(H6352,IMPORTRANGE(""1vUGwO1n0QQGx9kKbO0_M5gmuhXZ6-LaxQxgrmJnzgP0"",""'TP# look up'!A:C""),3,0),"""")"),"")</f>
        <v/>
      </c>
      <c r="AH6352" s="49" t="str">
        <f t="shared" si="99"/>
        <v/>
      </c>
    </row>
    <row r="6353" spans="8:34" ht="12.75">
      <c r="H6353" s="43"/>
      <c r="AG6353" s="49" t="str">
        <f ca="1">IFERROR(__xludf.DUMMYFUNCTION("IFNA(vlookup(H6353,IMPORTRANGE(""1vUGwO1n0QQGx9kKbO0_M5gmuhXZ6-LaxQxgrmJnzgP0"",""'TP# look up'!A:C""),3,0),"""")"),"")</f>
        <v/>
      </c>
      <c r="AH6353" s="49" t="str">
        <f t="shared" si="99"/>
        <v/>
      </c>
    </row>
    <row r="6354" spans="8:34" ht="12.75">
      <c r="H6354" s="43"/>
      <c r="AG6354" s="49" t="str">
        <f ca="1">IFERROR(__xludf.DUMMYFUNCTION("IFNA(vlookup(H6354,IMPORTRANGE(""1vUGwO1n0QQGx9kKbO0_M5gmuhXZ6-LaxQxgrmJnzgP0"",""'TP# look up'!A:C""),3,0),"""")"),"")</f>
        <v/>
      </c>
      <c r="AH6354" s="49" t="str">
        <f t="shared" si="99"/>
        <v/>
      </c>
    </row>
    <row r="6355" spans="8:34" ht="12.75">
      <c r="H6355" s="43"/>
      <c r="AG6355" s="49" t="str">
        <f ca="1">IFERROR(__xludf.DUMMYFUNCTION("IFNA(vlookup(H6355,IMPORTRANGE(""1vUGwO1n0QQGx9kKbO0_M5gmuhXZ6-LaxQxgrmJnzgP0"",""'TP# look up'!A:C""),3,0),"""")"),"")</f>
        <v/>
      </c>
      <c r="AH6355" s="49" t="str">
        <f t="shared" si="99"/>
        <v/>
      </c>
    </row>
    <row r="6356" spans="8:34" ht="12.75">
      <c r="H6356" s="43"/>
      <c r="AG6356" s="49" t="str">
        <f ca="1">IFERROR(__xludf.DUMMYFUNCTION("IFNA(vlookup(H6356,IMPORTRANGE(""1vUGwO1n0QQGx9kKbO0_M5gmuhXZ6-LaxQxgrmJnzgP0"",""'TP# look up'!A:C""),3,0),"""")"),"")</f>
        <v/>
      </c>
      <c r="AH6356" s="49" t="str">
        <f t="shared" si="99"/>
        <v/>
      </c>
    </row>
    <row r="6357" spans="8:34" ht="12.75">
      <c r="H6357" s="43"/>
      <c r="AG6357" s="49" t="str">
        <f ca="1">IFERROR(__xludf.DUMMYFUNCTION("IFNA(vlookup(H6357,IMPORTRANGE(""1vUGwO1n0QQGx9kKbO0_M5gmuhXZ6-LaxQxgrmJnzgP0"",""'TP# look up'!A:C""),3,0),"""")"),"")</f>
        <v/>
      </c>
      <c r="AH6357" s="49" t="str">
        <f t="shared" si="99"/>
        <v/>
      </c>
    </row>
    <row r="6358" spans="8:34" ht="12.75">
      <c r="H6358" s="43"/>
      <c r="AG6358" s="49" t="str">
        <f ca="1">IFERROR(__xludf.DUMMYFUNCTION("IFNA(vlookup(H6358,IMPORTRANGE(""1vUGwO1n0QQGx9kKbO0_M5gmuhXZ6-LaxQxgrmJnzgP0"",""'TP# look up'!A:C""),3,0),"""")"),"")</f>
        <v/>
      </c>
      <c r="AH6358" s="49" t="str">
        <f t="shared" si="99"/>
        <v/>
      </c>
    </row>
    <row r="6359" spans="8:34" ht="12.75">
      <c r="H6359" s="43"/>
      <c r="AG6359" s="49" t="str">
        <f ca="1">IFERROR(__xludf.DUMMYFUNCTION("IFNA(vlookup(H6359,IMPORTRANGE(""1vUGwO1n0QQGx9kKbO0_M5gmuhXZ6-LaxQxgrmJnzgP0"",""'TP# look up'!A:C""),3,0),"""")"),"")</f>
        <v/>
      </c>
      <c r="AH6359" s="49" t="str">
        <f t="shared" si="99"/>
        <v/>
      </c>
    </row>
    <row r="6360" spans="8:34" ht="12.75">
      <c r="H6360" s="43"/>
      <c r="AG6360" s="49" t="str">
        <f ca="1">IFERROR(__xludf.DUMMYFUNCTION("IFNA(vlookup(H6360,IMPORTRANGE(""1vUGwO1n0QQGx9kKbO0_M5gmuhXZ6-LaxQxgrmJnzgP0"",""'TP# look up'!A:C""),3,0),"""")"),"")</f>
        <v/>
      </c>
      <c r="AH6360" s="49" t="str">
        <f t="shared" si="99"/>
        <v/>
      </c>
    </row>
    <row r="6361" spans="8:34" ht="12.75">
      <c r="H6361" s="43"/>
      <c r="AG6361" s="49" t="str">
        <f ca="1">IFERROR(__xludf.DUMMYFUNCTION("IFNA(vlookup(H6361,IMPORTRANGE(""1vUGwO1n0QQGx9kKbO0_M5gmuhXZ6-LaxQxgrmJnzgP0"",""'TP# look up'!A:C""),3,0),"""")"),"")</f>
        <v/>
      </c>
      <c r="AH6361" s="49" t="str">
        <f t="shared" si="99"/>
        <v/>
      </c>
    </row>
    <row r="6362" spans="8:34" ht="12.75">
      <c r="H6362" s="43"/>
      <c r="AG6362" s="49" t="str">
        <f ca="1">IFERROR(__xludf.DUMMYFUNCTION("IFNA(vlookup(H6362,IMPORTRANGE(""1vUGwO1n0QQGx9kKbO0_M5gmuhXZ6-LaxQxgrmJnzgP0"",""'TP# look up'!A:C""),3,0),"""")"),"")</f>
        <v/>
      </c>
      <c r="AH6362" s="49" t="str">
        <f t="shared" si="99"/>
        <v/>
      </c>
    </row>
    <row r="6363" spans="8:34" ht="12.75">
      <c r="H6363" s="43"/>
      <c r="AG6363" s="49" t="str">
        <f ca="1">IFERROR(__xludf.DUMMYFUNCTION("IFNA(vlookup(H6363,IMPORTRANGE(""1vUGwO1n0QQGx9kKbO0_M5gmuhXZ6-LaxQxgrmJnzgP0"",""'TP# look up'!A:C""),3,0),"""")"),"")</f>
        <v/>
      </c>
      <c r="AH6363" s="49" t="str">
        <f t="shared" si="99"/>
        <v/>
      </c>
    </row>
    <row r="6364" spans="8:34" ht="12.75">
      <c r="H6364" s="43"/>
      <c r="AG6364" s="49" t="str">
        <f ca="1">IFERROR(__xludf.DUMMYFUNCTION("IFNA(vlookup(H6364,IMPORTRANGE(""1vUGwO1n0QQGx9kKbO0_M5gmuhXZ6-LaxQxgrmJnzgP0"",""'TP# look up'!A:C""),3,0),"""")"),"")</f>
        <v/>
      </c>
      <c r="AH6364" s="49" t="str">
        <f t="shared" si="99"/>
        <v/>
      </c>
    </row>
    <row r="6365" spans="8:34" ht="12.75">
      <c r="H6365" s="43"/>
      <c r="AG6365" s="49" t="str">
        <f ca="1">IFERROR(__xludf.DUMMYFUNCTION("IFNA(vlookup(H6365,IMPORTRANGE(""1vUGwO1n0QQGx9kKbO0_M5gmuhXZ6-LaxQxgrmJnzgP0"",""'TP# look up'!A:C""),3,0),"""")"),"")</f>
        <v/>
      </c>
      <c r="AH6365" s="49" t="str">
        <f t="shared" si="99"/>
        <v/>
      </c>
    </row>
    <row r="6366" spans="8:34" ht="12.75">
      <c r="H6366" s="43"/>
      <c r="AG6366" s="49" t="str">
        <f ca="1">IFERROR(__xludf.DUMMYFUNCTION("IFNA(vlookup(H6366,IMPORTRANGE(""1vUGwO1n0QQGx9kKbO0_M5gmuhXZ6-LaxQxgrmJnzgP0"",""'TP# look up'!A:C""),3,0),"""")"),"")</f>
        <v/>
      </c>
      <c r="AH6366" s="49" t="str">
        <f t="shared" si="99"/>
        <v/>
      </c>
    </row>
    <row r="6367" spans="8:34" ht="12.75">
      <c r="H6367" s="43"/>
      <c r="AG6367" s="49" t="str">
        <f ca="1">IFERROR(__xludf.DUMMYFUNCTION("IFNA(vlookup(H6367,IMPORTRANGE(""1vUGwO1n0QQGx9kKbO0_M5gmuhXZ6-LaxQxgrmJnzgP0"",""'TP# look up'!A:C""),3,0),"""")"),"")</f>
        <v/>
      </c>
      <c r="AH6367" s="49" t="str">
        <f t="shared" si="99"/>
        <v/>
      </c>
    </row>
    <row r="6368" spans="8:34" ht="12.75">
      <c r="H6368" s="43"/>
      <c r="AG6368" s="49" t="str">
        <f ca="1">IFERROR(__xludf.DUMMYFUNCTION("IFNA(vlookup(H6368,IMPORTRANGE(""1vUGwO1n0QQGx9kKbO0_M5gmuhXZ6-LaxQxgrmJnzgP0"",""'TP# look up'!A:C""),3,0),"""")"),"")</f>
        <v/>
      </c>
      <c r="AH6368" s="49" t="str">
        <f t="shared" si="99"/>
        <v/>
      </c>
    </row>
    <row r="6369" spans="8:34" ht="12.75">
      <c r="H6369" s="43"/>
      <c r="AG6369" s="49" t="str">
        <f ca="1">IFERROR(__xludf.DUMMYFUNCTION("IFNA(vlookup(H6369,IMPORTRANGE(""1vUGwO1n0QQGx9kKbO0_M5gmuhXZ6-LaxQxgrmJnzgP0"",""'TP# look up'!A:C""),3,0),"""")"),"")</f>
        <v/>
      </c>
      <c r="AH6369" s="49" t="str">
        <f t="shared" si="99"/>
        <v/>
      </c>
    </row>
    <row r="6370" spans="8:34" ht="12.75">
      <c r="H6370" s="43"/>
      <c r="AG6370" s="49" t="str">
        <f ca="1">IFERROR(__xludf.DUMMYFUNCTION("IFNA(vlookup(H6370,IMPORTRANGE(""1vUGwO1n0QQGx9kKbO0_M5gmuhXZ6-LaxQxgrmJnzgP0"",""'TP# look up'!A:C""),3,0),"""")"),"")</f>
        <v/>
      </c>
      <c r="AH6370" s="49" t="str">
        <f t="shared" si="99"/>
        <v/>
      </c>
    </row>
    <row r="6371" spans="8:34" ht="12.75">
      <c r="H6371" s="43"/>
      <c r="AG6371" s="49" t="str">
        <f ca="1">IFERROR(__xludf.DUMMYFUNCTION("IFNA(vlookup(H6371,IMPORTRANGE(""1vUGwO1n0QQGx9kKbO0_M5gmuhXZ6-LaxQxgrmJnzgP0"",""'TP# look up'!A:C""),3,0),"""")"),"")</f>
        <v/>
      </c>
      <c r="AH6371" s="49" t="str">
        <f t="shared" si="99"/>
        <v/>
      </c>
    </row>
    <row r="6372" spans="8:34" ht="12.75">
      <c r="H6372" s="43"/>
      <c r="AG6372" s="49" t="str">
        <f ca="1">IFERROR(__xludf.DUMMYFUNCTION("IFNA(vlookup(H6372,IMPORTRANGE(""1vUGwO1n0QQGx9kKbO0_M5gmuhXZ6-LaxQxgrmJnzgP0"",""'TP# look up'!A:C""),3,0),"""")"),"")</f>
        <v/>
      </c>
      <c r="AH6372" s="49" t="str">
        <f t="shared" si="99"/>
        <v/>
      </c>
    </row>
    <row r="6373" spans="8:34" ht="12.75">
      <c r="H6373" s="43"/>
      <c r="AG6373" s="49" t="str">
        <f ca="1">IFERROR(__xludf.DUMMYFUNCTION("IFNA(vlookup(H6373,IMPORTRANGE(""1vUGwO1n0QQGx9kKbO0_M5gmuhXZ6-LaxQxgrmJnzgP0"",""'TP# look up'!A:C""),3,0),"""")"),"")</f>
        <v/>
      </c>
      <c r="AH6373" s="49" t="str">
        <f t="shared" si="99"/>
        <v/>
      </c>
    </row>
    <row r="6374" spans="8:34" ht="12.75">
      <c r="H6374" s="43"/>
      <c r="AG6374" s="49" t="str">
        <f ca="1">IFERROR(__xludf.DUMMYFUNCTION("IFNA(vlookup(H6374,IMPORTRANGE(""1vUGwO1n0QQGx9kKbO0_M5gmuhXZ6-LaxQxgrmJnzgP0"",""'TP# look up'!A:C""),3,0),"""")"),"")</f>
        <v/>
      </c>
      <c r="AH6374" s="49" t="str">
        <f t="shared" si="99"/>
        <v/>
      </c>
    </row>
    <row r="6375" spans="8:34" ht="12.75">
      <c r="H6375" s="43"/>
      <c r="AG6375" s="49" t="str">
        <f ca="1">IFERROR(__xludf.DUMMYFUNCTION("IFNA(vlookup(H6375,IMPORTRANGE(""1vUGwO1n0QQGx9kKbO0_M5gmuhXZ6-LaxQxgrmJnzgP0"",""'TP# look up'!A:C""),3,0),"""")"),"")</f>
        <v/>
      </c>
      <c r="AH6375" s="49" t="str">
        <f t="shared" si="99"/>
        <v/>
      </c>
    </row>
    <row r="6376" spans="8:34" ht="12.75">
      <c r="H6376" s="43"/>
      <c r="AG6376" s="49" t="str">
        <f ca="1">IFERROR(__xludf.DUMMYFUNCTION("IFNA(vlookup(H6376,IMPORTRANGE(""1vUGwO1n0QQGx9kKbO0_M5gmuhXZ6-LaxQxgrmJnzgP0"",""'TP# look up'!A:C""),3,0),"""")"),"")</f>
        <v/>
      </c>
      <c r="AH6376" s="49" t="str">
        <f t="shared" si="99"/>
        <v/>
      </c>
    </row>
    <row r="6377" spans="8:34" ht="12.75">
      <c r="H6377" s="43"/>
      <c r="AG6377" s="49" t="str">
        <f ca="1">IFERROR(__xludf.DUMMYFUNCTION("IFNA(vlookup(H6377,IMPORTRANGE(""1vUGwO1n0QQGx9kKbO0_M5gmuhXZ6-LaxQxgrmJnzgP0"",""'TP# look up'!A:C""),3,0),"""")"),"")</f>
        <v/>
      </c>
      <c r="AH6377" s="49" t="str">
        <f t="shared" si="99"/>
        <v/>
      </c>
    </row>
    <row r="6378" spans="8:34" ht="12.75">
      <c r="H6378" s="43"/>
      <c r="AG6378" s="49" t="str">
        <f ca="1">IFERROR(__xludf.DUMMYFUNCTION("IFNA(vlookup(H6378,IMPORTRANGE(""1vUGwO1n0QQGx9kKbO0_M5gmuhXZ6-LaxQxgrmJnzgP0"",""'TP# look up'!A:C""),3,0),"""")"),"")</f>
        <v/>
      </c>
      <c r="AH6378" s="49" t="str">
        <f t="shared" si="99"/>
        <v/>
      </c>
    </row>
    <row r="6379" spans="8:34" ht="12.75">
      <c r="H6379" s="43"/>
      <c r="AG6379" s="49" t="str">
        <f ca="1">IFERROR(__xludf.DUMMYFUNCTION("IFNA(vlookup(H6379,IMPORTRANGE(""1vUGwO1n0QQGx9kKbO0_M5gmuhXZ6-LaxQxgrmJnzgP0"",""'TP# look up'!A:C""),3,0),"""")"),"")</f>
        <v/>
      </c>
      <c r="AH6379" s="49" t="str">
        <f t="shared" si="99"/>
        <v/>
      </c>
    </row>
    <row r="6380" spans="8:34" ht="12.75">
      <c r="H6380" s="43"/>
      <c r="AG6380" s="49" t="str">
        <f ca="1">IFERROR(__xludf.DUMMYFUNCTION("IFNA(vlookup(H6380,IMPORTRANGE(""1vUGwO1n0QQGx9kKbO0_M5gmuhXZ6-LaxQxgrmJnzgP0"",""'TP# look up'!A:C""),3,0),"""")"),"")</f>
        <v/>
      </c>
      <c r="AH6380" s="49" t="str">
        <f t="shared" si="99"/>
        <v/>
      </c>
    </row>
    <row r="6381" spans="8:34" ht="12.75">
      <c r="H6381" s="43"/>
      <c r="AG6381" s="49" t="str">
        <f ca="1">IFERROR(__xludf.DUMMYFUNCTION("IFNA(vlookup(H6381,IMPORTRANGE(""1vUGwO1n0QQGx9kKbO0_M5gmuhXZ6-LaxQxgrmJnzgP0"",""'TP# look up'!A:C""),3,0),"""")"),"")</f>
        <v/>
      </c>
      <c r="AH6381" s="49" t="str">
        <f t="shared" si="99"/>
        <v/>
      </c>
    </row>
    <row r="6382" spans="8:34" ht="12.75">
      <c r="H6382" s="43"/>
      <c r="AG6382" s="49" t="str">
        <f ca="1">IFERROR(__xludf.DUMMYFUNCTION("IFNA(vlookup(H6382,IMPORTRANGE(""1vUGwO1n0QQGx9kKbO0_M5gmuhXZ6-LaxQxgrmJnzgP0"",""'TP# look up'!A:C""),3,0),"""")"),"")</f>
        <v/>
      </c>
      <c r="AH6382" s="49" t="str">
        <f t="shared" si="99"/>
        <v/>
      </c>
    </row>
    <row r="6383" spans="8:34" ht="12.75">
      <c r="H6383" s="43"/>
      <c r="AG6383" s="49" t="str">
        <f ca="1">IFERROR(__xludf.DUMMYFUNCTION("IFNA(vlookup(H6383,IMPORTRANGE(""1vUGwO1n0QQGx9kKbO0_M5gmuhXZ6-LaxQxgrmJnzgP0"",""'TP# look up'!A:C""),3,0),"""")"),"")</f>
        <v/>
      </c>
      <c r="AH6383" s="49" t="str">
        <f t="shared" si="99"/>
        <v/>
      </c>
    </row>
    <row r="6384" spans="8:34" ht="12.75">
      <c r="H6384" s="43"/>
      <c r="AG6384" s="49" t="str">
        <f ca="1">IFERROR(__xludf.DUMMYFUNCTION("IFNA(vlookup(H6384,IMPORTRANGE(""1vUGwO1n0QQGx9kKbO0_M5gmuhXZ6-LaxQxgrmJnzgP0"",""'TP# look up'!A:C""),3,0),"""")"),"")</f>
        <v/>
      </c>
      <c r="AH6384" s="49" t="str">
        <f t="shared" si="99"/>
        <v/>
      </c>
    </row>
    <row r="6385" spans="8:34" ht="12.75">
      <c r="H6385" s="43"/>
      <c r="AG6385" s="49" t="str">
        <f ca="1">IFERROR(__xludf.DUMMYFUNCTION("IFNA(vlookup(H6385,IMPORTRANGE(""1vUGwO1n0QQGx9kKbO0_M5gmuhXZ6-LaxQxgrmJnzgP0"",""'TP# look up'!A:C""),3,0),"""")"),"")</f>
        <v/>
      </c>
      <c r="AH6385" s="49" t="str">
        <f t="shared" si="99"/>
        <v/>
      </c>
    </row>
    <row r="6386" spans="8:34" ht="12.75">
      <c r="H6386" s="43"/>
      <c r="AG6386" s="49" t="str">
        <f ca="1">IFERROR(__xludf.DUMMYFUNCTION("IFNA(vlookup(H6386,IMPORTRANGE(""1vUGwO1n0QQGx9kKbO0_M5gmuhXZ6-LaxQxgrmJnzgP0"",""'TP# look up'!A:C""),3,0),"""")"),"")</f>
        <v/>
      </c>
      <c r="AH6386" s="49" t="str">
        <f t="shared" si="99"/>
        <v/>
      </c>
    </row>
    <row r="6387" spans="8:34" ht="12.75">
      <c r="H6387" s="43"/>
      <c r="AG6387" s="49" t="str">
        <f ca="1">IFERROR(__xludf.DUMMYFUNCTION("IFNA(vlookup(H6387,IMPORTRANGE(""1vUGwO1n0QQGx9kKbO0_M5gmuhXZ6-LaxQxgrmJnzgP0"",""'TP# look up'!A:C""),3,0),"""")"),"")</f>
        <v/>
      </c>
      <c r="AH6387" s="49" t="str">
        <f t="shared" si="99"/>
        <v/>
      </c>
    </row>
    <row r="6388" spans="8:34" ht="12.75">
      <c r="H6388" s="43"/>
      <c r="AG6388" s="49" t="str">
        <f ca="1">IFERROR(__xludf.DUMMYFUNCTION("IFNA(vlookup(H6388,IMPORTRANGE(""1vUGwO1n0QQGx9kKbO0_M5gmuhXZ6-LaxQxgrmJnzgP0"",""'TP# look up'!A:C""),3,0),"""")"),"")</f>
        <v/>
      </c>
      <c r="AH6388" s="49" t="str">
        <f t="shared" si="99"/>
        <v/>
      </c>
    </row>
    <row r="6389" spans="8:34" ht="12.75">
      <c r="H6389" s="43"/>
      <c r="AG6389" s="49" t="str">
        <f ca="1">IFERROR(__xludf.DUMMYFUNCTION("IFNA(vlookup(H6389,IMPORTRANGE(""1vUGwO1n0QQGx9kKbO0_M5gmuhXZ6-LaxQxgrmJnzgP0"",""'TP# look up'!A:C""),3,0),"""")"),"")</f>
        <v/>
      </c>
      <c r="AH6389" s="49" t="str">
        <f t="shared" si="99"/>
        <v/>
      </c>
    </row>
    <row r="6390" spans="8:34" ht="12.75">
      <c r="H6390" s="43"/>
      <c r="AG6390" s="49" t="str">
        <f ca="1">IFERROR(__xludf.DUMMYFUNCTION("IFNA(vlookup(H6390,IMPORTRANGE(""1vUGwO1n0QQGx9kKbO0_M5gmuhXZ6-LaxQxgrmJnzgP0"",""'TP# look up'!A:C""),3,0),"""")"),"")</f>
        <v/>
      </c>
      <c r="AH6390" s="49" t="str">
        <f t="shared" si="99"/>
        <v/>
      </c>
    </row>
    <row r="6391" spans="8:34" ht="12.75">
      <c r="H6391" s="43"/>
      <c r="AG6391" s="49" t="str">
        <f ca="1">IFERROR(__xludf.DUMMYFUNCTION("IFNA(vlookup(H6391,IMPORTRANGE(""1vUGwO1n0QQGx9kKbO0_M5gmuhXZ6-LaxQxgrmJnzgP0"",""'TP# look up'!A:C""),3,0),"""")"),"")</f>
        <v/>
      </c>
      <c r="AH6391" s="49" t="str">
        <f t="shared" si="99"/>
        <v/>
      </c>
    </row>
    <row r="6392" spans="8:34" ht="12.75">
      <c r="H6392" s="43"/>
      <c r="AG6392" s="49" t="str">
        <f ca="1">IFERROR(__xludf.DUMMYFUNCTION("IFNA(vlookup(H6392,IMPORTRANGE(""1vUGwO1n0QQGx9kKbO0_M5gmuhXZ6-LaxQxgrmJnzgP0"",""'TP# look up'!A:C""),3,0),"""")"),"")</f>
        <v/>
      </c>
      <c r="AH6392" s="49" t="str">
        <f t="shared" si="99"/>
        <v/>
      </c>
    </row>
    <row r="6393" spans="8:34" ht="12.75">
      <c r="H6393" s="43"/>
      <c r="AG6393" s="49" t="str">
        <f ca="1">IFERROR(__xludf.DUMMYFUNCTION("IFNA(vlookup(H6393,IMPORTRANGE(""1vUGwO1n0QQGx9kKbO0_M5gmuhXZ6-LaxQxgrmJnzgP0"",""'TP# look up'!A:C""),3,0),"""")"),"")</f>
        <v/>
      </c>
      <c r="AH6393" s="49" t="str">
        <f t="shared" si="99"/>
        <v/>
      </c>
    </row>
    <row r="6394" spans="8:34" ht="12.75">
      <c r="H6394" s="43"/>
      <c r="AG6394" s="49" t="str">
        <f ca="1">IFERROR(__xludf.DUMMYFUNCTION("IFNA(vlookup(H6394,IMPORTRANGE(""1vUGwO1n0QQGx9kKbO0_M5gmuhXZ6-LaxQxgrmJnzgP0"",""'TP# look up'!A:C""),3,0),"""")"),"")</f>
        <v/>
      </c>
      <c r="AH6394" s="49" t="str">
        <f t="shared" si="99"/>
        <v/>
      </c>
    </row>
    <row r="6395" spans="8:34" ht="12.75">
      <c r="H6395" s="43"/>
      <c r="AG6395" s="49" t="str">
        <f ca="1">IFERROR(__xludf.DUMMYFUNCTION("IFNA(vlookup(H6395,IMPORTRANGE(""1vUGwO1n0QQGx9kKbO0_M5gmuhXZ6-LaxQxgrmJnzgP0"",""'TP# look up'!A:C""),3,0),"""")"),"")</f>
        <v/>
      </c>
      <c r="AH6395" s="49" t="str">
        <f t="shared" si="99"/>
        <v/>
      </c>
    </row>
    <row r="6396" spans="8:34" ht="12.75">
      <c r="H6396" s="43"/>
      <c r="AG6396" s="49" t="str">
        <f ca="1">IFERROR(__xludf.DUMMYFUNCTION("IFNA(vlookup(H6396,IMPORTRANGE(""1vUGwO1n0QQGx9kKbO0_M5gmuhXZ6-LaxQxgrmJnzgP0"",""'TP# look up'!A:C""),3,0),"""")"),"")</f>
        <v/>
      </c>
      <c r="AH6396" s="49" t="str">
        <f t="shared" si="99"/>
        <v/>
      </c>
    </row>
    <row r="6397" spans="8:34" ht="12.75">
      <c r="H6397" s="43"/>
      <c r="AG6397" s="49" t="str">
        <f ca="1">IFERROR(__xludf.DUMMYFUNCTION("IFNA(vlookup(H6397,IMPORTRANGE(""1vUGwO1n0QQGx9kKbO0_M5gmuhXZ6-LaxQxgrmJnzgP0"",""'TP# look up'!A:C""),3,0),"""")"),"")</f>
        <v/>
      </c>
      <c r="AH6397" s="49" t="str">
        <f t="shared" si="99"/>
        <v/>
      </c>
    </row>
    <row r="6398" spans="8:34" ht="12.75">
      <c r="H6398" s="43"/>
      <c r="AG6398" s="49" t="str">
        <f ca="1">IFERROR(__xludf.DUMMYFUNCTION("IFNA(vlookup(H6398,IMPORTRANGE(""1vUGwO1n0QQGx9kKbO0_M5gmuhXZ6-LaxQxgrmJnzgP0"",""'TP# look up'!A:C""),3,0),"""")"),"")</f>
        <v/>
      </c>
      <c r="AH6398" s="49" t="str">
        <f t="shared" si="99"/>
        <v/>
      </c>
    </row>
    <row r="6399" spans="8:34" ht="12.75">
      <c r="H6399" s="43"/>
      <c r="AG6399" s="49" t="str">
        <f ca="1">IFERROR(__xludf.DUMMYFUNCTION("IFNA(vlookup(H6399,IMPORTRANGE(""1vUGwO1n0QQGx9kKbO0_M5gmuhXZ6-LaxQxgrmJnzgP0"",""'TP# look up'!A:C""),3,0),"""")"),"")</f>
        <v/>
      </c>
      <c r="AH6399" s="49" t="str">
        <f t="shared" si="99"/>
        <v/>
      </c>
    </row>
    <row r="6400" spans="8:34" ht="12.75">
      <c r="H6400" s="43"/>
      <c r="AG6400" s="49" t="str">
        <f ca="1">IFERROR(__xludf.DUMMYFUNCTION("IFNA(vlookup(H6400,IMPORTRANGE(""1vUGwO1n0QQGx9kKbO0_M5gmuhXZ6-LaxQxgrmJnzgP0"",""'TP# look up'!A:C""),3,0),"""")"),"")</f>
        <v/>
      </c>
      <c r="AH6400" s="49" t="str">
        <f t="shared" si="99"/>
        <v/>
      </c>
    </row>
    <row r="6401" spans="8:34" ht="12.75">
      <c r="H6401" s="43"/>
      <c r="AG6401" s="49" t="str">
        <f ca="1">IFERROR(__xludf.DUMMYFUNCTION("IFNA(vlookup(H6401,IMPORTRANGE(""1vUGwO1n0QQGx9kKbO0_M5gmuhXZ6-LaxQxgrmJnzgP0"",""'TP# look up'!A:C""),3,0),"""")"),"")</f>
        <v/>
      </c>
      <c r="AH6401" s="49" t="str">
        <f t="shared" si="99"/>
        <v/>
      </c>
    </row>
    <row r="6402" spans="8:34" ht="12.75">
      <c r="H6402" s="43"/>
      <c r="AG6402" s="49" t="str">
        <f ca="1">IFERROR(__xludf.DUMMYFUNCTION("IFNA(vlookup(H6402,IMPORTRANGE(""1vUGwO1n0QQGx9kKbO0_M5gmuhXZ6-LaxQxgrmJnzgP0"",""'TP# look up'!A:C""),3,0),"""")"),"")</f>
        <v/>
      </c>
      <c r="AH6402" s="49" t="str">
        <f t="shared" ref="AH6402:AH6465" si="100">LEFT(J6402,2)</f>
        <v/>
      </c>
    </row>
    <row r="6403" spans="8:34" ht="12.75">
      <c r="H6403" s="43"/>
      <c r="AG6403" s="49" t="str">
        <f ca="1">IFERROR(__xludf.DUMMYFUNCTION("IFNA(vlookup(H6403,IMPORTRANGE(""1vUGwO1n0QQGx9kKbO0_M5gmuhXZ6-LaxQxgrmJnzgP0"",""'TP# look up'!A:C""),3,0),"""")"),"")</f>
        <v/>
      </c>
      <c r="AH6403" s="49" t="str">
        <f t="shared" si="100"/>
        <v/>
      </c>
    </row>
    <row r="6404" spans="8:34" ht="12.75">
      <c r="H6404" s="43"/>
      <c r="AG6404" s="49" t="str">
        <f ca="1">IFERROR(__xludf.DUMMYFUNCTION("IFNA(vlookup(H6404,IMPORTRANGE(""1vUGwO1n0QQGx9kKbO0_M5gmuhXZ6-LaxQxgrmJnzgP0"",""'TP# look up'!A:C""),3,0),"""")"),"")</f>
        <v/>
      </c>
      <c r="AH6404" s="49" t="str">
        <f t="shared" si="100"/>
        <v/>
      </c>
    </row>
    <row r="6405" spans="8:34" ht="12.75">
      <c r="H6405" s="43"/>
      <c r="AG6405" s="49" t="str">
        <f ca="1">IFERROR(__xludf.DUMMYFUNCTION("IFNA(vlookup(H6405,IMPORTRANGE(""1vUGwO1n0QQGx9kKbO0_M5gmuhXZ6-LaxQxgrmJnzgP0"",""'TP# look up'!A:C""),3,0),"""")"),"")</f>
        <v/>
      </c>
      <c r="AH6405" s="49" t="str">
        <f t="shared" si="100"/>
        <v/>
      </c>
    </row>
    <row r="6406" spans="8:34" ht="12.75">
      <c r="H6406" s="43"/>
      <c r="AG6406" s="49" t="str">
        <f ca="1">IFERROR(__xludf.DUMMYFUNCTION("IFNA(vlookup(H6406,IMPORTRANGE(""1vUGwO1n0QQGx9kKbO0_M5gmuhXZ6-LaxQxgrmJnzgP0"",""'TP# look up'!A:C""),3,0),"""")"),"")</f>
        <v/>
      </c>
      <c r="AH6406" s="49" t="str">
        <f t="shared" si="100"/>
        <v/>
      </c>
    </row>
    <row r="6407" spans="8:34" ht="12.75">
      <c r="H6407" s="43"/>
      <c r="AG6407" s="49" t="str">
        <f ca="1">IFERROR(__xludf.DUMMYFUNCTION("IFNA(vlookup(H6407,IMPORTRANGE(""1vUGwO1n0QQGx9kKbO0_M5gmuhXZ6-LaxQxgrmJnzgP0"",""'TP# look up'!A:C""),3,0),"""")"),"")</f>
        <v/>
      </c>
      <c r="AH6407" s="49" t="str">
        <f t="shared" si="100"/>
        <v/>
      </c>
    </row>
    <row r="6408" spans="8:34" ht="12.75">
      <c r="H6408" s="43"/>
      <c r="AG6408" s="49" t="str">
        <f ca="1">IFERROR(__xludf.DUMMYFUNCTION("IFNA(vlookup(H6408,IMPORTRANGE(""1vUGwO1n0QQGx9kKbO0_M5gmuhXZ6-LaxQxgrmJnzgP0"",""'TP# look up'!A:C""),3,0),"""")"),"")</f>
        <v/>
      </c>
      <c r="AH6408" s="49" t="str">
        <f t="shared" si="100"/>
        <v/>
      </c>
    </row>
    <row r="6409" spans="8:34" ht="12.75">
      <c r="H6409" s="43"/>
      <c r="AG6409" s="49" t="str">
        <f ca="1">IFERROR(__xludf.DUMMYFUNCTION("IFNA(vlookup(H6409,IMPORTRANGE(""1vUGwO1n0QQGx9kKbO0_M5gmuhXZ6-LaxQxgrmJnzgP0"",""'TP# look up'!A:C""),3,0),"""")"),"")</f>
        <v/>
      </c>
      <c r="AH6409" s="49" t="str">
        <f t="shared" si="100"/>
        <v/>
      </c>
    </row>
    <row r="6410" spans="8:34" ht="12.75">
      <c r="H6410" s="43"/>
      <c r="AG6410" s="49" t="str">
        <f ca="1">IFERROR(__xludf.DUMMYFUNCTION("IFNA(vlookup(H6410,IMPORTRANGE(""1vUGwO1n0QQGx9kKbO0_M5gmuhXZ6-LaxQxgrmJnzgP0"",""'TP# look up'!A:C""),3,0),"""")"),"")</f>
        <v/>
      </c>
      <c r="AH6410" s="49" t="str">
        <f t="shared" si="100"/>
        <v/>
      </c>
    </row>
    <row r="6411" spans="8:34" ht="12.75">
      <c r="H6411" s="43"/>
      <c r="AG6411" s="49" t="str">
        <f ca="1">IFERROR(__xludf.DUMMYFUNCTION("IFNA(vlookup(H6411,IMPORTRANGE(""1vUGwO1n0QQGx9kKbO0_M5gmuhXZ6-LaxQxgrmJnzgP0"",""'TP# look up'!A:C""),3,0),"""")"),"")</f>
        <v/>
      </c>
      <c r="AH6411" s="49" t="str">
        <f t="shared" si="100"/>
        <v/>
      </c>
    </row>
    <row r="6412" spans="8:34" ht="12.75">
      <c r="H6412" s="43"/>
      <c r="AG6412" s="49" t="str">
        <f ca="1">IFERROR(__xludf.DUMMYFUNCTION("IFNA(vlookup(H6412,IMPORTRANGE(""1vUGwO1n0QQGx9kKbO0_M5gmuhXZ6-LaxQxgrmJnzgP0"",""'TP# look up'!A:C""),3,0),"""")"),"")</f>
        <v/>
      </c>
      <c r="AH6412" s="49" t="str">
        <f t="shared" si="100"/>
        <v/>
      </c>
    </row>
    <row r="6413" spans="8:34" ht="12.75">
      <c r="H6413" s="43"/>
      <c r="AG6413" s="49" t="str">
        <f ca="1">IFERROR(__xludf.DUMMYFUNCTION("IFNA(vlookup(H6413,IMPORTRANGE(""1vUGwO1n0QQGx9kKbO0_M5gmuhXZ6-LaxQxgrmJnzgP0"",""'TP# look up'!A:C""),3,0),"""")"),"")</f>
        <v/>
      </c>
      <c r="AH6413" s="49" t="str">
        <f t="shared" si="100"/>
        <v/>
      </c>
    </row>
    <row r="6414" spans="8:34" ht="12.75">
      <c r="H6414" s="43"/>
      <c r="AG6414" s="49" t="str">
        <f ca="1">IFERROR(__xludf.DUMMYFUNCTION("IFNA(vlookup(H6414,IMPORTRANGE(""1vUGwO1n0QQGx9kKbO0_M5gmuhXZ6-LaxQxgrmJnzgP0"",""'TP# look up'!A:C""),3,0),"""")"),"")</f>
        <v/>
      </c>
      <c r="AH6414" s="49" t="str">
        <f t="shared" si="100"/>
        <v/>
      </c>
    </row>
    <row r="6415" spans="8:34" ht="12.75">
      <c r="H6415" s="43"/>
      <c r="AG6415" s="49" t="str">
        <f ca="1">IFERROR(__xludf.DUMMYFUNCTION("IFNA(vlookup(H6415,IMPORTRANGE(""1vUGwO1n0QQGx9kKbO0_M5gmuhXZ6-LaxQxgrmJnzgP0"",""'TP# look up'!A:C""),3,0),"""")"),"")</f>
        <v/>
      </c>
      <c r="AH6415" s="49" t="str">
        <f t="shared" si="100"/>
        <v/>
      </c>
    </row>
    <row r="6416" spans="8:34" ht="12.75">
      <c r="H6416" s="43"/>
      <c r="AG6416" s="49" t="str">
        <f ca="1">IFERROR(__xludf.DUMMYFUNCTION("IFNA(vlookup(H6416,IMPORTRANGE(""1vUGwO1n0QQGx9kKbO0_M5gmuhXZ6-LaxQxgrmJnzgP0"",""'TP# look up'!A:C""),3,0),"""")"),"")</f>
        <v/>
      </c>
      <c r="AH6416" s="49" t="str">
        <f t="shared" si="100"/>
        <v/>
      </c>
    </row>
    <row r="6417" spans="8:34" ht="12.75">
      <c r="H6417" s="43"/>
      <c r="AG6417" s="49" t="str">
        <f ca="1">IFERROR(__xludf.DUMMYFUNCTION("IFNA(vlookup(H6417,IMPORTRANGE(""1vUGwO1n0QQGx9kKbO0_M5gmuhXZ6-LaxQxgrmJnzgP0"",""'TP# look up'!A:C""),3,0),"""")"),"")</f>
        <v/>
      </c>
      <c r="AH6417" s="49" t="str">
        <f t="shared" si="100"/>
        <v/>
      </c>
    </row>
    <row r="6418" spans="8:34" ht="12.75">
      <c r="H6418" s="43"/>
      <c r="AG6418" s="49" t="str">
        <f ca="1">IFERROR(__xludf.DUMMYFUNCTION("IFNA(vlookup(H6418,IMPORTRANGE(""1vUGwO1n0QQGx9kKbO0_M5gmuhXZ6-LaxQxgrmJnzgP0"",""'TP# look up'!A:C""),3,0),"""")"),"")</f>
        <v/>
      </c>
      <c r="AH6418" s="49" t="str">
        <f t="shared" si="100"/>
        <v/>
      </c>
    </row>
    <row r="6419" spans="8:34" ht="12.75">
      <c r="H6419" s="43"/>
      <c r="AG6419" s="49" t="str">
        <f ca="1">IFERROR(__xludf.DUMMYFUNCTION("IFNA(vlookup(H6419,IMPORTRANGE(""1vUGwO1n0QQGx9kKbO0_M5gmuhXZ6-LaxQxgrmJnzgP0"",""'TP# look up'!A:C""),3,0),"""")"),"")</f>
        <v/>
      </c>
      <c r="AH6419" s="49" t="str">
        <f t="shared" si="100"/>
        <v/>
      </c>
    </row>
    <row r="6420" spans="8:34" ht="12.75">
      <c r="H6420" s="43"/>
      <c r="AG6420" s="49" t="str">
        <f ca="1">IFERROR(__xludf.DUMMYFUNCTION("IFNA(vlookup(H6420,IMPORTRANGE(""1vUGwO1n0QQGx9kKbO0_M5gmuhXZ6-LaxQxgrmJnzgP0"",""'TP# look up'!A:C""),3,0),"""")"),"")</f>
        <v/>
      </c>
      <c r="AH6420" s="49" t="str">
        <f t="shared" si="100"/>
        <v/>
      </c>
    </row>
    <row r="6421" spans="8:34" ht="12.75">
      <c r="H6421" s="43"/>
      <c r="AG6421" s="49" t="str">
        <f ca="1">IFERROR(__xludf.DUMMYFUNCTION("IFNA(vlookup(H6421,IMPORTRANGE(""1vUGwO1n0QQGx9kKbO0_M5gmuhXZ6-LaxQxgrmJnzgP0"",""'TP# look up'!A:C""),3,0),"""")"),"")</f>
        <v/>
      </c>
      <c r="AH6421" s="49" t="str">
        <f t="shared" si="100"/>
        <v/>
      </c>
    </row>
    <row r="6422" spans="8:34" ht="12.75">
      <c r="H6422" s="43"/>
      <c r="AG6422" s="49" t="str">
        <f ca="1">IFERROR(__xludf.DUMMYFUNCTION("IFNA(vlookup(H6422,IMPORTRANGE(""1vUGwO1n0QQGx9kKbO0_M5gmuhXZ6-LaxQxgrmJnzgP0"",""'TP# look up'!A:C""),3,0),"""")"),"")</f>
        <v/>
      </c>
      <c r="AH6422" s="49" t="str">
        <f t="shared" si="100"/>
        <v/>
      </c>
    </row>
    <row r="6423" spans="8:34" ht="12.75">
      <c r="H6423" s="43"/>
      <c r="AG6423" s="49" t="str">
        <f ca="1">IFERROR(__xludf.DUMMYFUNCTION("IFNA(vlookup(H6423,IMPORTRANGE(""1vUGwO1n0QQGx9kKbO0_M5gmuhXZ6-LaxQxgrmJnzgP0"",""'TP# look up'!A:C""),3,0),"""")"),"")</f>
        <v/>
      </c>
      <c r="AH6423" s="49" t="str">
        <f t="shared" si="100"/>
        <v/>
      </c>
    </row>
    <row r="6424" spans="8:34" ht="12.75">
      <c r="H6424" s="43"/>
      <c r="AG6424" s="49" t="str">
        <f ca="1">IFERROR(__xludf.DUMMYFUNCTION("IFNA(vlookup(H6424,IMPORTRANGE(""1vUGwO1n0QQGx9kKbO0_M5gmuhXZ6-LaxQxgrmJnzgP0"",""'TP# look up'!A:C""),3,0),"""")"),"")</f>
        <v/>
      </c>
      <c r="AH6424" s="49" t="str">
        <f t="shared" si="100"/>
        <v/>
      </c>
    </row>
    <row r="6425" spans="8:34" ht="12.75">
      <c r="H6425" s="43"/>
      <c r="AG6425" s="49" t="str">
        <f ca="1">IFERROR(__xludf.DUMMYFUNCTION("IFNA(vlookup(H6425,IMPORTRANGE(""1vUGwO1n0QQGx9kKbO0_M5gmuhXZ6-LaxQxgrmJnzgP0"",""'TP# look up'!A:C""),3,0),"""")"),"")</f>
        <v/>
      </c>
      <c r="AH6425" s="49" t="str">
        <f t="shared" si="100"/>
        <v/>
      </c>
    </row>
    <row r="6426" spans="8:34" ht="12.75">
      <c r="H6426" s="43"/>
      <c r="AG6426" s="49" t="str">
        <f ca="1">IFERROR(__xludf.DUMMYFUNCTION("IFNA(vlookup(H6426,IMPORTRANGE(""1vUGwO1n0QQGx9kKbO0_M5gmuhXZ6-LaxQxgrmJnzgP0"",""'TP# look up'!A:C""),3,0),"""")"),"")</f>
        <v/>
      </c>
      <c r="AH6426" s="49" t="str">
        <f t="shared" si="100"/>
        <v/>
      </c>
    </row>
    <row r="6427" spans="8:34" ht="12.75">
      <c r="H6427" s="43"/>
      <c r="AG6427" s="49" t="str">
        <f ca="1">IFERROR(__xludf.DUMMYFUNCTION("IFNA(vlookup(H6427,IMPORTRANGE(""1vUGwO1n0QQGx9kKbO0_M5gmuhXZ6-LaxQxgrmJnzgP0"",""'TP# look up'!A:C""),3,0),"""")"),"")</f>
        <v/>
      </c>
      <c r="AH6427" s="49" t="str">
        <f t="shared" si="100"/>
        <v/>
      </c>
    </row>
    <row r="6428" spans="8:34" ht="12.75">
      <c r="H6428" s="43"/>
      <c r="AG6428" s="49" t="str">
        <f ca="1">IFERROR(__xludf.DUMMYFUNCTION("IFNA(vlookup(H6428,IMPORTRANGE(""1vUGwO1n0QQGx9kKbO0_M5gmuhXZ6-LaxQxgrmJnzgP0"",""'TP# look up'!A:C""),3,0),"""")"),"")</f>
        <v/>
      </c>
      <c r="AH6428" s="49" t="str">
        <f t="shared" si="100"/>
        <v/>
      </c>
    </row>
    <row r="6429" spans="8:34" ht="12.75">
      <c r="H6429" s="43"/>
      <c r="AG6429" s="49" t="str">
        <f ca="1">IFERROR(__xludf.DUMMYFUNCTION("IFNA(vlookup(H6429,IMPORTRANGE(""1vUGwO1n0QQGx9kKbO0_M5gmuhXZ6-LaxQxgrmJnzgP0"",""'TP# look up'!A:C""),3,0),"""")"),"")</f>
        <v/>
      </c>
      <c r="AH6429" s="49" t="str">
        <f t="shared" si="100"/>
        <v/>
      </c>
    </row>
    <row r="6430" spans="8:34" ht="12.75">
      <c r="H6430" s="43"/>
      <c r="AG6430" s="49" t="str">
        <f ca="1">IFERROR(__xludf.DUMMYFUNCTION("IFNA(vlookup(H6430,IMPORTRANGE(""1vUGwO1n0QQGx9kKbO0_M5gmuhXZ6-LaxQxgrmJnzgP0"",""'TP# look up'!A:C""),3,0),"""")"),"")</f>
        <v/>
      </c>
      <c r="AH6430" s="49" t="str">
        <f t="shared" si="100"/>
        <v/>
      </c>
    </row>
    <row r="6431" spans="8:34" ht="12.75">
      <c r="H6431" s="43"/>
      <c r="AG6431" s="49" t="str">
        <f ca="1">IFERROR(__xludf.DUMMYFUNCTION("IFNA(vlookup(H6431,IMPORTRANGE(""1vUGwO1n0QQGx9kKbO0_M5gmuhXZ6-LaxQxgrmJnzgP0"",""'TP# look up'!A:C""),3,0),"""")"),"")</f>
        <v/>
      </c>
      <c r="AH6431" s="49" t="str">
        <f t="shared" si="100"/>
        <v/>
      </c>
    </row>
    <row r="6432" spans="8:34" ht="12.75">
      <c r="H6432" s="43"/>
      <c r="AG6432" s="49" t="str">
        <f ca="1">IFERROR(__xludf.DUMMYFUNCTION("IFNA(vlookup(H6432,IMPORTRANGE(""1vUGwO1n0QQGx9kKbO0_M5gmuhXZ6-LaxQxgrmJnzgP0"",""'TP# look up'!A:C""),3,0),"""")"),"")</f>
        <v/>
      </c>
      <c r="AH6432" s="49" t="str">
        <f t="shared" si="100"/>
        <v/>
      </c>
    </row>
    <row r="6433" spans="8:34" ht="12.75">
      <c r="H6433" s="43"/>
      <c r="AG6433" s="49" t="str">
        <f ca="1">IFERROR(__xludf.DUMMYFUNCTION("IFNA(vlookup(H6433,IMPORTRANGE(""1vUGwO1n0QQGx9kKbO0_M5gmuhXZ6-LaxQxgrmJnzgP0"",""'TP# look up'!A:C""),3,0),"""")"),"")</f>
        <v/>
      </c>
      <c r="AH6433" s="49" t="str">
        <f t="shared" si="100"/>
        <v/>
      </c>
    </row>
    <row r="6434" spans="8:34" ht="12.75">
      <c r="H6434" s="43"/>
      <c r="AG6434" s="49" t="str">
        <f ca="1">IFERROR(__xludf.DUMMYFUNCTION("IFNA(vlookup(H6434,IMPORTRANGE(""1vUGwO1n0QQGx9kKbO0_M5gmuhXZ6-LaxQxgrmJnzgP0"",""'TP# look up'!A:C""),3,0),"""")"),"")</f>
        <v/>
      </c>
      <c r="AH6434" s="49" t="str">
        <f t="shared" si="100"/>
        <v/>
      </c>
    </row>
    <row r="6435" spans="8:34" ht="12.75">
      <c r="H6435" s="43"/>
      <c r="AG6435" s="49" t="str">
        <f ca="1">IFERROR(__xludf.DUMMYFUNCTION("IFNA(vlookup(H6435,IMPORTRANGE(""1vUGwO1n0QQGx9kKbO0_M5gmuhXZ6-LaxQxgrmJnzgP0"",""'TP# look up'!A:C""),3,0),"""")"),"")</f>
        <v/>
      </c>
      <c r="AH6435" s="49" t="str">
        <f t="shared" si="100"/>
        <v/>
      </c>
    </row>
    <row r="6436" spans="8:34" ht="12.75">
      <c r="H6436" s="43"/>
      <c r="AG6436" s="49" t="str">
        <f ca="1">IFERROR(__xludf.DUMMYFUNCTION("IFNA(vlookup(H6436,IMPORTRANGE(""1vUGwO1n0QQGx9kKbO0_M5gmuhXZ6-LaxQxgrmJnzgP0"",""'TP# look up'!A:C""),3,0),"""")"),"")</f>
        <v/>
      </c>
      <c r="AH6436" s="49" t="str">
        <f t="shared" si="100"/>
        <v/>
      </c>
    </row>
    <row r="6437" spans="8:34" ht="12.75">
      <c r="H6437" s="43"/>
      <c r="AG6437" s="49" t="str">
        <f ca="1">IFERROR(__xludf.DUMMYFUNCTION("IFNA(vlookup(H6437,IMPORTRANGE(""1vUGwO1n0QQGx9kKbO0_M5gmuhXZ6-LaxQxgrmJnzgP0"",""'TP# look up'!A:C""),3,0),"""")"),"")</f>
        <v/>
      </c>
      <c r="AH6437" s="49" t="str">
        <f t="shared" si="100"/>
        <v/>
      </c>
    </row>
    <row r="6438" spans="8:34" ht="12.75">
      <c r="H6438" s="43"/>
      <c r="AG6438" s="49" t="str">
        <f ca="1">IFERROR(__xludf.DUMMYFUNCTION("IFNA(vlookup(H6438,IMPORTRANGE(""1vUGwO1n0QQGx9kKbO0_M5gmuhXZ6-LaxQxgrmJnzgP0"",""'TP# look up'!A:C""),3,0),"""")"),"")</f>
        <v/>
      </c>
      <c r="AH6438" s="49" t="str">
        <f t="shared" si="100"/>
        <v/>
      </c>
    </row>
    <row r="6439" spans="8:34" ht="12.75">
      <c r="H6439" s="43"/>
      <c r="AG6439" s="49" t="str">
        <f ca="1">IFERROR(__xludf.DUMMYFUNCTION("IFNA(vlookup(H6439,IMPORTRANGE(""1vUGwO1n0QQGx9kKbO0_M5gmuhXZ6-LaxQxgrmJnzgP0"",""'TP# look up'!A:C""),3,0),"""")"),"")</f>
        <v/>
      </c>
      <c r="AH6439" s="49" t="str">
        <f t="shared" si="100"/>
        <v/>
      </c>
    </row>
    <row r="6440" spans="8:34" ht="12.75">
      <c r="H6440" s="43"/>
      <c r="AG6440" s="49" t="str">
        <f ca="1">IFERROR(__xludf.DUMMYFUNCTION("IFNA(vlookup(H6440,IMPORTRANGE(""1vUGwO1n0QQGx9kKbO0_M5gmuhXZ6-LaxQxgrmJnzgP0"",""'TP# look up'!A:C""),3,0),"""")"),"")</f>
        <v/>
      </c>
      <c r="AH6440" s="49" t="str">
        <f t="shared" si="100"/>
        <v/>
      </c>
    </row>
    <row r="6441" spans="8:34" ht="12.75">
      <c r="H6441" s="43"/>
      <c r="AG6441" s="49" t="str">
        <f ca="1">IFERROR(__xludf.DUMMYFUNCTION("IFNA(vlookup(H6441,IMPORTRANGE(""1vUGwO1n0QQGx9kKbO0_M5gmuhXZ6-LaxQxgrmJnzgP0"",""'TP# look up'!A:C""),3,0),"""")"),"")</f>
        <v/>
      </c>
      <c r="AH6441" s="49" t="str">
        <f t="shared" si="100"/>
        <v/>
      </c>
    </row>
    <row r="6442" spans="8:34" ht="12.75">
      <c r="H6442" s="43"/>
      <c r="AG6442" s="49" t="str">
        <f ca="1">IFERROR(__xludf.DUMMYFUNCTION("IFNA(vlookup(H6442,IMPORTRANGE(""1vUGwO1n0QQGx9kKbO0_M5gmuhXZ6-LaxQxgrmJnzgP0"",""'TP# look up'!A:C""),3,0),"""")"),"")</f>
        <v/>
      </c>
      <c r="AH6442" s="49" t="str">
        <f t="shared" si="100"/>
        <v/>
      </c>
    </row>
    <row r="6443" spans="8:34" ht="12.75">
      <c r="H6443" s="43"/>
      <c r="AG6443" s="49" t="str">
        <f ca="1">IFERROR(__xludf.DUMMYFUNCTION("IFNA(vlookup(H6443,IMPORTRANGE(""1vUGwO1n0QQGx9kKbO0_M5gmuhXZ6-LaxQxgrmJnzgP0"",""'TP# look up'!A:C""),3,0),"""")"),"")</f>
        <v/>
      </c>
      <c r="AH6443" s="49" t="str">
        <f t="shared" si="100"/>
        <v/>
      </c>
    </row>
    <row r="6444" spans="8:34" ht="12.75">
      <c r="H6444" s="43"/>
      <c r="AG6444" s="49" t="str">
        <f ca="1">IFERROR(__xludf.DUMMYFUNCTION("IFNA(vlookup(H6444,IMPORTRANGE(""1vUGwO1n0QQGx9kKbO0_M5gmuhXZ6-LaxQxgrmJnzgP0"",""'TP# look up'!A:C""),3,0),"""")"),"")</f>
        <v/>
      </c>
      <c r="AH6444" s="49" t="str">
        <f t="shared" si="100"/>
        <v/>
      </c>
    </row>
    <row r="6445" spans="8:34" ht="12.75">
      <c r="H6445" s="43"/>
      <c r="AG6445" s="49" t="str">
        <f ca="1">IFERROR(__xludf.DUMMYFUNCTION("IFNA(vlookup(H6445,IMPORTRANGE(""1vUGwO1n0QQGx9kKbO0_M5gmuhXZ6-LaxQxgrmJnzgP0"",""'TP# look up'!A:C""),3,0),"""")"),"")</f>
        <v/>
      </c>
      <c r="AH6445" s="49" t="str">
        <f t="shared" si="100"/>
        <v/>
      </c>
    </row>
    <row r="6446" spans="8:34" ht="12.75">
      <c r="H6446" s="43"/>
      <c r="AG6446" s="49" t="str">
        <f ca="1">IFERROR(__xludf.DUMMYFUNCTION("IFNA(vlookup(H6446,IMPORTRANGE(""1vUGwO1n0QQGx9kKbO0_M5gmuhXZ6-LaxQxgrmJnzgP0"",""'TP# look up'!A:C""),3,0),"""")"),"")</f>
        <v/>
      </c>
      <c r="AH6446" s="49" t="str">
        <f t="shared" si="100"/>
        <v/>
      </c>
    </row>
    <row r="6447" spans="8:34" ht="12.75">
      <c r="H6447" s="43"/>
      <c r="AG6447" s="49" t="str">
        <f ca="1">IFERROR(__xludf.DUMMYFUNCTION("IFNA(vlookup(H6447,IMPORTRANGE(""1vUGwO1n0QQGx9kKbO0_M5gmuhXZ6-LaxQxgrmJnzgP0"",""'TP# look up'!A:C""),3,0),"""")"),"")</f>
        <v/>
      </c>
      <c r="AH6447" s="49" t="str">
        <f t="shared" si="100"/>
        <v/>
      </c>
    </row>
    <row r="6448" spans="8:34" ht="12.75">
      <c r="H6448" s="43"/>
      <c r="AG6448" s="49" t="str">
        <f ca="1">IFERROR(__xludf.DUMMYFUNCTION("IFNA(vlookup(H6448,IMPORTRANGE(""1vUGwO1n0QQGx9kKbO0_M5gmuhXZ6-LaxQxgrmJnzgP0"",""'TP# look up'!A:C""),3,0),"""")"),"")</f>
        <v/>
      </c>
      <c r="AH6448" s="49" t="str">
        <f t="shared" si="100"/>
        <v/>
      </c>
    </row>
    <row r="6449" spans="8:34" ht="12.75">
      <c r="H6449" s="43"/>
      <c r="AG6449" s="49" t="str">
        <f ca="1">IFERROR(__xludf.DUMMYFUNCTION("IFNA(vlookup(H6449,IMPORTRANGE(""1vUGwO1n0QQGx9kKbO0_M5gmuhXZ6-LaxQxgrmJnzgP0"",""'TP# look up'!A:C""),3,0),"""")"),"")</f>
        <v/>
      </c>
      <c r="AH6449" s="49" t="str">
        <f t="shared" si="100"/>
        <v/>
      </c>
    </row>
    <row r="6450" spans="8:34" ht="12.75">
      <c r="H6450" s="43"/>
      <c r="AG6450" s="49" t="str">
        <f ca="1">IFERROR(__xludf.DUMMYFUNCTION("IFNA(vlookup(H6450,IMPORTRANGE(""1vUGwO1n0QQGx9kKbO0_M5gmuhXZ6-LaxQxgrmJnzgP0"",""'TP# look up'!A:C""),3,0),"""")"),"")</f>
        <v/>
      </c>
      <c r="AH6450" s="49" t="str">
        <f t="shared" si="100"/>
        <v/>
      </c>
    </row>
    <row r="6451" spans="8:34" ht="12.75">
      <c r="H6451" s="43"/>
      <c r="AG6451" s="49" t="str">
        <f ca="1">IFERROR(__xludf.DUMMYFUNCTION("IFNA(vlookup(H6451,IMPORTRANGE(""1vUGwO1n0QQGx9kKbO0_M5gmuhXZ6-LaxQxgrmJnzgP0"",""'TP# look up'!A:C""),3,0),"""")"),"")</f>
        <v/>
      </c>
      <c r="AH6451" s="49" t="str">
        <f t="shared" si="100"/>
        <v/>
      </c>
    </row>
    <row r="6452" spans="8:34" ht="12.75">
      <c r="H6452" s="43"/>
      <c r="AG6452" s="49" t="str">
        <f ca="1">IFERROR(__xludf.DUMMYFUNCTION("IFNA(vlookup(H6452,IMPORTRANGE(""1vUGwO1n0QQGx9kKbO0_M5gmuhXZ6-LaxQxgrmJnzgP0"",""'TP# look up'!A:C""),3,0),"""")"),"")</f>
        <v/>
      </c>
      <c r="AH6452" s="49" t="str">
        <f t="shared" si="100"/>
        <v/>
      </c>
    </row>
    <row r="6453" spans="8:34" ht="12.75">
      <c r="H6453" s="43"/>
      <c r="AG6453" s="49" t="str">
        <f ca="1">IFERROR(__xludf.DUMMYFUNCTION("IFNA(vlookup(H6453,IMPORTRANGE(""1vUGwO1n0QQGx9kKbO0_M5gmuhXZ6-LaxQxgrmJnzgP0"",""'TP# look up'!A:C""),3,0),"""")"),"")</f>
        <v/>
      </c>
      <c r="AH6453" s="49" t="str">
        <f t="shared" si="100"/>
        <v/>
      </c>
    </row>
    <row r="6454" spans="8:34" ht="12.75">
      <c r="H6454" s="43"/>
      <c r="AG6454" s="49" t="str">
        <f ca="1">IFERROR(__xludf.DUMMYFUNCTION("IFNA(vlookup(H6454,IMPORTRANGE(""1vUGwO1n0QQGx9kKbO0_M5gmuhXZ6-LaxQxgrmJnzgP0"",""'TP# look up'!A:C""),3,0),"""")"),"")</f>
        <v/>
      </c>
      <c r="AH6454" s="49" t="str">
        <f t="shared" si="100"/>
        <v/>
      </c>
    </row>
    <row r="6455" spans="8:34" ht="12.75">
      <c r="H6455" s="43"/>
      <c r="AG6455" s="49" t="str">
        <f ca="1">IFERROR(__xludf.DUMMYFUNCTION("IFNA(vlookup(H6455,IMPORTRANGE(""1vUGwO1n0QQGx9kKbO0_M5gmuhXZ6-LaxQxgrmJnzgP0"",""'TP# look up'!A:C""),3,0),"""")"),"")</f>
        <v/>
      </c>
      <c r="AH6455" s="49" t="str">
        <f t="shared" si="100"/>
        <v/>
      </c>
    </row>
    <row r="6456" spans="8:34" ht="12.75">
      <c r="H6456" s="43"/>
      <c r="AG6456" s="49" t="str">
        <f ca="1">IFERROR(__xludf.DUMMYFUNCTION("IFNA(vlookup(H6456,IMPORTRANGE(""1vUGwO1n0QQGx9kKbO0_M5gmuhXZ6-LaxQxgrmJnzgP0"",""'TP# look up'!A:C""),3,0),"""")"),"")</f>
        <v/>
      </c>
      <c r="AH6456" s="49" t="str">
        <f t="shared" si="100"/>
        <v/>
      </c>
    </row>
    <row r="6457" spans="8:34" ht="12.75">
      <c r="H6457" s="43"/>
      <c r="AG6457" s="49" t="str">
        <f ca="1">IFERROR(__xludf.DUMMYFUNCTION("IFNA(vlookup(H6457,IMPORTRANGE(""1vUGwO1n0QQGx9kKbO0_M5gmuhXZ6-LaxQxgrmJnzgP0"",""'TP# look up'!A:C""),3,0),"""")"),"")</f>
        <v/>
      </c>
      <c r="AH6457" s="49" t="str">
        <f t="shared" si="100"/>
        <v/>
      </c>
    </row>
    <row r="6458" spans="8:34" ht="12.75">
      <c r="H6458" s="43"/>
      <c r="AG6458" s="49" t="str">
        <f ca="1">IFERROR(__xludf.DUMMYFUNCTION("IFNA(vlookup(H6458,IMPORTRANGE(""1vUGwO1n0QQGx9kKbO0_M5gmuhXZ6-LaxQxgrmJnzgP0"",""'TP# look up'!A:C""),3,0),"""")"),"")</f>
        <v/>
      </c>
      <c r="AH6458" s="49" t="str">
        <f t="shared" si="100"/>
        <v/>
      </c>
    </row>
    <row r="6459" spans="8:34" ht="12.75">
      <c r="H6459" s="43"/>
      <c r="AG6459" s="49" t="str">
        <f ca="1">IFERROR(__xludf.DUMMYFUNCTION("IFNA(vlookup(H6459,IMPORTRANGE(""1vUGwO1n0QQGx9kKbO0_M5gmuhXZ6-LaxQxgrmJnzgP0"",""'TP# look up'!A:C""),3,0),"""")"),"")</f>
        <v/>
      </c>
      <c r="AH6459" s="49" t="str">
        <f t="shared" si="100"/>
        <v/>
      </c>
    </row>
    <row r="6460" spans="8:34" ht="12.75">
      <c r="H6460" s="43"/>
      <c r="AG6460" s="49" t="str">
        <f ca="1">IFERROR(__xludf.DUMMYFUNCTION("IFNA(vlookup(H6460,IMPORTRANGE(""1vUGwO1n0QQGx9kKbO0_M5gmuhXZ6-LaxQxgrmJnzgP0"",""'TP# look up'!A:C""),3,0),"""")"),"")</f>
        <v/>
      </c>
      <c r="AH6460" s="49" t="str">
        <f t="shared" si="100"/>
        <v/>
      </c>
    </row>
    <row r="6461" spans="8:34" ht="12.75">
      <c r="H6461" s="43"/>
      <c r="AG6461" s="49" t="str">
        <f ca="1">IFERROR(__xludf.DUMMYFUNCTION("IFNA(vlookup(H6461,IMPORTRANGE(""1vUGwO1n0QQGx9kKbO0_M5gmuhXZ6-LaxQxgrmJnzgP0"",""'TP# look up'!A:C""),3,0),"""")"),"")</f>
        <v/>
      </c>
      <c r="AH6461" s="49" t="str">
        <f t="shared" si="100"/>
        <v/>
      </c>
    </row>
    <row r="6462" spans="8:34" ht="12.75">
      <c r="H6462" s="43"/>
      <c r="AG6462" s="49" t="str">
        <f ca="1">IFERROR(__xludf.DUMMYFUNCTION("IFNA(vlookup(H6462,IMPORTRANGE(""1vUGwO1n0QQGx9kKbO0_M5gmuhXZ6-LaxQxgrmJnzgP0"",""'TP# look up'!A:C""),3,0),"""")"),"")</f>
        <v/>
      </c>
      <c r="AH6462" s="49" t="str">
        <f t="shared" si="100"/>
        <v/>
      </c>
    </row>
    <row r="6463" spans="8:34" ht="12.75">
      <c r="H6463" s="43"/>
      <c r="AG6463" s="49" t="str">
        <f ca="1">IFERROR(__xludf.DUMMYFUNCTION("IFNA(vlookup(H6463,IMPORTRANGE(""1vUGwO1n0QQGx9kKbO0_M5gmuhXZ6-LaxQxgrmJnzgP0"",""'TP# look up'!A:C""),3,0),"""")"),"")</f>
        <v/>
      </c>
      <c r="AH6463" s="49" t="str">
        <f t="shared" si="100"/>
        <v/>
      </c>
    </row>
    <row r="6464" spans="8:34" ht="12.75">
      <c r="H6464" s="43"/>
      <c r="AG6464" s="49" t="str">
        <f ca="1">IFERROR(__xludf.DUMMYFUNCTION("IFNA(vlookup(H6464,IMPORTRANGE(""1vUGwO1n0QQGx9kKbO0_M5gmuhXZ6-LaxQxgrmJnzgP0"",""'TP# look up'!A:C""),3,0),"""")"),"")</f>
        <v/>
      </c>
      <c r="AH6464" s="49" t="str">
        <f t="shared" si="100"/>
        <v/>
      </c>
    </row>
    <row r="6465" spans="8:34" ht="12.75">
      <c r="H6465" s="43"/>
      <c r="AG6465" s="49" t="str">
        <f ca="1">IFERROR(__xludf.DUMMYFUNCTION("IFNA(vlookup(H6465,IMPORTRANGE(""1vUGwO1n0QQGx9kKbO0_M5gmuhXZ6-LaxQxgrmJnzgP0"",""'TP# look up'!A:C""),3,0),"""")"),"")</f>
        <v/>
      </c>
      <c r="AH6465" s="49" t="str">
        <f t="shared" si="100"/>
        <v/>
      </c>
    </row>
    <row r="6466" spans="8:34" ht="12.75">
      <c r="H6466" s="43"/>
      <c r="AG6466" s="49" t="str">
        <f ca="1">IFERROR(__xludf.DUMMYFUNCTION("IFNA(vlookup(H6466,IMPORTRANGE(""1vUGwO1n0QQGx9kKbO0_M5gmuhXZ6-LaxQxgrmJnzgP0"",""'TP# look up'!A:C""),3,0),"""")"),"")</f>
        <v/>
      </c>
      <c r="AH6466" s="49" t="str">
        <f t="shared" ref="AH6466:AH6529" si="101">LEFT(J6466,2)</f>
        <v/>
      </c>
    </row>
    <row r="6467" spans="8:34" ht="12.75">
      <c r="H6467" s="43"/>
      <c r="AG6467" s="49" t="str">
        <f ca="1">IFERROR(__xludf.DUMMYFUNCTION("IFNA(vlookup(H6467,IMPORTRANGE(""1vUGwO1n0QQGx9kKbO0_M5gmuhXZ6-LaxQxgrmJnzgP0"",""'TP# look up'!A:C""),3,0),"""")"),"")</f>
        <v/>
      </c>
      <c r="AH6467" s="49" t="str">
        <f t="shared" si="101"/>
        <v/>
      </c>
    </row>
    <row r="6468" spans="8:34" ht="12.75">
      <c r="H6468" s="43"/>
      <c r="AG6468" s="49" t="str">
        <f ca="1">IFERROR(__xludf.DUMMYFUNCTION("IFNA(vlookup(H6468,IMPORTRANGE(""1vUGwO1n0QQGx9kKbO0_M5gmuhXZ6-LaxQxgrmJnzgP0"",""'TP# look up'!A:C""),3,0),"""")"),"")</f>
        <v/>
      </c>
      <c r="AH6468" s="49" t="str">
        <f t="shared" si="101"/>
        <v/>
      </c>
    </row>
    <row r="6469" spans="8:34" ht="12.75">
      <c r="H6469" s="43"/>
      <c r="AG6469" s="49" t="str">
        <f ca="1">IFERROR(__xludf.DUMMYFUNCTION("IFNA(vlookup(H6469,IMPORTRANGE(""1vUGwO1n0QQGx9kKbO0_M5gmuhXZ6-LaxQxgrmJnzgP0"",""'TP# look up'!A:C""),3,0),"""")"),"")</f>
        <v/>
      </c>
      <c r="AH6469" s="49" t="str">
        <f t="shared" si="101"/>
        <v/>
      </c>
    </row>
    <row r="6470" spans="8:34" ht="12.75">
      <c r="H6470" s="43"/>
      <c r="AG6470" s="49" t="str">
        <f ca="1">IFERROR(__xludf.DUMMYFUNCTION("IFNA(vlookup(H6470,IMPORTRANGE(""1vUGwO1n0QQGx9kKbO0_M5gmuhXZ6-LaxQxgrmJnzgP0"",""'TP# look up'!A:C""),3,0),"""")"),"")</f>
        <v/>
      </c>
      <c r="AH6470" s="49" t="str">
        <f t="shared" si="101"/>
        <v/>
      </c>
    </row>
    <row r="6471" spans="8:34" ht="12.75">
      <c r="H6471" s="43"/>
      <c r="AG6471" s="49" t="str">
        <f ca="1">IFERROR(__xludf.DUMMYFUNCTION("IFNA(vlookup(H6471,IMPORTRANGE(""1vUGwO1n0QQGx9kKbO0_M5gmuhXZ6-LaxQxgrmJnzgP0"",""'TP# look up'!A:C""),3,0),"""")"),"")</f>
        <v/>
      </c>
      <c r="AH6471" s="49" t="str">
        <f t="shared" si="101"/>
        <v/>
      </c>
    </row>
    <row r="6472" spans="8:34" ht="12.75">
      <c r="H6472" s="43"/>
      <c r="AG6472" s="49" t="str">
        <f ca="1">IFERROR(__xludf.DUMMYFUNCTION("IFNA(vlookup(H6472,IMPORTRANGE(""1vUGwO1n0QQGx9kKbO0_M5gmuhXZ6-LaxQxgrmJnzgP0"",""'TP# look up'!A:C""),3,0),"""")"),"")</f>
        <v/>
      </c>
      <c r="AH6472" s="49" t="str">
        <f t="shared" si="101"/>
        <v/>
      </c>
    </row>
    <row r="6473" spans="8:34" ht="12.75">
      <c r="H6473" s="43"/>
      <c r="AG6473" s="49" t="str">
        <f ca="1">IFERROR(__xludf.DUMMYFUNCTION("IFNA(vlookup(H6473,IMPORTRANGE(""1vUGwO1n0QQGx9kKbO0_M5gmuhXZ6-LaxQxgrmJnzgP0"",""'TP# look up'!A:C""),3,0),"""")"),"")</f>
        <v/>
      </c>
      <c r="AH6473" s="49" t="str">
        <f t="shared" si="101"/>
        <v/>
      </c>
    </row>
    <row r="6474" spans="8:34" ht="12.75">
      <c r="H6474" s="43"/>
      <c r="AG6474" s="49" t="str">
        <f ca="1">IFERROR(__xludf.DUMMYFUNCTION("IFNA(vlookup(H6474,IMPORTRANGE(""1vUGwO1n0QQGx9kKbO0_M5gmuhXZ6-LaxQxgrmJnzgP0"",""'TP# look up'!A:C""),3,0),"""")"),"")</f>
        <v/>
      </c>
      <c r="AH6474" s="49" t="str">
        <f t="shared" si="101"/>
        <v/>
      </c>
    </row>
    <row r="6475" spans="8:34" ht="12.75">
      <c r="H6475" s="43"/>
      <c r="AG6475" s="49" t="str">
        <f ca="1">IFERROR(__xludf.DUMMYFUNCTION("IFNA(vlookup(H6475,IMPORTRANGE(""1vUGwO1n0QQGx9kKbO0_M5gmuhXZ6-LaxQxgrmJnzgP0"",""'TP# look up'!A:C""),3,0),"""")"),"")</f>
        <v/>
      </c>
      <c r="AH6475" s="49" t="str">
        <f t="shared" si="101"/>
        <v/>
      </c>
    </row>
    <row r="6476" spans="8:34" ht="12.75">
      <c r="H6476" s="43"/>
      <c r="AG6476" s="49" t="str">
        <f ca="1">IFERROR(__xludf.DUMMYFUNCTION("IFNA(vlookup(H6476,IMPORTRANGE(""1vUGwO1n0QQGx9kKbO0_M5gmuhXZ6-LaxQxgrmJnzgP0"",""'TP# look up'!A:C""),3,0),"""")"),"")</f>
        <v/>
      </c>
      <c r="AH6476" s="49" t="str">
        <f t="shared" si="101"/>
        <v/>
      </c>
    </row>
    <row r="6477" spans="8:34" ht="12.75">
      <c r="H6477" s="43"/>
      <c r="AG6477" s="49" t="str">
        <f ca="1">IFERROR(__xludf.DUMMYFUNCTION("IFNA(vlookup(H6477,IMPORTRANGE(""1vUGwO1n0QQGx9kKbO0_M5gmuhXZ6-LaxQxgrmJnzgP0"",""'TP# look up'!A:C""),3,0),"""")"),"")</f>
        <v/>
      </c>
      <c r="AH6477" s="49" t="str">
        <f t="shared" si="101"/>
        <v/>
      </c>
    </row>
    <row r="6478" spans="8:34" ht="12.75">
      <c r="H6478" s="43"/>
      <c r="AG6478" s="49" t="str">
        <f ca="1">IFERROR(__xludf.DUMMYFUNCTION("IFNA(vlookup(H6478,IMPORTRANGE(""1vUGwO1n0QQGx9kKbO0_M5gmuhXZ6-LaxQxgrmJnzgP0"",""'TP# look up'!A:C""),3,0),"""")"),"")</f>
        <v/>
      </c>
      <c r="AH6478" s="49" t="str">
        <f t="shared" si="101"/>
        <v/>
      </c>
    </row>
    <row r="6479" spans="8:34" ht="12.75">
      <c r="H6479" s="43"/>
      <c r="AG6479" s="49" t="str">
        <f ca="1">IFERROR(__xludf.DUMMYFUNCTION("IFNA(vlookup(H6479,IMPORTRANGE(""1vUGwO1n0QQGx9kKbO0_M5gmuhXZ6-LaxQxgrmJnzgP0"",""'TP# look up'!A:C""),3,0),"""")"),"")</f>
        <v/>
      </c>
      <c r="AH6479" s="49" t="str">
        <f t="shared" si="101"/>
        <v/>
      </c>
    </row>
    <row r="6480" spans="8:34" ht="12.75">
      <c r="H6480" s="43"/>
      <c r="AG6480" s="49" t="str">
        <f ca="1">IFERROR(__xludf.DUMMYFUNCTION("IFNA(vlookup(H6480,IMPORTRANGE(""1vUGwO1n0QQGx9kKbO0_M5gmuhXZ6-LaxQxgrmJnzgP0"",""'TP# look up'!A:C""),3,0),"""")"),"")</f>
        <v/>
      </c>
      <c r="AH6480" s="49" t="str">
        <f t="shared" si="101"/>
        <v/>
      </c>
    </row>
    <row r="6481" spans="8:34" ht="12.75">
      <c r="H6481" s="43"/>
      <c r="AG6481" s="49" t="str">
        <f ca="1">IFERROR(__xludf.DUMMYFUNCTION("IFNA(vlookup(H6481,IMPORTRANGE(""1vUGwO1n0QQGx9kKbO0_M5gmuhXZ6-LaxQxgrmJnzgP0"",""'TP# look up'!A:C""),3,0),"""")"),"")</f>
        <v/>
      </c>
      <c r="AH6481" s="49" t="str">
        <f t="shared" si="101"/>
        <v/>
      </c>
    </row>
    <row r="6482" spans="8:34" ht="12.75">
      <c r="H6482" s="43"/>
      <c r="AG6482" s="49" t="str">
        <f ca="1">IFERROR(__xludf.DUMMYFUNCTION("IFNA(vlookup(H6482,IMPORTRANGE(""1vUGwO1n0QQGx9kKbO0_M5gmuhXZ6-LaxQxgrmJnzgP0"",""'TP# look up'!A:C""),3,0),"""")"),"")</f>
        <v/>
      </c>
      <c r="AH6482" s="49" t="str">
        <f t="shared" si="101"/>
        <v/>
      </c>
    </row>
    <row r="6483" spans="8:34" ht="12.75">
      <c r="H6483" s="43"/>
      <c r="AG6483" s="49" t="str">
        <f ca="1">IFERROR(__xludf.DUMMYFUNCTION("IFNA(vlookup(H6483,IMPORTRANGE(""1vUGwO1n0QQGx9kKbO0_M5gmuhXZ6-LaxQxgrmJnzgP0"",""'TP# look up'!A:C""),3,0),"""")"),"")</f>
        <v/>
      </c>
      <c r="AH6483" s="49" t="str">
        <f t="shared" si="101"/>
        <v/>
      </c>
    </row>
    <row r="6484" spans="8:34" ht="12.75">
      <c r="H6484" s="43"/>
      <c r="AG6484" s="49" t="str">
        <f ca="1">IFERROR(__xludf.DUMMYFUNCTION("IFNA(vlookup(H6484,IMPORTRANGE(""1vUGwO1n0QQGx9kKbO0_M5gmuhXZ6-LaxQxgrmJnzgP0"",""'TP# look up'!A:C""),3,0),"""")"),"")</f>
        <v/>
      </c>
      <c r="AH6484" s="49" t="str">
        <f t="shared" si="101"/>
        <v/>
      </c>
    </row>
    <row r="6485" spans="8:34" ht="12.75">
      <c r="H6485" s="43"/>
      <c r="AG6485" s="49" t="str">
        <f ca="1">IFERROR(__xludf.DUMMYFUNCTION("IFNA(vlookup(H6485,IMPORTRANGE(""1vUGwO1n0QQGx9kKbO0_M5gmuhXZ6-LaxQxgrmJnzgP0"",""'TP# look up'!A:C""),3,0),"""")"),"")</f>
        <v/>
      </c>
      <c r="AH6485" s="49" t="str">
        <f t="shared" si="101"/>
        <v/>
      </c>
    </row>
    <row r="6486" spans="8:34" ht="12.75">
      <c r="H6486" s="43"/>
      <c r="AG6486" s="49" t="str">
        <f ca="1">IFERROR(__xludf.DUMMYFUNCTION("IFNA(vlookup(H6486,IMPORTRANGE(""1vUGwO1n0QQGx9kKbO0_M5gmuhXZ6-LaxQxgrmJnzgP0"",""'TP# look up'!A:C""),3,0),"""")"),"")</f>
        <v/>
      </c>
      <c r="AH6486" s="49" t="str">
        <f t="shared" si="101"/>
        <v/>
      </c>
    </row>
    <row r="6487" spans="8:34" ht="12.75">
      <c r="H6487" s="43"/>
      <c r="AG6487" s="49" t="str">
        <f ca="1">IFERROR(__xludf.DUMMYFUNCTION("IFNA(vlookup(H6487,IMPORTRANGE(""1vUGwO1n0QQGx9kKbO0_M5gmuhXZ6-LaxQxgrmJnzgP0"",""'TP# look up'!A:C""),3,0),"""")"),"")</f>
        <v/>
      </c>
      <c r="AH6487" s="49" t="str">
        <f t="shared" si="101"/>
        <v/>
      </c>
    </row>
    <row r="6488" spans="8:34" ht="12.75">
      <c r="H6488" s="43"/>
      <c r="AG6488" s="49" t="str">
        <f ca="1">IFERROR(__xludf.DUMMYFUNCTION("IFNA(vlookup(H6488,IMPORTRANGE(""1vUGwO1n0QQGx9kKbO0_M5gmuhXZ6-LaxQxgrmJnzgP0"",""'TP# look up'!A:C""),3,0),"""")"),"")</f>
        <v/>
      </c>
      <c r="AH6488" s="49" t="str">
        <f t="shared" si="101"/>
        <v/>
      </c>
    </row>
    <row r="6489" spans="8:34" ht="12.75">
      <c r="H6489" s="43"/>
      <c r="AG6489" s="49" t="str">
        <f ca="1">IFERROR(__xludf.DUMMYFUNCTION("IFNA(vlookup(H6489,IMPORTRANGE(""1vUGwO1n0QQGx9kKbO0_M5gmuhXZ6-LaxQxgrmJnzgP0"",""'TP# look up'!A:C""),3,0),"""")"),"")</f>
        <v/>
      </c>
      <c r="AH6489" s="49" t="str">
        <f t="shared" si="101"/>
        <v/>
      </c>
    </row>
    <row r="6490" spans="8:34" ht="12.75">
      <c r="H6490" s="43"/>
      <c r="AG6490" s="49" t="str">
        <f ca="1">IFERROR(__xludf.DUMMYFUNCTION("IFNA(vlookup(H6490,IMPORTRANGE(""1vUGwO1n0QQGx9kKbO0_M5gmuhXZ6-LaxQxgrmJnzgP0"",""'TP# look up'!A:C""),3,0),"""")"),"")</f>
        <v/>
      </c>
      <c r="AH6490" s="49" t="str">
        <f t="shared" si="101"/>
        <v/>
      </c>
    </row>
    <row r="6491" spans="8:34" ht="12.75">
      <c r="H6491" s="43"/>
      <c r="AG6491" s="49" t="str">
        <f ca="1">IFERROR(__xludf.DUMMYFUNCTION("IFNA(vlookup(H6491,IMPORTRANGE(""1vUGwO1n0QQGx9kKbO0_M5gmuhXZ6-LaxQxgrmJnzgP0"",""'TP# look up'!A:C""),3,0),"""")"),"")</f>
        <v/>
      </c>
      <c r="AH6491" s="49" t="str">
        <f t="shared" si="101"/>
        <v/>
      </c>
    </row>
    <row r="6492" spans="8:34" ht="12.75">
      <c r="H6492" s="43"/>
      <c r="AG6492" s="49" t="str">
        <f ca="1">IFERROR(__xludf.DUMMYFUNCTION("IFNA(vlookup(H6492,IMPORTRANGE(""1vUGwO1n0QQGx9kKbO0_M5gmuhXZ6-LaxQxgrmJnzgP0"",""'TP# look up'!A:C""),3,0),"""")"),"")</f>
        <v/>
      </c>
      <c r="AH6492" s="49" t="str">
        <f t="shared" si="101"/>
        <v/>
      </c>
    </row>
    <row r="6493" spans="8:34" ht="12.75">
      <c r="H6493" s="43"/>
      <c r="AG6493" s="49" t="str">
        <f ca="1">IFERROR(__xludf.DUMMYFUNCTION("IFNA(vlookup(H6493,IMPORTRANGE(""1vUGwO1n0QQGx9kKbO0_M5gmuhXZ6-LaxQxgrmJnzgP0"",""'TP# look up'!A:C""),3,0),"""")"),"")</f>
        <v/>
      </c>
      <c r="AH6493" s="49" t="str">
        <f t="shared" si="101"/>
        <v/>
      </c>
    </row>
    <row r="6494" spans="8:34" ht="12.75">
      <c r="H6494" s="43"/>
      <c r="AG6494" s="49" t="str">
        <f ca="1">IFERROR(__xludf.DUMMYFUNCTION("IFNA(vlookup(H6494,IMPORTRANGE(""1vUGwO1n0QQGx9kKbO0_M5gmuhXZ6-LaxQxgrmJnzgP0"",""'TP# look up'!A:C""),3,0),"""")"),"")</f>
        <v/>
      </c>
      <c r="AH6494" s="49" t="str">
        <f t="shared" si="101"/>
        <v/>
      </c>
    </row>
    <row r="6495" spans="8:34" ht="12.75">
      <c r="H6495" s="43"/>
      <c r="AG6495" s="49" t="str">
        <f ca="1">IFERROR(__xludf.DUMMYFUNCTION("IFNA(vlookup(H6495,IMPORTRANGE(""1vUGwO1n0QQGx9kKbO0_M5gmuhXZ6-LaxQxgrmJnzgP0"",""'TP# look up'!A:C""),3,0),"""")"),"")</f>
        <v/>
      </c>
      <c r="AH6495" s="49" t="str">
        <f t="shared" si="101"/>
        <v/>
      </c>
    </row>
    <row r="6496" spans="8:34" ht="12.75">
      <c r="H6496" s="43"/>
      <c r="AG6496" s="49" t="str">
        <f ca="1">IFERROR(__xludf.DUMMYFUNCTION("IFNA(vlookup(H6496,IMPORTRANGE(""1vUGwO1n0QQGx9kKbO0_M5gmuhXZ6-LaxQxgrmJnzgP0"",""'TP# look up'!A:C""),3,0),"""")"),"")</f>
        <v/>
      </c>
      <c r="AH6496" s="49" t="str">
        <f t="shared" si="101"/>
        <v/>
      </c>
    </row>
    <row r="6497" spans="8:34" ht="12.75">
      <c r="H6497" s="43"/>
      <c r="AG6497" s="49" t="str">
        <f ca="1">IFERROR(__xludf.DUMMYFUNCTION("IFNA(vlookup(H6497,IMPORTRANGE(""1vUGwO1n0QQGx9kKbO0_M5gmuhXZ6-LaxQxgrmJnzgP0"",""'TP# look up'!A:C""),3,0),"""")"),"")</f>
        <v/>
      </c>
      <c r="AH6497" s="49" t="str">
        <f t="shared" si="101"/>
        <v/>
      </c>
    </row>
    <row r="6498" spans="8:34" ht="12.75">
      <c r="H6498" s="43"/>
      <c r="AG6498" s="49" t="str">
        <f ca="1">IFERROR(__xludf.DUMMYFUNCTION("IFNA(vlookup(H6498,IMPORTRANGE(""1vUGwO1n0QQGx9kKbO0_M5gmuhXZ6-LaxQxgrmJnzgP0"",""'TP# look up'!A:C""),3,0),"""")"),"")</f>
        <v/>
      </c>
      <c r="AH6498" s="49" t="str">
        <f t="shared" si="101"/>
        <v/>
      </c>
    </row>
    <row r="6499" spans="8:34" ht="12.75">
      <c r="H6499" s="43"/>
      <c r="AG6499" s="49" t="str">
        <f ca="1">IFERROR(__xludf.DUMMYFUNCTION("IFNA(vlookup(H6499,IMPORTRANGE(""1vUGwO1n0QQGx9kKbO0_M5gmuhXZ6-LaxQxgrmJnzgP0"",""'TP# look up'!A:C""),3,0),"""")"),"")</f>
        <v/>
      </c>
      <c r="AH6499" s="49" t="str">
        <f t="shared" si="101"/>
        <v/>
      </c>
    </row>
    <row r="6500" spans="8:34" ht="12.75">
      <c r="H6500" s="43"/>
      <c r="AG6500" s="49" t="str">
        <f ca="1">IFERROR(__xludf.DUMMYFUNCTION("IFNA(vlookup(H6500,IMPORTRANGE(""1vUGwO1n0QQGx9kKbO0_M5gmuhXZ6-LaxQxgrmJnzgP0"",""'TP# look up'!A:C""),3,0),"""")"),"")</f>
        <v/>
      </c>
      <c r="AH6500" s="49" t="str">
        <f t="shared" si="101"/>
        <v/>
      </c>
    </row>
    <row r="6501" spans="8:34" ht="12.75">
      <c r="H6501" s="43"/>
      <c r="AG6501" s="49" t="str">
        <f ca="1">IFERROR(__xludf.DUMMYFUNCTION("IFNA(vlookup(H6501,IMPORTRANGE(""1vUGwO1n0QQGx9kKbO0_M5gmuhXZ6-LaxQxgrmJnzgP0"",""'TP# look up'!A:C""),3,0),"""")"),"")</f>
        <v/>
      </c>
      <c r="AH6501" s="49" t="str">
        <f t="shared" si="101"/>
        <v/>
      </c>
    </row>
    <row r="6502" spans="8:34" ht="12.75">
      <c r="H6502" s="43"/>
      <c r="AG6502" s="49" t="str">
        <f ca="1">IFERROR(__xludf.DUMMYFUNCTION("IFNA(vlookup(H6502,IMPORTRANGE(""1vUGwO1n0QQGx9kKbO0_M5gmuhXZ6-LaxQxgrmJnzgP0"",""'TP# look up'!A:C""),3,0),"""")"),"")</f>
        <v/>
      </c>
      <c r="AH6502" s="49" t="str">
        <f t="shared" si="101"/>
        <v/>
      </c>
    </row>
    <row r="6503" spans="8:34" ht="12.75">
      <c r="H6503" s="43"/>
      <c r="AG6503" s="49" t="str">
        <f ca="1">IFERROR(__xludf.DUMMYFUNCTION("IFNA(vlookup(H6503,IMPORTRANGE(""1vUGwO1n0QQGx9kKbO0_M5gmuhXZ6-LaxQxgrmJnzgP0"",""'TP# look up'!A:C""),3,0),"""")"),"")</f>
        <v/>
      </c>
      <c r="AH6503" s="49" t="str">
        <f t="shared" si="101"/>
        <v/>
      </c>
    </row>
    <row r="6504" spans="8:34" ht="12.75">
      <c r="H6504" s="43"/>
      <c r="AG6504" s="49" t="str">
        <f ca="1">IFERROR(__xludf.DUMMYFUNCTION("IFNA(vlookup(H6504,IMPORTRANGE(""1vUGwO1n0QQGx9kKbO0_M5gmuhXZ6-LaxQxgrmJnzgP0"",""'TP# look up'!A:C""),3,0),"""")"),"")</f>
        <v/>
      </c>
      <c r="AH6504" s="49" t="str">
        <f t="shared" si="101"/>
        <v/>
      </c>
    </row>
    <row r="6505" spans="8:34" ht="12.75">
      <c r="H6505" s="43"/>
      <c r="AG6505" s="49" t="str">
        <f ca="1">IFERROR(__xludf.DUMMYFUNCTION("IFNA(vlookup(H6505,IMPORTRANGE(""1vUGwO1n0QQGx9kKbO0_M5gmuhXZ6-LaxQxgrmJnzgP0"",""'TP# look up'!A:C""),3,0),"""")"),"")</f>
        <v/>
      </c>
      <c r="AH6505" s="49" t="str">
        <f t="shared" si="101"/>
        <v/>
      </c>
    </row>
    <row r="6506" spans="8:34" ht="12.75">
      <c r="H6506" s="43"/>
      <c r="AG6506" s="49" t="str">
        <f ca="1">IFERROR(__xludf.DUMMYFUNCTION("IFNA(vlookup(H6506,IMPORTRANGE(""1vUGwO1n0QQGx9kKbO0_M5gmuhXZ6-LaxQxgrmJnzgP0"",""'TP# look up'!A:C""),3,0),"""")"),"")</f>
        <v/>
      </c>
      <c r="AH6506" s="49" t="str">
        <f t="shared" si="101"/>
        <v/>
      </c>
    </row>
    <row r="6507" spans="8:34" ht="12.75">
      <c r="H6507" s="43"/>
      <c r="AG6507" s="49" t="str">
        <f ca="1">IFERROR(__xludf.DUMMYFUNCTION("IFNA(vlookup(H6507,IMPORTRANGE(""1vUGwO1n0QQGx9kKbO0_M5gmuhXZ6-LaxQxgrmJnzgP0"",""'TP# look up'!A:C""),3,0),"""")"),"")</f>
        <v/>
      </c>
      <c r="AH6507" s="49" t="str">
        <f t="shared" si="101"/>
        <v/>
      </c>
    </row>
    <row r="6508" spans="8:34" ht="12.75">
      <c r="H6508" s="43"/>
      <c r="AG6508" s="49" t="str">
        <f ca="1">IFERROR(__xludf.DUMMYFUNCTION("IFNA(vlookup(H6508,IMPORTRANGE(""1vUGwO1n0QQGx9kKbO0_M5gmuhXZ6-LaxQxgrmJnzgP0"",""'TP# look up'!A:C""),3,0),"""")"),"")</f>
        <v/>
      </c>
      <c r="AH6508" s="49" t="str">
        <f t="shared" si="101"/>
        <v/>
      </c>
    </row>
    <row r="6509" spans="8:34" ht="12.75">
      <c r="H6509" s="43"/>
      <c r="AG6509" s="49" t="str">
        <f ca="1">IFERROR(__xludf.DUMMYFUNCTION("IFNA(vlookup(H6509,IMPORTRANGE(""1vUGwO1n0QQGx9kKbO0_M5gmuhXZ6-LaxQxgrmJnzgP0"",""'TP# look up'!A:C""),3,0),"""")"),"")</f>
        <v/>
      </c>
      <c r="AH6509" s="49" t="str">
        <f t="shared" si="101"/>
        <v/>
      </c>
    </row>
    <row r="6510" spans="8:34" ht="12.75">
      <c r="H6510" s="43"/>
      <c r="AG6510" s="49" t="str">
        <f ca="1">IFERROR(__xludf.DUMMYFUNCTION("IFNA(vlookup(H6510,IMPORTRANGE(""1vUGwO1n0QQGx9kKbO0_M5gmuhXZ6-LaxQxgrmJnzgP0"",""'TP# look up'!A:C""),3,0),"""")"),"")</f>
        <v/>
      </c>
      <c r="AH6510" s="49" t="str">
        <f t="shared" si="101"/>
        <v/>
      </c>
    </row>
    <row r="6511" spans="8:34" ht="12.75">
      <c r="H6511" s="43"/>
      <c r="AG6511" s="49" t="str">
        <f ca="1">IFERROR(__xludf.DUMMYFUNCTION("IFNA(vlookup(H6511,IMPORTRANGE(""1vUGwO1n0QQGx9kKbO0_M5gmuhXZ6-LaxQxgrmJnzgP0"",""'TP# look up'!A:C""),3,0),"""")"),"")</f>
        <v/>
      </c>
      <c r="AH6511" s="49" t="str">
        <f t="shared" si="101"/>
        <v/>
      </c>
    </row>
    <row r="6512" spans="8:34" ht="12.75">
      <c r="H6512" s="43"/>
      <c r="AG6512" s="49" t="str">
        <f ca="1">IFERROR(__xludf.DUMMYFUNCTION("IFNA(vlookup(H6512,IMPORTRANGE(""1vUGwO1n0QQGx9kKbO0_M5gmuhXZ6-LaxQxgrmJnzgP0"",""'TP# look up'!A:C""),3,0),"""")"),"")</f>
        <v/>
      </c>
      <c r="AH6512" s="49" t="str">
        <f t="shared" si="101"/>
        <v/>
      </c>
    </row>
    <row r="6513" spans="8:34" ht="12.75">
      <c r="H6513" s="43"/>
      <c r="AG6513" s="49" t="str">
        <f ca="1">IFERROR(__xludf.DUMMYFUNCTION("IFNA(vlookup(H6513,IMPORTRANGE(""1vUGwO1n0QQGx9kKbO0_M5gmuhXZ6-LaxQxgrmJnzgP0"",""'TP# look up'!A:C""),3,0),"""")"),"")</f>
        <v/>
      </c>
      <c r="AH6513" s="49" t="str">
        <f t="shared" si="101"/>
        <v/>
      </c>
    </row>
    <row r="6514" spans="8:34" ht="12.75">
      <c r="H6514" s="43"/>
      <c r="AG6514" s="49" t="str">
        <f ca="1">IFERROR(__xludf.DUMMYFUNCTION("IFNA(vlookup(H6514,IMPORTRANGE(""1vUGwO1n0QQGx9kKbO0_M5gmuhXZ6-LaxQxgrmJnzgP0"",""'TP# look up'!A:C""),3,0),"""")"),"")</f>
        <v/>
      </c>
      <c r="AH6514" s="49" t="str">
        <f t="shared" si="101"/>
        <v/>
      </c>
    </row>
    <row r="6515" spans="8:34" ht="12.75">
      <c r="H6515" s="43"/>
      <c r="AG6515" s="49" t="str">
        <f ca="1">IFERROR(__xludf.DUMMYFUNCTION("IFNA(vlookup(H6515,IMPORTRANGE(""1vUGwO1n0QQGx9kKbO0_M5gmuhXZ6-LaxQxgrmJnzgP0"",""'TP# look up'!A:C""),3,0),"""")"),"")</f>
        <v/>
      </c>
      <c r="AH6515" s="49" t="str">
        <f t="shared" si="101"/>
        <v/>
      </c>
    </row>
    <row r="6516" spans="8:34" ht="12.75">
      <c r="H6516" s="43"/>
      <c r="AG6516" s="49" t="str">
        <f ca="1">IFERROR(__xludf.DUMMYFUNCTION("IFNA(vlookup(H6516,IMPORTRANGE(""1vUGwO1n0QQGx9kKbO0_M5gmuhXZ6-LaxQxgrmJnzgP0"",""'TP# look up'!A:C""),3,0),"""")"),"")</f>
        <v/>
      </c>
      <c r="AH6516" s="49" t="str">
        <f t="shared" si="101"/>
        <v/>
      </c>
    </row>
    <row r="6517" spans="8:34" ht="12.75">
      <c r="H6517" s="43"/>
      <c r="AG6517" s="49" t="str">
        <f ca="1">IFERROR(__xludf.DUMMYFUNCTION("IFNA(vlookup(H6517,IMPORTRANGE(""1vUGwO1n0QQGx9kKbO0_M5gmuhXZ6-LaxQxgrmJnzgP0"",""'TP# look up'!A:C""),3,0),"""")"),"")</f>
        <v/>
      </c>
      <c r="AH6517" s="49" t="str">
        <f t="shared" si="101"/>
        <v/>
      </c>
    </row>
    <row r="6518" spans="8:34" ht="12.75">
      <c r="H6518" s="43"/>
      <c r="AG6518" s="49" t="str">
        <f ca="1">IFERROR(__xludf.DUMMYFUNCTION("IFNA(vlookup(H6518,IMPORTRANGE(""1vUGwO1n0QQGx9kKbO0_M5gmuhXZ6-LaxQxgrmJnzgP0"",""'TP# look up'!A:C""),3,0),"""")"),"")</f>
        <v/>
      </c>
      <c r="AH6518" s="49" t="str">
        <f t="shared" si="101"/>
        <v/>
      </c>
    </row>
    <row r="6519" spans="8:34" ht="12.75">
      <c r="H6519" s="43"/>
      <c r="AG6519" s="49" t="str">
        <f ca="1">IFERROR(__xludf.DUMMYFUNCTION("IFNA(vlookup(H6519,IMPORTRANGE(""1vUGwO1n0QQGx9kKbO0_M5gmuhXZ6-LaxQxgrmJnzgP0"",""'TP# look up'!A:C""),3,0),"""")"),"")</f>
        <v/>
      </c>
      <c r="AH6519" s="49" t="str">
        <f t="shared" si="101"/>
        <v/>
      </c>
    </row>
    <row r="6520" spans="8:34" ht="12.75">
      <c r="H6520" s="43"/>
      <c r="AG6520" s="49" t="str">
        <f ca="1">IFERROR(__xludf.DUMMYFUNCTION("IFNA(vlookup(H6520,IMPORTRANGE(""1vUGwO1n0QQGx9kKbO0_M5gmuhXZ6-LaxQxgrmJnzgP0"",""'TP# look up'!A:C""),3,0),"""")"),"")</f>
        <v/>
      </c>
      <c r="AH6520" s="49" t="str">
        <f t="shared" si="101"/>
        <v/>
      </c>
    </row>
    <row r="6521" spans="8:34" ht="12.75">
      <c r="H6521" s="43"/>
      <c r="AG6521" s="49" t="str">
        <f ca="1">IFERROR(__xludf.DUMMYFUNCTION("IFNA(vlookup(H6521,IMPORTRANGE(""1vUGwO1n0QQGx9kKbO0_M5gmuhXZ6-LaxQxgrmJnzgP0"",""'TP# look up'!A:C""),3,0),"""")"),"")</f>
        <v/>
      </c>
      <c r="AH6521" s="49" t="str">
        <f t="shared" si="101"/>
        <v/>
      </c>
    </row>
    <row r="6522" spans="8:34" ht="12.75">
      <c r="H6522" s="43"/>
      <c r="AG6522" s="49" t="str">
        <f ca="1">IFERROR(__xludf.DUMMYFUNCTION("IFNA(vlookup(H6522,IMPORTRANGE(""1vUGwO1n0QQGx9kKbO0_M5gmuhXZ6-LaxQxgrmJnzgP0"",""'TP# look up'!A:C""),3,0),"""")"),"")</f>
        <v/>
      </c>
      <c r="AH6522" s="49" t="str">
        <f t="shared" si="101"/>
        <v/>
      </c>
    </row>
    <row r="6523" spans="8:34" ht="12.75">
      <c r="H6523" s="43"/>
      <c r="AG6523" s="49" t="str">
        <f ca="1">IFERROR(__xludf.DUMMYFUNCTION("IFNA(vlookup(H6523,IMPORTRANGE(""1vUGwO1n0QQGx9kKbO0_M5gmuhXZ6-LaxQxgrmJnzgP0"",""'TP# look up'!A:C""),3,0),"""")"),"")</f>
        <v/>
      </c>
      <c r="AH6523" s="49" t="str">
        <f t="shared" si="101"/>
        <v/>
      </c>
    </row>
    <row r="6524" spans="8:34" ht="12.75">
      <c r="H6524" s="43"/>
      <c r="AG6524" s="49" t="str">
        <f ca="1">IFERROR(__xludf.DUMMYFUNCTION("IFNA(vlookup(H6524,IMPORTRANGE(""1vUGwO1n0QQGx9kKbO0_M5gmuhXZ6-LaxQxgrmJnzgP0"",""'TP# look up'!A:C""),3,0),"""")"),"")</f>
        <v/>
      </c>
      <c r="AH6524" s="49" t="str">
        <f t="shared" si="101"/>
        <v/>
      </c>
    </row>
    <row r="6525" spans="8:34" ht="12.75">
      <c r="H6525" s="43"/>
      <c r="AG6525" s="49" t="str">
        <f ca="1">IFERROR(__xludf.DUMMYFUNCTION("IFNA(vlookup(H6525,IMPORTRANGE(""1vUGwO1n0QQGx9kKbO0_M5gmuhXZ6-LaxQxgrmJnzgP0"",""'TP# look up'!A:C""),3,0),"""")"),"")</f>
        <v/>
      </c>
      <c r="AH6525" s="49" t="str">
        <f t="shared" si="101"/>
        <v/>
      </c>
    </row>
    <row r="6526" spans="8:34" ht="12.75">
      <c r="H6526" s="43"/>
      <c r="AG6526" s="49" t="str">
        <f ca="1">IFERROR(__xludf.DUMMYFUNCTION("IFNA(vlookup(H6526,IMPORTRANGE(""1vUGwO1n0QQGx9kKbO0_M5gmuhXZ6-LaxQxgrmJnzgP0"",""'TP# look up'!A:C""),3,0),"""")"),"")</f>
        <v/>
      </c>
      <c r="AH6526" s="49" t="str">
        <f t="shared" si="101"/>
        <v/>
      </c>
    </row>
    <row r="6527" spans="8:34" ht="12.75">
      <c r="H6527" s="43"/>
      <c r="AG6527" s="49" t="str">
        <f ca="1">IFERROR(__xludf.DUMMYFUNCTION("IFNA(vlookup(H6527,IMPORTRANGE(""1vUGwO1n0QQGx9kKbO0_M5gmuhXZ6-LaxQxgrmJnzgP0"",""'TP# look up'!A:C""),3,0),"""")"),"")</f>
        <v/>
      </c>
      <c r="AH6527" s="49" t="str">
        <f t="shared" si="101"/>
        <v/>
      </c>
    </row>
    <row r="6528" spans="8:34" ht="12.75">
      <c r="H6528" s="43"/>
      <c r="AG6528" s="49" t="str">
        <f ca="1">IFERROR(__xludf.DUMMYFUNCTION("IFNA(vlookup(H6528,IMPORTRANGE(""1vUGwO1n0QQGx9kKbO0_M5gmuhXZ6-LaxQxgrmJnzgP0"",""'TP# look up'!A:C""),3,0),"""")"),"")</f>
        <v/>
      </c>
      <c r="AH6528" s="49" t="str">
        <f t="shared" si="101"/>
        <v/>
      </c>
    </row>
    <row r="6529" spans="8:34" ht="12.75">
      <c r="H6529" s="43"/>
      <c r="AG6529" s="49" t="str">
        <f ca="1">IFERROR(__xludf.DUMMYFUNCTION("IFNA(vlookup(H6529,IMPORTRANGE(""1vUGwO1n0QQGx9kKbO0_M5gmuhXZ6-LaxQxgrmJnzgP0"",""'TP# look up'!A:C""),3,0),"""")"),"")</f>
        <v/>
      </c>
      <c r="AH6529" s="49" t="str">
        <f t="shared" si="101"/>
        <v/>
      </c>
    </row>
    <row r="6530" spans="8:34" ht="12.75">
      <c r="H6530" s="43"/>
      <c r="AG6530" s="49" t="str">
        <f ca="1">IFERROR(__xludf.DUMMYFUNCTION("IFNA(vlookup(H6530,IMPORTRANGE(""1vUGwO1n0QQGx9kKbO0_M5gmuhXZ6-LaxQxgrmJnzgP0"",""'TP# look up'!A:C""),3,0),"""")"),"")</f>
        <v/>
      </c>
      <c r="AH6530" s="49" t="str">
        <f t="shared" ref="AH6530:AH6593" si="102">LEFT(J6530,2)</f>
        <v/>
      </c>
    </row>
    <row r="6531" spans="8:34" ht="12.75">
      <c r="H6531" s="43"/>
      <c r="AG6531" s="49" t="str">
        <f ca="1">IFERROR(__xludf.DUMMYFUNCTION("IFNA(vlookup(H6531,IMPORTRANGE(""1vUGwO1n0QQGx9kKbO0_M5gmuhXZ6-LaxQxgrmJnzgP0"",""'TP# look up'!A:C""),3,0),"""")"),"")</f>
        <v/>
      </c>
      <c r="AH6531" s="49" t="str">
        <f t="shared" si="102"/>
        <v/>
      </c>
    </row>
    <row r="6532" spans="8:34" ht="12.75">
      <c r="H6532" s="43"/>
      <c r="AG6532" s="49" t="str">
        <f ca="1">IFERROR(__xludf.DUMMYFUNCTION("IFNA(vlookup(H6532,IMPORTRANGE(""1vUGwO1n0QQGx9kKbO0_M5gmuhXZ6-LaxQxgrmJnzgP0"",""'TP# look up'!A:C""),3,0),"""")"),"")</f>
        <v/>
      </c>
      <c r="AH6532" s="49" t="str">
        <f t="shared" si="102"/>
        <v/>
      </c>
    </row>
    <row r="6533" spans="8:34" ht="12.75">
      <c r="H6533" s="43"/>
      <c r="AG6533" s="49" t="str">
        <f ca="1">IFERROR(__xludf.DUMMYFUNCTION("IFNA(vlookup(H6533,IMPORTRANGE(""1vUGwO1n0QQGx9kKbO0_M5gmuhXZ6-LaxQxgrmJnzgP0"",""'TP# look up'!A:C""),3,0),"""")"),"")</f>
        <v/>
      </c>
      <c r="AH6533" s="49" t="str">
        <f t="shared" si="102"/>
        <v/>
      </c>
    </row>
    <row r="6534" spans="8:34" ht="12.75">
      <c r="H6534" s="43"/>
      <c r="AG6534" s="49" t="str">
        <f ca="1">IFERROR(__xludf.DUMMYFUNCTION("IFNA(vlookup(H6534,IMPORTRANGE(""1vUGwO1n0QQGx9kKbO0_M5gmuhXZ6-LaxQxgrmJnzgP0"",""'TP# look up'!A:C""),3,0),"""")"),"")</f>
        <v/>
      </c>
      <c r="AH6534" s="49" t="str">
        <f t="shared" si="102"/>
        <v/>
      </c>
    </row>
    <row r="6535" spans="8:34" ht="12.75">
      <c r="H6535" s="43"/>
      <c r="AG6535" s="49" t="str">
        <f ca="1">IFERROR(__xludf.DUMMYFUNCTION("IFNA(vlookup(H6535,IMPORTRANGE(""1vUGwO1n0QQGx9kKbO0_M5gmuhXZ6-LaxQxgrmJnzgP0"",""'TP# look up'!A:C""),3,0),"""")"),"")</f>
        <v/>
      </c>
      <c r="AH6535" s="49" t="str">
        <f t="shared" si="102"/>
        <v/>
      </c>
    </row>
    <row r="6536" spans="8:34" ht="12.75">
      <c r="H6536" s="43"/>
      <c r="AG6536" s="49" t="str">
        <f ca="1">IFERROR(__xludf.DUMMYFUNCTION("IFNA(vlookup(H6536,IMPORTRANGE(""1vUGwO1n0QQGx9kKbO0_M5gmuhXZ6-LaxQxgrmJnzgP0"",""'TP# look up'!A:C""),3,0),"""")"),"")</f>
        <v/>
      </c>
      <c r="AH6536" s="49" t="str">
        <f t="shared" si="102"/>
        <v/>
      </c>
    </row>
    <row r="6537" spans="8:34" ht="12.75">
      <c r="H6537" s="43"/>
      <c r="AG6537" s="49" t="str">
        <f ca="1">IFERROR(__xludf.DUMMYFUNCTION("IFNA(vlookup(H6537,IMPORTRANGE(""1vUGwO1n0QQGx9kKbO0_M5gmuhXZ6-LaxQxgrmJnzgP0"",""'TP# look up'!A:C""),3,0),"""")"),"")</f>
        <v/>
      </c>
      <c r="AH6537" s="49" t="str">
        <f t="shared" si="102"/>
        <v/>
      </c>
    </row>
    <row r="6538" spans="8:34" ht="12.75">
      <c r="H6538" s="43"/>
      <c r="AG6538" s="49" t="str">
        <f ca="1">IFERROR(__xludf.DUMMYFUNCTION("IFNA(vlookup(H6538,IMPORTRANGE(""1vUGwO1n0QQGx9kKbO0_M5gmuhXZ6-LaxQxgrmJnzgP0"",""'TP# look up'!A:C""),3,0),"""")"),"")</f>
        <v/>
      </c>
      <c r="AH6538" s="49" t="str">
        <f t="shared" si="102"/>
        <v/>
      </c>
    </row>
    <row r="6539" spans="8:34" ht="12.75">
      <c r="H6539" s="43"/>
      <c r="AG6539" s="49" t="str">
        <f ca="1">IFERROR(__xludf.DUMMYFUNCTION("IFNA(vlookup(H6539,IMPORTRANGE(""1vUGwO1n0QQGx9kKbO0_M5gmuhXZ6-LaxQxgrmJnzgP0"",""'TP# look up'!A:C""),3,0),"""")"),"")</f>
        <v/>
      </c>
      <c r="AH6539" s="49" t="str">
        <f t="shared" si="102"/>
        <v/>
      </c>
    </row>
    <row r="6540" spans="8:34" ht="12.75">
      <c r="H6540" s="43"/>
      <c r="AG6540" s="49" t="str">
        <f ca="1">IFERROR(__xludf.DUMMYFUNCTION("IFNA(vlookup(H6540,IMPORTRANGE(""1vUGwO1n0QQGx9kKbO0_M5gmuhXZ6-LaxQxgrmJnzgP0"",""'TP# look up'!A:C""),3,0),"""")"),"")</f>
        <v/>
      </c>
      <c r="AH6540" s="49" t="str">
        <f t="shared" si="102"/>
        <v/>
      </c>
    </row>
    <row r="6541" spans="8:34" ht="12.75">
      <c r="H6541" s="43"/>
      <c r="AG6541" s="49" t="str">
        <f ca="1">IFERROR(__xludf.DUMMYFUNCTION("IFNA(vlookup(H6541,IMPORTRANGE(""1vUGwO1n0QQGx9kKbO0_M5gmuhXZ6-LaxQxgrmJnzgP0"",""'TP# look up'!A:C""),3,0),"""")"),"")</f>
        <v/>
      </c>
      <c r="AH6541" s="49" t="str">
        <f t="shared" si="102"/>
        <v/>
      </c>
    </row>
    <row r="6542" spans="8:34" ht="12.75">
      <c r="H6542" s="43"/>
      <c r="AG6542" s="49" t="str">
        <f ca="1">IFERROR(__xludf.DUMMYFUNCTION("IFNA(vlookup(H6542,IMPORTRANGE(""1vUGwO1n0QQGx9kKbO0_M5gmuhXZ6-LaxQxgrmJnzgP0"",""'TP# look up'!A:C""),3,0),"""")"),"")</f>
        <v/>
      </c>
      <c r="AH6542" s="49" t="str">
        <f t="shared" si="102"/>
        <v/>
      </c>
    </row>
    <row r="6543" spans="8:34" ht="12.75">
      <c r="H6543" s="43"/>
      <c r="AG6543" s="49" t="str">
        <f ca="1">IFERROR(__xludf.DUMMYFUNCTION("IFNA(vlookup(H6543,IMPORTRANGE(""1vUGwO1n0QQGx9kKbO0_M5gmuhXZ6-LaxQxgrmJnzgP0"",""'TP# look up'!A:C""),3,0),"""")"),"")</f>
        <v/>
      </c>
      <c r="AH6543" s="49" t="str">
        <f t="shared" si="102"/>
        <v/>
      </c>
    </row>
    <row r="6544" spans="8:34" ht="12.75">
      <c r="H6544" s="43"/>
      <c r="AG6544" s="49" t="str">
        <f ca="1">IFERROR(__xludf.DUMMYFUNCTION("IFNA(vlookup(H6544,IMPORTRANGE(""1vUGwO1n0QQGx9kKbO0_M5gmuhXZ6-LaxQxgrmJnzgP0"",""'TP# look up'!A:C""),3,0),"""")"),"")</f>
        <v/>
      </c>
      <c r="AH6544" s="49" t="str">
        <f t="shared" si="102"/>
        <v/>
      </c>
    </row>
    <row r="6545" spans="8:34" ht="12.75">
      <c r="H6545" s="43"/>
      <c r="AG6545" s="49" t="str">
        <f ca="1">IFERROR(__xludf.DUMMYFUNCTION("IFNA(vlookup(H6545,IMPORTRANGE(""1vUGwO1n0QQGx9kKbO0_M5gmuhXZ6-LaxQxgrmJnzgP0"",""'TP# look up'!A:C""),3,0),"""")"),"")</f>
        <v/>
      </c>
      <c r="AH6545" s="49" t="str">
        <f t="shared" si="102"/>
        <v/>
      </c>
    </row>
    <row r="6546" spans="8:34" ht="12.75">
      <c r="H6546" s="43"/>
      <c r="AG6546" s="49" t="str">
        <f ca="1">IFERROR(__xludf.DUMMYFUNCTION("IFNA(vlookup(H6546,IMPORTRANGE(""1vUGwO1n0QQGx9kKbO0_M5gmuhXZ6-LaxQxgrmJnzgP0"",""'TP# look up'!A:C""),3,0),"""")"),"")</f>
        <v/>
      </c>
      <c r="AH6546" s="49" t="str">
        <f t="shared" si="102"/>
        <v/>
      </c>
    </row>
    <row r="6547" spans="8:34" ht="12.75">
      <c r="H6547" s="43"/>
      <c r="AG6547" s="49" t="str">
        <f ca="1">IFERROR(__xludf.DUMMYFUNCTION("IFNA(vlookup(H6547,IMPORTRANGE(""1vUGwO1n0QQGx9kKbO0_M5gmuhXZ6-LaxQxgrmJnzgP0"",""'TP# look up'!A:C""),3,0),"""")"),"")</f>
        <v/>
      </c>
      <c r="AH6547" s="49" t="str">
        <f t="shared" si="102"/>
        <v/>
      </c>
    </row>
    <row r="6548" spans="8:34" ht="12.75">
      <c r="H6548" s="43"/>
      <c r="AG6548" s="49" t="str">
        <f ca="1">IFERROR(__xludf.DUMMYFUNCTION("IFNA(vlookup(H6548,IMPORTRANGE(""1vUGwO1n0QQGx9kKbO0_M5gmuhXZ6-LaxQxgrmJnzgP0"",""'TP# look up'!A:C""),3,0),"""")"),"")</f>
        <v/>
      </c>
      <c r="AH6548" s="49" t="str">
        <f t="shared" si="102"/>
        <v/>
      </c>
    </row>
    <row r="6549" spans="8:34" ht="12.75">
      <c r="H6549" s="43"/>
      <c r="AG6549" s="49" t="str">
        <f ca="1">IFERROR(__xludf.DUMMYFUNCTION("IFNA(vlookup(H6549,IMPORTRANGE(""1vUGwO1n0QQGx9kKbO0_M5gmuhXZ6-LaxQxgrmJnzgP0"",""'TP# look up'!A:C""),3,0),"""")"),"")</f>
        <v/>
      </c>
      <c r="AH6549" s="49" t="str">
        <f t="shared" si="102"/>
        <v/>
      </c>
    </row>
    <row r="6550" spans="8:34" ht="12.75">
      <c r="H6550" s="43"/>
      <c r="AG6550" s="49" t="str">
        <f ca="1">IFERROR(__xludf.DUMMYFUNCTION("IFNA(vlookup(H6550,IMPORTRANGE(""1vUGwO1n0QQGx9kKbO0_M5gmuhXZ6-LaxQxgrmJnzgP0"",""'TP# look up'!A:C""),3,0),"""")"),"")</f>
        <v/>
      </c>
      <c r="AH6550" s="49" t="str">
        <f t="shared" si="102"/>
        <v/>
      </c>
    </row>
    <row r="6551" spans="8:34" ht="12.75">
      <c r="H6551" s="43"/>
      <c r="AG6551" s="49" t="str">
        <f ca="1">IFERROR(__xludf.DUMMYFUNCTION("IFNA(vlookup(H6551,IMPORTRANGE(""1vUGwO1n0QQGx9kKbO0_M5gmuhXZ6-LaxQxgrmJnzgP0"",""'TP# look up'!A:C""),3,0),"""")"),"")</f>
        <v/>
      </c>
      <c r="AH6551" s="49" t="str">
        <f t="shared" si="102"/>
        <v/>
      </c>
    </row>
    <row r="6552" spans="8:34" ht="12.75">
      <c r="H6552" s="43"/>
      <c r="AG6552" s="49" t="str">
        <f ca="1">IFERROR(__xludf.DUMMYFUNCTION("IFNA(vlookup(H6552,IMPORTRANGE(""1vUGwO1n0QQGx9kKbO0_M5gmuhXZ6-LaxQxgrmJnzgP0"",""'TP# look up'!A:C""),3,0),"""")"),"")</f>
        <v/>
      </c>
      <c r="AH6552" s="49" t="str">
        <f t="shared" si="102"/>
        <v/>
      </c>
    </row>
    <row r="6553" spans="8:34" ht="12.75">
      <c r="H6553" s="43"/>
      <c r="AG6553" s="49" t="str">
        <f ca="1">IFERROR(__xludf.DUMMYFUNCTION("IFNA(vlookup(H6553,IMPORTRANGE(""1vUGwO1n0QQGx9kKbO0_M5gmuhXZ6-LaxQxgrmJnzgP0"",""'TP# look up'!A:C""),3,0),"""")"),"")</f>
        <v/>
      </c>
      <c r="AH6553" s="49" t="str">
        <f t="shared" si="102"/>
        <v/>
      </c>
    </row>
    <row r="6554" spans="8:34" ht="12.75">
      <c r="H6554" s="43"/>
      <c r="AG6554" s="49" t="str">
        <f ca="1">IFERROR(__xludf.DUMMYFUNCTION("IFNA(vlookup(H6554,IMPORTRANGE(""1vUGwO1n0QQGx9kKbO0_M5gmuhXZ6-LaxQxgrmJnzgP0"",""'TP# look up'!A:C""),3,0),"""")"),"")</f>
        <v/>
      </c>
      <c r="AH6554" s="49" t="str">
        <f t="shared" si="102"/>
        <v/>
      </c>
    </row>
    <row r="6555" spans="8:34" ht="12.75">
      <c r="H6555" s="43"/>
      <c r="AG6555" s="49" t="str">
        <f ca="1">IFERROR(__xludf.DUMMYFUNCTION("IFNA(vlookup(H6555,IMPORTRANGE(""1vUGwO1n0QQGx9kKbO0_M5gmuhXZ6-LaxQxgrmJnzgP0"",""'TP# look up'!A:C""),3,0),"""")"),"")</f>
        <v/>
      </c>
      <c r="AH6555" s="49" t="str">
        <f t="shared" si="102"/>
        <v/>
      </c>
    </row>
    <row r="6556" spans="8:34" ht="12.75">
      <c r="H6556" s="43"/>
      <c r="AG6556" s="49" t="str">
        <f ca="1">IFERROR(__xludf.DUMMYFUNCTION("IFNA(vlookup(H6556,IMPORTRANGE(""1vUGwO1n0QQGx9kKbO0_M5gmuhXZ6-LaxQxgrmJnzgP0"",""'TP# look up'!A:C""),3,0),"""")"),"")</f>
        <v/>
      </c>
      <c r="AH6556" s="49" t="str">
        <f t="shared" si="102"/>
        <v/>
      </c>
    </row>
    <row r="6557" spans="8:34" ht="12.75">
      <c r="H6557" s="43"/>
      <c r="AG6557" s="49" t="str">
        <f ca="1">IFERROR(__xludf.DUMMYFUNCTION("IFNA(vlookup(H6557,IMPORTRANGE(""1vUGwO1n0QQGx9kKbO0_M5gmuhXZ6-LaxQxgrmJnzgP0"",""'TP# look up'!A:C""),3,0),"""")"),"")</f>
        <v/>
      </c>
      <c r="AH6557" s="49" t="str">
        <f t="shared" si="102"/>
        <v/>
      </c>
    </row>
    <row r="6558" spans="8:34" ht="12.75">
      <c r="H6558" s="43"/>
      <c r="AG6558" s="49" t="str">
        <f ca="1">IFERROR(__xludf.DUMMYFUNCTION("IFNA(vlookup(H6558,IMPORTRANGE(""1vUGwO1n0QQGx9kKbO0_M5gmuhXZ6-LaxQxgrmJnzgP0"",""'TP# look up'!A:C""),3,0),"""")"),"")</f>
        <v/>
      </c>
      <c r="AH6558" s="49" t="str">
        <f t="shared" si="102"/>
        <v/>
      </c>
    </row>
    <row r="6559" spans="8:34" ht="12.75">
      <c r="H6559" s="43"/>
      <c r="AG6559" s="49" t="str">
        <f ca="1">IFERROR(__xludf.DUMMYFUNCTION("IFNA(vlookup(H6559,IMPORTRANGE(""1vUGwO1n0QQGx9kKbO0_M5gmuhXZ6-LaxQxgrmJnzgP0"",""'TP# look up'!A:C""),3,0),"""")"),"")</f>
        <v/>
      </c>
      <c r="AH6559" s="49" t="str">
        <f t="shared" si="102"/>
        <v/>
      </c>
    </row>
    <row r="6560" spans="8:34" ht="12.75">
      <c r="H6560" s="43"/>
      <c r="AG6560" s="49" t="str">
        <f ca="1">IFERROR(__xludf.DUMMYFUNCTION("IFNA(vlookup(H6560,IMPORTRANGE(""1vUGwO1n0QQGx9kKbO0_M5gmuhXZ6-LaxQxgrmJnzgP0"",""'TP# look up'!A:C""),3,0),"""")"),"")</f>
        <v/>
      </c>
      <c r="AH6560" s="49" t="str">
        <f t="shared" si="102"/>
        <v/>
      </c>
    </row>
    <row r="6561" spans="8:34" ht="12.75">
      <c r="H6561" s="43"/>
      <c r="AG6561" s="49" t="str">
        <f ca="1">IFERROR(__xludf.DUMMYFUNCTION("IFNA(vlookup(H6561,IMPORTRANGE(""1vUGwO1n0QQGx9kKbO0_M5gmuhXZ6-LaxQxgrmJnzgP0"",""'TP# look up'!A:C""),3,0),"""")"),"")</f>
        <v/>
      </c>
      <c r="AH6561" s="49" t="str">
        <f t="shared" si="102"/>
        <v/>
      </c>
    </row>
    <row r="6562" spans="8:34" ht="12.75">
      <c r="H6562" s="43"/>
      <c r="AG6562" s="49" t="str">
        <f ca="1">IFERROR(__xludf.DUMMYFUNCTION("IFNA(vlookup(H6562,IMPORTRANGE(""1vUGwO1n0QQGx9kKbO0_M5gmuhXZ6-LaxQxgrmJnzgP0"",""'TP# look up'!A:C""),3,0),"""")"),"")</f>
        <v/>
      </c>
      <c r="AH6562" s="49" t="str">
        <f t="shared" si="102"/>
        <v/>
      </c>
    </row>
    <row r="6563" spans="8:34" ht="12.75">
      <c r="H6563" s="43"/>
      <c r="AG6563" s="49" t="str">
        <f ca="1">IFERROR(__xludf.DUMMYFUNCTION("IFNA(vlookup(H6563,IMPORTRANGE(""1vUGwO1n0QQGx9kKbO0_M5gmuhXZ6-LaxQxgrmJnzgP0"",""'TP# look up'!A:C""),3,0),"""")"),"")</f>
        <v/>
      </c>
      <c r="AH6563" s="49" t="str">
        <f t="shared" si="102"/>
        <v/>
      </c>
    </row>
    <row r="6564" spans="8:34" ht="12.75">
      <c r="H6564" s="43"/>
      <c r="AG6564" s="49" t="str">
        <f ca="1">IFERROR(__xludf.DUMMYFUNCTION("IFNA(vlookup(H6564,IMPORTRANGE(""1vUGwO1n0QQGx9kKbO0_M5gmuhXZ6-LaxQxgrmJnzgP0"",""'TP# look up'!A:C""),3,0),"""")"),"")</f>
        <v/>
      </c>
      <c r="AH6564" s="49" t="str">
        <f t="shared" si="102"/>
        <v/>
      </c>
    </row>
    <row r="6565" spans="8:34" ht="12.75">
      <c r="H6565" s="43"/>
      <c r="AG6565" s="49" t="str">
        <f ca="1">IFERROR(__xludf.DUMMYFUNCTION("IFNA(vlookup(H6565,IMPORTRANGE(""1vUGwO1n0QQGx9kKbO0_M5gmuhXZ6-LaxQxgrmJnzgP0"",""'TP# look up'!A:C""),3,0),"""")"),"")</f>
        <v/>
      </c>
      <c r="AH6565" s="49" t="str">
        <f t="shared" si="102"/>
        <v/>
      </c>
    </row>
    <row r="6566" spans="8:34" ht="12.75">
      <c r="H6566" s="43"/>
      <c r="AG6566" s="49" t="str">
        <f ca="1">IFERROR(__xludf.DUMMYFUNCTION("IFNA(vlookup(H6566,IMPORTRANGE(""1vUGwO1n0QQGx9kKbO0_M5gmuhXZ6-LaxQxgrmJnzgP0"",""'TP# look up'!A:C""),3,0),"""")"),"")</f>
        <v/>
      </c>
      <c r="AH6566" s="49" t="str">
        <f t="shared" si="102"/>
        <v/>
      </c>
    </row>
    <row r="6567" spans="8:34" ht="12.75">
      <c r="H6567" s="43"/>
      <c r="AG6567" s="49" t="str">
        <f ca="1">IFERROR(__xludf.DUMMYFUNCTION("IFNA(vlookup(H6567,IMPORTRANGE(""1vUGwO1n0QQGx9kKbO0_M5gmuhXZ6-LaxQxgrmJnzgP0"",""'TP# look up'!A:C""),3,0),"""")"),"")</f>
        <v/>
      </c>
      <c r="AH6567" s="49" t="str">
        <f t="shared" si="102"/>
        <v/>
      </c>
    </row>
    <row r="6568" spans="8:34" ht="12.75">
      <c r="H6568" s="43"/>
      <c r="AG6568" s="49" t="str">
        <f ca="1">IFERROR(__xludf.DUMMYFUNCTION("IFNA(vlookup(H6568,IMPORTRANGE(""1vUGwO1n0QQGx9kKbO0_M5gmuhXZ6-LaxQxgrmJnzgP0"",""'TP# look up'!A:C""),3,0),"""")"),"")</f>
        <v/>
      </c>
      <c r="AH6568" s="49" t="str">
        <f t="shared" si="102"/>
        <v/>
      </c>
    </row>
    <row r="6569" spans="8:34" ht="12.75">
      <c r="H6569" s="43"/>
      <c r="AG6569" s="49" t="str">
        <f ca="1">IFERROR(__xludf.DUMMYFUNCTION("IFNA(vlookup(H6569,IMPORTRANGE(""1vUGwO1n0QQGx9kKbO0_M5gmuhXZ6-LaxQxgrmJnzgP0"",""'TP# look up'!A:C""),3,0),"""")"),"")</f>
        <v/>
      </c>
      <c r="AH6569" s="49" t="str">
        <f t="shared" si="102"/>
        <v/>
      </c>
    </row>
    <row r="6570" spans="8:34" ht="12.75">
      <c r="H6570" s="43"/>
      <c r="AG6570" s="49" t="str">
        <f ca="1">IFERROR(__xludf.DUMMYFUNCTION("IFNA(vlookup(H6570,IMPORTRANGE(""1vUGwO1n0QQGx9kKbO0_M5gmuhXZ6-LaxQxgrmJnzgP0"",""'TP# look up'!A:C""),3,0),"""")"),"")</f>
        <v/>
      </c>
      <c r="AH6570" s="49" t="str">
        <f t="shared" si="102"/>
        <v/>
      </c>
    </row>
    <row r="6571" spans="8:34" ht="12.75">
      <c r="H6571" s="43"/>
      <c r="AG6571" s="49" t="str">
        <f ca="1">IFERROR(__xludf.DUMMYFUNCTION("IFNA(vlookup(H6571,IMPORTRANGE(""1vUGwO1n0QQGx9kKbO0_M5gmuhXZ6-LaxQxgrmJnzgP0"",""'TP# look up'!A:C""),3,0),"""")"),"")</f>
        <v/>
      </c>
      <c r="AH6571" s="49" t="str">
        <f t="shared" si="102"/>
        <v/>
      </c>
    </row>
    <row r="6572" spans="8:34" ht="12.75">
      <c r="H6572" s="43"/>
      <c r="AG6572" s="49" t="str">
        <f ca="1">IFERROR(__xludf.DUMMYFUNCTION("IFNA(vlookup(H6572,IMPORTRANGE(""1vUGwO1n0QQGx9kKbO0_M5gmuhXZ6-LaxQxgrmJnzgP0"",""'TP# look up'!A:C""),3,0),"""")"),"")</f>
        <v/>
      </c>
      <c r="AH6572" s="49" t="str">
        <f t="shared" si="102"/>
        <v/>
      </c>
    </row>
    <row r="6573" spans="8:34" ht="12.75">
      <c r="H6573" s="43"/>
      <c r="AG6573" s="49" t="str">
        <f ca="1">IFERROR(__xludf.DUMMYFUNCTION("IFNA(vlookup(H6573,IMPORTRANGE(""1vUGwO1n0QQGx9kKbO0_M5gmuhXZ6-LaxQxgrmJnzgP0"",""'TP# look up'!A:C""),3,0),"""")"),"")</f>
        <v/>
      </c>
      <c r="AH6573" s="49" t="str">
        <f t="shared" si="102"/>
        <v/>
      </c>
    </row>
    <row r="6574" spans="8:34" ht="12.75">
      <c r="H6574" s="43"/>
      <c r="AG6574" s="49" t="str">
        <f ca="1">IFERROR(__xludf.DUMMYFUNCTION("IFNA(vlookup(H6574,IMPORTRANGE(""1vUGwO1n0QQGx9kKbO0_M5gmuhXZ6-LaxQxgrmJnzgP0"",""'TP# look up'!A:C""),3,0),"""")"),"")</f>
        <v/>
      </c>
      <c r="AH6574" s="49" t="str">
        <f t="shared" si="102"/>
        <v/>
      </c>
    </row>
    <row r="6575" spans="8:34" ht="12.75">
      <c r="H6575" s="43"/>
      <c r="AG6575" s="49" t="str">
        <f ca="1">IFERROR(__xludf.DUMMYFUNCTION("IFNA(vlookup(H6575,IMPORTRANGE(""1vUGwO1n0QQGx9kKbO0_M5gmuhXZ6-LaxQxgrmJnzgP0"",""'TP# look up'!A:C""),3,0),"""")"),"")</f>
        <v/>
      </c>
      <c r="AH6575" s="49" t="str">
        <f t="shared" si="102"/>
        <v/>
      </c>
    </row>
    <row r="6576" spans="8:34" ht="12.75">
      <c r="H6576" s="43"/>
      <c r="AG6576" s="49" t="str">
        <f ca="1">IFERROR(__xludf.DUMMYFUNCTION("IFNA(vlookup(H6576,IMPORTRANGE(""1vUGwO1n0QQGx9kKbO0_M5gmuhXZ6-LaxQxgrmJnzgP0"",""'TP# look up'!A:C""),3,0),"""")"),"")</f>
        <v/>
      </c>
      <c r="AH6576" s="49" t="str">
        <f t="shared" si="102"/>
        <v/>
      </c>
    </row>
    <row r="6577" spans="8:34" ht="12.75">
      <c r="H6577" s="43"/>
      <c r="AG6577" s="49" t="str">
        <f ca="1">IFERROR(__xludf.DUMMYFUNCTION("IFNA(vlookup(H6577,IMPORTRANGE(""1vUGwO1n0QQGx9kKbO0_M5gmuhXZ6-LaxQxgrmJnzgP0"",""'TP# look up'!A:C""),3,0),"""")"),"")</f>
        <v/>
      </c>
      <c r="AH6577" s="49" t="str">
        <f t="shared" si="102"/>
        <v/>
      </c>
    </row>
    <row r="6578" spans="8:34" ht="12.75">
      <c r="H6578" s="43"/>
      <c r="AG6578" s="49" t="str">
        <f ca="1">IFERROR(__xludf.DUMMYFUNCTION("IFNA(vlookup(H6578,IMPORTRANGE(""1vUGwO1n0QQGx9kKbO0_M5gmuhXZ6-LaxQxgrmJnzgP0"",""'TP# look up'!A:C""),3,0),"""")"),"")</f>
        <v/>
      </c>
      <c r="AH6578" s="49" t="str">
        <f t="shared" si="102"/>
        <v/>
      </c>
    </row>
    <row r="6579" spans="8:34" ht="12.75">
      <c r="H6579" s="43"/>
      <c r="AG6579" s="49" t="str">
        <f ca="1">IFERROR(__xludf.DUMMYFUNCTION("IFNA(vlookup(H6579,IMPORTRANGE(""1vUGwO1n0QQGx9kKbO0_M5gmuhXZ6-LaxQxgrmJnzgP0"",""'TP# look up'!A:C""),3,0),"""")"),"")</f>
        <v/>
      </c>
      <c r="AH6579" s="49" t="str">
        <f t="shared" si="102"/>
        <v/>
      </c>
    </row>
    <row r="6580" spans="8:34" ht="12.75">
      <c r="H6580" s="43"/>
      <c r="AG6580" s="49" t="str">
        <f ca="1">IFERROR(__xludf.DUMMYFUNCTION("IFNA(vlookup(H6580,IMPORTRANGE(""1vUGwO1n0QQGx9kKbO0_M5gmuhXZ6-LaxQxgrmJnzgP0"",""'TP# look up'!A:C""),3,0),"""")"),"")</f>
        <v/>
      </c>
      <c r="AH6580" s="49" t="str">
        <f t="shared" si="102"/>
        <v/>
      </c>
    </row>
    <row r="6581" spans="8:34" ht="12.75">
      <c r="H6581" s="43"/>
      <c r="AG6581" s="49" t="str">
        <f ca="1">IFERROR(__xludf.DUMMYFUNCTION("IFNA(vlookup(H6581,IMPORTRANGE(""1vUGwO1n0QQGx9kKbO0_M5gmuhXZ6-LaxQxgrmJnzgP0"",""'TP# look up'!A:C""),3,0),"""")"),"")</f>
        <v/>
      </c>
      <c r="AH6581" s="49" t="str">
        <f t="shared" si="102"/>
        <v/>
      </c>
    </row>
    <row r="6582" spans="8:34" ht="12.75">
      <c r="H6582" s="43"/>
      <c r="AG6582" s="49" t="str">
        <f ca="1">IFERROR(__xludf.DUMMYFUNCTION("IFNA(vlookup(H6582,IMPORTRANGE(""1vUGwO1n0QQGx9kKbO0_M5gmuhXZ6-LaxQxgrmJnzgP0"",""'TP# look up'!A:C""),3,0),"""")"),"")</f>
        <v/>
      </c>
      <c r="AH6582" s="49" t="str">
        <f t="shared" si="102"/>
        <v/>
      </c>
    </row>
    <row r="6583" spans="8:34" ht="12.75">
      <c r="H6583" s="43"/>
      <c r="AG6583" s="49" t="str">
        <f ca="1">IFERROR(__xludf.DUMMYFUNCTION("IFNA(vlookup(H6583,IMPORTRANGE(""1vUGwO1n0QQGx9kKbO0_M5gmuhXZ6-LaxQxgrmJnzgP0"",""'TP# look up'!A:C""),3,0),"""")"),"")</f>
        <v/>
      </c>
      <c r="AH6583" s="49" t="str">
        <f t="shared" si="102"/>
        <v/>
      </c>
    </row>
    <row r="6584" spans="8:34" ht="12.75">
      <c r="H6584" s="43"/>
      <c r="AG6584" s="49" t="str">
        <f ca="1">IFERROR(__xludf.DUMMYFUNCTION("IFNA(vlookup(H6584,IMPORTRANGE(""1vUGwO1n0QQGx9kKbO0_M5gmuhXZ6-LaxQxgrmJnzgP0"",""'TP# look up'!A:C""),3,0),"""")"),"")</f>
        <v/>
      </c>
      <c r="AH6584" s="49" t="str">
        <f t="shared" si="102"/>
        <v/>
      </c>
    </row>
    <row r="6585" spans="8:34" ht="12.75">
      <c r="H6585" s="43"/>
      <c r="AG6585" s="49" t="str">
        <f ca="1">IFERROR(__xludf.DUMMYFUNCTION("IFNA(vlookup(H6585,IMPORTRANGE(""1vUGwO1n0QQGx9kKbO0_M5gmuhXZ6-LaxQxgrmJnzgP0"",""'TP# look up'!A:C""),3,0),"""")"),"")</f>
        <v/>
      </c>
      <c r="AH6585" s="49" t="str">
        <f t="shared" si="102"/>
        <v/>
      </c>
    </row>
    <row r="6586" spans="8:34" ht="12.75">
      <c r="H6586" s="43"/>
      <c r="AG6586" s="49" t="str">
        <f ca="1">IFERROR(__xludf.DUMMYFUNCTION("IFNA(vlookup(H6586,IMPORTRANGE(""1vUGwO1n0QQGx9kKbO0_M5gmuhXZ6-LaxQxgrmJnzgP0"",""'TP# look up'!A:C""),3,0),"""")"),"")</f>
        <v/>
      </c>
      <c r="AH6586" s="49" t="str">
        <f t="shared" si="102"/>
        <v/>
      </c>
    </row>
    <row r="6587" spans="8:34" ht="12.75">
      <c r="H6587" s="43"/>
      <c r="AG6587" s="49" t="str">
        <f ca="1">IFERROR(__xludf.DUMMYFUNCTION("IFNA(vlookup(H6587,IMPORTRANGE(""1vUGwO1n0QQGx9kKbO0_M5gmuhXZ6-LaxQxgrmJnzgP0"",""'TP# look up'!A:C""),3,0),"""")"),"")</f>
        <v/>
      </c>
      <c r="AH6587" s="49" t="str">
        <f t="shared" si="102"/>
        <v/>
      </c>
    </row>
    <row r="6588" spans="8:34" ht="12.75">
      <c r="H6588" s="43"/>
      <c r="AG6588" s="49" t="str">
        <f ca="1">IFERROR(__xludf.DUMMYFUNCTION("IFNA(vlookup(H6588,IMPORTRANGE(""1vUGwO1n0QQGx9kKbO0_M5gmuhXZ6-LaxQxgrmJnzgP0"",""'TP# look up'!A:C""),3,0),"""")"),"")</f>
        <v/>
      </c>
      <c r="AH6588" s="49" t="str">
        <f t="shared" si="102"/>
        <v/>
      </c>
    </row>
    <row r="6589" spans="8:34" ht="12.75">
      <c r="H6589" s="43"/>
      <c r="AG6589" s="49" t="str">
        <f ca="1">IFERROR(__xludf.DUMMYFUNCTION("IFNA(vlookup(H6589,IMPORTRANGE(""1vUGwO1n0QQGx9kKbO0_M5gmuhXZ6-LaxQxgrmJnzgP0"",""'TP# look up'!A:C""),3,0),"""")"),"")</f>
        <v/>
      </c>
      <c r="AH6589" s="49" t="str">
        <f t="shared" si="102"/>
        <v/>
      </c>
    </row>
    <row r="6590" spans="8:34" ht="12.75">
      <c r="H6590" s="43"/>
      <c r="AG6590" s="49" t="str">
        <f ca="1">IFERROR(__xludf.DUMMYFUNCTION("IFNA(vlookup(H6590,IMPORTRANGE(""1vUGwO1n0QQGx9kKbO0_M5gmuhXZ6-LaxQxgrmJnzgP0"",""'TP# look up'!A:C""),3,0),"""")"),"")</f>
        <v/>
      </c>
      <c r="AH6590" s="49" t="str">
        <f t="shared" si="102"/>
        <v/>
      </c>
    </row>
    <row r="6591" spans="8:34" ht="12.75">
      <c r="H6591" s="43"/>
      <c r="AG6591" s="49" t="str">
        <f ca="1">IFERROR(__xludf.DUMMYFUNCTION("IFNA(vlookup(H6591,IMPORTRANGE(""1vUGwO1n0QQGx9kKbO0_M5gmuhXZ6-LaxQxgrmJnzgP0"",""'TP# look up'!A:C""),3,0),"""")"),"")</f>
        <v/>
      </c>
      <c r="AH6591" s="49" t="str">
        <f t="shared" si="102"/>
        <v/>
      </c>
    </row>
    <row r="6592" spans="8:34" ht="12.75">
      <c r="H6592" s="43"/>
      <c r="AG6592" s="49" t="str">
        <f ca="1">IFERROR(__xludf.DUMMYFUNCTION("IFNA(vlookup(H6592,IMPORTRANGE(""1vUGwO1n0QQGx9kKbO0_M5gmuhXZ6-LaxQxgrmJnzgP0"",""'TP# look up'!A:C""),3,0),"""")"),"")</f>
        <v/>
      </c>
      <c r="AH6592" s="49" t="str">
        <f t="shared" si="102"/>
        <v/>
      </c>
    </row>
    <row r="6593" spans="8:34" ht="12.75">
      <c r="H6593" s="43"/>
      <c r="AG6593" s="49" t="str">
        <f ca="1">IFERROR(__xludf.DUMMYFUNCTION("IFNA(vlookup(H6593,IMPORTRANGE(""1vUGwO1n0QQGx9kKbO0_M5gmuhXZ6-LaxQxgrmJnzgP0"",""'TP# look up'!A:C""),3,0),"""")"),"")</f>
        <v/>
      </c>
      <c r="AH6593" s="49" t="str">
        <f t="shared" si="102"/>
        <v/>
      </c>
    </row>
    <row r="6594" spans="8:34" ht="12.75">
      <c r="H6594" s="43"/>
      <c r="AG6594" s="49" t="str">
        <f ca="1">IFERROR(__xludf.DUMMYFUNCTION("IFNA(vlookup(H6594,IMPORTRANGE(""1vUGwO1n0QQGx9kKbO0_M5gmuhXZ6-LaxQxgrmJnzgP0"",""'TP# look up'!A:C""),3,0),"""")"),"")</f>
        <v/>
      </c>
      <c r="AH6594" s="49" t="str">
        <f t="shared" ref="AH6594:AH6657" si="103">LEFT(J6594,2)</f>
        <v/>
      </c>
    </row>
    <row r="6595" spans="8:34" ht="12.75">
      <c r="H6595" s="43"/>
      <c r="AG6595" s="49" t="str">
        <f ca="1">IFERROR(__xludf.DUMMYFUNCTION("IFNA(vlookup(H6595,IMPORTRANGE(""1vUGwO1n0QQGx9kKbO0_M5gmuhXZ6-LaxQxgrmJnzgP0"",""'TP# look up'!A:C""),3,0),"""")"),"")</f>
        <v/>
      </c>
      <c r="AH6595" s="49" t="str">
        <f t="shared" si="103"/>
        <v/>
      </c>
    </row>
    <row r="6596" spans="8:34" ht="12.75">
      <c r="H6596" s="43"/>
      <c r="AG6596" s="49" t="str">
        <f ca="1">IFERROR(__xludf.DUMMYFUNCTION("IFNA(vlookup(H6596,IMPORTRANGE(""1vUGwO1n0QQGx9kKbO0_M5gmuhXZ6-LaxQxgrmJnzgP0"",""'TP# look up'!A:C""),3,0),"""")"),"")</f>
        <v/>
      </c>
      <c r="AH6596" s="49" t="str">
        <f t="shared" si="103"/>
        <v/>
      </c>
    </row>
    <row r="6597" spans="8:34" ht="12.75">
      <c r="H6597" s="43"/>
      <c r="AG6597" s="49" t="str">
        <f ca="1">IFERROR(__xludf.DUMMYFUNCTION("IFNA(vlookup(H6597,IMPORTRANGE(""1vUGwO1n0QQGx9kKbO0_M5gmuhXZ6-LaxQxgrmJnzgP0"",""'TP# look up'!A:C""),3,0),"""")"),"")</f>
        <v/>
      </c>
      <c r="AH6597" s="49" t="str">
        <f t="shared" si="103"/>
        <v/>
      </c>
    </row>
    <row r="6598" spans="8:34" ht="12.75">
      <c r="H6598" s="43"/>
      <c r="AG6598" s="49" t="str">
        <f ca="1">IFERROR(__xludf.DUMMYFUNCTION("IFNA(vlookup(H6598,IMPORTRANGE(""1vUGwO1n0QQGx9kKbO0_M5gmuhXZ6-LaxQxgrmJnzgP0"",""'TP# look up'!A:C""),3,0),"""")"),"")</f>
        <v/>
      </c>
      <c r="AH6598" s="49" t="str">
        <f t="shared" si="103"/>
        <v/>
      </c>
    </row>
    <row r="6599" spans="8:34" ht="12.75">
      <c r="H6599" s="43"/>
      <c r="AG6599" s="49" t="str">
        <f ca="1">IFERROR(__xludf.DUMMYFUNCTION("IFNA(vlookup(H6599,IMPORTRANGE(""1vUGwO1n0QQGx9kKbO0_M5gmuhXZ6-LaxQxgrmJnzgP0"",""'TP# look up'!A:C""),3,0),"""")"),"")</f>
        <v/>
      </c>
      <c r="AH6599" s="49" t="str">
        <f t="shared" si="103"/>
        <v/>
      </c>
    </row>
    <row r="6600" spans="8:34" ht="12.75">
      <c r="H6600" s="43"/>
      <c r="AG6600" s="49" t="str">
        <f ca="1">IFERROR(__xludf.DUMMYFUNCTION("IFNA(vlookup(H6600,IMPORTRANGE(""1vUGwO1n0QQGx9kKbO0_M5gmuhXZ6-LaxQxgrmJnzgP0"",""'TP# look up'!A:C""),3,0),"""")"),"")</f>
        <v/>
      </c>
      <c r="AH6600" s="49" t="str">
        <f t="shared" si="103"/>
        <v/>
      </c>
    </row>
    <row r="6601" spans="8:34" ht="12.75">
      <c r="H6601" s="43"/>
      <c r="AG6601" s="49" t="str">
        <f ca="1">IFERROR(__xludf.DUMMYFUNCTION("IFNA(vlookup(H6601,IMPORTRANGE(""1vUGwO1n0QQGx9kKbO0_M5gmuhXZ6-LaxQxgrmJnzgP0"",""'TP# look up'!A:C""),3,0),"""")"),"")</f>
        <v/>
      </c>
      <c r="AH6601" s="49" t="str">
        <f t="shared" si="103"/>
        <v/>
      </c>
    </row>
    <row r="6602" spans="8:34" ht="12.75">
      <c r="H6602" s="43"/>
      <c r="AG6602" s="49" t="str">
        <f ca="1">IFERROR(__xludf.DUMMYFUNCTION("IFNA(vlookup(H6602,IMPORTRANGE(""1vUGwO1n0QQGx9kKbO0_M5gmuhXZ6-LaxQxgrmJnzgP0"",""'TP# look up'!A:C""),3,0),"""")"),"")</f>
        <v/>
      </c>
      <c r="AH6602" s="49" t="str">
        <f t="shared" si="103"/>
        <v/>
      </c>
    </row>
    <row r="6603" spans="8:34" ht="12.75">
      <c r="H6603" s="43"/>
      <c r="AG6603" s="49" t="str">
        <f ca="1">IFERROR(__xludf.DUMMYFUNCTION("IFNA(vlookup(H6603,IMPORTRANGE(""1vUGwO1n0QQGx9kKbO0_M5gmuhXZ6-LaxQxgrmJnzgP0"",""'TP# look up'!A:C""),3,0),"""")"),"")</f>
        <v/>
      </c>
      <c r="AH6603" s="49" t="str">
        <f t="shared" si="103"/>
        <v/>
      </c>
    </row>
    <row r="6604" spans="8:34" ht="12.75">
      <c r="H6604" s="43"/>
      <c r="AG6604" s="49" t="str">
        <f ca="1">IFERROR(__xludf.DUMMYFUNCTION("IFNA(vlookup(H6604,IMPORTRANGE(""1vUGwO1n0QQGx9kKbO0_M5gmuhXZ6-LaxQxgrmJnzgP0"",""'TP# look up'!A:C""),3,0),"""")"),"")</f>
        <v/>
      </c>
      <c r="AH6604" s="49" t="str">
        <f t="shared" si="103"/>
        <v/>
      </c>
    </row>
    <row r="6605" spans="8:34" ht="12.75">
      <c r="H6605" s="43"/>
      <c r="AG6605" s="49" t="str">
        <f ca="1">IFERROR(__xludf.DUMMYFUNCTION("IFNA(vlookup(H6605,IMPORTRANGE(""1vUGwO1n0QQGx9kKbO0_M5gmuhXZ6-LaxQxgrmJnzgP0"",""'TP# look up'!A:C""),3,0),"""")"),"")</f>
        <v/>
      </c>
      <c r="AH6605" s="49" t="str">
        <f t="shared" si="103"/>
        <v/>
      </c>
    </row>
    <row r="6606" spans="8:34" ht="12.75">
      <c r="H6606" s="43"/>
      <c r="AG6606" s="49" t="str">
        <f ca="1">IFERROR(__xludf.DUMMYFUNCTION("IFNA(vlookup(H6606,IMPORTRANGE(""1vUGwO1n0QQGx9kKbO0_M5gmuhXZ6-LaxQxgrmJnzgP0"",""'TP# look up'!A:C""),3,0),"""")"),"")</f>
        <v/>
      </c>
      <c r="AH6606" s="49" t="str">
        <f t="shared" si="103"/>
        <v/>
      </c>
    </row>
    <row r="6607" spans="8:34" ht="12.75">
      <c r="H6607" s="43"/>
      <c r="AG6607" s="49" t="str">
        <f ca="1">IFERROR(__xludf.DUMMYFUNCTION("IFNA(vlookup(H6607,IMPORTRANGE(""1vUGwO1n0QQGx9kKbO0_M5gmuhXZ6-LaxQxgrmJnzgP0"",""'TP# look up'!A:C""),3,0),"""")"),"")</f>
        <v/>
      </c>
      <c r="AH6607" s="49" t="str">
        <f t="shared" si="103"/>
        <v/>
      </c>
    </row>
    <row r="6608" spans="8:34" ht="12.75">
      <c r="H6608" s="43"/>
      <c r="AG6608" s="49" t="str">
        <f ca="1">IFERROR(__xludf.DUMMYFUNCTION("IFNA(vlookup(H6608,IMPORTRANGE(""1vUGwO1n0QQGx9kKbO0_M5gmuhXZ6-LaxQxgrmJnzgP0"",""'TP# look up'!A:C""),3,0),"""")"),"")</f>
        <v/>
      </c>
      <c r="AH6608" s="49" t="str">
        <f t="shared" si="103"/>
        <v/>
      </c>
    </row>
    <row r="6609" spans="8:34" ht="12.75">
      <c r="H6609" s="43"/>
      <c r="AG6609" s="49" t="str">
        <f ca="1">IFERROR(__xludf.DUMMYFUNCTION("IFNA(vlookup(H6609,IMPORTRANGE(""1vUGwO1n0QQGx9kKbO0_M5gmuhXZ6-LaxQxgrmJnzgP0"",""'TP# look up'!A:C""),3,0),"""")"),"")</f>
        <v/>
      </c>
      <c r="AH6609" s="49" t="str">
        <f t="shared" si="103"/>
        <v/>
      </c>
    </row>
    <row r="6610" spans="8:34" ht="12.75">
      <c r="H6610" s="43"/>
      <c r="AG6610" s="49" t="str">
        <f ca="1">IFERROR(__xludf.DUMMYFUNCTION("IFNA(vlookup(H6610,IMPORTRANGE(""1vUGwO1n0QQGx9kKbO0_M5gmuhXZ6-LaxQxgrmJnzgP0"",""'TP# look up'!A:C""),3,0),"""")"),"")</f>
        <v/>
      </c>
      <c r="AH6610" s="49" t="str">
        <f t="shared" si="103"/>
        <v/>
      </c>
    </row>
    <row r="6611" spans="8:34" ht="12.75">
      <c r="H6611" s="43"/>
      <c r="AG6611" s="49" t="str">
        <f ca="1">IFERROR(__xludf.DUMMYFUNCTION("IFNA(vlookup(H6611,IMPORTRANGE(""1vUGwO1n0QQGx9kKbO0_M5gmuhXZ6-LaxQxgrmJnzgP0"",""'TP# look up'!A:C""),3,0),"""")"),"")</f>
        <v/>
      </c>
      <c r="AH6611" s="49" t="str">
        <f t="shared" si="103"/>
        <v/>
      </c>
    </row>
    <row r="6612" spans="8:34" ht="12.75">
      <c r="H6612" s="43"/>
      <c r="AG6612" s="49" t="str">
        <f ca="1">IFERROR(__xludf.DUMMYFUNCTION("IFNA(vlookup(H6612,IMPORTRANGE(""1vUGwO1n0QQGx9kKbO0_M5gmuhXZ6-LaxQxgrmJnzgP0"",""'TP# look up'!A:C""),3,0),"""")"),"")</f>
        <v/>
      </c>
      <c r="AH6612" s="49" t="str">
        <f t="shared" si="103"/>
        <v/>
      </c>
    </row>
    <row r="6613" spans="8:34" ht="12.75">
      <c r="H6613" s="43"/>
      <c r="AG6613" s="49" t="str">
        <f ca="1">IFERROR(__xludf.DUMMYFUNCTION("IFNA(vlookup(H6613,IMPORTRANGE(""1vUGwO1n0QQGx9kKbO0_M5gmuhXZ6-LaxQxgrmJnzgP0"",""'TP# look up'!A:C""),3,0),"""")"),"")</f>
        <v/>
      </c>
      <c r="AH6613" s="49" t="str">
        <f t="shared" si="103"/>
        <v/>
      </c>
    </row>
    <row r="6614" spans="8:34" ht="12.75">
      <c r="H6614" s="43"/>
      <c r="AG6614" s="49" t="str">
        <f ca="1">IFERROR(__xludf.DUMMYFUNCTION("IFNA(vlookup(H6614,IMPORTRANGE(""1vUGwO1n0QQGx9kKbO0_M5gmuhXZ6-LaxQxgrmJnzgP0"",""'TP# look up'!A:C""),3,0),"""")"),"")</f>
        <v/>
      </c>
      <c r="AH6614" s="49" t="str">
        <f t="shared" si="103"/>
        <v/>
      </c>
    </row>
    <row r="6615" spans="8:34" ht="12.75">
      <c r="H6615" s="43"/>
      <c r="AG6615" s="49" t="str">
        <f ca="1">IFERROR(__xludf.DUMMYFUNCTION("IFNA(vlookup(H6615,IMPORTRANGE(""1vUGwO1n0QQGx9kKbO0_M5gmuhXZ6-LaxQxgrmJnzgP0"",""'TP# look up'!A:C""),3,0),"""")"),"")</f>
        <v/>
      </c>
      <c r="AH6615" s="49" t="str">
        <f t="shared" si="103"/>
        <v/>
      </c>
    </row>
    <row r="6616" spans="8:34" ht="12.75">
      <c r="H6616" s="43"/>
      <c r="AG6616" s="49" t="str">
        <f ca="1">IFERROR(__xludf.DUMMYFUNCTION("IFNA(vlookup(H6616,IMPORTRANGE(""1vUGwO1n0QQGx9kKbO0_M5gmuhXZ6-LaxQxgrmJnzgP0"",""'TP# look up'!A:C""),3,0),"""")"),"")</f>
        <v/>
      </c>
      <c r="AH6616" s="49" t="str">
        <f t="shared" si="103"/>
        <v/>
      </c>
    </row>
    <row r="6617" spans="8:34" ht="12.75">
      <c r="H6617" s="43"/>
      <c r="AG6617" s="49" t="str">
        <f ca="1">IFERROR(__xludf.DUMMYFUNCTION("IFNA(vlookup(H6617,IMPORTRANGE(""1vUGwO1n0QQGx9kKbO0_M5gmuhXZ6-LaxQxgrmJnzgP0"",""'TP# look up'!A:C""),3,0),"""")"),"")</f>
        <v/>
      </c>
      <c r="AH6617" s="49" t="str">
        <f t="shared" si="103"/>
        <v/>
      </c>
    </row>
    <row r="6618" spans="8:34" ht="12.75">
      <c r="H6618" s="43"/>
      <c r="AG6618" s="49" t="str">
        <f ca="1">IFERROR(__xludf.DUMMYFUNCTION("IFNA(vlookup(H6618,IMPORTRANGE(""1vUGwO1n0QQGx9kKbO0_M5gmuhXZ6-LaxQxgrmJnzgP0"",""'TP# look up'!A:C""),3,0),"""")"),"")</f>
        <v/>
      </c>
      <c r="AH6618" s="49" t="str">
        <f t="shared" si="103"/>
        <v/>
      </c>
    </row>
    <row r="6619" spans="8:34" ht="12.75">
      <c r="H6619" s="43"/>
      <c r="AG6619" s="49" t="str">
        <f ca="1">IFERROR(__xludf.DUMMYFUNCTION("IFNA(vlookup(H6619,IMPORTRANGE(""1vUGwO1n0QQGx9kKbO0_M5gmuhXZ6-LaxQxgrmJnzgP0"",""'TP# look up'!A:C""),3,0),"""")"),"")</f>
        <v/>
      </c>
      <c r="AH6619" s="49" t="str">
        <f t="shared" si="103"/>
        <v/>
      </c>
    </row>
    <row r="6620" spans="8:34" ht="12.75">
      <c r="H6620" s="43"/>
      <c r="AG6620" s="49" t="str">
        <f ca="1">IFERROR(__xludf.DUMMYFUNCTION("IFNA(vlookup(H6620,IMPORTRANGE(""1vUGwO1n0QQGx9kKbO0_M5gmuhXZ6-LaxQxgrmJnzgP0"",""'TP# look up'!A:C""),3,0),"""")"),"")</f>
        <v/>
      </c>
      <c r="AH6620" s="49" t="str">
        <f t="shared" si="103"/>
        <v/>
      </c>
    </row>
    <row r="6621" spans="8:34" ht="12.75">
      <c r="H6621" s="43"/>
      <c r="AG6621" s="49" t="str">
        <f ca="1">IFERROR(__xludf.DUMMYFUNCTION("IFNA(vlookup(H6621,IMPORTRANGE(""1vUGwO1n0QQGx9kKbO0_M5gmuhXZ6-LaxQxgrmJnzgP0"",""'TP# look up'!A:C""),3,0),"""")"),"")</f>
        <v/>
      </c>
      <c r="AH6621" s="49" t="str">
        <f t="shared" si="103"/>
        <v/>
      </c>
    </row>
    <row r="6622" spans="8:34" ht="12.75">
      <c r="H6622" s="43"/>
      <c r="AG6622" s="49" t="str">
        <f ca="1">IFERROR(__xludf.DUMMYFUNCTION("IFNA(vlookup(H6622,IMPORTRANGE(""1vUGwO1n0QQGx9kKbO0_M5gmuhXZ6-LaxQxgrmJnzgP0"",""'TP# look up'!A:C""),3,0),"""")"),"")</f>
        <v/>
      </c>
      <c r="AH6622" s="49" t="str">
        <f t="shared" si="103"/>
        <v/>
      </c>
    </row>
    <row r="6623" spans="8:34" ht="12.75">
      <c r="H6623" s="43"/>
      <c r="AG6623" s="49" t="str">
        <f ca="1">IFERROR(__xludf.DUMMYFUNCTION("IFNA(vlookup(H6623,IMPORTRANGE(""1vUGwO1n0QQGx9kKbO0_M5gmuhXZ6-LaxQxgrmJnzgP0"",""'TP# look up'!A:C""),3,0),"""")"),"")</f>
        <v/>
      </c>
      <c r="AH6623" s="49" t="str">
        <f t="shared" si="103"/>
        <v/>
      </c>
    </row>
    <row r="6624" spans="8:34" ht="12.75">
      <c r="H6624" s="43"/>
      <c r="AG6624" s="49" t="str">
        <f ca="1">IFERROR(__xludf.DUMMYFUNCTION("IFNA(vlookup(H6624,IMPORTRANGE(""1vUGwO1n0QQGx9kKbO0_M5gmuhXZ6-LaxQxgrmJnzgP0"",""'TP# look up'!A:C""),3,0),"""")"),"")</f>
        <v/>
      </c>
      <c r="AH6624" s="49" t="str">
        <f t="shared" si="103"/>
        <v/>
      </c>
    </row>
    <row r="6625" spans="8:34" ht="12.75">
      <c r="H6625" s="43"/>
      <c r="AG6625" s="49" t="str">
        <f ca="1">IFERROR(__xludf.DUMMYFUNCTION("IFNA(vlookup(H6625,IMPORTRANGE(""1vUGwO1n0QQGx9kKbO0_M5gmuhXZ6-LaxQxgrmJnzgP0"",""'TP# look up'!A:C""),3,0),"""")"),"")</f>
        <v/>
      </c>
      <c r="AH6625" s="49" t="str">
        <f t="shared" si="103"/>
        <v/>
      </c>
    </row>
    <row r="6626" spans="8:34" ht="12.75">
      <c r="H6626" s="43"/>
      <c r="AG6626" s="49" t="str">
        <f ca="1">IFERROR(__xludf.DUMMYFUNCTION("IFNA(vlookup(H6626,IMPORTRANGE(""1vUGwO1n0QQGx9kKbO0_M5gmuhXZ6-LaxQxgrmJnzgP0"",""'TP# look up'!A:C""),3,0),"""")"),"")</f>
        <v/>
      </c>
      <c r="AH6626" s="49" t="str">
        <f t="shared" si="103"/>
        <v/>
      </c>
    </row>
    <row r="6627" spans="8:34" ht="12.75">
      <c r="H6627" s="43"/>
      <c r="AG6627" s="49" t="str">
        <f ca="1">IFERROR(__xludf.DUMMYFUNCTION("IFNA(vlookup(H6627,IMPORTRANGE(""1vUGwO1n0QQGx9kKbO0_M5gmuhXZ6-LaxQxgrmJnzgP0"",""'TP# look up'!A:C""),3,0),"""")"),"")</f>
        <v/>
      </c>
      <c r="AH6627" s="49" t="str">
        <f t="shared" si="103"/>
        <v/>
      </c>
    </row>
    <row r="6628" spans="8:34" ht="12.75">
      <c r="H6628" s="43"/>
      <c r="AG6628" s="49" t="str">
        <f ca="1">IFERROR(__xludf.DUMMYFUNCTION("IFNA(vlookup(H6628,IMPORTRANGE(""1vUGwO1n0QQGx9kKbO0_M5gmuhXZ6-LaxQxgrmJnzgP0"",""'TP# look up'!A:C""),3,0),"""")"),"")</f>
        <v/>
      </c>
      <c r="AH6628" s="49" t="str">
        <f t="shared" si="103"/>
        <v/>
      </c>
    </row>
    <row r="6629" spans="8:34" ht="12.75">
      <c r="H6629" s="43"/>
      <c r="AG6629" s="49" t="str">
        <f ca="1">IFERROR(__xludf.DUMMYFUNCTION("IFNA(vlookup(H6629,IMPORTRANGE(""1vUGwO1n0QQGx9kKbO0_M5gmuhXZ6-LaxQxgrmJnzgP0"",""'TP# look up'!A:C""),3,0),"""")"),"")</f>
        <v/>
      </c>
      <c r="AH6629" s="49" t="str">
        <f t="shared" si="103"/>
        <v/>
      </c>
    </row>
    <row r="6630" spans="8:34" ht="12.75">
      <c r="H6630" s="43"/>
      <c r="AG6630" s="49" t="str">
        <f ca="1">IFERROR(__xludf.DUMMYFUNCTION("IFNA(vlookup(H6630,IMPORTRANGE(""1vUGwO1n0QQGx9kKbO0_M5gmuhXZ6-LaxQxgrmJnzgP0"",""'TP# look up'!A:C""),3,0),"""")"),"")</f>
        <v/>
      </c>
      <c r="AH6630" s="49" t="str">
        <f t="shared" si="103"/>
        <v/>
      </c>
    </row>
    <row r="6631" spans="8:34" ht="12.75">
      <c r="H6631" s="43"/>
      <c r="AG6631" s="49" t="str">
        <f ca="1">IFERROR(__xludf.DUMMYFUNCTION("IFNA(vlookup(H6631,IMPORTRANGE(""1vUGwO1n0QQGx9kKbO0_M5gmuhXZ6-LaxQxgrmJnzgP0"",""'TP# look up'!A:C""),3,0),"""")"),"")</f>
        <v/>
      </c>
      <c r="AH6631" s="49" t="str">
        <f t="shared" si="103"/>
        <v/>
      </c>
    </row>
    <row r="6632" spans="8:34" ht="12.75">
      <c r="H6632" s="43"/>
      <c r="AG6632" s="49" t="str">
        <f ca="1">IFERROR(__xludf.DUMMYFUNCTION("IFNA(vlookup(H6632,IMPORTRANGE(""1vUGwO1n0QQGx9kKbO0_M5gmuhXZ6-LaxQxgrmJnzgP0"",""'TP# look up'!A:C""),3,0),"""")"),"")</f>
        <v/>
      </c>
      <c r="AH6632" s="49" t="str">
        <f t="shared" si="103"/>
        <v/>
      </c>
    </row>
    <row r="6633" spans="8:34" ht="12.75">
      <c r="H6633" s="43"/>
      <c r="AG6633" s="49" t="str">
        <f ca="1">IFERROR(__xludf.DUMMYFUNCTION("IFNA(vlookup(H6633,IMPORTRANGE(""1vUGwO1n0QQGx9kKbO0_M5gmuhXZ6-LaxQxgrmJnzgP0"",""'TP# look up'!A:C""),3,0),"""")"),"")</f>
        <v/>
      </c>
      <c r="AH6633" s="49" t="str">
        <f t="shared" si="103"/>
        <v/>
      </c>
    </row>
    <row r="6634" spans="8:34" ht="12.75">
      <c r="H6634" s="43"/>
      <c r="AG6634" s="49" t="str">
        <f ca="1">IFERROR(__xludf.DUMMYFUNCTION("IFNA(vlookup(H6634,IMPORTRANGE(""1vUGwO1n0QQGx9kKbO0_M5gmuhXZ6-LaxQxgrmJnzgP0"",""'TP# look up'!A:C""),3,0),"""")"),"")</f>
        <v/>
      </c>
      <c r="AH6634" s="49" t="str">
        <f t="shared" si="103"/>
        <v/>
      </c>
    </row>
    <row r="6635" spans="8:34" ht="12.75">
      <c r="H6635" s="43"/>
      <c r="AG6635" s="49" t="str">
        <f ca="1">IFERROR(__xludf.DUMMYFUNCTION("IFNA(vlookup(H6635,IMPORTRANGE(""1vUGwO1n0QQGx9kKbO0_M5gmuhXZ6-LaxQxgrmJnzgP0"",""'TP# look up'!A:C""),3,0),"""")"),"")</f>
        <v/>
      </c>
      <c r="AH6635" s="49" t="str">
        <f t="shared" si="103"/>
        <v/>
      </c>
    </row>
    <row r="6636" spans="8:34" ht="12.75">
      <c r="H6636" s="43"/>
      <c r="AG6636" s="49" t="str">
        <f ca="1">IFERROR(__xludf.DUMMYFUNCTION("IFNA(vlookup(H6636,IMPORTRANGE(""1vUGwO1n0QQGx9kKbO0_M5gmuhXZ6-LaxQxgrmJnzgP0"",""'TP# look up'!A:C""),3,0),"""")"),"")</f>
        <v/>
      </c>
      <c r="AH6636" s="49" t="str">
        <f t="shared" si="103"/>
        <v/>
      </c>
    </row>
    <row r="6637" spans="8:34" ht="12.75">
      <c r="H6637" s="43"/>
      <c r="AG6637" s="49" t="str">
        <f ca="1">IFERROR(__xludf.DUMMYFUNCTION("IFNA(vlookup(H6637,IMPORTRANGE(""1vUGwO1n0QQGx9kKbO0_M5gmuhXZ6-LaxQxgrmJnzgP0"",""'TP# look up'!A:C""),3,0),"""")"),"")</f>
        <v/>
      </c>
      <c r="AH6637" s="49" t="str">
        <f t="shared" si="103"/>
        <v/>
      </c>
    </row>
    <row r="6638" spans="8:34" ht="12.75">
      <c r="H6638" s="43"/>
      <c r="AG6638" s="49" t="str">
        <f ca="1">IFERROR(__xludf.DUMMYFUNCTION("IFNA(vlookup(H6638,IMPORTRANGE(""1vUGwO1n0QQGx9kKbO0_M5gmuhXZ6-LaxQxgrmJnzgP0"",""'TP# look up'!A:C""),3,0),"""")"),"")</f>
        <v/>
      </c>
      <c r="AH6638" s="49" t="str">
        <f t="shared" si="103"/>
        <v/>
      </c>
    </row>
    <row r="6639" spans="8:34" ht="12.75">
      <c r="H6639" s="43"/>
      <c r="AG6639" s="49" t="str">
        <f ca="1">IFERROR(__xludf.DUMMYFUNCTION("IFNA(vlookup(H6639,IMPORTRANGE(""1vUGwO1n0QQGx9kKbO0_M5gmuhXZ6-LaxQxgrmJnzgP0"",""'TP# look up'!A:C""),3,0),"""")"),"")</f>
        <v/>
      </c>
      <c r="AH6639" s="49" t="str">
        <f t="shared" si="103"/>
        <v/>
      </c>
    </row>
    <row r="6640" spans="8:34" ht="12.75">
      <c r="H6640" s="43"/>
      <c r="AG6640" s="49" t="str">
        <f ca="1">IFERROR(__xludf.DUMMYFUNCTION("IFNA(vlookup(H6640,IMPORTRANGE(""1vUGwO1n0QQGx9kKbO0_M5gmuhXZ6-LaxQxgrmJnzgP0"",""'TP# look up'!A:C""),3,0),"""")"),"")</f>
        <v/>
      </c>
      <c r="AH6640" s="49" t="str">
        <f t="shared" si="103"/>
        <v/>
      </c>
    </row>
    <row r="6641" spans="8:34" ht="12.75">
      <c r="H6641" s="43"/>
      <c r="AG6641" s="49" t="str">
        <f ca="1">IFERROR(__xludf.DUMMYFUNCTION("IFNA(vlookup(H6641,IMPORTRANGE(""1vUGwO1n0QQGx9kKbO0_M5gmuhXZ6-LaxQxgrmJnzgP0"",""'TP# look up'!A:C""),3,0),"""")"),"")</f>
        <v/>
      </c>
      <c r="AH6641" s="49" t="str">
        <f t="shared" si="103"/>
        <v/>
      </c>
    </row>
    <row r="6642" spans="8:34" ht="12.75">
      <c r="H6642" s="43"/>
      <c r="AG6642" s="49" t="str">
        <f ca="1">IFERROR(__xludf.DUMMYFUNCTION("IFNA(vlookup(H6642,IMPORTRANGE(""1vUGwO1n0QQGx9kKbO0_M5gmuhXZ6-LaxQxgrmJnzgP0"",""'TP# look up'!A:C""),3,0),"""")"),"")</f>
        <v/>
      </c>
      <c r="AH6642" s="49" t="str">
        <f t="shared" si="103"/>
        <v/>
      </c>
    </row>
    <row r="6643" spans="8:34" ht="12.75">
      <c r="H6643" s="43"/>
      <c r="AG6643" s="49" t="str">
        <f ca="1">IFERROR(__xludf.DUMMYFUNCTION("IFNA(vlookup(H6643,IMPORTRANGE(""1vUGwO1n0QQGx9kKbO0_M5gmuhXZ6-LaxQxgrmJnzgP0"",""'TP# look up'!A:C""),3,0),"""")"),"")</f>
        <v/>
      </c>
      <c r="AH6643" s="49" t="str">
        <f t="shared" si="103"/>
        <v/>
      </c>
    </row>
    <row r="6644" spans="8:34" ht="12.75">
      <c r="H6644" s="43"/>
      <c r="AG6644" s="49" t="str">
        <f ca="1">IFERROR(__xludf.DUMMYFUNCTION("IFNA(vlookup(H6644,IMPORTRANGE(""1vUGwO1n0QQGx9kKbO0_M5gmuhXZ6-LaxQxgrmJnzgP0"",""'TP# look up'!A:C""),3,0),"""")"),"")</f>
        <v/>
      </c>
      <c r="AH6644" s="49" t="str">
        <f t="shared" si="103"/>
        <v/>
      </c>
    </row>
    <row r="6645" spans="8:34" ht="12.75">
      <c r="H6645" s="43"/>
      <c r="AG6645" s="49" t="str">
        <f ca="1">IFERROR(__xludf.DUMMYFUNCTION("IFNA(vlookup(H6645,IMPORTRANGE(""1vUGwO1n0QQGx9kKbO0_M5gmuhXZ6-LaxQxgrmJnzgP0"",""'TP# look up'!A:C""),3,0),"""")"),"")</f>
        <v/>
      </c>
      <c r="AH6645" s="49" t="str">
        <f t="shared" si="103"/>
        <v/>
      </c>
    </row>
    <row r="6646" spans="8:34" ht="12.75">
      <c r="H6646" s="43"/>
      <c r="AG6646" s="49" t="str">
        <f ca="1">IFERROR(__xludf.DUMMYFUNCTION("IFNA(vlookup(H6646,IMPORTRANGE(""1vUGwO1n0QQGx9kKbO0_M5gmuhXZ6-LaxQxgrmJnzgP0"",""'TP# look up'!A:C""),3,0),"""")"),"")</f>
        <v/>
      </c>
      <c r="AH6646" s="49" t="str">
        <f t="shared" si="103"/>
        <v/>
      </c>
    </row>
    <row r="6647" spans="8:34" ht="12.75">
      <c r="H6647" s="43"/>
      <c r="AG6647" s="49" t="str">
        <f ca="1">IFERROR(__xludf.DUMMYFUNCTION("IFNA(vlookup(H6647,IMPORTRANGE(""1vUGwO1n0QQGx9kKbO0_M5gmuhXZ6-LaxQxgrmJnzgP0"",""'TP# look up'!A:C""),3,0),"""")"),"")</f>
        <v/>
      </c>
      <c r="AH6647" s="49" t="str">
        <f t="shared" si="103"/>
        <v/>
      </c>
    </row>
    <row r="6648" spans="8:34" ht="12.75">
      <c r="H6648" s="43"/>
      <c r="AG6648" s="49" t="str">
        <f ca="1">IFERROR(__xludf.DUMMYFUNCTION("IFNA(vlookup(H6648,IMPORTRANGE(""1vUGwO1n0QQGx9kKbO0_M5gmuhXZ6-LaxQxgrmJnzgP0"",""'TP# look up'!A:C""),3,0),"""")"),"")</f>
        <v/>
      </c>
      <c r="AH6648" s="49" t="str">
        <f t="shared" si="103"/>
        <v/>
      </c>
    </row>
    <row r="6649" spans="8:34" ht="12.75">
      <c r="H6649" s="43"/>
      <c r="AG6649" s="49" t="str">
        <f ca="1">IFERROR(__xludf.DUMMYFUNCTION("IFNA(vlookup(H6649,IMPORTRANGE(""1vUGwO1n0QQGx9kKbO0_M5gmuhXZ6-LaxQxgrmJnzgP0"",""'TP# look up'!A:C""),3,0),"""")"),"")</f>
        <v/>
      </c>
      <c r="AH6649" s="49" t="str">
        <f t="shared" si="103"/>
        <v/>
      </c>
    </row>
    <row r="6650" spans="8:34" ht="12.75">
      <c r="H6650" s="43"/>
      <c r="AG6650" s="49" t="str">
        <f ca="1">IFERROR(__xludf.DUMMYFUNCTION("IFNA(vlookup(H6650,IMPORTRANGE(""1vUGwO1n0QQGx9kKbO0_M5gmuhXZ6-LaxQxgrmJnzgP0"",""'TP# look up'!A:C""),3,0),"""")"),"")</f>
        <v/>
      </c>
      <c r="AH6650" s="49" t="str">
        <f t="shared" si="103"/>
        <v/>
      </c>
    </row>
    <row r="6651" spans="8:34" ht="12.75">
      <c r="H6651" s="43"/>
      <c r="AG6651" s="49" t="str">
        <f ca="1">IFERROR(__xludf.DUMMYFUNCTION("IFNA(vlookup(H6651,IMPORTRANGE(""1vUGwO1n0QQGx9kKbO0_M5gmuhXZ6-LaxQxgrmJnzgP0"",""'TP# look up'!A:C""),3,0),"""")"),"")</f>
        <v/>
      </c>
      <c r="AH6651" s="49" t="str">
        <f t="shared" si="103"/>
        <v/>
      </c>
    </row>
    <row r="6652" spans="8:34" ht="12.75">
      <c r="H6652" s="43"/>
      <c r="AG6652" s="49" t="str">
        <f ca="1">IFERROR(__xludf.DUMMYFUNCTION("IFNA(vlookup(H6652,IMPORTRANGE(""1vUGwO1n0QQGx9kKbO0_M5gmuhXZ6-LaxQxgrmJnzgP0"",""'TP# look up'!A:C""),3,0),"""")"),"")</f>
        <v/>
      </c>
      <c r="AH6652" s="49" t="str">
        <f t="shared" si="103"/>
        <v/>
      </c>
    </row>
    <row r="6653" spans="8:34" ht="12.75">
      <c r="H6653" s="43"/>
      <c r="AG6653" s="49" t="str">
        <f ca="1">IFERROR(__xludf.DUMMYFUNCTION("IFNA(vlookup(H6653,IMPORTRANGE(""1vUGwO1n0QQGx9kKbO0_M5gmuhXZ6-LaxQxgrmJnzgP0"",""'TP# look up'!A:C""),3,0),"""")"),"")</f>
        <v/>
      </c>
      <c r="AH6653" s="49" t="str">
        <f t="shared" si="103"/>
        <v/>
      </c>
    </row>
    <row r="6654" spans="8:34" ht="12.75">
      <c r="H6654" s="43"/>
      <c r="AG6654" s="49" t="str">
        <f ca="1">IFERROR(__xludf.DUMMYFUNCTION("IFNA(vlookup(H6654,IMPORTRANGE(""1vUGwO1n0QQGx9kKbO0_M5gmuhXZ6-LaxQxgrmJnzgP0"",""'TP# look up'!A:C""),3,0),"""")"),"")</f>
        <v/>
      </c>
      <c r="AH6654" s="49" t="str">
        <f t="shared" si="103"/>
        <v/>
      </c>
    </row>
    <row r="6655" spans="8:34" ht="12.75">
      <c r="H6655" s="43"/>
      <c r="AG6655" s="49" t="str">
        <f ca="1">IFERROR(__xludf.DUMMYFUNCTION("IFNA(vlookup(H6655,IMPORTRANGE(""1vUGwO1n0QQGx9kKbO0_M5gmuhXZ6-LaxQxgrmJnzgP0"",""'TP# look up'!A:C""),3,0),"""")"),"")</f>
        <v/>
      </c>
      <c r="AH6655" s="49" t="str">
        <f t="shared" si="103"/>
        <v/>
      </c>
    </row>
    <row r="6656" spans="8:34" ht="12.75">
      <c r="H6656" s="43"/>
      <c r="AG6656" s="49" t="str">
        <f ca="1">IFERROR(__xludf.DUMMYFUNCTION("IFNA(vlookup(H6656,IMPORTRANGE(""1vUGwO1n0QQGx9kKbO0_M5gmuhXZ6-LaxQxgrmJnzgP0"",""'TP# look up'!A:C""),3,0),"""")"),"")</f>
        <v/>
      </c>
      <c r="AH6656" s="49" t="str">
        <f t="shared" si="103"/>
        <v/>
      </c>
    </row>
    <row r="6657" spans="8:34" ht="12.75">
      <c r="H6657" s="43"/>
      <c r="AG6657" s="49" t="str">
        <f ca="1">IFERROR(__xludf.DUMMYFUNCTION("IFNA(vlookup(H6657,IMPORTRANGE(""1vUGwO1n0QQGx9kKbO0_M5gmuhXZ6-LaxQxgrmJnzgP0"",""'TP# look up'!A:C""),3,0),"""")"),"")</f>
        <v/>
      </c>
      <c r="AH6657" s="49" t="str">
        <f t="shared" si="103"/>
        <v/>
      </c>
    </row>
    <row r="6658" spans="8:34" ht="12.75">
      <c r="H6658" s="43"/>
      <c r="AG6658" s="49" t="str">
        <f ca="1">IFERROR(__xludf.DUMMYFUNCTION("IFNA(vlookup(H6658,IMPORTRANGE(""1vUGwO1n0QQGx9kKbO0_M5gmuhXZ6-LaxQxgrmJnzgP0"",""'TP# look up'!A:C""),3,0),"""")"),"")</f>
        <v/>
      </c>
      <c r="AH6658" s="49" t="str">
        <f t="shared" ref="AH6658:AH6721" si="104">LEFT(J6658,2)</f>
        <v/>
      </c>
    </row>
    <row r="6659" spans="8:34" ht="12.75">
      <c r="H6659" s="43"/>
      <c r="AG6659" s="49" t="str">
        <f ca="1">IFERROR(__xludf.DUMMYFUNCTION("IFNA(vlookup(H6659,IMPORTRANGE(""1vUGwO1n0QQGx9kKbO0_M5gmuhXZ6-LaxQxgrmJnzgP0"",""'TP# look up'!A:C""),3,0),"""")"),"")</f>
        <v/>
      </c>
      <c r="AH6659" s="49" t="str">
        <f t="shared" si="104"/>
        <v/>
      </c>
    </row>
    <row r="6660" spans="8:34" ht="12.75">
      <c r="H6660" s="43"/>
      <c r="AG6660" s="49" t="str">
        <f ca="1">IFERROR(__xludf.DUMMYFUNCTION("IFNA(vlookup(H6660,IMPORTRANGE(""1vUGwO1n0QQGx9kKbO0_M5gmuhXZ6-LaxQxgrmJnzgP0"",""'TP# look up'!A:C""),3,0),"""")"),"")</f>
        <v/>
      </c>
      <c r="AH6660" s="49" t="str">
        <f t="shared" si="104"/>
        <v/>
      </c>
    </row>
    <row r="6661" spans="8:34" ht="12.75">
      <c r="H6661" s="43"/>
      <c r="AG6661" s="49" t="str">
        <f ca="1">IFERROR(__xludf.DUMMYFUNCTION("IFNA(vlookup(H6661,IMPORTRANGE(""1vUGwO1n0QQGx9kKbO0_M5gmuhXZ6-LaxQxgrmJnzgP0"",""'TP# look up'!A:C""),3,0),"""")"),"")</f>
        <v/>
      </c>
      <c r="AH6661" s="49" t="str">
        <f t="shared" si="104"/>
        <v/>
      </c>
    </row>
    <row r="6662" spans="8:34" ht="12.75">
      <c r="H6662" s="43"/>
      <c r="AG6662" s="49" t="str">
        <f ca="1">IFERROR(__xludf.DUMMYFUNCTION("IFNA(vlookup(H6662,IMPORTRANGE(""1vUGwO1n0QQGx9kKbO0_M5gmuhXZ6-LaxQxgrmJnzgP0"",""'TP# look up'!A:C""),3,0),"""")"),"")</f>
        <v/>
      </c>
      <c r="AH6662" s="49" t="str">
        <f t="shared" si="104"/>
        <v/>
      </c>
    </row>
    <row r="6663" spans="8:34" ht="12.75">
      <c r="H6663" s="43"/>
      <c r="AG6663" s="49" t="str">
        <f ca="1">IFERROR(__xludf.DUMMYFUNCTION("IFNA(vlookup(H6663,IMPORTRANGE(""1vUGwO1n0QQGx9kKbO0_M5gmuhXZ6-LaxQxgrmJnzgP0"",""'TP# look up'!A:C""),3,0),"""")"),"")</f>
        <v/>
      </c>
      <c r="AH6663" s="49" t="str">
        <f t="shared" si="104"/>
        <v/>
      </c>
    </row>
    <row r="6664" spans="8:34" ht="12.75">
      <c r="H6664" s="43"/>
      <c r="AG6664" s="49" t="str">
        <f ca="1">IFERROR(__xludf.DUMMYFUNCTION("IFNA(vlookup(H6664,IMPORTRANGE(""1vUGwO1n0QQGx9kKbO0_M5gmuhXZ6-LaxQxgrmJnzgP0"",""'TP# look up'!A:C""),3,0),"""")"),"")</f>
        <v/>
      </c>
      <c r="AH6664" s="49" t="str">
        <f t="shared" si="104"/>
        <v/>
      </c>
    </row>
    <row r="6665" spans="8:34" ht="12.75">
      <c r="H6665" s="43"/>
      <c r="AG6665" s="49" t="str">
        <f ca="1">IFERROR(__xludf.DUMMYFUNCTION("IFNA(vlookup(H6665,IMPORTRANGE(""1vUGwO1n0QQGx9kKbO0_M5gmuhXZ6-LaxQxgrmJnzgP0"",""'TP# look up'!A:C""),3,0),"""")"),"")</f>
        <v/>
      </c>
      <c r="AH6665" s="49" t="str">
        <f t="shared" si="104"/>
        <v/>
      </c>
    </row>
    <row r="6666" spans="8:34" ht="12.75">
      <c r="H6666" s="43"/>
      <c r="AG6666" s="49" t="str">
        <f ca="1">IFERROR(__xludf.DUMMYFUNCTION("IFNA(vlookup(H6666,IMPORTRANGE(""1vUGwO1n0QQGx9kKbO0_M5gmuhXZ6-LaxQxgrmJnzgP0"",""'TP# look up'!A:C""),3,0),"""")"),"")</f>
        <v/>
      </c>
      <c r="AH6666" s="49" t="str">
        <f t="shared" si="104"/>
        <v/>
      </c>
    </row>
    <row r="6667" spans="8:34" ht="12.75">
      <c r="H6667" s="43"/>
      <c r="AG6667" s="49" t="str">
        <f ca="1">IFERROR(__xludf.DUMMYFUNCTION("IFNA(vlookup(H6667,IMPORTRANGE(""1vUGwO1n0QQGx9kKbO0_M5gmuhXZ6-LaxQxgrmJnzgP0"",""'TP# look up'!A:C""),3,0),"""")"),"")</f>
        <v/>
      </c>
      <c r="AH6667" s="49" t="str">
        <f t="shared" si="104"/>
        <v/>
      </c>
    </row>
    <row r="6668" spans="8:34" ht="12.75">
      <c r="H6668" s="43"/>
      <c r="AG6668" s="49" t="str">
        <f ca="1">IFERROR(__xludf.DUMMYFUNCTION("IFNA(vlookup(H6668,IMPORTRANGE(""1vUGwO1n0QQGx9kKbO0_M5gmuhXZ6-LaxQxgrmJnzgP0"",""'TP# look up'!A:C""),3,0),"""")"),"")</f>
        <v/>
      </c>
      <c r="AH6668" s="49" t="str">
        <f t="shared" si="104"/>
        <v/>
      </c>
    </row>
    <row r="6669" spans="8:34" ht="12.75">
      <c r="H6669" s="43"/>
      <c r="AG6669" s="49" t="str">
        <f ca="1">IFERROR(__xludf.DUMMYFUNCTION("IFNA(vlookup(H6669,IMPORTRANGE(""1vUGwO1n0QQGx9kKbO0_M5gmuhXZ6-LaxQxgrmJnzgP0"",""'TP# look up'!A:C""),3,0),"""")"),"")</f>
        <v/>
      </c>
      <c r="AH6669" s="49" t="str">
        <f t="shared" si="104"/>
        <v/>
      </c>
    </row>
    <row r="6670" spans="8:34" ht="12.75">
      <c r="H6670" s="43"/>
      <c r="AG6670" s="49" t="str">
        <f ca="1">IFERROR(__xludf.DUMMYFUNCTION("IFNA(vlookup(H6670,IMPORTRANGE(""1vUGwO1n0QQGx9kKbO0_M5gmuhXZ6-LaxQxgrmJnzgP0"",""'TP# look up'!A:C""),3,0),"""")"),"")</f>
        <v/>
      </c>
      <c r="AH6670" s="49" t="str">
        <f t="shared" si="104"/>
        <v/>
      </c>
    </row>
    <row r="6671" spans="8:34" ht="12.75">
      <c r="H6671" s="43"/>
      <c r="AG6671" s="49" t="str">
        <f ca="1">IFERROR(__xludf.DUMMYFUNCTION("IFNA(vlookup(H6671,IMPORTRANGE(""1vUGwO1n0QQGx9kKbO0_M5gmuhXZ6-LaxQxgrmJnzgP0"",""'TP# look up'!A:C""),3,0),"""")"),"")</f>
        <v/>
      </c>
      <c r="AH6671" s="49" t="str">
        <f t="shared" si="104"/>
        <v/>
      </c>
    </row>
    <row r="6672" spans="8:34" ht="12.75">
      <c r="H6672" s="43"/>
      <c r="AG6672" s="49" t="str">
        <f ca="1">IFERROR(__xludf.DUMMYFUNCTION("IFNA(vlookup(H6672,IMPORTRANGE(""1vUGwO1n0QQGx9kKbO0_M5gmuhXZ6-LaxQxgrmJnzgP0"",""'TP# look up'!A:C""),3,0),"""")"),"")</f>
        <v/>
      </c>
      <c r="AH6672" s="49" t="str">
        <f t="shared" si="104"/>
        <v/>
      </c>
    </row>
    <row r="6673" spans="8:34" ht="12.75">
      <c r="H6673" s="43"/>
      <c r="AG6673" s="49" t="str">
        <f ca="1">IFERROR(__xludf.DUMMYFUNCTION("IFNA(vlookup(H6673,IMPORTRANGE(""1vUGwO1n0QQGx9kKbO0_M5gmuhXZ6-LaxQxgrmJnzgP0"",""'TP# look up'!A:C""),3,0),"""")"),"")</f>
        <v/>
      </c>
      <c r="AH6673" s="49" t="str">
        <f t="shared" si="104"/>
        <v/>
      </c>
    </row>
    <row r="6674" spans="8:34" ht="12.75">
      <c r="H6674" s="43"/>
      <c r="AG6674" s="49" t="str">
        <f ca="1">IFERROR(__xludf.DUMMYFUNCTION("IFNA(vlookup(H6674,IMPORTRANGE(""1vUGwO1n0QQGx9kKbO0_M5gmuhXZ6-LaxQxgrmJnzgP0"",""'TP# look up'!A:C""),3,0),"""")"),"")</f>
        <v/>
      </c>
      <c r="AH6674" s="49" t="str">
        <f t="shared" si="104"/>
        <v/>
      </c>
    </row>
    <row r="6675" spans="8:34" ht="12.75">
      <c r="H6675" s="43"/>
      <c r="AG6675" s="49" t="str">
        <f ca="1">IFERROR(__xludf.DUMMYFUNCTION("IFNA(vlookup(H6675,IMPORTRANGE(""1vUGwO1n0QQGx9kKbO0_M5gmuhXZ6-LaxQxgrmJnzgP0"",""'TP# look up'!A:C""),3,0),"""")"),"")</f>
        <v/>
      </c>
      <c r="AH6675" s="49" t="str">
        <f t="shared" si="104"/>
        <v/>
      </c>
    </row>
    <row r="6676" spans="8:34" ht="12.75">
      <c r="H6676" s="43"/>
      <c r="AG6676" s="49" t="str">
        <f ca="1">IFERROR(__xludf.DUMMYFUNCTION("IFNA(vlookup(H6676,IMPORTRANGE(""1vUGwO1n0QQGx9kKbO0_M5gmuhXZ6-LaxQxgrmJnzgP0"",""'TP# look up'!A:C""),3,0),"""")"),"")</f>
        <v/>
      </c>
      <c r="AH6676" s="49" t="str">
        <f t="shared" si="104"/>
        <v/>
      </c>
    </row>
    <row r="6677" spans="8:34" ht="12.75">
      <c r="H6677" s="43"/>
      <c r="AG6677" s="49" t="str">
        <f ca="1">IFERROR(__xludf.DUMMYFUNCTION("IFNA(vlookup(H6677,IMPORTRANGE(""1vUGwO1n0QQGx9kKbO0_M5gmuhXZ6-LaxQxgrmJnzgP0"",""'TP# look up'!A:C""),3,0),"""")"),"")</f>
        <v/>
      </c>
      <c r="AH6677" s="49" t="str">
        <f t="shared" si="104"/>
        <v/>
      </c>
    </row>
    <row r="6678" spans="8:34" ht="12.75">
      <c r="H6678" s="43"/>
      <c r="AG6678" s="49" t="str">
        <f ca="1">IFERROR(__xludf.DUMMYFUNCTION("IFNA(vlookup(H6678,IMPORTRANGE(""1vUGwO1n0QQGx9kKbO0_M5gmuhXZ6-LaxQxgrmJnzgP0"",""'TP# look up'!A:C""),3,0),"""")"),"")</f>
        <v/>
      </c>
      <c r="AH6678" s="49" t="str">
        <f t="shared" si="104"/>
        <v/>
      </c>
    </row>
    <row r="6679" spans="8:34" ht="12.75">
      <c r="H6679" s="43"/>
      <c r="AG6679" s="49" t="str">
        <f ca="1">IFERROR(__xludf.DUMMYFUNCTION("IFNA(vlookup(H6679,IMPORTRANGE(""1vUGwO1n0QQGx9kKbO0_M5gmuhXZ6-LaxQxgrmJnzgP0"",""'TP# look up'!A:C""),3,0),"""")"),"")</f>
        <v/>
      </c>
      <c r="AH6679" s="49" t="str">
        <f t="shared" si="104"/>
        <v/>
      </c>
    </row>
    <row r="6680" spans="8:34" ht="12.75">
      <c r="H6680" s="43"/>
      <c r="AG6680" s="49" t="str">
        <f ca="1">IFERROR(__xludf.DUMMYFUNCTION("IFNA(vlookup(H6680,IMPORTRANGE(""1vUGwO1n0QQGx9kKbO0_M5gmuhXZ6-LaxQxgrmJnzgP0"",""'TP# look up'!A:C""),3,0),"""")"),"")</f>
        <v/>
      </c>
      <c r="AH6680" s="49" t="str">
        <f t="shared" si="104"/>
        <v/>
      </c>
    </row>
    <row r="6681" spans="8:34" ht="12.75">
      <c r="H6681" s="43"/>
      <c r="AG6681" s="49" t="str">
        <f ca="1">IFERROR(__xludf.DUMMYFUNCTION("IFNA(vlookup(H6681,IMPORTRANGE(""1vUGwO1n0QQGx9kKbO0_M5gmuhXZ6-LaxQxgrmJnzgP0"",""'TP# look up'!A:C""),3,0),"""")"),"")</f>
        <v/>
      </c>
      <c r="AH6681" s="49" t="str">
        <f t="shared" si="104"/>
        <v/>
      </c>
    </row>
    <row r="6682" spans="8:34" ht="12.75">
      <c r="H6682" s="43"/>
      <c r="AG6682" s="49" t="str">
        <f ca="1">IFERROR(__xludf.DUMMYFUNCTION("IFNA(vlookup(H6682,IMPORTRANGE(""1vUGwO1n0QQGx9kKbO0_M5gmuhXZ6-LaxQxgrmJnzgP0"",""'TP# look up'!A:C""),3,0),"""")"),"")</f>
        <v/>
      </c>
      <c r="AH6682" s="49" t="str">
        <f t="shared" si="104"/>
        <v/>
      </c>
    </row>
    <row r="6683" spans="8:34" ht="12.75">
      <c r="H6683" s="43"/>
      <c r="AG6683" s="49" t="str">
        <f ca="1">IFERROR(__xludf.DUMMYFUNCTION("IFNA(vlookup(H6683,IMPORTRANGE(""1vUGwO1n0QQGx9kKbO0_M5gmuhXZ6-LaxQxgrmJnzgP0"",""'TP# look up'!A:C""),3,0),"""")"),"")</f>
        <v/>
      </c>
      <c r="AH6683" s="49" t="str">
        <f t="shared" si="104"/>
        <v/>
      </c>
    </row>
    <row r="6684" spans="8:34" ht="12.75">
      <c r="H6684" s="43"/>
      <c r="AG6684" s="49" t="str">
        <f ca="1">IFERROR(__xludf.DUMMYFUNCTION("IFNA(vlookup(H6684,IMPORTRANGE(""1vUGwO1n0QQGx9kKbO0_M5gmuhXZ6-LaxQxgrmJnzgP0"",""'TP# look up'!A:C""),3,0),"""")"),"")</f>
        <v/>
      </c>
      <c r="AH6684" s="49" t="str">
        <f t="shared" si="104"/>
        <v/>
      </c>
    </row>
    <row r="6685" spans="8:34" ht="12.75">
      <c r="H6685" s="43"/>
      <c r="AG6685" s="49" t="str">
        <f ca="1">IFERROR(__xludf.DUMMYFUNCTION("IFNA(vlookup(H6685,IMPORTRANGE(""1vUGwO1n0QQGx9kKbO0_M5gmuhXZ6-LaxQxgrmJnzgP0"",""'TP# look up'!A:C""),3,0),"""")"),"")</f>
        <v/>
      </c>
      <c r="AH6685" s="49" t="str">
        <f t="shared" si="104"/>
        <v/>
      </c>
    </row>
    <row r="6686" spans="8:34" ht="12.75">
      <c r="H6686" s="43"/>
      <c r="AG6686" s="49" t="str">
        <f ca="1">IFERROR(__xludf.DUMMYFUNCTION("IFNA(vlookup(H6686,IMPORTRANGE(""1vUGwO1n0QQGx9kKbO0_M5gmuhXZ6-LaxQxgrmJnzgP0"",""'TP# look up'!A:C""),3,0),"""")"),"")</f>
        <v/>
      </c>
      <c r="AH6686" s="49" t="str">
        <f t="shared" si="104"/>
        <v/>
      </c>
    </row>
    <row r="6687" spans="8:34" ht="12.75">
      <c r="H6687" s="43"/>
      <c r="AG6687" s="49" t="str">
        <f ca="1">IFERROR(__xludf.DUMMYFUNCTION("IFNA(vlookup(H6687,IMPORTRANGE(""1vUGwO1n0QQGx9kKbO0_M5gmuhXZ6-LaxQxgrmJnzgP0"",""'TP# look up'!A:C""),3,0),"""")"),"")</f>
        <v/>
      </c>
      <c r="AH6687" s="49" t="str">
        <f t="shared" si="104"/>
        <v/>
      </c>
    </row>
    <row r="6688" spans="8:34" ht="12.75">
      <c r="H6688" s="43"/>
      <c r="AG6688" s="49" t="str">
        <f ca="1">IFERROR(__xludf.DUMMYFUNCTION("IFNA(vlookup(H6688,IMPORTRANGE(""1vUGwO1n0QQGx9kKbO0_M5gmuhXZ6-LaxQxgrmJnzgP0"",""'TP# look up'!A:C""),3,0),"""")"),"")</f>
        <v/>
      </c>
      <c r="AH6688" s="49" t="str">
        <f t="shared" si="104"/>
        <v/>
      </c>
    </row>
    <row r="6689" spans="8:34" ht="12.75">
      <c r="H6689" s="43"/>
      <c r="AG6689" s="49" t="str">
        <f ca="1">IFERROR(__xludf.DUMMYFUNCTION("IFNA(vlookup(H6689,IMPORTRANGE(""1vUGwO1n0QQGx9kKbO0_M5gmuhXZ6-LaxQxgrmJnzgP0"",""'TP# look up'!A:C""),3,0),"""")"),"")</f>
        <v/>
      </c>
      <c r="AH6689" s="49" t="str">
        <f t="shared" si="104"/>
        <v/>
      </c>
    </row>
    <row r="6690" spans="8:34" ht="12.75">
      <c r="H6690" s="43"/>
      <c r="AG6690" s="49" t="str">
        <f ca="1">IFERROR(__xludf.DUMMYFUNCTION("IFNA(vlookup(H6690,IMPORTRANGE(""1vUGwO1n0QQGx9kKbO0_M5gmuhXZ6-LaxQxgrmJnzgP0"",""'TP# look up'!A:C""),3,0),"""")"),"")</f>
        <v/>
      </c>
      <c r="AH6690" s="49" t="str">
        <f t="shared" si="104"/>
        <v/>
      </c>
    </row>
    <row r="6691" spans="8:34" ht="12.75">
      <c r="H6691" s="43"/>
      <c r="AG6691" s="49" t="str">
        <f ca="1">IFERROR(__xludf.DUMMYFUNCTION("IFNA(vlookup(H6691,IMPORTRANGE(""1vUGwO1n0QQGx9kKbO0_M5gmuhXZ6-LaxQxgrmJnzgP0"",""'TP# look up'!A:C""),3,0),"""")"),"")</f>
        <v/>
      </c>
      <c r="AH6691" s="49" t="str">
        <f t="shared" si="104"/>
        <v/>
      </c>
    </row>
    <row r="6692" spans="8:34" ht="12.75">
      <c r="H6692" s="43"/>
      <c r="AG6692" s="49" t="str">
        <f ca="1">IFERROR(__xludf.DUMMYFUNCTION("IFNA(vlookup(H6692,IMPORTRANGE(""1vUGwO1n0QQGx9kKbO0_M5gmuhXZ6-LaxQxgrmJnzgP0"",""'TP# look up'!A:C""),3,0),"""")"),"")</f>
        <v/>
      </c>
      <c r="AH6692" s="49" t="str">
        <f t="shared" si="104"/>
        <v/>
      </c>
    </row>
    <row r="6693" spans="8:34" ht="12.75">
      <c r="H6693" s="43"/>
      <c r="AG6693" s="49" t="str">
        <f ca="1">IFERROR(__xludf.DUMMYFUNCTION("IFNA(vlookup(H6693,IMPORTRANGE(""1vUGwO1n0QQGx9kKbO0_M5gmuhXZ6-LaxQxgrmJnzgP0"",""'TP# look up'!A:C""),3,0),"""")"),"")</f>
        <v/>
      </c>
      <c r="AH6693" s="49" t="str">
        <f t="shared" si="104"/>
        <v/>
      </c>
    </row>
    <row r="6694" spans="8:34" ht="12.75">
      <c r="H6694" s="43"/>
      <c r="AG6694" s="49" t="str">
        <f ca="1">IFERROR(__xludf.DUMMYFUNCTION("IFNA(vlookup(H6694,IMPORTRANGE(""1vUGwO1n0QQGx9kKbO0_M5gmuhXZ6-LaxQxgrmJnzgP0"",""'TP# look up'!A:C""),3,0),"""")"),"")</f>
        <v/>
      </c>
      <c r="AH6694" s="49" t="str">
        <f t="shared" si="104"/>
        <v/>
      </c>
    </row>
    <row r="6695" spans="8:34" ht="12.75">
      <c r="H6695" s="43"/>
      <c r="AG6695" s="49" t="str">
        <f ca="1">IFERROR(__xludf.DUMMYFUNCTION("IFNA(vlookup(H6695,IMPORTRANGE(""1vUGwO1n0QQGx9kKbO0_M5gmuhXZ6-LaxQxgrmJnzgP0"",""'TP# look up'!A:C""),3,0),"""")"),"")</f>
        <v/>
      </c>
      <c r="AH6695" s="49" t="str">
        <f t="shared" si="104"/>
        <v/>
      </c>
    </row>
    <row r="6696" spans="8:34" ht="12.75">
      <c r="H6696" s="43"/>
      <c r="AG6696" s="49" t="str">
        <f ca="1">IFERROR(__xludf.DUMMYFUNCTION("IFNA(vlookup(H6696,IMPORTRANGE(""1vUGwO1n0QQGx9kKbO0_M5gmuhXZ6-LaxQxgrmJnzgP0"",""'TP# look up'!A:C""),3,0),"""")"),"")</f>
        <v/>
      </c>
      <c r="AH6696" s="49" t="str">
        <f t="shared" si="104"/>
        <v/>
      </c>
    </row>
    <row r="6697" spans="8:34" ht="12.75">
      <c r="H6697" s="43"/>
      <c r="AG6697" s="49" t="str">
        <f ca="1">IFERROR(__xludf.DUMMYFUNCTION("IFNA(vlookup(H6697,IMPORTRANGE(""1vUGwO1n0QQGx9kKbO0_M5gmuhXZ6-LaxQxgrmJnzgP0"",""'TP# look up'!A:C""),3,0),"""")"),"")</f>
        <v/>
      </c>
      <c r="AH6697" s="49" t="str">
        <f t="shared" si="104"/>
        <v/>
      </c>
    </row>
    <row r="6698" spans="8:34" ht="12.75">
      <c r="H6698" s="43"/>
      <c r="AG6698" s="49" t="str">
        <f ca="1">IFERROR(__xludf.DUMMYFUNCTION("IFNA(vlookup(H6698,IMPORTRANGE(""1vUGwO1n0QQGx9kKbO0_M5gmuhXZ6-LaxQxgrmJnzgP0"",""'TP# look up'!A:C""),3,0),"""")"),"")</f>
        <v/>
      </c>
      <c r="AH6698" s="49" t="str">
        <f t="shared" si="104"/>
        <v/>
      </c>
    </row>
    <row r="6699" spans="8:34" ht="12.75">
      <c r="H6699" s="43"/>
      <c r="AG6699" s="49" t="str">
        <f ca="1">IFERROR(__xludf.DUMMYFUNCTION("IFNA(vlookup(H6699,IMPORTRANGE(""1vUGwO1n0QQGx9kKbO0_M5gmuhXZ6-LaxQxgrmJnzgP0"",""'TP# look up'!A:C""),3,0),"""")"),"")</f>
        <v/>
      </c>
      <c r="AH6699" s="49" t="str">
        <f t="shared" si="104"/>
        <v/>
      </c>
    </row>
    <row r="6700" spans="8:34" ht="12.75">
      <c r="H6700" s="43"/>
      <c r="AG6700" s="49" t="str">
        <f ca="1">IFERROR(__xludf.DUMMYFUNCTION("IFNA(vlookup(H6700,IMPORTRANGE(""1vUGwO1n0QQGx9kKbO0_M5gmuhXZ6-LaxQxgrmJnzgP0"",""'TP# look up'!A:C""),3,0),"""")"),"")</f>
        <v/>
      </c>
      <c r="AH6700" s="49" t="str">
        <f t="shared" si="104"/>
        <v/>
      </c>
    </row>
    <row r="6701" spans="8:34" ht="12.75">
      <c r="H6701" s="43"/>
      <c r="AG6701" s="49" t="str">
        <f ca="1">IFERROR(__xludf.DUMMYFUNCTION("IFNA(vlookup(H6701,IMPORTRANGE(""1vUGwO1n0QQGx9kKbO0_M5gmuhXZ6-LaxQxgrmJnzgP0"",""'TP# look up'!A:C""),3,0),"""")"),"")</f>
        <v/>
      </c>
      <c r="AH6701" s="49" t="str">
        <f t="shared" si="104"/>
        <v/>
      </c>
    </row>
    <row r="6702" spans="8:34" ht="12.75">
      <c r="H6702" s="43"/>
      <c r="AG6702" s="49" t="str">
        <f ca="1">IFERROR(__xludf.DUMMYFUNCTION("IFNA(vlookup(H6702,IMPORTRANGE(""1vUGwO1n0QQGx9kKbO0_M5gmuhXZ6-LaxQxgrmJnzgP0"",""'TP# look up'!A:C""),3,0),"""")"),"")</f>
        <v/>
      </c>
      <c r="AH6702" s="49" t="str">
        <f t="shared" si="104"/>
        <v/>
      </c>
    </row>
    <row r="6703" spans="8:34" ht="12.75">
      <c r="H6703" s="43"/>
      <c r="AG6703" s="49" t="str">
        <f ca="1">IFERROR(__xludf.DUMMYFUNCTION("IFNA(vlookup(H6703,IMPORTRANGE(""1vUGwO1n0QQGx9kKbO0_M5gmuhXZ6-LaxQxgrmJnzgP0"",""'TP# look up'!A:C""),3,0),"""")"),"")</f>
        <v/>
      </c>
      <c r="AH6703" s="49" t="str">
        <f t="shared" si="104"/>
        <v/>
      </c>
    </row>
    <row r="6704" spans="8:34" ht="12.75">
      <c r="H6704" s="43"/>
      <c r="AG6704" s="49" t="str">
        <f ca="1">IFERROR(__xludf.DUMMYFUNCTION("IFNA(vlookup(H6704,IMPORTRANGE(""1vUGwO1n0QQGx9kKbO0_M5gmuhXZ6-LaxQxgrmJnzgP0"",""'TP# look up'!A:C""),3,0),"""")"),"")</f>
        <v/>
      </c>
      <c r="AH6704" s="49" t="str">
        <f t="shared" si="104"/>
        <v/>
      </c>
    </row>
    <row r="6705" spans="8:34" ht="12.75">
      <c r="H6705" s="43"/>
      <c r="AG6705" s="49" t="str">
        <f ca="1">IFERROR(__xludf.DUMMYFUNCTION("IFNA(vlookup(H6705,IMPORTRANGE(""1vUGwO1n0QQGx9kKbO0_M5gmuhXZ6-LaxQxgrmJnzgP0"",""'TP# look up'!A:C""),3,0),"""")"),"")</f>
        <v/>
      </c>
      <c r="AH6705" s="49" t="str">
        <f t="shared" si="104"/>
        <v/>
      </c>
    </row>
    <row r="6706" spans="8:34" ht="12.75">
      <c r="H6706" s="43"/>
      <c r="AG6706" s="49" t="str">
        <f ca="1">IFERROR(__xludf.DUMMYFUNCTION("IFNA(vlookup(H6706,IMPORTRANGE(""1vUGwO1n0QQGx9kKbO0_M5gmuhXZ6-LaxQxgrmJnzgP0"",""'TP# look up'!A:C""),3,0),"""")"),"")</f>
        <v/>
      </c>
      <c r="AH6706" s="49" t="str">
        <f t="shared" si="104"/>
        <v/>
      </c>
    </row>
    <row r="6707" spans="8:34" ht="12.75">
      <c r="H6707" s="43"/>
      <c r="AG6707" s="49" t="str">
        <f ca="1">IFERROR(__xludf.DUMMYFUNCTION("IFNA(vlookup(H6707,IMPORTRANGE(""1vUGwO1n0QQGx9kKbO0_M5gmuhXZ6-LaxQxgrmJnzgP0"",""'TP# look up'!A:C""),3,0),"""")"),"")</f>
        <v/>
      </c>
      <c r="AH6707" s="49" t="str">
        <f t="shared" si="104"/>
        <v/>
      </c>
    </row>
    <row r="6708" spans="8:34" ht="12.75">
      <c r="H6708" s="43"/>
      <c r="AG6708" s="49" t="str">
        <f ca="1">IFERROR(__xludf.DUMMYFUNCTION("IFNA(vlookup(H6708,IMPORTRANGE(""1vUGwO1n0QQGx9kKbO0_M5gmuhXZ6-LaxQxgrmJnzgP0"",""'TP# look up'!A:C""),3,0),"""")"),"")</f>
        <v/>
      </c>
      <c r="AH6708" s="49" t="str">
        <f t="shared" si="104"/>
        <v/>
      </c>
    </row>
    <row r="6709" spans="8:34" ht="12.75">
      <c r="H6709" s="43"/>
      <c r="AG6709" s="49" t="str">
        <f ca="1">IFERROR(__xludf.DUMMYFUNCTION("IFNA(vlookup(H6709,IMPORTRANGE(""1vUGwO1n0QQGx9kKbO0_M5gmuhXZ6-LaxQxgrmJnzgP0"",""'TP# look up'!A:C""),3,0),"""")"),"")</f>
        <v/>
      </c>
      <c r="AH6709" s="49" t="str">
        <f t="shared" si="104"/>
        <v/>
      </c>
    </row>
    <row r="6710" spans="8:34" ht="12.75">
      <c r="H6710" s="43"/>
      <c r="AG6710" s="49" t="str">
        <f ca="1">IFERROR(__xludf.DUMMYFUNCTION("IFNA(vlookup(H6710,IMPORTRANGE(""1vUGwO1n0QQGx9kKbO0_M5gmuhXZ6-LaxQxgrmJnzgP0"",""'TP# look up'!A:C""),3,0),"""")"),"")</f>
        <v/>
      </c>
      <c r="AH6710" s="49" t="str">
        <f t="shared" si="104"/>
        <v/>
      </c>
    </row>
    <row r="6711" spans="8:34" ht="12.75">
      <c r="H6711" s="43"/>
      <c r="AG6711" s="49" t="str">
        <f ca="1">IFERROR(__xludf.DUMMYFUNCTION("IFNA(vlookup(H6711,IMPORTRANGE(""1vUGwO1n0QQGx9kKbO0_M5gmuhXZ6-LaxQxgrmJnzgP0"",""'TP# look up'!A:C""),3,0),"""")"),"")</f>
        <v/>
      </c>
      <c r="AH6711" s="49" t="str">
        <f t="shared" si="104"/>
        <v/>
      </c>
    </row>
    <row r="6712" spans="8:34" ht="12.75">
      <c r="H6712" s="43"/>
      <c r="AG6712" s="49" t="str">
        <f ca="1">IFERROR(__xludf.DUMMYFUNCTION("IFNA(vlookup(H6712,IMPORTRANGE(""1vUGwO1n0QQGx9kKbO0_M5gmuhXZ6-LaxQxgrmJnzgP0"",""'TP# look up'!A:C""),3,0),"""")"),"")</f>
        <v/>
      </c>
      <c r="AH6712" s="49" t="str">
        <f t="shared" si="104"/>
        <v/>
      </c>
    </row>
    <row r="6713" spans="8:34" ht="12.75">
      <c r="H6713" s="43"/>
      <c r="AG6713" s="49" t="str">
        <f ca="1">IFERROR(__xludf.DUMMYFUNCTION("IFNA(vlookup(H6713,IMPORTRANGE(""1vUGwO1n0QQGx9kKbO0_M5gmuhXZ6-LaxQxgrmJnzgP0"",""'TP# look up'!A:C""),3,0),"""")"),"")</f>
        <v/>
      </c>
      <c r="AH6713" s="49" t="str">
        <f t="shared" si="104"/>
        <v/>
      </c>
    </row>
    <row r="6714" spans="8:34" ht="12.75">
      <c r="H6714" s="43"/>
      <c r="AG6714" s="49" t="str">
        <f ca="1">IFERROR(__xludf.DUMMYFUNCTION("IFNA(vlookup(H6714,IMPORTRANGE(""1vUGwO1n0QQGx9kKbO0_M5gmuhXZ6-LaxQxgrmJnzgP0"",""'TP# look up'!A:C""),3,0),"""")"),"")</f>
        <v/>
      </c>
      <c r="AH6714" s="49" t="str">
        <f t="shared" si="104"/>
        <v/>
      </c>
    </row>
    <row r="6715" spans="8:34" ht="12.75">
      <c r="H6715" s="43"/>
      <c r="AG6715" s="49" t="str">
        <f ca="1">IFERROR(__xludf.DUMMYFUNCTION("IFNA(vlookup(H6715,IMPORTRANGE(""1vUGwO1n0QQGx9kKbO0_M5gmuhXZ6-LaxQxgrmJnzgP0"",""'TP# look up'!A:C""),3,0),"""")"),"")</f>
        <v/>
      </c>
      <c r="AH6715" s="49" t="str">
        <f t="shared" si="104"/>
        <v/>
      </c>
    </row>
    <row r="6716" spans="8:34" ht="12.75">
      <c r="H6716" s="43"/>
      <c r="AG6716" s="49" t="str">
        <f ca="1">IFERROR(__xludf.DUMMYFUNCTION("IFNA(vlookup(H6716,IMPORTRANGE(""1vUGwO1n0QQGx9kKbO0_M5gmuhXZ6-LaxQxgrmJnzgP0"",""'TP# look up'!A:C""),3,0),"""")"),"")</f>
        <v/>
      </c>
      <c r="AH6716" s="49" t="str">
        <f t="shared" si="104"/>
        <v/>
      </c>
    </row>
    <row r="6717" spans="8:34" ht="12.75">
      <c r="H6717" s="43"/>
      <c r="AG6717" s="49" t="str">
        <f ca="1">IFERROR(__xludf.DUMMYFUNCTION("IFNA(vlookup(H6717,IMPORTRANGE(""1vUGwO1n0QQGx9kKbO0_M5gmuhXZ6-LaxQxgrmJnzgP0"",""'TP# look up'!A:C""),3,0),"""")"),"")</f>
        <v/>
      </c>
      <c r="AH6717" s="49" t="str">
        <f t="shared" si="104"/>
        <v/>
      </c>
    </row>
    <row r="6718" spans="8:34" ht="12.75">
      <c r="H6718" s="43"/>
      <c r="AG6718" s="49" t="str">
        <f ca="1">IFERROR(__xludf.DUMMYFUNCTION("IFNA(vlookup(H6718,IMPORTRANGE(""1vUGwO1n0QQGx9kKbO0_M5gmuhXZ6-LaxQxgrmJnzgP0"",""'TP# look up'!A:C""),3,0),"""")"),"")</f>
        <v/>
      </c>
      <c r="AH6718" s="49" t="str">
        <f t="shared" si="104"/>
        <v/>
      </c>
    </row>
    <row r="6719" spans="8:34" ht="12.75">
      <c r="H6719" s="43"/>
      <c r="AG6719" s="49" t="str">
        <f ca="1">IFERROR(__xludf.DUMMYFUNCTION("IFNA(vlookup(H6719,IMPORTRANGE(""1vUGwO1n0QQGx9kKbO0_M5gmuhXZ6-LaxQxgrmJnzgP0"",""'TP# look up'!A:C""),3,0),"""")"),"")</f>
        <v/>
      </c>
      <c r="AH6719" s="49" t="str">
        <f t="shared" si="104"/>
        <v/>
      </c>
    </row>
    <row r="6720" spans="8:34" ht="12.75">
      <c r="H6720" s="43"/>
      <c r="AG6720" s="49" t="str">
        <f ca="1">IFERROR(__xludf.DUMMYFUNCTION("IFNA(vlookup(H6720,IMPORTRANGE(""1vUGwO1n0QQGx9kKbO0_M5gmuhXZ6-LaxQxgrmJnzgP0"",""'TP# look up'!A:C""),3,0),"""")"),"")</f>
        <v/>
      </c>
      <c r="AH6720" s="49" t="str">
        <f t="shared" si="104"/>
        <v/>
      </c>
    </row>
    <row r="6721" spans="8:34" ht="12.75">
      <c r="H6721" s="43"/>
      <c r="AG6721" s="49" t="str">
        <f ca="1">IFERROR(__xludf.DUMMYFUNCTION("IFNA(vlookup(H6721,IMPORTRANGE(""1vUGwO1n0QQGx9kKbO0_M5gmuhXZ6-LaxQxgrmJnzgP0"",""'TP# look up'!A:C""),3,0),"""")"),"")</f>
        <v/>
      </c>
      <c r="AH6721" s="49" t="str">
        <f t="shared" si="104"/>
        <v/>
      </c>
    </row>
    <row r="6722" spans="8:34" ht="12.75">
      <c r="H6722" s="43"/>
      <c r="AG6722" s="49" t="str">
        <f ca="1">IFERROR(__xludf.DUMMYFUNCTION("IFNA(vlookup(H6722,IMPORTRANGE(""1vUGwO1n0QQGx9kKbO0_M5gmuhXZ6-LaxQxgrmJnzgP0"",""'TP# look up'!A:C""),3,0),"""")"),"")</f>
        <v/>
      </c>
      <c r="AH6722" s="49" t="str">
        <f t="shared" ref="AH6722:AH6785" si="105">LEFT(J6722,2)</f>
        <v/>
      </c>
    </row>
    <row r="6723" spans="8:34" ht="12.75">
      <c r="H6723" s="43"/>
      <c r="AG6723" s="49" t="str">
        <f ca="1">IFERROR(__xludf.DUMMYFUNCTION("IFNA(vlookup(H6723,IMPORTRANGE(""1vUGwO1n0QQGx9kKbO0_M5gmuhXZ6-LaxQxgrmJnzgP0"",""'TP# look up'!A:C""),3,0),"""")"),"")</f>
        <v/>
      </c>
      <c r="AH6723" s="49" t="str">
        <f t="shared" si="105"/>
        <v/>
      </c>
    </row>
    <row r="6724" spans="8:34" ht="12.75">
      <c r="H6724" s="43"/>
      <c r="AG6724" s="49" t="str">
        <f ca="1">IFERROR(__xludf.DUMMYFUNCTION("IFNA(vlookup(H6724,IMPORTRANGE(""1vUGwO1n0QQGx9kKbO0_M5gmuhXZ6-LaxQxgrmJnzgP0"",""'TP# look up'!A:C""),3,0),"""")"),"")</f>
        <v/>
      </c>
      <c r="AH6724" s="49" t="str">
        <f t="shared" si="105"/>
        <v/>
      </c>
    </row>
    <row r="6725" spans="8:34" ht="12.75">
      <c r="H6725" s="43"/>
      <c r="AG6725" s="49" t="str">
        <f ca="1">IFERROR(__xludf.DUMMYFUNCTION("IFNA(vlookup(H6725,IMPORTRANGE(""1vUGwO1n0QQGx9kKbO0_M5gmuhXZ6-LaxQxgrmJnzgP0"",""'TP# look up'!A:C""),3,0),"""")"),"")</f>
        <v/>
      </c>
      <c r="AH6725" s="49" t="str">
        <f t="shared" si="105"/>
        <v/>
      </c>
    </row>
    <row r="6726" spans="8:34" ht="12.75">
      <c r="H6726" s="43"/>
      <c r="AG6726" s="49" t="str">
        <f ca="1">IFERROR(__xludf.DUMMYFUNCTION("IFNA(vlookup(H6726,IMPORTRANGE(""1vUGwO1n0QQGx9kKbO0_M5gmuhXZ6-LaxQxgrmJnzgP0"",""'TP# look up'!A:C""),3,0),"""")"),"")</f>
        <v/>
      </c>
      <c r="AH6726" s="49" t="str">
        <f t="shared" si="105"/>
        <v/>
      </c>
    </row>
    <row r="6727" spans="8:34" ht="12.75">
      <c r="H6727" s="43"/>
      <c r="AG6727" s="49" t="str">
        <f ca="1">IFERROR(__xludf.DUMMYFUNCTION("IFNA(vlookup(H6727,IMPORTRANGE(""1vUGwO1n0QQGx9kKbO0_M5gmuhXZ6-LaxQxgrmJnzgP0"",""'TP# look up'!A:C""),3,0),"""")"),"")</f>
        <v/>
      </c>
      <c r="AH6727" s="49" t="str">
        <f t="shared" si="105"/>
        <v/>
      </c>
    </row>
    <row r="6728" spans="8:34" ht="12.75">
      <c r="H6728" s="43"/>
      <c r="AG6728" s="49" t="str">
        <f ca="1">IFERROR(__xludf.DUMMYFUNCTION("IFNA(vlookup(H6728,IMPORTRANGE(""1vUGwO1n0QQGx9kKbO0_M5gmuhXZ6-LaxQxgrmJnzgP0"",""'TP# look up'!A:C""),3,0),"""")"),"")</f>
        <v/>
      </c>
      <c r="AH6728" s="49" t="str">
        <f t="shared" si="105"/>
        <v/>
      </c>
    </row>
    <row r="6729" spans="8:34" ht="12.75">
      <c r="H6729" s="43"/>
      <c r="AG6729" s="49" t="str">
        <f ca="1">IFERROR(__xludf.DUMMYFUNCTION("IFNA(vlookup(H6729,IMPORTRANGE(""1vUGwO1n0QQGx9kKbO0_M5gmuhXZ6-LaxQxgrmJnzgP0"",""'TP# look up'!A:C""),3,0),"""")"),"")</f>
        <v/>
      </c>
      <c r="AH6729" s="49" t="str">
        <f t="shared" si="105"/>
        <v/>
      </c>
    </row>
    <row r="6730" spans="8:34" ht="12.75">
      <c r="H6730" s="43"/>
      <c r="AG6730" s="49" t="str">
        <f ca="1">IFERROR(__xludf.DUMMYFUNCTION("IFNA(vlookup(H6730,IMPORTRANGE(""1vUGwO1n0QQGx9kKbO0_M5gmuhXZ6-LaxQxgrmJnzgP0"",""'TP# look up'!A:C""),3,0),"""")"),"")</f>
        <v/>
      </c>
      <c r="AH6730" s="49" t="str">
        <f t="shared" si="105"/>
        <v/>
      </c>
    </row>
    <row r="6731" spans="8:34" ht="12.75">
      <c r="H6731" s="43"/>
      <c r="AG6731" s="49" t="str">
        <f ca="1">IFERROR(__xludf.DUMMYFUNCTION("IFNA(vlookup(H6731,IMPORTRANGE(""1vUGwO1n0QQGx9kKbO0_M5gmuhXZ6-LaxQxgrmJnzgP0"",""'TP# look up'!A:C""),3,0),"""")"),"")</f>
        <v/>
      </c>
      <c r="AH6731" s="49" t="str">
        <f t="shared" si="105"/>
        <v/>
      </c>
    </row>
    <row r="6732" spans="8:34" ht="12.75">
      <c r="H6732" s="43"/>
      <c r="AG6732" s="49" t="str">
        <f ca="1">IFERROR(__xludf.DUMMYFUNCTION("IFNA(vlookup(H6732,IMPORTRANGE(""1vUGwO1n0QQGx9kKbO0_M5gmuhXZ6-LaxQxgrmJnzgP0"",""'TP# look up'!A:C""),3,0),"""")"),"")</f>
        <v/>
      </c>
      <c r="AH6732" s="49" t="str">
        <f t="shared" si="105"/>
        <v/>
      </c>
    </row>
    <row r="6733" spans="8:34" ht="12.75">
      <c r="H6733" s="43"/>
      <c r="AG6733" s="49" t="str">
        <f ca="1">IFERROR(__xludf.DUMMYFUNCTION("IFNA(vlookup(H6733,IMPORTRANGE(""1vUGwO1n0QQGx9kKbO0_M5gmuhXZ6-LaxQxgrmJnzgP0"",""'TP# look up'!A:C""),3,0),"""")"),"")</f>
        <v/>
      </c>
      <c r="AH6733" s="49" t="str">
        <f t="shared" si="105"/>
        <v/>
      </c>
    </row>
    <row r="6734" spans="8:34" ht="12.75">
      <c r="H6734" s="43"/>
      <c r="AG6734" s="49" t="str">
        <f ca="1">IFERROR(__xludf.DUMMYFUNCTION("IFNA(vlookup(H6734,IMPORTRANGE(""1vUGwO1n0QQGx9kKbO0_M5gmuhXZ6-LaxQxgrmJnzgP0"",""'TP# look up'!A:C""),3,0),"""")"),"")</f>
        <v/>
      </c>
      <c r="AH6734" s="49" t="str">
        <f t="shared" si="105"/>
        <v/>
      </c>
    </row>
    <row r="6735" spans="8:34" ht="12.75">
      <c r="H6735" s="43"/>
      <c r="AG6735" s="49" t="str">
        <f ca="1">IFERROR(__xludf.DUMMYFUNCTION("IFNA(vlookup(H6735,IMPORTRANGE(""1vUGwO1n0QQGx9kKbO0_M5gmuhXZ6-LaxQxgrmJnzgP0"",""'TP# look up'!A:C""),3,0),"""")"),"")</f>
        <v/>
      </c>
      <c r="AH6735" s="49" t="str">
        <f t="shared" si="105"/>
        <v/>
      </c>
    </row>
    <row r="6736" spans="8:34" ht="12.75">
      <c r="H6736" s="43"/>
      <c r="AG6736" s="49" t="str">
        <f ca="1">IFERROR(__xludf.DUMMYFUNCTION("IFNA(vlookup(H6736,IMPORTRANGE(""1vUGwO1n0QQGx9kKbO0_M5gmuhXZ6-LaxQxgrmJnzgP0"",""'TP# look up'!A:C""),3,0),"""")"),"")</f>
        <v/>
      </c>
      <c r="AH6736" s="49" t="str">
        <f t="shared" si="105"/>
        <v/>
      </c>
    </row>
    <row r="6737" spans="8:34" ht="12.75">
      <c r="H6737" s="43"/>
      <c r="AG6737" s="49" t="str">
        <f ca="1">IFERROR(__xludf.DUMMYFUNCTION("IFNA(vlookup(H6737,IMPORTRANGE(""1vUGwO1n0QQGx9kKbO0_M5gmuhXZ6-LaxQxgrmJnzgP0"",""'TP# look up'!A:C""),3,0),"""")"),"")</f>
        <v/>
      </c>
      <c r="AH6737" s="49" t="str">
        <f t="shared" si="105"/>
        <v/>
      </c>
    </row>
    <row r="6738" spans="8:34" ht="12.75">
      <c r="H6738" s="43"/>
      <c r="AG6738" s="49" t="str">
        <f ca="1">IFERROR(__xludf.DUMMYFUNCTION("IFNA(vlookup(H6738,IMPORTRANGE(""1vUGwO1n0QQGx9kKbO0_M5gmuhXZ6-LaxQxgrmJnzgP0"",""'TP# look up'!A:C""),3,0),"""")"),"")</f>
        <v/>
      </c>
      <c r="AH6738" s="49" t="str">
        <f t="shared" si="105"/>
        <v/>
      </c>
    </row>
    <row r="6739" spans="8:34" ht="12.75">
      <c r="H6739" s="43"/>
      <c r="AG6739" s="49" t="str">
        <f ca="1">IFERROR(__xludf.DUMMYFUNCTION("IFNA(vlookup(H6739,IMPORTRANGE(""1vUGwO1n0QQGx9kKbO0_M5gmuhXZ6-LaxQxgrmJnzgP0"",""'TP# look up'!A:C""),3,0),"""")"),"")</f>
        <v/>
      </c>
      <c r="AH6739" s="49" t="str">
        <f t="shared" si="105"/>
        <v/>
      </c>
    </row>
    <row r="6740" spans="8:34" ht="12.75">
      <c r="H6740" s="43"/>
      <c r="AG6740" s="49" t="str">
        <f ca="1">IFERROR(__xludf.DUMMYFUNCTION("IFNA(vlookup(H6740,IMPORTRANGE(""1vUGwO1n0QQGx9kKbO0_M5gmuhXZ6-LaxQxgrmJnzgP0"",""'TP# look up'!A:C""),3,0),"""")"),"")</f>
        <v/>
      </c>
      <c r="AH6740" s="49" t="str">
        <f t="shared" si="105"/>
        <v/>
      </c>
    </row>
    <row r="6741" spans="8:34" ht="12.75">
      <c r="H6741" s="43"/>
      <c r="AG6741" s="49" t="str">
        <f ca="1">IFERROR(__xludf.DUMMYFUNCTION("IFNA(vlookup(H6741,IMPORTRANGE(""1vUGwO1n0QQGx9kKbO0_M5gmuhXZ6-LaxQxgrmJnzgP0"",""'TP# look up'!A:C""),3,0),"""")"),"")</f>
        <v/>
      </c>
      <c r="AH6741" s="49" t="str">
        <f t="shared" si="105"/>
        <v/>
      </c>
    </row>
    <row r="6742" spans="8:34" ht="12.75">
      <c r="H6742" s="43"/>
      <c r="AG6742" s="49" t="str">
        <f ca="1">IFERROR(__xludf.DUMMYFUNCTION("IFNA(vlookup(H6742,IMPORTRANGE(""1vUGwO1n0QQGx9kKbO0_M5gmuhXZ6-LaxQxgrmJnzgP0"",""'TP# look up'!A:C""),3,0),"""")"),"")</f>
        <v/>
      </c>
      <c r="AH6742" s="49" t="str">
        <f t="shared" si="105"/>
        <v/>
      </c>
    </row>
    <row r="6743" spans="8:34" ht="12.75">
      <c r="H6743" s="43"/>
      <c r="AG6743" s="49" t="str">
        <f ca="1">IFERROR(__xludf.DUMMYFUNCTION("IFNA(vlookup(H6743,IMPORTRANGE(""1vUGwO1n0QQGx9kKbO0_M5gmuhXZ6-LaxQxgrmJnzgP0"",""'TP# look up'!A:C""),3,0),"""")"),"")</f>
        <v/>
      </c>
      <c r="AH6743" s="49" t="str">
        <f t="shared" si="105"/>
        <v/>
      </c>
    </row>
    <row r="6744" spans="8:34" ht="12.75">
      <c r="H6744" s="43"/>
      <c r="AG6744" s="49" t="str">
        <f ca="1">IFERROR(__xludf.DUMMYFUNCTION("IFNA(vlookup(H6744,IMPORTRANGE(""1vUGwO1n0QQGx9kKbO0_M5gmuhXZ6-LaxQxgrmJnzgP0"",""'TP# look up'!A:C""),3,0),"""")"),"")</f>
        <v/>
      </c>
      <c r="AH6744" s="49" t="str">
        <f t="shared" si="105"/>
        <v/>
      </c>
    </row>
    <row r="6745" spans="8:34" ht="12.75">
      <c r="H6745" s="43"/>
      <c r="AG6745" s="49" t="str">
        <f ca="1">IFERROR(__xludf.DUMMYFUNCTION("IFNA(vlookup(H6745,IMPORTRANGE(""1vUGwO1n0QQGx9kKbO0_M5gmuhXZ6-LaxQxgrmJnzgP0"",""'TP# look up'!A:C""),3,0),"""")"),"")</f>
        <v/>
      </c>
      <c r="AH6745" s="49" t="str">
        <f t="shared" si="105"/>
        <v/>
      </c>
    </row>
    <row r="6746" spans="8:34" ht="12.75">
      <c r="H6746" s="43"/>
      <c r="AG6746" s="49" t="str">
        <f ca="1">IFERROR(__xludf.DUMMYFUNCTION("IFNA(vlookup(H6746,IMPORTRANGE(""1vUGwO1n0QQGx9kKbO0_M5gmuhXZ6-LaxQxgrmJnzgP0"",""'TP# look up'!A:C""),3,0),"""")"),"")</f>
        <v/>
      </c>
      <c r="AH6746" s="49" t="str">
        <f t="shared" si="105"/>
        <v/>
      </c>
    </row>
    <row r="6747" spans="8:34" ht="12.75">
      <c r="H6747" s="43"/>
      <c r="AG6747" s="49" t="str">
        <f ca="1">IFERROR(__xludf.DUMMYFUNCTION("IFNA(vlookup(H6747,IMPORTRANGE(""1vUGwO1n0QQGx9kKbO0_M5gmuhXZ6-LaxQxgrmJnzgP0"",""'TP# look up'!A:C""),3,0),"""")"),"")</f>
        <v/>
      </c>
      <c r="AH6747" s="49" t="str">
        <f t="shared" si="105"/>
        <v/>
      </c>
    </row>
    <row r="6748" spans="8:34" ht="12.75">
      <c r="H6748" s="43"/>
      <c r="AG6748" s="49" t="str">
        <f ca="1">IFERROR(__xludf.DUMMYFUNCTION("IFNA(vlookup(H6748,IMPORTRANGE(""1vUGwO1n0QQGx9kKbO0_M5gmuhXZ6-LaxQxgrmJnzgP0"",""'TP# look up'!A:C""),3,0),"""")"),"")</f>
        <v/>
      </c>
      <c r="AH6748" s="49" t="str">
        <f t="shared" si="105"/>
        <v/>
      </c>
    </row>
    <row r="6749" spans="8:34" ht="12.75">
      <c r="H6749" s="43"/>
      <c r="AG6749" s="49" t="str">
        <f ca="1">IFERROR(__xludf.DUMMYFUNCTION("IFNA(vlookup(H6749,IMPORTRANGE(""1vUGwO1n0QQGx9kKbO0_M5gmuhXZ6-LaxQxgrmJnzgP0"",""'TP# look up'!A:C""),3,0),"""")"),"")</f>
        <v/>
      </c>
      <c r="AH6749" s="49" t="str">
        <f t="shared" si="105"/>
        <v/>
      </c>
    </row>
    <row r="6750" spans="8:34" ht="12.75">
      <c r="H6750" s="43"/>
      <c r="AG6750" s="49" t="str">
        <f ca="1">IFERROR(__xludf.DUMMYFUNCTION("IFNA(vlookup(H6750,IMPORTRANGE(""1vUGwO1n0QQGx9kKbO0_M5gmuhXZ6-LaxQxgrmJnzgP0"",""'TP# look up'!A:C""),3,0),"""")"),"")</f>
        <v/>
      </c>
      <c r="AH6750" s="49" t="str">
        <f t="shared" si="105"/>
        <v/>
      </c>
    </row>
    <row r="6751" spans="8:34" ht="12.75">
      <c r="H6751" s="43"/>
      <c r="AG6751" s="49" t="str">
        <f ca="1">IFERROR(__xludf.DUMMYFUNCTION("IFNA(vlookup(H6751,IMPORTRANGE(""1vUGwO1n0QQGx9kKbO0_M5gmuhXZ6-LaxQxgrmJnzgP0"",""'TP# look up'!A:C""),3,0),"""")"),"")</f>
        <v/>
      </c>
      <c r="AH6751" s="49" t="str">
        <f t="shared" si="105"/>
        <v/>
      </c>
    </row>
    <row r="6752" spans="8:34" ht="12.75">
      <c r="H6752" s="43"/>
      <c r="AG6752" s="49" t="str">
        <f ca="1">IFERROR(__xludf.DUMMYFUNCTION("IFNA(vlookup(H6752,IMPORTRANGE(""1vUGwO1n0QQGx9kKbO0_M5gmuhXZ6-LaxQxgrmJnzgP0"",""'TP# look up'!A:C""),3,0),"""")"),"")</f>
        <v/>
      </c>
      <c r="AH6752" s="49" t="str">
        <f t="shared" si="105"/>
        <v/>
      </c>
    </row>
    <row r="6753" spans="8:34" ht="12.75">
      <c r="H6753" s="43"/>
      <c r="AG6753" s="49" t="str">
        <f ca="1">IFERROR(__xludf.DUMMYFUNCTION("IFNA(vlookup(H6753,IMPORTRANGE(""1vUGwO1n0QQGx9kKbO0_M5gmuhXZ6-LaxQxgrmJnzgP0"",""'TP# look up'!A:C""),3,0),"""")"),"")</f>
        <v/>
      </c>
      <c r="AH6753" s="49" t="str">
        <f t="shared" si="105"/>
        <v/>
      </c>
    </row>
    <row r="6754" spans="8:34" ht="12.75">
      <c r="H6754" s="43"/>
      <c r="AG6754" s="49" t="str">
        <f ca="1">IFERROR(__xludf.DUMMYFUNCTION("IFNA(vlookup(H6754,IMPORTRANGE(""1vUGwO1n0QQGx9kKbO0_M5gmuhXZ6-LaxQxgrmJnzgP0"",""'TP# look up'!A:C""),3,0),"""")"),"")</f>
        <v/>
      </c>
      <c r="AH6754" s="49" t="str">
        <f t="shared" si="105"/>
        <v/>
      </c>
    </row>
    <row r="6755" spans="8:34" ht="12.75">
      <c r="H6755" s="43"/>
      <c r="AG6755" s="49" t="str">
        <f ca="1">IFERROR(__xludf.DUMMYFUNCTION("IFNA(vlookup(H6755,IMPORTRANGE(""1vUGwO1n0QQGx9kKbO0_M5gmuhXZ6-LaxQxgrmJnzgP0"",""'TP# look up'!A:C""),3,0),"""")"),"")</f>
        <v/>
      </c>
      <c r="AH6755" s="49" t="str">
        <f t="shared" si="105"/>
        <v/>
      </c>
    </row>
    <row r="6756" spans="8:34" ht="12.75">
      <c r="H6756" s="43"/>
      <c r="AG6756" s="49" t="str">
        <f ca="1">IFERROR(__xludf.DUMMYFUNCTION("IFNA(vlookup(H6756,IMPORTRANGE(""1vUGwO1n0QQGx9kKbO0_M5gmuhXZ6-LaxQxgrmJnzgP0"",""'TP# look up'!A:C""),3,0),"""")"),"")</f>
        <v/>
      </c>
      <c r="AH6756" s="49" t="str">
        <f t="shared" si="105"/>
        <v/>
      </c>
    </row>
    <row r="6757" spans="8:34" ht="12.75">
      <c r="H6757" s="43"/>
      <c r="AG6757" s="49" t="str">
        <f ca="1">IFERROR(__xludf.DUMMYFUNCTION("IFNA(vlookup(H6757,IMPORTRANGE(""1vUGwO1n0QQGx9kKbO0_M5gmuhXZ6-LaxQxgrmJnzgP0"",""'TP# look up'!A:C""),3,0),"""")"),"")</f>
        <v/>
      </c>
      <c r="AH6757" s="49" t="str">
        <f t="shared" si="105"/>
        <v/>
      </c>
    </row>
    <row r="6758" spans="8:34" ht="12.75">
      <c r="H6758" s="43"/>
      <c r="AG6758" s="49" t="str">
        <f ca="1">IFERROR(__xludf.DUMMYFUNCTION("IFNA(vlookup(H6758,IMPORTRANGE(""1vUGwO1n0QQGx9kKbO0_M5gmuhXZ6-LaxQxgrmJnzgP0"",""'TP# look up'!A:C""),3,0),"""")"),"")</f>
        <v/>
      </c>
      <c r="AH6758" s="49" t="str">
        <f t="shared" si="105"/>
        <v/>
      </c>
    </row>
    <row r="6759" spans="8:34" ht="12.75">
      <c r="H6759" s="43"/>
      <c r="AG6759" s="49" t="str">
        <f ca="1">IFERROR(__xludf.DUMMYFUNCTION("IFNA(vlookup(H6759,IMPORTRANGE(""1vUGwO1n0QQGx9kKbO0_M5gmuhXZ6-LaxQxgrmJnzgP0"",""'TP# look up'!A:C""),3,0),"""")"),"")</f>
        <v/>
      </c>
      <c r="AH6759" s="49" t="str">
        <f t="shared" si="105"/>
        <v/>
      </c>
    </row>
    <row r="6760" spans="8:34" ht="12.75">
      <c r="H6760" s="43"/>
      <c r="AG6760" s="49" t="str">
        <f ca="1">IFERROR(__xludf.DUMMYFUNCTION("IFNA(vlookup(H6760,IMPORTRANGE(""1vUGwO1n0QQGx9kKbO0_M5gmuhXZ6-LaxQxgrmJnzgP0"",""'TP# look up'!A:C""),3,0),"""")"),"")</f>
        <v/>
      </c>
      <c r="AH6760" s="49" t="str">
        <f t="shared" si="105"/>
        <v/>
      </c>
    </row>
    <row r="6761" spans="8:34" ht="12.75">
      <c r="H6761" s="43"/>
      <c r="AG6761" s="49" t="str">
        <f ca="1">IFERROR(__xludf.DUMMYFUNCTION("IFNA(vlookup(H6761,IMPORTRANGE(""1vUGwO1n0QQGx9kKbO0_M5gmuhXZ6-LaxQxgrmJnzgP0"",""'TP# look up'!A:C""),3,0),"""")"),"")</f>
        <v/>
      </c>
      <c r="AH6761" s="49" t="str">
        <f t="shared" si="105"/>
        <v/>
      </c>
    </row>
    <row r="6762" spans="8:34" ht="12.75">
      <c r="H6762" s="43"/>
      <c r="AG6762" s="49" t="str">
        <f ca="1">IFERROR(__xludf.DUMMYFUNCTION("IFNA(vlookup(H6762,IMPORTRANGE(""1vUGwO1n0QQGx9kKbO0_M5gmuhXZ6-LaxQxgrmJnzgP0"",""'TP# look up'!A:C""),3,0),"""")"),"")</f>
        <v/>
      </c>
      <c r="AH6762" s="49" t="str">
        <f t="shared" si="105"/>
        <v/>
      </c>
    </row>
    <row r="6763" spans="8:34" ht="12.75">
      <c r="H6763" s="43"/>
      <c r="AG6763" s="49" t="str">
        <f ca="1">IFERROR(__xludf.DUMMYFUNCTION("IFNA(vlookup(H6763,IMPORTRANGE(""1vUGwO1n0QQGx9kKbO0_M5gmuhXZ6-LaxQxgrmJnzgP0"",""'TP# look up'!A:C""),3,0),"""")"),"")</f>
        <v/>
      </c>
      <c r="AH6763" s="49" t="str">
        <f t="shared" si="105"/>
        <v/>
      </c>
    </row>
    <row r="6764" spans="8:34" ht="12.75">
      <c r="H6764" s="43"/>
      <c r="AG6764" s="49" t="str">
        <f ca="1">IFERROR(__xludf.DUMMYFUNCTION("IFNA(vlookup(H6764,IMPORTRANGE(""1vUGwO1n0QQGx9kKbO0_M5gmuhXZ6-LaxQxgrmJnzgP0"",""'TP# look up'!A:C""),3,0),"""")"),"")</f>
        <v/>
      </c>
      <c r="AH6764" s="49" t="str">
        <f t="shared" si="105"/>
        <v/>
      </c>
    </row>
    <row r="6765" spans="8:34" ht="12.75">
      <c r="H6765" s="43"/>
      <c r="AG6765" s="49" t="str">
        <f ca="1">IFERROR(__xludf.DUMMYFUNCTION("IFNA(vlookup(H6765,IMPORTRANGE(""1vUGwO1n0QQGx9kKbO0_M5gmuhXZ6-LaxQxgrmJnzgP0"",""'TP# look up'!A:C""),3,0),"""")"),"")</f>
        <v/>
      </c>
      <c r="AH6765" s="49" t="str">
        <f t="shared" si="105"/>
        <v/>
      </c>
    </row>
    <row r="6766" spans="8:34" ht="12.75">
      <c r="H6766" s="43"/>
      <c r="AG6766" s="49" t="str">
        <f ca="1">IFERROR(__xludf.DUMMYFUNCTION("IFNA(vlookup(H6766,IMPORTRANGE(""1vUGwO1n0QQGx9kKbO0_M5gmuhXZ6-LaxQxgrmJnzgP0"",""'TP# look up'!A:C""),3,0),"""")"),"")</f>
        <v/>
      </c>
      <c r="AH6766" s="49" t="str">
        <f t="shared" si="105"/>
        <v/>
      </c>
    </row>
    <row r="6767" spans="8:34" ht="12.75">
      <c r="H6767" s="43"/>
      <c r="AG6767" s="49" t="str">
        <f ca="1">IFERROR(__xludf.DUMMYFUNCTION("IFNA(vlookup(H6767,IMPORTRANGE(""1vUGwO1n0QQGx9kKbO0_M5gmuhXZ6-LaxQxgrmJnzgP0"",""'TP# look up'!A:C""),3,0),"""")"),"")</f>
        <v/>
      </c>
      <c r="AH6767" s="49" t="str">
        <f t="shared" si="105"/>
        <v/>
      </c>
    </row>
    <row r="6768" spans="8:34" ht="12.75">
      <c r="H6768" s="43"/>
      <c r="AG6768" s="49" t="str">
        <f ca="1">IFERROR(__xludf.DUMMYFUNCTION("IFNA(vlookup(H6768,IMPORTRANGE(""1vUGwO1n0QQGx9kKbO0_M5gmuhXZ6-LaxQxgrmJnzgP0"",""'TP# look up'!A:C""),3,0),"""")"),"")</f>
        <v/>
      </c>
      <c r="AH6768" s="49" t="str">
        <f t="shared" si="105"/>
        <v/>
      </c>
    </row>
    <row r="6769" spans="8:34" ht="12.75">
      <c r="H6769" s="43"/>
      <c r="AG6769" s="49" t="str">
        <f ca="1">IFERROR(__xludf.DUMMYFUNCTION("IFNA(vlookup(H6769,IMPORTRANGE(""1vUGwO1n0QQGx9kKbO0_M5gmuhXZ6-LaxQxgrmJnzgP0"",""'TP# look up'!A:C""),3,0),"""")"),"")</f>
        <v/>
      </c>
      <c r="AH6769" s="49" t="str">
        <f t="shared" si="105"/>
        <v/>
      </c>
    </row>
    <row r="6770" spans="8:34" ht="12.75">
      <c r="H6770" s="43"/>
      <c r="AG6770" s="49" t="str">
        <f ca="1">IFERROR(__xludf.DUMMYFUNCTION("IFNA(vlookup(H6770,IMPORTRANGE(""1vUGwO1n0QQGx9kKbO0_M5gmuhXZ6-LaxQxgrmJnzgP0"",""'TP# look up'!A:C""),3,0),"""")"),"")</f>
        <v/>
      </c>
      <c r="AH6770" s="49" t="str">
        <f t="shared" si="105"/>
        <v/>
      </c>
    </row>
    <row r="6771" spans="8:34" ht="12.75">
      <c r="H6771" s="43"/>
      <c r="AG6771" s="49" t="str">
        <f ca="1">IFERROR(__xludf.DUMMYFUNCTION("IFNA(vlookup(H6771,IMPORTRANGE(""1vUGwO1n0QQGx9kKbO0_M5gmuhXZ6-LaxQxgrmJnzgP0"",""'TP# look up'!A:C""),3,0),"""")"),"")</f>
        <v/>
      </c>
      <c r="AH6771" s="49" t="str">
        <f t="shared" si="105"/>
        <v/>
      </c>
    </row>
    <row r="6772" spans="8:34" ht="12.75">
      <c r="H6772" s="43"/>
      <c r="AG6772" s="49" t="str">
        <f ca="1">IFERROR(__xludf.DUMMYFUNCTION("IFNA(vlookup(H6772,IMPORTRANGE(""1vUGwO1n0QQGx9kKbO0_M5gmuhXZ6-LaxQxgrmJnzgP0"",""'TP# look up'!A:C""),3,0),"""")"),"")</f>
        <v/>
      </c>
      <c r="AH6772" s="49" t="str">
        <f t="shared" si="105"/>
        <v/>
      </c>
    </row>
    <row r="6773" spans="8:34" ht="12.75">
      <c r="H6773" s="43"/>
      <c r="AG6773" s="49" t="str">
        <f ca="1">IFERROR(__xludf.DUMMYFUNCTION("IFNA(vlookup(H6773,IMPORTRANGE(""1vUGwO1n0QQGx9kKbO0_M5gmuhXZ6-LaxQxgrmJnzgP0"",""'TP# look up'!A:C""),3,0),"""")"),"")</f>
        <v/>
      </c>
      <c r="AH6773" s="49" t="str">
        <f t="shared" si="105"/>
        <v/>
      </c>
    </row>
    <row r="6774" spans="8:34" ht="12.75">
      <c r="H6774" s="43"/>
      <c r="AG6774" s="49" t="str">
        <f ca="1">IFERROR(__xludf.DUMMYFUNCTION("IFNA(vlookup(H6774,IMPORTRANGE(""1vUGwO1n0QQGx9kKbO0_M5gmuhXZ6-LaxQxgrmJnzgP0"",""'TP# look up'!A:C""),3,0),"""")"),"")</f>
        <v/>
      </c>
      <c r="AH6774" s="49" t="str">
        <f t="shared" si="105"/>
        <v/>
      </c>
    </row>
    <row r="6775" spans="8:34" ht="12.75">
      <c r="H6775" s="43"/>
      <c r="AG6775" s="49" t="str">
        <f ca="1">IFERROR(__xludf.DUMMYFUNCTION("IFNA(vlookup(H6775,IMPORTRANGE(""1vUGwO1n0QQGx9kKbO0_M5gmuhXZ6-LaxQxgrmJnzgP0"",""'TP# look up'!A:C""),3,0),"""")"),"")</f>
        <v/>
      </c>
      <c r="AH6775" s="49" t="str">
        <f t="shared" si="105"/>
        <v/>
      </c>
    </row>
    <row r="6776" spans="8:34" ht="12.75">
      <c r="H6776" s="43"/>
      <c r="AG6776" s="49" t="str">
        <f ca="1">IFERROR(__xludf.DUMMYFUNCTION("IFNA(vlookup(H6776,IMPORTRANGE(""1vUGwO1n0QQGx9kKbO0_M5gmuhXZ6-LaxQxgrmJnzgP0"",""'TP# look up'!A:C""),3,0),"""")"),"")</f>
        <v/>
      </c>
      <c r="AH6776" s="49" t="str">
        <f t="shared" si="105"/>
        <v/>
      </c>
    </row>
    <row r="6777" spans="8:34" ht="12.75">
      <c r="H6777" s="43"/>
      <c r="AG6777" s="49" t="str">
        <f ca="1">IFERROR(__xludf.DUMMYFUNCTION("IFNA(vlookup(H6777,IMPORTRANGE(""1vUGwO1n0QQGx9kKbO0_M5gmuhXZ6-LaxQxgrmJnzgP0"",""'TP# look up'!A:C""),3,0),"""")"),"")</f>
        <v/>
      </c>
      <c r="AH6777" s="49" t="str">
        <f t="shared" si="105"/>
        <v/>
      </c>
    </row>
    <row r="6778" spans="8:34" ht="12.75">
      <c r="H6778" s="43"/>
      <c r="AG6778" s="49" t="str">
        <f ca="1">IFERROR(__xludf.DUMMYFUNCTION("IFNA(vlookup(H6778,IMPORTRANGE(""1vUGwO1n0QQGx9kKbO0_M5gmuhXZ6-LaxQxgrmJnzgP0"",""'TP# look up'!A:C""),3,0),"""")"),"")</f>
        <v/>
      </c>
      <c r="AH6778" s="49" t="str">
        <f t="shared" si="105"/>
        <v/>
      </c>
    </row>
    <row r="6779" spans="8:34" ht="12.75">
      <c r="H6779" s="43"/>
      <c r="AG6779" s="49" t="str">
        <f ca="1">IFERROR(__xludf.DUMMYFUNCTION("IFNA(vlookup(H6779,IMPORTRANGE(""1vUGwO1n0QQGx9kKbO0_M5gmuhXZ6-LaxQxgrmJnzgP0"",""'TP# look up'!A:C""),3,0),"""")"),"")</f>
        <v/>
      </c>
      <c r="AH6779" s="49" t="str">
        <f t="shared" si="105"/>
        <v/>
      </c>
    </row>
    <row r="6780" spans="8:34" ht="12.75">
      <c r="H6780" s="43"/>
      <c r="AG6780" s="49" t="str">
        <f ca="1">IFERROR(__xludf.DUMMYFUNCTION("IFNA(vlookup(H6780,IMPORTRANGE(""1vUGwO1n0QQGx9kKbO0_M5gmuhXZ6-LaxQxgrmJnzgP0"",""'TP# look up'!A:C""),3,0),"""")"),"")</f>
        <v/>
      </c>
      <c r="AH6780" s="49" t="str">
        <f t="shared" si="105"/>
        <v/>
      </c>
    </row>
    <row r="6781" spans="8:34" ht="12.75">
      <c r="H6781" s="43"/>
      <c r="AG6781" s="49" t="str">
        <f ca="1">IFERROR(__xludf.DUMMYFUNCTION("IFNA(vlookup(H6781,IMPORTRANGE(""1vUGwO1n0QQGx9kKbO0_M5gmuhXZ6-LaxQxgrmJnzgP0"",""'TP# look up'!A:C""),3,0),"""")"),"")</f>
        <v/>
      </c>
      <c r="AH6781" s="49" t="str">
        <f t="shared" si="105"/>
        <v/>
      </c>
    </row>
    <row r="6782" spans="8:34" ht="12.75">
      <c r="H6782" s="43"/>
      <c r="AG6782" s="49" t="str">
        <f ca="1">IFERROR(__xludf.DUMMYFUNCTION("IFNA(vlookup(H6782,IMPORTRANGE(""1vUGwO1n0QQGx9kKbO0_M5gmuhXZ6-LaxQxgrmJnzgP0"",""'TP# look up'!A:C""),3,0),"""")"),"")</f>
        <v/>
      </c>
      <c r="AH6782" s="49" t="str">
        <f t="shared" si="105"/>
        <v/>
      </c>
    </row>
    <row r="6783" spans="8:34" ht="12.75">
      <c r="H6783" s="43"/>
      <c r="AG6783" s="49" t="str">
        <f ca="1">IFERROR(__xludf.DUMMYFUNCTION("IFNA(vlookup(H6783,IMPORTRANGE(""1vUGwO1n0QQGx9kKbO0_M5gmuhXZ6-LaxQxgrmJnzgP0"",""'TP# look up'!A:C""),3,0),"""")"),"")</f>
        <v/>
      </c>
      <c r="AH6783" s="49" t="str">
        <f t="shared" si="105"/>
        <v/>
      </c>
    </row>
    <row r="6784" spans="8:34" ht="12.75">
      <c r="H6784" s="43"/>
      <c r="AG6784" s="49" t="str">
        <f ca="1">IFERROR(__xludf.DUMMYFUNCTION("IFNA(vlookup(H6784,IMPORTRANGE(""1vUGwO1n0QQGx9kKbO0_M5gmuhXZ6-LaxQxgrmJnzgP0"",""'TP# look up'!A:C""),3,0),"""")"),"")</f>
        <v/>
      </c>
      <c r="AH6784" s="49" t="str">
        <f t="shared" si="105"/>
        <v/>
      </c>
    </row>
    <row r="6785" spans="8:34" ht="12.75">
      <c r="H6785" s="43"/>
      <c r="AG6785" s="49" t="str">
        <f ca="1">IFERROR(__xludf.DUMMYFUNCTION("IFNA(vlookup(H6785,IMPORTRANGE(""1vUGwO1n0QQGx9kKbO0_M5gmuhXZ6-LaxQxgrmJnzgP0"",""'TP# look up'!A:C""),3,0),"""")"),"")</f>
        <v/>
      </c>
      <c r="AH6785" s="49" t="str">
        <f t="shared" si="105"/>
        <v/>
      </c>
    </row>
    <row r="6786" spans="8:34" ht="12.75">
      <c r="H6786" s="43"/>
      <c r="AG6786" s="49" t="str">
        <f ca="1">IFERROR(__xludf.DUMMYFUNCTION("IFNA(vlookup(H6786,IMPORTRANGE(""1vUGwO1n0QQGx9kKbO0_M5gmuhXZ6-LaxQxgrmJnzgP0"",""'TP# look up'!A:C""),3,0),"""")"),"")</f>
        <v/>
      </c>
      <c r="AH6786" s="49" t="str">
        <f t="shared" ref="AH6786:AH6849" si="106">LEFT(J6786,2)</f>
        <v/>
      </c>
    </row>
    <row r="6787" spans="8:34" ht="12.75">
      <c r="H6787" s="43"/>
      <c r="AG6787" s="49" t="str">
        <f ca="1">IFERROR(__xludf.DUMMYFUNCTION("IFNA(vlookup(H6787,IMPORTRANGE(""1vUGwO1n0QQGx9kKbO0_M5gmuhXZ6-LaxQxgrmJnzgP0"",""'TP# look up'!A:C""),3,0),"""")"),"")</f>
        <v/>
      </c>
      <c r="AH6787" s="49" t="str">
        <f t="shared" si="106"/>
        <v/>
      </c>
    </row>
    <row r="6788" spans="8:34" ht="12.75">
      <c r="H6788" s="43"/>
      <c r="AG6788" s="49" t="str">
        <f ca="1">IFERROR(__xludf.DUMMYFUNCTION("IFNA(vlookup(H6788,IMPORTRANGE(""1vUGwO1n0QQGx9kKbO0_M5gmuhXZ6-LaxQxgrmJnzgP0"",""'TP# look up'!A:C""),3,0),"""")"),"")</f>
        <v/>
      </c>
      <c r="AH6788" s="49" t="str">
        <f t="shared" si="106"/>
        <v/>
      </c>
    </row>
    <row r="6789" spans="8:34" ht="12.75">
      <c r="H6789" s="43"/>
      <c r="AG6789" s="49" t="str">
        <f ca="1">IFERROR(__xludf.DUMMYFUNCTION("IFNA(vlookup(H6789,IMPORTRANGE(""1vUGwO1n0QQGx9kKbO0_M5gmuhXZ6-LaxQxgrmJnzgP0"",""'TP# look up'!A:C""),3,0),"""")"),"")</f>
        <v/>
      </c>
      <c r="AH6789" s="49" t="str">
        <f t="shared" si="106"/>
        <v/>
      </c>
    </row>
    <row r="6790" spans="8:34" ht="12.75">
      <c r="H6790" s="43"/>
      <c r="AG6790" s="49" t="str">
        <f ca="1">IFERROR(__xludf.DUMMYFUNCTION("IFNA(vlookup(H6790,IMPORTRANGE(""1vUGwO1n0QQGx9kKbO0_M5gmuhXZ6-LaxQxgrmJnzgP0"",""'TP# look up'!A:C""),3,0),"""")"),"")</f>
        <v/>
      </c>
      <c r="AH6790" s="49" t="str">
        <f t="shared" si="106"/>
        <v/>
      </c>
    </row>
    <row r="6791" spans="8:34" ht="12.75">
      <c r="H6791" s="43"/>
      <c r="AG6791" s="49" t="str">
        <f ca="1">IFERROR(__xludf.DUMMYFUNCTION("IFNA(vlookup(H6791,IMPORTRANGE(""1vUGwO1n0QQGx9kKbO0_M5gmuhXZ6-LaxQxgrmJnzgP0"",""'TP# look up'!A:C""),3,0),"""")"),"")</f>
        <v/>
      </c>
      <c r="AH6791" s="49" t="str">
        <f t="shared" si="106"/>
        <v/>
      </c>
    </row>
    <row r="6792" spans="8:34" ht="12.75">
      <c r="H6792" s="43"/>
      <c r="AG6792" s="49" t="str">
        <f ca="1">IFERROR(__xludf.DUMMYFUNCTION("IFNA(vlookup(H6792,IMPORTRANGE(""1vUGwO1n0QQGx9kKbO0_M5gmuhXZ6-LaxQxgrmJnzgP0"",""'TP# look up'!A:C""),3,0),"""")"),"")</f>
        <v/>
      </c>
      <c r="AH6792" s="49" t="str">
        <f t="shared" si="106"/>
        <v/>
      </c>
    </row>
    <row r="6793" spans="8:34" ht="12.75">
      <c r="H6793" s="43"/>
      <c r="AG6793" s="49" t="str">
        <f ca="1">IFERROR(__xludf.DUMMYFUNCTION("IFNA(vlookup(H6793,IMPORTRANGE(""1vUGwO1n0QQGx9kKbO0_M5gmuhXZ6-LaxQxgrmJnzgP0"",""'TP# look up'!A:C""),3,0),"""")"),"")</f>
        <v/>
      </c>
      <c r="AH6793" s="49" t="str">
        <f t="shared" si="106"/>
        <v/>
      </c>
    </row>
    <row r="6794" spans="8:34" ht="12.75">
      <c r="H6794" s="43"/>
      <c r="AG6794" s="49" t="str">
        <f ca="1">IFERROR(__xludf.DUMMYFUNCTION("IFNA(vlookup(H6794,IMPORTRANGE(""1vUGwO1n0QQGx9kKbO0_M5gmuhXZ6-LaxQxgrmJnzgP0"",""'TP# look up'!A:C""),3,0),"""")"),"")</f>
        <v/>
      </c>
      <c r="AH6794" s="49" t="str">
        <f t="shared" si="106"/>
        <v/>
      </c>
    </row>
    <row r="6795" spans="8:34" ht="12.75">
      <c r="H6795" s="43"/>
      <c r="AG6795" s="49" t="str">
        <f ca="1">IFERROR(__xludf.DUMMYFUNCTION("IFNA(vlookup(H6795,IMPORTRANGE(""1vUGwO1n0QQGx9kKbO0_M5gmuhXZ6-LaxQxgrmJnzgP0"",""'TP# look up'!A:C""),3,0),"""")"),"")</f>
        <v/>
      </c>
      <c r="AH6795" s="49" t="str">
        <f t="shared" si="106"/>
        <v/>
      </c>
    </row>
    <row r="6796" spans="8:34" ht="12.75">
      <c r="H6796" s="43"/>
      <c r="AG6796" s="49" t="str">
        <f ca="1">IFERROR(__xludf.DUMMYFUNCTION("IFNA(vlookup(H6796,IMPORTRANGE(""1vUGwO1n0QQGx9kKbO0_M5gmuhXZ6-LaxQxgrmJnzgP0"",""'TP# look up'!A:C""),3,0),"""")"),"")</f>
        <v/>
      </c>
      <c r="AH6796" s="49" t="str">
        <f t="shared" si="106"/>
        <v/>
      </c>
    </row>
    <row r="6797" spans="8:34" ht="12.75">
      <c r="H6797" s="43"/>
      <c r="AG6797" s="49" t="str">
        <f ca="1">IFERROR(__xludf.DUMMYFUNCTION("IFNA(vlookup(H6797,IMPORTRANGE(""1vUGwO1n0QQGx9kKbO0_M5gmuhXZ6-LaxQxgrmJnzgP0"",""'TP# look up'!A:C""),3,0),"""")"),"")</f>
        <v/>
      </c>
      <c r="AH6797" s="49" t="str">
        <f t="shared" si="106"/>
        <v/>
      </c>
    </row>
    <row r="6798" spans="8:34" ht="12.75">
      <c r="H6798" s="43"/>
      <c r="AG6798" s="49" t="str">
        <f ca="1">IFERROR(__xludf.DUMMYFUNCTION("IFNA(vlookup(H6798,IMPORTRANGE(""1vUGwO1n0QQGx9kKbO0_M5gmuhXZ6-LaxQxgrmJnzgP0"",""'TP# look up'!A:C""),3,0),"""")"),"")</f>
        <v/>
      </c>
      <c r="AH6798" s="49" t="str">
        <f t="shared" si="106"/>
        <v/>
      </c>
    </row>
    <row r="6799" spans="8:34" ht="12.75">
      <c r="H6799" s="43"/>
      <c r="AG6799" s="49" t="str">
        <f ca="1">IFERROR(__xludf.DUMMYFUNCTION("IFNA(vlookup(H6799,IMPORTRANGE(""1vUGwO1n0QQGx9kKbO0_M5gmuhXZ6-LaxQxgrmJnzgP0"",""'TP# look up'!A:C""),3,0),"""")"),"")</f>
        <v/>
      </c>
      <c r="AH6799" s="49" t="str">
        <f t="shared" si="106"/>
        <v/>
      </c>
    </row>
    <row r="6800" spans="8:34" ht="12.75">
      <c r="H6800" s="43"/>
      <c r="AG6800" s="49" t="str">
        <f ca="1">IFERROR(__xludf.DUMMYFUNCTION("IFNA(vlookup(H6800,IMPORTRANGE(""1vUGwO1n0QQGx9kKbO0_M5gmuhXZ6-LaxQxgrmJnzgP0"",""'TP# look up'!A:C""),3,0),"""")"),"")</f>
        <v/>
      </c>
      <c r="AH6800" s="49" t="str">
        <f t="shared" si="106"/>
        <v/>
      </c>
    </row>
    <row r="6801" spans="8:34" ht="12.75">
      <c r="H6801" s="43"/>
      <c r="AG6801" s="49" t="str">
        <f ca="1">IFERROR(__xludf.DUMMYFUNCTION("IFNA(vlookup(H6801,IMPORTRANGE(""1vUGwO1n0QQGx9kKbO0_M5gmuhXZ6-LaxQxgrmJnzgP0"",""'TP# look up'!A:C""),3,0),"""")"),"")</f>
        <v/>
      </c>
      <c r="AH6801" s="49" t="str">
        <f t="shared" si="106"/>
        <v/>
      </c>
    </row>
    <row r="6802" spans="8:34" ht="12.75">
      <c r="H6802" s="43"/>
      <c r="AG6802" s="49" t="str">
        <f ca="1">IFERROR(__xludf.DUMMYFUNCTION("IFNA(vlookup(H6802,IMPORTRANGE(""1vUGwO1n0QQGx9kKbO0_M5gmuhXZ6-LaxQxgrmJnzgP0"",""'TP# look up'!A:C""),3,0),"""")"),"")</f>
        <v/>
      </c>
      <c r="AH6802" s="49" t="str">
        <f t="shared" si="106"/>
        <v/>
      </c>
    </row>
    <row r="6803" spans="8:34" ht="12.75">
      <c r="H6803" s="43"/>
      <c r="AG6803" s="49" t="str">
        <f ca="1">IFERROR(__xludf.DUMMYFUNCTION("IFNA(vlookup(H6803,IMPORTRANGE(""1vUGwO1n0QQGx9kKbO0_M5gmuhXZ6-LaxQxgrmJnzgP0"",""'TP# look up'!A:C""),3,0),"""")"),"")</f>
        <v/>
      </c>
      <c r="AH6803" s="49" t="str">
        <f t="shared" si="106"/>
        <v/>
      </c>
    </row>
    <row r="6804" spans="8:34" ht="12.75">
      <c r="H6804" s="43"/>
      <c r="AG6804" s="49" t="str">
        <f ca="1">IFERROR(__xludf.DUMMYFUNCTION("IFNA(vlookup(H6804,IMPORTRANGE(""1vUGwO1n0QQGx9kKbO0_M5gmuhXZ6-LaxQxgrmJnzgP0"",""'TP# look up'!A:C""),3,0),"""")"),"")</f>
        <v/>
      </c>
      <c r="AH6804" s="49" t="str">
        <f t="shared" si="106"/>
        <v/>
      </c>
    </row>
    <row r="6805" spans="8:34" ht="12.75">
      <c r="H6805" s="43"/>
      <c r="AG6805" s="49" t="str">
        <f ca="1">IFERROR(__xludf.DUMMYFUNCTION("IFNA(vlookup(H6805,IMPORTRANGE(""1vUGwO1n0QQGx9kKbO0_M5gmuhXZ6-LaxQxgrmJnzgP0"",""'TP# look up'!A:C""),3,0),"""")"),"")</f>
        <v/>
      </c>
      <c r="AH6805" s="49" t="str">
        <f t="shared" si="106"/>
        <v/>
      </c>
    </row>
    <row r="6806" spans="8:34" ht="12.75">
      <c r="H6806" s="43"/>
      <c r="AG6806" s="49" t="str">
        <f ca="1">IFERROR(__xludf.DUMMYFUNCTION("IFNA(vlookup(H6806,IMPORTRANGE(""1vUGwO1n0QQGx9kKbO0_M5gmuhXZ6-LaxQxgrmJnzgP0"",""'TP# look up'!A:C""),3,0),"""")"),"")</f>
        <v/>
      </c>
      <c r="AH6806" s="49" t="str">
        <f t="shared" si="106"/>
        <v/>
      </c>
    </row>
    <row r="6807" spans="8:34" ht="12.75">
      <c r="H6807" s="43"/>
      <c r="AG6807" s="49" t="str">
        <f ca="1">IFERROR(__xludf.DUMMYFUNCTION("IFNA(vlookup(H6807,IMPORTRANGE(""1vUGwO1n0QQGx9kKbO0_M5gmuhXZ6-LaxQxgrmJnzgP0"",""'TP# look up'!A:C""),3,0),"""")"),"")</f>
        <v/>
      </c>
      <c r="AH6807" s="49" t="str">
        <f t="shared" si="106"/>
        <v/>
      </c>
    </row>
    <row r="6808" spans="8:34" ht="12.75">
      <c r="H6808" s="43"/>
      <c r="AG6808" s="49" t="str">
        <f ca="1">IFERROR(__xludf.DUMMYFUNCTION("IFNA(vlookup(H6808,IMPORTRANGE(""1vUGwO1n0QQGx9kKbO0_M5gmuhXZ6-LaxQxgrmJnzgP0"",""'TP# look up'!A:C""),3,0),"""")"),"")</f>
        <v/>
      </c>
      <c r="AH6808" s="49" t="str">
        <f t="shared" si="106"/>
        <v/>
      </c>
    </row>
    <row r="6809" spans="8:34" ht="12.75">
      <c r="H6809" s="43"/>
      <c r="AG6809" s="49" t="str">
        <f ca="1">IFERROR(__xludf.DUMMYFUNCTION("IFNA(vlookup(H6809,IMPORTRANGE(""1vUGwO1n0QQGx9kKbO0_M5gmuhXZ6-LaxQxgrmJnzgP0"",""'TP# look up'!A:C""),3,0),"""")"),"")</f>
        <v/>
      </c>
      <c r="AH6809" s="49" t="str">
        <f t="shared" si="106"/>
        <v/>
      </c>
    </row>
    <row r="6810" spans="8:34" ht="12.75">
      <c r="H6810" s="43"/>
      <c r="AG6810" s="49" t="str">
        <f ca="1">IFERROR(__xludf.DUMMYFUNCTION("IFNA(vlookup(H6810,IMPORTRANGE(""1vUGwO1n0QQGx9kKbO0_M5gmuhXZ6-LaxQxgrmJnzgP0"",""'TP# look up'!A:C""),3,0),"""")"),"")</f>
        <v/>
      </c>
      <c r="AH6810" s="49" t="str">
        <f t="shared" si="106"/>
        <v/>
      </c>
    </row>
    <row r="6811" spans="8:34" ht="12.75">
      <c r="H6811" s="43"/>
      <c r="AG6811" s="49" t="str">
        <f ca="1">IFERROR(__xludf.DUMMYFUNCTION("IFNA(vlookup(H6811,IMPORTRANGE(""1vUGwO1n0QQGx9kKbO0_M5gmuhXZ6-LaxQxgrmJnzgP0"",""'TP# look up'!A:C""),3,0),"""")"),"")</f>
        <v/>
      </c>
      <c r="AH6811" s="49" t="str">
        <f t="shared" si="106"/>
        <v/>
      </c>
    </row>
    <row r="6812" spans="8:34" ht="12.75">
      <c r="H6812" s="43"/>
      <c r="AG6812" s="49" t="str">
        <f ca="1">IFERROR(__xludf.DUMMYFUNCTION("IFNA(vlookup(H6812,IMPORTRANGE(""1vUGwO1n0QQGx9kKbO0_M5gmuhXZ6-LaxQxgrmJnzgP0"",""'TP# look up'!A:C""),3,0),"""")"),"")</f>
        <v/>
      </c>
      <c r="AH6812" s="49" t="str">
        <f t="shared" si="106"/>
        <v/>
      </c>
    </row>
    <row r="6813" spans="8:34" ht="12.75">
      <c r="H6813" s="43"/>
      <c r="AG6813" s="49" t="str">
        <f ca="1">IFERROR(__xludf.DUMMYFUNCTION("IFNA(vlookup(H6813,IMPORTRANGE(""1vUGwO1n0QQGx9kKbO0_M5gmuhXZ6-LaxQxgrmJnzgP0"",""'TP# look up'!A:C""),3,0),"""")"),"")</f>
        <v/>
      </c>
      <c r="AH6813" s="49" t="str">
        <f t="shared" si="106"/>
        <v/>
      </c>
    </row>
    <row r="6814" spans="8:34" ht="12.75">
      <c r="H6814" s="43"/>
      <c r="AG6814" s="49" t="str">
        <f ca="1">IFERROR(__xludf.DUMMYFUNCTION("IFNA(vlookup(H6814,IMPORTRANGE(""1vUGwO1n0QQGx9kKbO0_M5gmuhXZ6-LaxQxgrmJnzgP0"",""'TP# look up'!A:C""),3,0),"""")"),"")</f>
        <v/>
      </c>
      <c r="AH6814" s="49" t="str">
        <f t="shared" si="106"/>
        <v/>
      </c>
    </row>
    <row r="6815" spans="8:34" ht="12.75">
      <c r="H6815" s="43"/>
      <c r="AG6815" s="49" t="str">
        <f ca="1">IFERROR(__xludf.DUMMYFUNCTION("IFNA(vlookup(H6815,IMPORTRANGE(""1vUGwO1n0QQGx9kKbO0_M5gmuhXZ6-LaxQxgrmJnzgP0"",""'TP# look up'!A:C""),3,0),"""")"),"")</f>
        <v/>
      </c>
      <c r="AH6815" s="49" t="str">
        <f t="shared" si="106"/>
        <v/>
      </c>
    </row>
    <row r="6816" spans="8:34" ht="12.75">
      <c r="H6816" s="43"/>
      <c r="AG6816" s="49" t="str">
        <f ca="1">IFERROR(__xludf.DUMMYFUNCTION("IFNA(vlookup(H6816,IMPORTRANGE(""1vUGwO1n0QQGx9kKbO0_M5gmuhXZ6-LaxQxgrmJnzgP0"",""'TP# look up'!A:C""),3,0),"""")"),"")</f>
        <v/>
      </c>
      <c r="AH6816" s="49" t="str">
        <f t="shared" si="106"/>
        <v/>
      </c>
    </row>
    <row r="6817" spans="8:34" ht="12.75">
      <c r="H6817" s="43"/>
      <c r="AG6817" s="49" t="str">
        <f ca="1">IFERROR(__xludf.DUMMYFUNCTION("IFNA(vlookup(H6817,IMPORTRANGE(""1vUGwO1n0QQGx9kKbO0_M5gmuhXZ6-LaxQxgrmJnzgP0"",""'TP# look up'!A:C""),3,0),"""")"),"")</f>
        <v/>
      </c>
      <c r="AH6817" s="49" t="str">
        <f t="shared" si="106"/>
        <v/>
      </c>
    </row>
    <row r="6818" spans="8:34" ht="12.75">
      <c r="H6818" s="43"/>
      <c r="AG6818" s="49" t="str">
        <f ca="1">IFERROR(__xludf.DUMMYFUNCTION("IFNA(vlookup(H6818,IMPORTRANGE(""1vUGwO1n0QQGx9kKbO0_M5gmuhXZ6-LaxQxgrmJnzgP0"",""'TP# look up'!A:C""),3,0),"""")"),"")</f>
        <v/>
      </c>
      <c r="AH6818" s="49" t="str">
        <f t="shared" si="106"/>
        <v/>
      </c>
    </row>
    <row r="6819" spans="8:34" ht="12.75">
      <c r="H6819" s="43"/>
      <c r="AG6819" s="49" t="str">
        <f ca="1">IFERROR(__xludf.DUMMYFUNCTION("IFNA(vlookup(H6819,IMPORTRANGE(""1vUGwO1n0QQGx9kKbO0_M5gmuhXZ6-LaxQxgrmJnzgP0"",""'TP# look up'!A:C""),3,0),"""")"),"")</f>
        <v/>
      </c>
      <c r="AH6819" s="49" t="str">
        <f t="shared" si="106"/>
        <v/>
      </c>
    </row>
    <row r="6820" spans="8:34" ht="12.75">
      <c r="H6820" s="43"/>
      <c r="AG6820" s="49" t="str">
        <f ca="1">IFERROR(__xludf.DUMMYFUNCTION("IFNA(vlookup(H6820,IMPORTRANGE(""1vUGwO1n0QQGx9kKbO0_M5gmuhXZ6-LaxQxgrmJnzgP0"",""'TP# look up'!A:C""),3,0),"""")"),"")</f>
        <v/>
      </c>
      <c r="AH6820" s="49" t="str">
        <f t="shared" si="106"/>
        <v/>
      </c>
    </row>
    <row r="6821" spans="8:34" ht="12.75">
      <c r="H6821" s="43"/>
      <c r="AG6821" s="49" t="str">
        <f ca="1">IFERROR(__xludf.DUMMYFUNCTION("IFNA(vlookup(H6821,IMPORTRANGE(""1vUGwO1n0QQGx9kKbO0_M5gmuhXZ6-LaxQxgrmJnzgP0"",""'TP# look up'!A:C""),3,0),"""")"),"")</f>
        <v/>
      </c>
      <c r="AH6821" s="49" t="str">
        <f t="shared" si="106"/>
        <v/>
      </c>
    </row>
    <row r="6822" spans="8:34" ht="12.75">
      <c r="H6822" s="43"/>
      <c r="AG6822" s="49" t="str">
        <f ca="1">IFERROR(__xludf.DUMMYFUNCTION("IFNA(vlookup(H6822,IMPORTRANGE(""1vUGwO1n0QQGx9kKbO0_M5gmuhXZ6-LaxQxgrmJnzgP0"",""'TP# look up'!A:C""),3,0),"""")"),"")</f>
        <v/>
      </c>
      <c r="AH6822" s="49" t="str">
        <f t="shared" si="106"/>
        <v/>
      </c>
    </row>
    <row r="6823" spans="8:34" ht="12.75">
      <c r="H6823" s="43"/>
      <c r="AG6823" s="49" t="str">
        <f ca="1">IFERROR(__xludf.DUMMYFUNCTION("IFNA(vlookup(H6823,IMPORTRANGE(""1vUGwO1n0QQGx9kKbO0_M5gmuhXZ6-LaxQxgrmJnzgP0"",""'TP# look up'!A:C""),3,0),"""")"),"")</f>
        <v/>
      </c>
      <c r="AH6823" s="49" t="str">
        <f t="shared" si="106"/>
        <v/>
      </c>
    </row>
    <row r="6824" spans="8:34" ht="12.75">
      <c r="H6824" s="43"/>
      <c r="AG6824" s="49" t="str">
        <f ca="1">IFERROR(__xludf.DUMMYFUNCTION("IFNA(vlookup(H6824,IMPORTRANGE(""1vUGwO1n0QQGx9kKbO0_M5gmuhXZ6-LaxQxgrmJnzgP0"",""'TP# look up'!A:C""),3,0),"""")"),"")</f>
        <v/>
      </c>
      <c r="AH6824" s="49" t="str">
        <f t="shared" si="106"/>
        <v/>
      </c>
    </row>
    <row r="6825" spans="8:34" ht="12.75">
      <c r="H6825" s="43"/>
      <c r="AG6825" s="49" t="str">
        <f ca="1">IFERROR(__xludf.DUMMYFUNCTION("IFNA(vlookup(H6825,IMPORTRANGE(""1vUGwO1n0QQGx9kKbO0_M5gmuhXZ6-LaxQxgrmJnzgP0"",""'TP# look up'!A:C""),3,0),"""")"),"")</f>
        <v/>
      </c>
      <c r="AH6825" s="49" t="str">
        <f t="shared" si="106"/>
        <v/>
      </c>
    </row>
    <row r="6826" spans="8:34" ht="12.75">
      <c r="H6826" s="43"/>
      <c r="AG6826" s="49" t="str">
        <f ca="1">IFERROR(__xludf.DUMMYFUNCTION("IFNA(vlookup(H6826,IMPORTRANGE(""1vUGwO1n0QQGx9kKbO0_M5gmuhXZ6-LaxQxgrmJnzgP0"",""'TP# look up'!A:C""),3,0),"""")"),"")</f>
        <v/>
      </c>
      <c r="AH6826" s="49" t="str">
        <f t="shared" si="106"/>
        <v/>
      </c>
    </row>
    <row r="6827" spans="8:34" ht="12.75">
      <c r="H6827" s="43"/>
      <c r="AG6827" s="49" t="str">
        <f ca="1">IFERROR(__xludf.DUMMYFUNCTION("IFNA(vlookup(H6827,IMPORTRANGE(""1vUGwO1n0QQGx9kKbO0_M5gmuhXZ6-LaxQxgrmJnzgP0"",""'TP# look up'!A:C""),3,0),"""")"),"")</f>
        <v/>
      </c>
      <c r="AH6827" s="49" t="str">
        <f t="shared" si="106"/>
        <v/>
      </c>
    </row>
    <row r="6828" spans="8:34" ht="12.75">
      <c r="H6828" s="43"/>
      <c r="AG6828" s="49" t="str">
        <f ca="1">IFERROR(__xludf.DUMMYFUNCTION("IFNA(vlookup(H6828,IMPORTRANGE(""1vUGwO1n0QQGx9kKbO0_M5gmuhXZ6-LaxQxgrmJnzgP0"",""'TP# look up'!A:C""),3,0),"""")"),"")</f>
        <v/>
      </c>
      <c r="AH6828" s="49" t="str">
        <f t="shared" si="106"/>
        <v/>
      </c>
    </row>
    <row r="6829" spans="8:34" ht="12.75">
      <c r="H6829" s="43"/>
      <c r="AG6829" s="49" t="str">
        <f ca="1">IFERROR(__xludf.DUMMYFUNCTION("IFNA(vlookup(H6829,IMPORTRANGE(""1vUGwO1n0QQGx9kKbO0_M5gmuhXZ6-LaxQxgrmJnzgP0"",""'TP# look up'!A:C""),3,0),"""")"),"")</f>
        <v/>
      </c>
      <c r="AH6829" s="49" t="str">
        <f t="shared" si="106"/>
        <v/>
      </c>
    </row>
    <row r="6830" spans="8:34" ht="12.75">
      <c r="H6830" s="43"/>
      <c r="AG6830" s="49" t="str">
        <f ca="1">IFERROR(__xludf.DUMMYFUNCTION("IFNA(vlookup(H6830,IMPORTRANGE(""1vUGwO1n0QQGx9kKbO0_M5gmuhXZ6-LaxQxgrmJnzgP0"",""'TP# look up'!A:C""),3,0),"""")"),"")</f>
        <v/>
      </c>
      <c r="AH6830" s="49" t="str">
        <f t="shared" si="106"/>
        <v/>
      </c>
    </row>
    <row r="6831" spans="8:34" ht="12.75">
      <c r="H6831" s="43"/>
      <c r="AG6831" s="49" t="str">
        <f ca="1">IFERROR(__xludf.DUMMYFUNCTION("IFNA(vlookup(H6831,IMPORTRANGE(""1vUGwO1n0QQGx9kKbO0_M5gmuhXZ6-LaxQxgrmJnzgP0"",""'TP# look up'!A:C""),3,0),"""")"),"")</f>
        <v/>
      </c>
      <c r="AH6831" s="49" t="str">
        <f t="shared" si="106"/>
        <v/>
      </c>
    </row>
    <row r="6832" spans="8:34" ht="12.75">
      <c r="H6832" s="43"/>
      <c r="AG6832" s="49" t="str">
        <f ca="1">IFERROR(__xludf.DUMMYFUNCTION("IFNA(vlookup(H6832,IMPORTRANGE(""1vUGwO1n0QQGx9kKbO0_M5gmuhXZ6-LaxQxgrmJnzgP0"",""'TP# look up'!A:C""),3,0),"""")"),"")</f>
        <v/>
      </c>
      <c r="AH6832" s="49" t="str">
        <f t="shared" si="106"/>
        <v/>
      </c>
    </row>
    <row r="6833" spans="8:34" ht="12.75">
      <c r="H6833" s="43"/>
      <c r="AG6833" s="49" t="str">
        <f ca="1">IFERROR(__xludf.DUMMYFUNCTION("IFNA(vlookup(H6833,IMPORTRANGE(""1vUGwO1n0QQGx9kKbO0_M5gmuhXZ6-LaxQxgrmJnzgP0"",""'TP# look up'!A:C""),3,0),"""")"),"")</f>
        <v/>
      </c>
      <c r="AH6833" s="49" t="str">
        <f t="shared" si="106"/>
        <v/>
      </c>
    </row>
    <row r="6834" spans="8:34" ht="12.75">
      <c r="H6834" s="43"/>
      <c r="AG6834" s="49" t="str">
        <f ca="1">IFERROR(__xludf.DUMMYFUNCTION("IFNA(vlookup(H6834,IMPORTRANGE(""1vUGwO1n0QQGx9kKbO0_M5gmuhXZ6-LaxQxgrmJnzgP0"",""'TP# look up'!A:C""),3,0),"""")"),"")</f>
        <v/>
      </c>
      <c r="AH6834" s="49" t="str">
        <f t="shared" si="106"/>
        <v/>
      </c>
    </row>
    <row r="6835" spans="8:34" ht="12.75">
      <c r="H6835" s="43"/>
      <c r="AG6835" s="49" t="str">
        <f ca="1">IFERROR(__xludf.DUMMYFUNCTION("IFNA(vlookup(H6835,IMPORTRANGE(""1vUGwO1n0QQGx9kKbO0_M5gmuhXZ6-LaxQxgrmJnzgP0"",""'TP# look up'!A:C""),3,0),"""")"),"")</f>
        <v/>
      </c>
      <c r="AH6835" s="49" t="str">
        <f t="shared" si="106"/>
        <v/>
      </c>
    </row>
    <row r="6836" spans="8:34" ht="12.75">
      <c r="H6836" s="43"/>
      <c r="AG6836" s="49" t="str">
        <f ca="1">IFERROR(__xludf.DUMMYFUNCTION("IFNA(vlookup(H6836,IMPORTRANGE(""1vUGwO1n0QQGx9kKbO0_M5gmuhXZ6-LaxQxgrmJnzgP0"",""'TP# look up'!A:C""),3,0),"""")"),"")</f>
        <v/>
      </c>
      <c r="AH6836" s="49" t="str">
        <f t="shared" si="106"/>
        <v/>
      </c>
    </row>
    <row r="6837" spans="8:34" ht="12.75">
      <c r="H6837" s="43"/>
      <c r="AG6837" s="49" t="str">
        <f ca="1">IFERROR(__xludf.DUMMYFUNCTION("IFNA(vlookup(H6837,IMPORTRANGE(""1vUGwO1n0QQGx9kKbO0_M5gmuhXZ6-LaxQxgrmJnzgP0"",""'TP# look up'!A:C""),3,0),"""")"),"")</f>
        <v/>
      </c>
      <c r="AH6837" s="49" t="str">
        <f t="shared" si="106"/>
        <v/>
      </c>
    </row>
    <row r="6838" spans="8:34" ht="12.75">
      <c r="H6838" s="43"/>
      <c r="AG6838" s="49" t="str">
        <f ca="1">IFERROR(__xludf.DUMMYFUNCTION("IFNA(vlookup(H6838,IMPORTRANGE(""1vUGwO1n0QQGx9kKbO0_M5gmuhXZ6-LaxQxgrmJnzgP0"",""'TP# look up'!A:C""),3,0),"""")"),"")</f>
        <v/>
      </c>
      <c r="AH6838" s="49" t="str">
        <f t="shared" si="106"/>
        <v/>
      </c>
    </row>
    <row r="6839" spans="8:34" ht="12.75">
      <c r="H6839" s="43"/>
      <c r="AG6839" s="49" t="str">
        <f ca="1">IFERROR(__xludf.DUMMYFUNCTION("IFNA(vlookup(H6839,IMPORTRANGE(""1vUGwO1n0QQGx9kKbO0_M5gmuhXZ6-LaxQxgrmJnzgP0"",""'TP# look up'!A:C""),3,0),"""")"),"")</f>
        <v/>
      </c>
      <c r="AH6839" s="49" t="str">
        <f t="shared" si="106"/>
        <v/>
      </c>
    </row>
    <row r="6840" spans="8:34" ht="12.75">
      <c r="H6840" s="43"/>
      <c r="AG6840" s="49" t="str">
        <f ca="1">IFERROR(__xludf.DUMMYFUNCTION("IFNA(vlookup(H6840,IMPORTRANGE(""1vUGwO1n0QQGx9kKbO0_M5gmuhXZ6-LaxQxgrmJnzgP0"",""'TP# look up'!A:C""),3,0),"""")"),"")</f>
        <v/>
      </c>
      <c r="AH6840" s="49" t="str">
        <f t="shared" si="106"/>
        <v/>
      </c>
    </row>
    <row r="6841" spans="8:34" ht="12.75">
      <c r="H6841" s="43"/>
      <c r="AG6841" s="49" t="str">
        <f ca="1">IFERROR(__xludf.DUMMYFUNCTION("IFNA(vlookup(H6841,IMPORTRANGE(""1vUGwO1n0QQGx9kKbO0_M5gmuhXZ6-LaxQxgrmJnzgP0"",""'TP# look up'!A:C""),3,0),"""")"),"")</f>
        <v/>
      </c>
      <c r="AH6841" s="49" t="str">
        <f t="shared" si="106"/>
        <v/>
      </c>
    </row>
    <row r="6842" spans="8:34" ht="12.75">
      <c r="H6842" s="43"/>
      <c r="AG6842" s="49" t="str">
        <f ca="1">IFERROR(__xludf.DUMMYFUNCTION("IFNA(vlookup(H6842,IMPORTRANGE(""1vUGwO1n0QQGx9kKbO0_M5gmuhXZ6-LaxQxgrmJnzgP0"",""'TP# look up'!A:C""),3,0),"""")"),"")</f>
        <v/>
      </c>
      <c r="AH6842" s="49" t="str">
        <f t="shared" si="106"/>
        <v/>
      </c>
    </row>
    <row r="6843" spans="8:34" ht="12.75">
      <c r="H6843" s="43"/>
      <c r="AG6843" s="49" t="str">
        <f ca="1">IFERROR(__xludf.DUMMYFUNCTION("IFNA(vlookup(H6843,IMPORTRANGE(""1vUGwO1n0QQGx9kKbO0_M5gmuhXZ6-LaxQxgrmJnzgP0"",""'TP# look up'!A:C""),3,0),"""")"),"")</f>
        <v/>
      </c>
      <c r="AH6843" s="49" t="str">
        <f t="shared" si="106"/>
        <v/>
      </c>
    </row>
    <row r="6844" spans="8:34" ht="12.75">
      <c r="H6844" s="43"/>
      <c r="AG6844" s="49" t="str">
        <f ca="1">IFERROR(__xludf.DUMMYFUNCTION("IFNA(vlookup(H6844,IMPORTRANGE(""1vUGwO1n0QQGx9kKbO0_M5gmuhXZ6-LaxQxgrmJnzgP0"",""'TP# look up'!A:C""),3,0),"""")"),"")</f>
        <v/>
      </c>
      <c r="AH6844" s="49" t="str">
        <f t="shared" si="106"/>
        <v/>
      </c>
    </row>
    <row r="6845" spans="8:34" ht="12.75">
      <c r="H6845" s="43"/>
      <c r="AG6845" s="49" t="str">
        <f ca="1">IFERROR(__xludf.DUMMYFUNCTION("IFNA(vlookup(H6845,IMPORTRANGE(""1vUGwO1n0QQGx9kKbO0_M5gmuhXZ6-LaxQxgrmJnzgP0"",""'TP# look up'!A:C""),3,0),"""")"),"")</f>
        <v/>
      </c>
      <c r="AH6845" s="49" t="str">
        <f t="shared" si="106"/>
        <v/>
      </c>
    </row>
    <row r="6846" spans="8:34" ht="12.75">
      <c r="H6846" s="43"/>
      <c r="AG6846" s="49" t="str">
        <f ca="1">IFERROR(__xludf.DUMMYFUNCTION("IFNA(vlookup(H6846,IMPORTRANGE(""1vUGwO1n0QQGx9kKbO0_M5gmuhXZ6-LaxQxgrmJnzgP0"",""'TP# look up'!A:C""),3,0),"""")"),"")</f>
        <v/>
      </c>
      <c r="AH6846" s="49" t="str">
        <f t="shared" si="106"/>
        <v/>
      </c>
    </row>
    <row r="6847" spans="8:34" ht="12.75">
      <c r="H6847" s="43"/>
      <c r="AG6847" s="49" t="str">
        <f ca="1">IFERROR(__xludf.DUMMYFUNCTION("IFNA(vlookup(H6847,IMPORTRANGE(""1vUGwO1n0QQGx9kKbO0_M5gmuhXZ6-LaxQxgrmJnzgP0"",""'TP# look up'!A:C""),3,0),"""")"),"")</f>
        <v/>
      </c>
      <c r="AH6847" s="49" t="str">
        <f t="shared" si="106"/>
        <v/>
      </c>
    </row>
    <row r="6848" spans="8:34" ht="12.75">
      <c r="H6848" s="43"/>
      <c r="AG6848" s="49" t="str">
        <f ca="1">IFERROR(__xludf.DUMMYFUNCTION("IFNA(vlookup(H6848,IMPORTRANGE(""1vUGwO1n0QQGx9kKbO0_M5gmuhXZ6-LaxQxgrmJnzgP0"",""'TP# look up'!A:C""),3,0),"""")"),"")</f>
        <v/>
      </c>
      <c r="AH6848" s="49" t="str">
        <f t="shared" si="106"/>
        <v/>
      </c>
    </row>
    <row r="6849" spans="8:34" ht="12.75">
      <c r="H6849" s="43"/>
      <c r="AG6849" s="49" t="str">
        <f ca="1">IFERROR(__xludf.DUMMYFUNCTION("IFNA(vlookup(H6849,IMPORTRANGE(""1vUGwO1n0QQGx9kKbO0_M5gmuhXZ6-LaxQxgrmJnzgP0"",""'TP# look up'!A:C""),3,0),"""")"),"")</f>
        <v/>
      </c>
      <c r="AH6849" s="49" t="str">
        <f t="shared" si="106"/>
        <v/>
      </c>
    </row>
    <row r="6850" spans="8:34" ht="12.75">
      <c r="H6850" s="43"/>
      <c r="AG6850" s="49" t="str">
        <f ca="1">IFERROR(__xludf.DUMMYFUNCTION("IFNA(vlookup(H6850,IMPORTRANGE(""1vUGwO1n0QQGx9kKbO0_M5gmuhXZ6-LaxQxgrmJnzgP0"",""'TP# look up'!A:C""),3,0),"""")"),"")</f>
        <v/>
      </c>
      <c r="AH6850" s="49" t="str">
        <f t="shared" ref="AH6850:AH6913" si="107">LEFT(J6850,2)</f>
        <v/>
      </c>
    </row>
    <row r="6851" spans="8:34" ht="12.75">
      <c r="H6851" s="43"/>
      <c r="AG6851" s="49" t="str">
        <f ca="1">IFERROR(__xludf.DUMMYFUNCTION("IFNA(vlookup(H6851,IMPORTRANGE(""1vUGwO1n0QQGx9kKbO0_M5gmuhXZ6-LaxQxgrmJnzgP0"",""'TP# look up'!A:C""),3,0),"""")"),"")</f>
        <v/>
      </c>
      <c r="AH6851" s="49" t="str">
        <f t="shared" si="107"/>
        <v/>
      </c>
    </row>
    <row r="6852" spans="8:34" ht="12.75">
      <c r="H6852" s="43"/>
      <c r="AG6852" s="49" t="str">
        <f ca="1">IFERROR(__xludf.DUMMYFUNCTION("IFNA(vlookup(H6852,IMPORTRANGE(""1vUGwO1n0QQGx9kKbO0_M5gmuhXZ6-LaxQxgrmJnzgP0"",""'TP# look up'!A:C""),3,0),"""")"),"")</f>
        <v/>
      </c>
      <c r="AH6852" s="49" t="str">
        <f t="shared" si="107"/>
        <v/>
      </c>
    </row>
    <row r="6853" spans="8:34" ht="12.75">
      <c r="H6853" s="43"/>
      <c r="AG6853" s="49" t="str">
        <f ca="1">IFERROR(__xludf.DUMMYFUNCTION("IFNA(vlookup(H6853,IMPORTRANGE(""1vUGwO1n0QQGx9kKbO0_M5gmuhXZ6-LaxQxgrmJnzgP0"",""'TP# look up'!A:C""),3,0),"""")"),"")</f>
        <v/>
      </c>
      <c r="AH6853" s="49" t="str">
        <f t="shared" si="107"/>
        <v/>
      </c>
    </row>
    <row r="6854" spans="8:34" ht="12.75">
      <c r="H6854" s="43"/>
      <c r="AG6854" s="49" t="str">
        <f ca="1">IFERROR(__xludf.DUMMYFUNCTION("IFNA(vlookup(H6854,IMPORTRANGE(""1vUGwO1n0QQGx9kKbO0_M5gmuhXZ6-LaxQxgrmJnzgP0"",""'TP# look up'!A:C""),3,0),"""")"),"")</f>
        <v/>
      </c>
      <c r="AH6854" s="49" t="str">
        <f t="shared" si="107"/>
        <v/>
      </c>
    </row>
    <row r="6855" spans="8:34" ht="12.75">
      <c r="H6855" s="43"/>
      <c r="AG6855" s="49" t="str">
        <f ca="1">IFERROR(__xludf.DUMMYFUNCTION("IFNA(vlookup(H6855,IMPORTRANGE(""1vUGwO1n0QQGx9kKbO0_M5gmuhXZ6-LaxQxgrmJnzgP0"",""'TP# look up'!A:C""),3,0),"""")"),"")</f>
        <v/>
      </c>
      <c r="AH6855" s="49" t="str">
        <f t="shared" si="107"/>
        <v/>
      </c>
    </row>
    <row r="6856" spans="8:34" ht="12.75">
      <c r="H6856" s="43"/>
      <c r="AG6856" s="49" t="str">
        <f ca="1">IFERROR(__xludf.DUMMYFUNCTION("IFNA(vlookup(H6856,IMPORTRANGE(""1vUGwO1n0QQGx9kKbO0_M5gmuhXZ6-LaxQxgrmJnzgP0"",""'TP# look up'!A:C""),3,0),"""")"),"")</f>
        <v/>
      </c>
      <c r="AH6856" s="49" t="str">
        <f t="shared" si="107"/>
        <v/>
      </c>
    </row>
    <row r="6857" spans="8:34" ht="12.75">
      <c r="H6857" s="43"/>
      <c r="AG6857" s="49" t="str">
        <f ca="1">IFERROR(__xludf.DUMMYFUNCTION("IFNA(vlookup(H6857,IMPORTRANGE(""1vUGwO1n0QQGx9kKbO0_M5gmuhXZ6-LaxQxgrmJnzgP0"",""'TP# look up'!A:C""),3,0),"""")"),"")</f>
        <v/>
      </c>
      <c r="AH6857" s="49" t="str">
        <f t="shared" si="107"/>
        <v/>
      </c>
    </row>
    <row r="6858" spans="8:34" ht="12.75">
      <c r="H6858" s="43"/>
      <c r="AG6858" s="49" t="str">
        <f ca="1">IFERROR(__xludf.DUMMYFUNCTION("IFNA(vlookup(H6858,IMPORTRANGE(""1vUGwO1n0QQGx9kKbO0_M5gmuhXZ6-LaxQxgrmJnzgP0"",""'TP# look up'!A:C""),3,0),"""")"),"")</f>
        <v/>
      </c>
      <c r="AH6858" s="49" t="str">
        <f t="shared" si="107"/>
        <v/>
      </c>
    </row>
    <row r="6859" spans="8:34" ht="12.75">
      <c r="H6859" s="43"/>
      <c r="AG6859" s="49" t="str">
        <f ca="1">IFERROR(__xludf.DUMMYFUNCTION("IFNA(vlookup(H6859,IMPORTRANGE(""1vUGwO1n0QQGx9kKbO0_M5gmuhXZ6-LaxQxgrmJnzgP0"",""'TP# look up'!A:C""),3,0),"""")"),"")</f>
        <v/>
      </c>
      <c r="AH6859" s="49" t="str">
        <f t="shared" si="107"/>
        <v/>
      </c>
    </row>
    <row r="6860" spans="8:34" ht="12.75">
      <c r="H6860" s="43"/>
      <c r="AG6860" s="49" t="str">
        <f ca="1">IFERROR(__xludf.DUMMYFUNCTION("IFNA(vlookup(H6860,IMPORTRANGE(""1vUGwO1n0QQGx9kKbO0_M5gmuhXZ6-LaxQxgrmJnzgP0"",""'TP# look up'!A:C""),3,0),"""")"),"")</f>
        <v/>
      </c>
      <c r="AH6860" s="49" t="str">
        <f t="shared" si="107"/>
        <v/>
      </c>
    </row>
    <row r="6861" spans="8:34" ht="12.75">
      <c r="H6861" s="43"/>
      <c r="AG6861" s="49" t="str">
        <f ca="1">IFERROR(__xludf.DUMMYFUNCTION("IFNA(vlookup(H6861,IMPORTRANGE(""1vUGwO1n0QQGx9kKbO0_M5gmuhXZ6-LaxQxgrmJnzgP0"",""'TP# look up'!A:C""),3,0),"""")"),"")</f>
        <v/>
      </c>
      <c r="AH6861" s="49" t="str">
        <f t="shared" si="107"/>
        <v/>
      </c>
    </row>
    <row r="6862" spans="8:34" ht="12.75">
      <c r="H6862" s="43"/>
      <c r="AG6862" s="49" t="str">
        <f ca="1">IFERROR(__xludf.DUMMYFUNCTION("IFNA(vlookup(H6862,IMPORTRANGE(""1vUGwO1n0QQGx9kKbO0_M5gmuhXZ6-LaxQxgrmJnzgP0"",""'TP# look up'!A:C""),3,0),"""")"),"")</f>
        <v/>
      </c>
      <c r="AH6862" s="49" t="str">
        <f t="shared" si="107"/>
        <v/>
      </c>
    </row>
    <row r="6863" spans="8:34" ht="12.75">
      <c r="H6863" s="43"/>
      <c r="AG6863" s="49" t="str">
        <f ca="1">IFERROR(__xludf.DUMMYFUNCTION("IFNA(vlookup(H6863,IMPORTRANGE(""1vUGwO1n0QQGx9kKbO0_M5gmuhXZ6-LaxQxgrmJnzgP0"",""'TP# look up'!A:C""),3,0),"""")"),"")</f>
        <v/>
      </c>
      <c r="AH6863" s="49" t="str">
        <f t="shared" si="107"/>
        <v/>
      </c>
    </row>
    <row r="6864" spans="8:34" ht="12.75">
      <c r="H6864" s="43"/>
      <c r="AG6864" s="49" t="str">
        <f ca="1">IFERROR(__xludf.DUMMYFUNCTION("IFNA(vlookup(H6864,IMPORTRANGE(""1vUGwO1n0QQGx9kKbO0_M5gmuhXZ6-LaxQxgrmJnzgP0"",""'TP# look up'!A:C""),3,0),"""")"),"")</f>
        <v/>
      </c>
      <c r="AH6864" s="49" t="str">
        <f t="shared" si="107"/>
        <v/>
      </c>
    </row>
    <row r="6865" spans="8:34" ht="12.75">
      <c r="H6865" s="43"/>
      <c r="AG6865" s="49" t="str">
        <f ca="1">IFERROR(__xludf.DUMMYFUNCTION("IFNA(vlookup(H6865,IMPORTRANGE(""1vUGwO1n0QQGx9kKbO0_M5gmuhXZ6-LaxQxgrmJnzgP0"",""'TP# look up'!A:C""),3,0),"""")"),"")</f>
        <v/>
      </c>
      <c r="AH6865" s="49" t="str">
        <f t="shared" si="107"/>
        <v/>
      </c>
    </row>
    <row r="6866" spans="8:34" ht="12.75">
      <c r="H6866" s="43"/>
      <c r="AG6866" s="49" t="str">
        <f ca="1">IFERROR(__xludf.DUMMYFUNCTION("IFNA(vlookup(H6866,IMPORTRANGE(""1vUGwO1n0QQGx9kKbO0_M5gmuhXZ6-LaxQxgrmJnzgP0"",""'TP# look up'!A:C""),3,0),"""")"),"")</f>
        <v/>
      </c>
      <c r="AH6866" s="49" t="str">
        <f t="shared" si="107"/>
        <v/>
      </c>
    </row>
    <row r="6867" spans="8:34" ht="12.75">
      <c r="H6867" s="43"/>
      <c r="AG6867" s="49" t="str">
        <f ca="1">IFERROR(__xludf.DUMMYFUNCTION("IFNA(vlookup(H6867,IMPORTRANGE(""1vUGwO1n0QQGx9kKbO0_M5gmuhXZ6-LaxQxgrmJnzgP0"",""'TP# look up'!A:C""),3,0),"""")"),"")</f>
        <v/>
      </c>
      <c r="AH6867" s="49" t="str">
        <f t="shared" si="107"/>
        <v/>
      </c>
    </row>
    <row r="6868" spans="8:34" ht="12.75">
      <c r="H6868" s="43"/>
      <c r="AG6868" s="49" t="str">
        <f ca="1">IFERROR(__xludf.DUMMYFUNCTION("IFNA(vlookup(H6868,IMPORTRANGE(""1vUGwO1n0QQGx9kKbO0_M5gmuhXZ6-LaxQxgrmJnzgP0"",""'TP# look up'!A:C""),3,0),"""")"),"")</f>
        <v/>
      </c>
      <c r="AH6868" s="49" t="str">
        <f t="shared" si="107"/>
        <v/>
      </c>
    </row>
    <row r="6869" spans="8:34" ht="12.75">
      <c r="H6869" s="43"/>
      <c r="AG6869" s="49" t="str">
        <f ca="1">IFERROR(__xludf.DUMMYFUNCTION("IFNA(vlookup(H6869,IMPORTRANGE(""1vUGwO1n0QQGx9kKbO0_M5gmuhXZ6-LaxQxgrmJnzgP0"",""'TP# look up'!A:C""),3,0),"""")"),"")</f>
        <v/>
      </c>
      <c r="AH6869" s="49" t="str">
        <f t="shared" si="107"/>
        <v/>
      </c>
    </row>
    <row r="6870" spans="8:34" ht="12.75">
      <c r="H6870" s="43"/>
      <c r="AG6870" s="49" t="str">
        <f ca="1">IFERROR(__xludf.DUMMYFUNCTION("IFNA(vlookup(H6870,IMPORTRANGE(""1vUGwO1n0QQGx9kKbO0_M5gmuhXZ6-LaxQxgrmJnzgP0"",""'TP# look up'!A:C""),3,0),"""")"),"")</f>
        <v/>
      </c>
      <c r="AH6870" s="49" t="str">
        <f t="shared" si="107"/>
        <v/>
      </c>
    </row>
    <row r="6871" spans="8:34" ht="12.75">
      <c r="H6871" s="43"/>
      <c r="AG6871" s="49" t="str">
        <f ca="1">IFERROR(__xludf.DUMMYFUNCTION("IFNA(vlookup(H6871,IMPORTRANGE(""1vUGwO1n0QQGx9kKbO0_M5gmuhXZ6-LaxQxgrmJnzgP0"",""'TP# look up'!A:C""),3,0),"""")"),"")</f>
        <v/>
      </c>
      <c r="AH6871" s="49" t="str">
        <f t="shared" si="107"/>
        <v/>
      </c>
    </row>
    <row r="6872" spans="8:34" ht="12.75">
      <c r="H6872" s="43"/>
      <c r="AG6872" s="49" t="str">
        <f ca="1">IFERROR(__xludf.DUMMYFUNCTION("IFNA(vlookup(H6872,IMPORTRANGE(""1vUGwO1n0QQGx9kKbO0_M5gmuhXZ6-LaxQxgrmJnzgP0"",""'TP# look up'!A:C""),3,0),"""")"),"")</f>
        <v/>
      </c>
      <c r="AH6872" s="49" t="str">
        <f t="shared" si="107"/>
        <v/>
      </c>
    </row>
    <row r="6873" spans="8:34" ht="12.75">
      <c r="H6873" s="43"/>
      <c r="AG6873" s="49" t="str">
        <f ca="1">IFERROR(__xludf.DUMMYFUNCTION("IFNA(vlookup(H6873,IMPORTRANGE(""1vUGwO1n0QQGx9kKbO0_M5gmuhXZ6-LaxQxgrmJnzgP0"",""'TP# look up'!A:C""),3,0),"""")"),"")</f>
        <v/>
      </c>
      <c r="AH6873" s="49" t="str">
        <f t="shared" si="107"/>
        <v/>
      </c>
    </row>
    <row r="6874" spans="8:34" ht="12.75">
      <c r="H6874" s="43"/>
      <c r="AG6874" s="49" t="str">
        <f ca="1">IFERROR(__xludf.DUMMYFUNCTION("IFNA(vlookup(H6874,IMPORTRANGE(""1vUGwO1n0QQGx9kKbO0_M5gmuhXZ6-LaxQxgrmJnzgP0"",""'TP# look up'!A:C""),3,0),"""")"),"")</f>
        <v/>
      </c>
      <c r="AH6874" s="49" t="str">
        <f t="shared" si="107"/>
        <v/>
      </c>
    </row>
    <row r="6875" spans="8:34" ht="12.75">
      <c r="H6875" s="43"/>
      <c r="AG6875" s="49" t="str">
        <f ca="1">IFERROR(__xludf.DUMMYFUNCTION("IFNA(vlookup(H6875,IMPORTRANGE(""1vUGwO1n0QQGx9kKbO0_M5gmuhXZ6-LaxQxgrmJnzgP0"",""'TP# look up'!A:C""),3,0),"""")"),"")</f>
        <v/>
      </c>
      <c r="AH6875" s="49" t="str">
        <f t="shared" si="107"/>
        <v/>
      </c>
    </row>
    <row r="6876" spans="8:34" ht="12.75">
      <c r="H6876" s="43"/>
      <c r="AG6876" s="49" t="str">
        <f ca="1">IFERROR(__xludf.DUMMYFUNCTION("IFNA(vlookup(H6876,IMPORTRANGE(""1vUGwO1n0QQGx9kKbO0_M5gmuhXZ6-LaxQxgrmJnzgP0"",""'TP# look up'!A:C""),3,0),"""")"),"")</f>
        <v/>
      </c>
      <c r="AH6876" s="49" t="str">
        <f t="shared" si="107"/>
        <v/>
      </c>
    </row>
    <row r="6877" spans="8:34" ht="12.75">
      <c r="H6877" s="43"/>
      <c r="AG6877" s="49" t="str">
        <f ca="1">IFERROR(__xludf.DUMMYFUNCTION("IFNA(vlookup(H6877,IMPORTRANGE(""1vUGwO1n0QQGx9kKbO0_M5gmuhXZ6-LaxQxgrmJnzgP0"",""'TP# look up'!A:C""),3,0),"""")"),"")</f>
        <v/>
      </c>
      <c r="AH6877" s="49" t="str">
        <f t="shared" si="107"/>
        <v/>
      </c>
    </row>
    <row r="6878" spans="8:34" ht="12.75">
      <c r="H6878" s="43"/>
      <c r="AG6878" s="49" t="str">
        <f ca="1">IFERROR(__xludf.DUMMYFUNCTION("IFNA(vlookup(H6878,IMPORTRANGE(""1vUGwO1n0QQGx9kKbO0_M5gmuhXZ6-LaxQxgrmJnzgP0"",""'TP# look up'!A:C""),3,0),"""")"),"")</f>
        <v/>
      </c>
      <c r="AH6878" s="49" t="str">
        <f t="shared" si="107"/>
        <v/>
      </c>
    </row>
    <row r="6879" spans="8:34" ht="12.75">
      <c r="H6879" s="43"/>
      <c r="AG6879" s="49" t="str">
        <f ca="1">IFERROR(__xludf.DUMMYFUNCTION("IFNA(vlookup(H6879,IMPORTRANGE(""1vUGwO1n0QQGx9kKbO0_M5gmuhXZ6-LaxQxgrmJnzgP0"",""'TP# look up'!A:C""),3,0),"""")"),"")</f>
        <v/>
      </c>
      <c r="AH6879" s="49" t="str">
        <f t="shared" si="107"/>
        <v/>
      </c>
    </row>
    <row r="6880" spans="8:34" ht="12.75">
      <c r="H6880" s="43"/>
      <c r="AG6880" s="49" t="str">
        <f ca="1">IFERROR(__xludf.DUMMYFUNCTION("IFNA(vlookup(H6880,IMPORTRANGE(""1vUGwO1n0QQGx9kKbO0_M5gmuhXZ6-LaxQxgrmJnzgP0"",""'TP# look up'!A:C""),3,0),"""")"),"")</f>
        <v/>
      </c>
      <c r="AH6880" s="49" t="str">
        <f t="shared" si="107"/>
        <v/>
      </c>
    </row>
    <row r="6881" spans="8:34" ht="12.75">
      <c r="H6881" s="43"/>
      <c r="AG6881" s="49" t="str">
        <f ca="1">IFERROR(__xludf.DUMMYFUNCTION("IFNA(vlookup(H6881,IMPORTRANGE(""1vUGwO1n0QQGx9kKbO0_M5gmuhXZ6-LaxQxgrmJnzgP0"",""'TP# look up'!A:C""),3,0),"""")"),"")</f>
        <v/>
      </c>
      <c r="AH6881" s="49" t="str">
        <f t="shared" si="107"/>
        <v/>
      </c>
    </row>
    <row r="6882" spans="8:34" ht="12.75">
      <c r="H6882" s="43"/>
      <c r="AG6882" s="49" t="str">
        <f ca="1">IFERROR(__xludf.DUMMYFUNCTION("IFNA(vlookup(H6882,IMPORTRANGE(""1vUGwO1n0QQGx9kKbO0_M5gmuhXZ6-LaxQxgrmJnzgP0"",""'TP# look up'!A:C""),3,0),"""")"),"")</f>
        <v/>
      </c>
      <c r="AH6882" s="49" t="str">
        <f t="shared" si="107"/>
        <v/>
      </c>
    </row>
    <row r="6883" spans="8:34" ht="12.75">
      <c r="H6883" s="43"/>
      <c r="AG6883" s="49" t="str">
        <f ca="1">IFERROR(__xludf.DUMMYFUNCTION("IFNA(vlookup(H6883,IMPORTRANGE(""1vUGwO1n0QQGx9kKbO0_M5gmuhXZ6-LaxQxgrmJnzgP0"",""'TP# look up'!A:C""),3,0),"""")"),"")</f>
        <v/>
      </c>
      <c r="AH6883" s="49" t="str">
        <f t="shared" si="107"/>
        <v/>
      </c>
    </row>
    <row r="6884" spans="8:34" ht="12.75">
      <c r="H6884" s="43"/>
      <c r="AG6884" s="49" t="str">
        <f ca="1">IFERROR(__xludf.DUMMYFUNCTION("IFNA(vlookup(H6884,IMPORTRANGE(""1vUGwO1n0QQGx9kKbO0_M5gmuhXZ6-LaxQxgrmJnzgP0"",""'TP# look up'!A:C""),3,0),"""")"),"")</f>
        <v/>
      </c>
      <c r="AH6884" s="49" t="str">
        <f t="shared" si="107"/>
        <v/>
      </c>
    </row>
    <row r="6885" spans="8:34" ht="12.75">
      <c r="H6885" s="43"/>
      <c r="AG6885" s="49" t="str">
        <f ca="1">IFERROR(__xludf.DUMMYFUNCTION("IFNA(vlookup(H6885,IMPORTRANGE(""1vUGwO1n0QQGx9kKbO0_M5gmuhXZ6-LaxQxgrmJnzgP0"",""'TP# look up'!A:C""),3,0),"""")"),"")</f>
        <v/>
      </c>
      <c r="AH6885" s="49" t="str">
        <f t="shared" si="107"/>
        <v/>
      </c>
    </row>
    <row r="6886" spans="8:34" ht="12.75">
      <c r="H6886" s="43"/>
      <c r="AG6886" s="49" t="str">
        <f ca="1">IFERROR(__xludf.DUMMYFUNCTION("IFNA(vlookup(H6886,IMPORTRANGE(""1vUGwO1n0QQGx9kKbO0_M5gmuhXZ6-LaxQxgrmJnzgP0"",""'TP# look up'!A:C""),3,0),"""")"),"")</f>
        <v/>
      </c>
      <c r="AH6886" s="49" t="str">
        <f t="shared" si="107"/>
        <v/>
      </c>
    </row>
    <row r="6887" spans="8:34" ht="12.75">
      <c r="H6887" s="43"/>
      <c r="AG6887" s="49" t="str">
        <f ca="1">IFERROR(__xludf.DUMMYFUNCTION("IFNA(vlookup(H6887,IMPORTRANGE(""1vUGwO1n0QQGx9kKbO0_M5gmuhXZ6-LaxQxgrmJnzgP0"",""'TP# look up'!A:C""),3,0),"""")"),"")</f>
        <v/>
      </c>
      <c r="AH6887" s="49" t="str">
        <f t="shared" si="107"/>
        <v/>
      </c>
    </row>
    <row r="6888" spans="8:34" ht="12.75">
      <c r="H6888" s="43"/>
      <c r="AG6888" s="49" t="str">
        <f ca="1">IFERROR(__xludf.DUMMYFUNCTION("IFNA(vlookup(H6888,IMPORTRANGE(""1vUGwO1n0QQGx9kKbO0_M5gmuhXZ6-LaxQxgrmJnzgP0"",""'TP# look up'!A:C""),3,0),"""")"),"")</f>
        <v/>
      </c>
      <c r="AH6888" s="49" t="str">
        <f t="shared" si="107"/>
        <v/>
      </c>
    </row>
    <row r="6889" spans="8:34" ht="12.75">
      <c r="H6889" s="43"/>
      <c r="AG6889" s="49" t="str">
        <f ca="1">IFERROR(__xludf.DUMMYFUNCTION("IFNA(vlookup(H6889,IMPORTRANGE(""1vUGwO1n0QQGx9kKbO0_M5gmuhXZ6-LaxQxgrmJnzgP0"",""'TP# look up'!A:C""),3,0),"""")"),"")</f>
        <v/>
      </c>
      <c r="AH6889" s="49" t="str">
        <f t="shared" si="107"/>
        <v/>
      </c>
    </row>
    <row r="6890" spans="8:34" ht="12.75">
      <c r="H6890" s="43"/>
      <c r="AG6890" s="49" t="str">
        <f ca="1">IFERROR(__xludf.DUMMYFUNCTION("IFNA(vlookup(H6890,IMPORTRANGE(""1vUGwO1n0QQGx9kKbO0_M5gmuhXZ6-LaxQxgrmJnzgP0"",""'TP# look up'!A:C""),3,0),"""")"),"")</f>
        <v/>
      </c>
      <c r="AH6890" s="49" t="str">
        <f t="shared" si="107"/>
        <v/>
      </c>
    </row>
    <row r="6891" spans="8:34" ht="12.75">
      <c r="H6891" s="43"/>
      <c r="AG6891" s="49" t="str">
        <f ca="1">IFERROR(__xludf.DUMMYFUNCTION("IFNA(vlookup(H6891,IMPORTRANGE(""1vUGwO1n0QQGx9kKbO0_M5gmuhXZ6-LaxQxgrmJnzgP0"",""'TP# look up'!A:C""),3,0),"""")"),"")</f>
        <v/>
      </c>
      <c r="AH6891" s="49" t="str">
        <f t="shared" si="107"/>
        <v/>
      </c>
    </row>
    <row r="6892" spans="8:34" ht="12.75">
      <c r="H6892" s="43"/>
      <c r="AG6892" s="49" t="str">
        <f ca="1">IFERROR(__xludf.DUMMYFUNCTION("IFNA(vlookup(H6892,IMPORTRANGE(""1vUGwO1n0QQGx9kKbO0_M5gmuhXZ6-LaxQxgrmJnzgP0"",""'TP# look up'!A:C""),3,0),"""")"),"")</f>
        <v/>
      </c>
      <c r="AH6892" s="49" t="str">
        <f t="shared" si="107"/>
        <v/>
      </c>
    </row>
    <row r="6893" spans="8:34" ht="12.75">
      <c r="H6893" s="43"/>
      <c r="AG6893" s="49" t="str">
        <f ca="1">IFERROR(__xludf.DUMMYFUNCTION("IFNA(vlookup(H6893,IMPORTRANGE(""1vUGwO1n0QQGx9kKbO0_M5gmuhXZ6-LaxQxgrmJnzgP0"",""'TP# look up'!A:C""),3,0),"""")"),"")</f>
        <v/>
      </c>
      <c r="AH6893" s="49" t="str">
        <f t="shared" si="107"/>
        <v/>
      </c>
    </row>
    <row r="6894" spans="8:34" ht="12.75">
      <c r="H6894" s="43"/>
      <c r="AG6894" s="49" t="str">
        <f ca="1">IFERROR(__xludf.DUMMYFUNCTION("IFNA(vlookup(H6894,IMPORTRANGE(""1vUGwO1n0QQGx9kKbO0_M5gmuhXZ6-LaxQxgrmJnzgP0"",""'TP# look up'!A:C""),3,0),"""")"),"")</f>
        <v/>
      </c>
      <c r="AH6894" s="49" t="str">
        <f t="shared" si="107"/>
        <v/>
      </c>
    </row>
    <row r="6895" spans="8:34" ht="12.75">
      <c r="H6895" s="43"/>
      <c r="AG6895" s="49" t="str">
        <f ca="1">IFERROR(__xludf.DUMMYFUNCTION("IFNA(vlookup(H6895,IMPORTRANGE(""1vUGwO1n0QQGx9kKbO0_M5gmuhXZ6-LaxQxgrmJnzgP0"",""'TP# look up'!A:C""),3,0),"""")"),"")</f>
        <v/>
      </c>
      <c r="AH6895" s="49" t="str">
        <f t="shared" si="107"/>
        <v/>
      </c>
    </row>
    <row r="6896" spans="8:34" ht="12.75">
      <c r="H6896" s="43"/>
      <c r="AG6896" s="49" t="str">
        <f ca="1">IFERROR(__xludf.DUMMYFUNCTION("IFNA(vlookup(H6896,IMPORTRANGE(""1vUGwO1n0QQGx9kKbO0_M5gmuhXZ6-LaxQxgrmJnzgP0"",""'TP# look up'!A:C""),3,0),"""")"),"")</f>
        <v/>
      </c>
      <c r="AH6896" s="49" t="str">
        <f t="shared" si="107"/>
        <v/>
      </c>
    </row>
    <row r="6897" spans="8:34" ht="12.75">
      <c r="H6897" s="43"/>
      <c r="AG6897" s="49" t="str">
        <f ca="1">IFERROR(__xludf.DUMMYFUNCTION("IFNA(vlookup(H6897,IMPORTRANGE(""1vUGwO1n0QQGx9kKbO0_M5gmuhXZ6-LaxQxgrmJnzgP0"",""'TP# look up'!A:C""),3,0),"""")"),"")</f>
        <v/>
      </c>
      <c r="AH6897" s="49" t="str">
        <f t="shared" si="107"/>
        <v/>
      </c>
    </row>
    <row r="6898" spans="8:34" ht="12.75">
      <c r="H6898" s="43"/>
      <c r="AG6898" s="49" t="str">
        <f ca="1">IFERROR(__xludf.DUMMYFUNCTION("IFNA(vlookup(H6898,IMPORTRANGE(""1vUGwO1n0QQGx9kKbO0_M5gmuhXZ6-LaxQxgrmJnzgP0"",""'TP# look up'!A:C""),3,0),"""")"),"")</f>
        <v/>
      </c>
      <c r="AH6898" s="49" t="str">
        <f t="shared" si="107"/>
        <v/>
      </c>
    </row>
    <row r="6899" spans="8:34" ht="12.75">
      <c r="H6899" s="43"/>
      <c r="AG6899" s="49" t="str">
        <f ca="1">IFERROR(__xludf.DUMMYFUNCTION("IFNA(vlookup(H6899,IMPORTRANGE(""1vUGwO1n0QQGx9kKbO0_M5gmuhXZ6-LaxQxgrmJnzgP0"",""'TP# look up'!A:C""),3,0),"""")"),"")</f>
        <v/>
      </c>
      <c r="AH6899" s="49" t="str">
        <f t="shared" si="107"/>
        <v/>
      </c>
    </row>
    <row r="6900" spans="8:34" ht="12.75">
      <c r="H6900" s="43"/>
      <c r="AG6900" s="49" t="str">
        <f ca="1">IFERROR(__xludf.DUMMYFUNCTION("IFNA(vlookup(H6900,IMPORTRANGE(""1vUGwO1n0QQGx9kKbO0_M5gmuhXZ6-LaxQxgrmJnzgP0"",""'TP# look up'!A:C""),3,0),"""")"),"")</f>
        <v/>
      </c>
      <c r="AH6900" s="49" t="str">
        <f t="shared" si="107"/>
        <v/>
      </c>
    </row>
    <row r="6901" spans="8:34" ht="12.75">
      <c r="H6901" s="43"/>
      <c r="AG6901" s="49" t="str">
        <f ca="1">IFERROR(__xludf.DUMMYFUNCTION("IFNA(vlookup(H6901,IMPORTRANGE(""1vUGwO1n0QQGx9kKbO0_M5gmuhXZ6-LaxQxgrmJnzgP0"",""'TP# look up'!A:C""),3,0),"""")"),"")</f>
        <v/>
      </c>
      <c r="AH6901" s="49" t="str">
        <f t="shared" si="107"/>
        <v/>
      </c>
    </row>
    <row r="6902" spans="8:34" ht="12.75">
      <c r="H6902" s="43"/>
      <c r="AG6902" s="49" t="str">
        <f ca="1">IFERROR(__xludf.DUMMYFUNCTION("IFNA(vlookup(H6902,IMPORTRANGE(""1vUGwO1n0QQGx9kKbO0_M5gmuhXZ6-LaxQxgrmJnzgP0"",""'TP# look up'!A:C""),3,0),"""")"),"")</f>
        <v/>
      </c>
      <c r="AH6902" s="49" t="str">
        <f t="shared" si="107"/>
        <v/>
      </c>
    </row>
    <row r="6903" spans="8:34" ht="12.75">
      <c r="H6903" s="43"/>
      <c r="AG6903" s="49" t="str">
        <f ca="1">IFERROR(__xludf.DUMMYFUNCTION("IFNA(vlookup(H6903,IMPORTRANGE(""1vUGwO1n0QQGx9kKbO0_M5gmuhXZ6-LaxQxgrmJnzgP0"",""'TP# look up'!A:C""),3,0),"""")"),"")</f>
        <v/>
      </c>
      <c r="AH6903" s="49" t="str">
        <f t="shared" si="107"/>
        <v/>
      </c>
    </row>
    <row r="6904" spans="8:34" ht="12.75">
      <c r="H6904" s="43"/>
      <c r="AG6904" s="49" t="str">
        <f ca="1">IFERROR(__xludf.DUMMYFUNCTION("IFNA(vlookup(H6904,IMPORTRANGE(""1vUGwO1n0QQGx9kKbO0_M5gmuhXZ6-LaxQxgrmJnzgP0"",""'TP# look up'!A:C""),3,0),"""")"),"")</f>
        <v/>
      </c>
      <c r="AH6904" s="49" t="str">
        <f t="shared" si="107"/>
        <v/>
      </c>
    </row>
    <row r="6905" spans="8:34" ht="12.75">
      <c r="H6905" s="43"/>
      <c r="AG6905" s="49" t="str">
        <f ca="1">IFERROR(__xludf.DUMMYFUNCTION("IFNA(vlookup(H6905,IMPORTRANGE(""1vUGwO1n0QQGx9kKbO0_M5gmuhXZ6-LaxQxgrmJnzgP0"",""'TP# look up'!A:C""),3,0),"""")"),"")</f>
        <v/>
      </c>
      <c r="AH6905" s="49" t="str">
        <f t="shared" si="107"/>
        <v/>
      </c>
    </row>
    <row r="6906" spans="8:34" ht="12.75">
      <c r="H6906" s="43"/>
      <c r="AG6906" s="49" t="str">
        <f ca="1">IFERROR(__xludf.DUMMYFUNCTION("IFNA(vlookup(H6906,IMPORTRANGE(""1vUGwO1n0QQGx9kKbO0_M5gmuhXZ6-LaxQxgrmJnzgP0"",""'TP# look up'!A:C""),3,0),"""")"),"")</f>
        <v/>
      </c>
      <c r="AH6906" s="49" t="str">
        <f t="shared" si="107"/>
        <v/>
      </c>
    </row>
    <row r="6907" spans="8:34" ht="12.75">
      <c r="H6907" s="43"/>
      <c r="AG6907" s="49" t="str">
        <f ca="1">IFERROR(__xludf.DUMMYFUNCTION("IFNA(vlookup(H6907,IMPORTRANGE(""1vUGwO1n0QQGx9kKbO0_M5gmuhXZ6-LaxQxgrmJnzgP0"",""'TP# look up'!A:C""),3,0),"""")"),"")</f>
        <v/>
      </c>
      <c r="AH6907" s="49" t="str">
        <f t="shared" si="107"/>
        <v/>
      </c>
    </row>
    <row r="6908" spans="8:34" ht="12.75">
      <c r="H6908" s="43"/>
      <c r="AG6908" s="49" t="str">
        <f ca="1">IFERROR(__xludf.DUMMYFUNCTION("IFNA(vlookup(H6908,IMPORTRANGE(""1vUGwO1n0QQGx9kKbO0_M5gmuhXZ6-LaxQxgrmJnzgP0"",""'TP# look up'!A:C""),3,0),"""")"),"")</f>
        <v/>
      </c>
      <c r="AH6908" s="49" t="str">
        <f t="shared" si="107"/>
        <v/>
      </c>
    </row>
    <row r="6909" spans="8:34" ht="12.75">
      <c r="H6909" s="43"/>
      <c r="AG6909" s="49" t="str">
        <f ca="1">IFERROR(__xludf.DUMMYFUNCTION("IFNA(vlookup(H6909,IMPORTRANGE(""1vUGwO1n0QQGx9kKbO0_M5gmuhXZ6-LaxQxgrmJnzgP0"",""'TP# look up'!A:C""),3,0),"""")"),"")</f>
        <v/>
      </c>
      <c r="AH6909" s="49" t="str">
        <f t="shared" si="107"/>
        <v/>
      </c>
    </row>
    <row r="6910" spans="8:34" ht="12.75">
      <c r="H6910" s="43"/>
      <c r="AG6910" s="49" t="str">
        <f ca="1">IFERROR(__xludf.DUMMYFUNCTION("IFNA(vlookup(H6910,IMPORTRANGE(""1vUGwO1n0QQGx9kKbO0_M5gmuhXZ6-LaxQxgrmJnzgP0"",""'TP# look up'!A:C""),3,0),"""")"),"")</f>
        <v/>
      </c>
      <c r="AH6910" s="49" t="str">
        <f t="shared" si="107"/>
        <v/>
      </c>
    </row>
    <row r="6911" spans="8:34" ht="12.75">
      <c r="H6911" s="43"/>
      <c r="AG6911" s="49" t="str">
        <f ca="1">IFERROR(__xludf.DUMMYFUNCTION("IFNA(vlookup(H6911,IMPORTRANGE(""1vUGwO1n0QQGx9kKbO0_M5gmuhXZ6-LaxQxgrmJnzgP0"",""'TP# look up'!A:C""),3,0),"""")"),"")</f>
        <v/>
      </c>
      <c r="AH6911" s="49" t="str">
        <f t="shared" si="107"/>
        <v/>
      </c>
    </row>
    <row r="6912" spans="8:34" ht="12.75">
      <c r="H6912" s="43"/>
      <c r="AG6912" s="49" t="str">
        <f ca="1">IFERROR(__xludf.DUMMYFUNCTION("IFNA(vlookup(H6912,IMPORTRANGE(""1vUGwO1n0QQGx9kKbO0_M5gmuhXZ6-LaxQxgrmJnzgP0"",""'TP# look up'!A:C""),3,0),"""")"),"")</f>
        <v/>
      </c>
      <c r="AH6912" s="49" t="str">
        <f t="shared" si="107"/>
        <v/>
      </c>
    </row>
    <row r="6913" spans="8:34" ht="12.75">
      <c r="H6913" s="43"/>
      <c r="AG6913" s="49" t="str">
        <f ca="1">IFERROR(__xludf.DUMMYFUNCTION("IFNA(vlookup(H6913,IMPORTRANGE(""1vUGwO1n0QQGx9kKbO0_M5gmuhXZ6-LaxQxgrmJnzgP0"",""'TP# look up'!A:C""),3,0),"""")"),"")</f>
        <v/>
      </c>
      <c r="AH6913" s="49" t="str">
        <f t="shared" si="107"/>
        <v/>
      </c>
    </row>
    <row r="6914" spans="8:34" ht="12.75">
      <c r="H6914" s="43"/>
      <c r="AG6914" s="49" t="str">
        <f ca="1">IFERROR(__xludf.DUMMYFUNCTION("IFNA(vlookup(H6914,IMPORTRANGE(""1vUGwO1n0QQGx9kKbO0_M5gmuhXZ6-LaxQxgrmJnzgP0"",""'TP# look up'!A:C""),3,0),"""")"),"")</f>
        <v/>
      </c>
      <c r="AH6914" s="49" t="str">
        <f t="shared" ref="AH6914:AH6977" si="108">LEFT(J6914,2)</f>
        <v/>
      </c>
    </row>
    <row r="6915" spans="8:34" ht="12.75">
      <c r="H6915" s="43"/>
      <c r="AG6915" s="49" t="str">
        <f ca="1">IFERROR(__xludf.DUMMYFUNCTION("IFNA(vlookup(H6915,IMPORTRANGE(""1vUGwO1n0QQGx9kKbO0_M5gmuhXZ6-LaxQxgrmJnzgP0"",""'TP# look up'!A:C""),3,0),"""")"),"")</f>
        <v/>
      </c>
      <c r="AH6915" s="49" t="str">
        <f t="shared" si="108"/>
        <v/>
      </c>
    </row>
    <row r="6916" spans="8:34" ht="12.75">
      <c r="H6916" s="43"/>
      <c r="AG6916" s="49" t="str">
        <f ca="1">IFERROR(__xludf.DUMMYFUNCTION("IFNA(vlookup(H6916,IMPORTRANGE(""1vUGwO1n0QQGx9kKbO0_M5gmuhXZ6-LaxQxgrmJnzgP0"",""'TP# look up'!A:C""),3,0),"""")"),"")</f>
        <v/>
      </c>
      <c r="AH6916" s="49" t="str">
        <f t="shared" si="108"/>
        <v/>
      </c>
    </row>
    <row r="6917" spans="8:34" ht="12.75">
      <c r="H6917" s="43"/>
      <c r="AG6917" s="49" t="str">
        <f ca="1">IFERROR(__xludf.DUMMYFUNCTION("IFNA(vlookup(H6917,IMPORTRANGE(""1vUGwO1n0QQGx9kKbO0_M5gmuhXZ6-LaxQxgrmJnzgP0"",""'TP# look up'!A:C""),3,0),"""")"),"")</f>
        <v/>
      </c>
      <c r="AH6917" s="49" t="str">
        <f t="shared" si="108"/>
        <v/>
      </c>
    </row>
    <row r="6918" spans="8:34" ht="12.75">
      <c r="H6918" s="43"/>
      <c r="AG6918" s="49" t="str">
        <f ca="1">IFERROR(__xludf.DUMMYFUNCTION("IFNA(vlookup(H6918,IMPORTRANGE(""1vUGwO1n0QQGx9kKbO0_M5gmuhXZ6-LaxQxgrmJnzgP0"",""'TP# look up'!A:C""),3,0),"""")"),"")</f>
        <v/>
      </c>
      <c r="AH6918" s="49" t="str">
        <f t="shared" si="108"/>
        <v/>
      </c>
    </row>
    <row r="6919" spans="8:34" ht="12.75">
      <c r="H6919" s="43"/>
      <c r="AG6919" s="49" t="str">
        <f ca="1">IFERROR(__xludf.DUMMYFUNCTION("IFNA(vlookup(H6919,IMPORTRANGE(""1vUGwO1n0QQGx9kKbO0_M5gmuhXZ6-LaxQxgrmJnzgP0"",""'TP# look up'!A:C""),3,0),"""")"),"")</f>
        <v/>
      </c>
      <c r="AH6919" s="49" t="str">
        <f t="shared" si="108"/>
        <v/>
      </c>
    </row>
    <row r="6920" spans="8:34" ht="12.75">
      <c r="H6920" s="43"/>
      <c r="AG6920" s="49" t="str">
        <f ca="1">IFERROR(__xludf.DUMMYFUNCTION("IFNA(vlookup(H6920,IMPORTRANGE(""1vUGwO1n0QQGx9kKbO0_M5gmuhXZ6-LaxQxgrmJnzgP0"",""'TP# look up'!A:C""),3,0),"""")"),"")</f>
        <v/>
      </c>
      <c r="AH6920" s="49" t="str">
        <f t="shared" si="108"/>
        <v/>
      </c>
    </row>
    <row r="6921" spans="8:34" ht="12.75">
      <c r="H6921" s="43"/>
      <c r="AG6921" s="49" t="str">
        <f ca="1">IFERROR(__xludf.DUMMYFUNCTION("IFNA(vlookup(H6921,IMPORTRANGE(""1vUGwO1n0QQGx9kKbO0_M5gmuhXZ6-LaxQxgrmJnzgP0"",""'TP# look up'!A:C""),3,0),"""")"),"")</f>
        <v/>
      </c>
      <c r="AH6921" s="49" t="str">
        <f t="shared" si="108"/>
        <v/>
      </c>
    </row>
    <row r="6922" spans="8:34" ht="12.75">
      <c r="H6922" s="43"/>
      <c r="AG6922" s="49" t="str">
        <f ca="1">IFERROR(__xludf.DUMMYFUNCTION("IFNA(vlookup(H6922,IMPORTRANGE(""1vUGwO1n0QQGx9kKbO0_M5gmuhXZ6-LaxQxgrmJnzgP0"",""'TP# look up'!A:C""),3,0),"""")"),"")</f>
        <v/>
      </c>
      <c r="AH6922" s="49" t="str">
        <f t="shared" si="108"/>
        <v/>
      </c>
    </row>
    <row r="6923" spans="8:34" ht="12.75">
      <c r="H6923" s="43"/>
      <c r="AG6923" s="49" t="str">
        <f ca="1">IFERROR(__xludf.DUMMYFUNCTION("IFNA(vlookup(H6923,IMPORTRANGE(""1vUGwO1n0QQGx9kKbO0_M5gmuhXZ6-LaxQxgrmJnzgP0"",""'TP# look up'!A:C""),3,0),"""")"),"")</f>
        <v/>
      </c>
      <c r="AH6923" s="49" t="str">
        <f t="shared" si="108"/>
        <v/>
      </c>
    </row>
    <row r="6924" spans="8:34" ht="12.75">
      <c r="H6924" s="43"/>
      <c r="AG6924" s="49" t="str">
        <f ca="1">IFERROR(__xludf.DUMMYFUNCTION("IFNA(vlookup(H6924,IMPORTRANGE(""1vUGwO1n0QQGx9kKbO0_M5gmuhXZ6-LaxQxgrmJnzgP0"",""'TP# look up'!A:C""),3,0),"""")"),"")</f>
        <v/>
      </c>
      <c r="AH6924" s="49" t="str">
        <f t="shared" si="108"/>
        <v/>
      </c>
    </row>
    <row r="6925" spans="8:34" ht="12.75">
      <c r="H6925" s="43"/>
      <c r="AG6925" s="49" t="str">
        <f ca="1">IFERROR(__xludf.DUMMYFUNCTION("IFNA(vlookup(H6925,IMPORTRANGE(""1vUGwO1n0QQGx9kKbO0_M5gmuhXZ6-LaxQxgrmJnzgP0"",""'TP# look up'!A:C""),3,0),"""")"),"")</f>
        <v/>
      </c>
      <c r="AH6925" s="49" t="str">
        <f t="shared" si="108"/>
        <v/>
      </c>
    </row>
    <row r="6926" spans="8:34" ht="12.75">
      <c r="H6926" s="43"/>
      <c r="AG6926" s="49" t="str">
        <f ca="1">IFERROR(__xludf.DUMMYFUNCTION("IFNA(vlookup(H6926,IMPORTRANGE(""1vUGwO1n0QQGx9kKbO0_M5gmuhXZ6-LaxQxgrmJnzgP0"",""'TP# look up'!A:C""),3,0),"""")"),"")</f>
        <v/>
      </c>
      <c r="AH6926" s="49" t="str">
        <f t="shared" si="108"/>
        <v/>
      </c>
    </row>
    <row r="6927" spans="8:34" ht="12.75">
      <c r="H6927" s="43"/>
      <c r="AG6927" s="49" t="str">
        <f ca="1">IFERROR(__xludf.DUMMYFUNCTION("IFNA(vlookup(H6927,IMPORTRANGE(""1vUGwO1n0QQGx9kKbO0_M5gmuhXZ6-LaxQxgrmJnzgP0"",""'TP# look up'!A:C""),3,0),"""")"),"")</f>
        <v/>
      </c>
      <c r="AH6927" s="49" t="str">
        <f t="shared" si="108"/>
        <v/>
      </c>
    </row>
    <row r="6928" spans="8:34" ht="12.75">
      <c r="H6928" s="43"/>
      <c r="AG6928" s="49" t="str">
        <f ca="1">IFERROR(__xludf.DUMMYFUNCTION("IFNA(vlookup(H6928,IMPORTRANGE(""1vUGwO1n0QQGx9kKbO0_M5gmuhXZ6-LaxQxgrmJnzgP0"",""'TP# look up'!A:C""),3,0),"""")"),"")</f>
        <v/>
      </c>
      <c r="AH6928" s="49" t="str">
        <f t="shared" si="108"/>
        <v/>
      </c>
    </row>
    <row r="6929" spans="8:34" ht="12.75">
      <c r="H6929" s="43"/>
      <c r="AG6929" s="49" t="str">
        <f ca="1">IFERROR(__xludf.DUMMYFUNCTION("IFNA(vlookup(H6929,IMPORTRANGE(""1vUGwO1n0QQGx9kKbO0_M5gmuhXZ6-LaxQxgrmJnzgP0"",""'TP# look up'!A:C""),3,0),"""")"),"")</f>
        <v/>
      </c>
      <c r="AH6929" s="49" t="str">
        <f t="shared" si="108"/>
        <v/>
      </c>
    </row>
    <row r="6930" spans="8:34" ht="12.75">
      <c r="H6930" s="43"/>
      <c r="AG6930" s="49" t="str">
        <f ca="1">IFERROR(__xludf.DUMMYFUNCTION("IFNA(vlookup(H6930,IMPORTRANGE(""1vUGwO1n0QQGx9kKbO0_M5gmuhXZ6-LaxQxgrmJnzgP0"",""'TP# look up'!A:C""),3,0),"""")"),"")</f>
        <v/>
      </c>
      <c r="AH6930" s="49" t="str">
        <f t="shared" si="108"/>
        <v/>
      </c>
    </row>
    <row r="6931" spans="8:34" ht="12.75">
      <c r="H6931" s="43"/>
      <c r="AG6931" s="49" t="str">
        <f ca="1">IFERROR(__xludf.DUMMYFUNCTION("IFNA(vlookup(H6931,IMPORTRANGE(""1vUGwO1n0QQGx9kKbO0_M5gmuhXZ6-LaxQxgrmJnzgP0"",""'TP# look up'!A:C""),3,0),"""")"),"")</f>
        <v/>
      </c>
      <c r="AH6931" s="49" t="str">
        <f t="shared" si="108"/>
        <v/>
      </c>
    </row>
    <row r="6932" spans="8:34" ht="12.75">
      <c r="H6932" s="43"/>
      <c r="AG6932" s="49" t="str">
        <f ca="1">IFERROR(__xludf.DUMMYFUNCTION("IFNA(vlookup(H6932,IMPORTRANGE(""1vUGwO1n0QQGx9kKbO0_M5gmuhXZ6-LaxQxgrmJnzgP0"",""'TP# look up'!A:C""),3,0),"""")"),"")</f>
        <v/>
      </c>
      <c r="AH6932" s="49" t="str">
        <f t="shared" si="108"/>
        <v/>
      </c>
    </row>
    <row r="6933" spans="8:34" ht="12.75">
      <c r="H6933" s="43"/>
      <c r="AG6933" s="49" t="str">
        <f ca="1">IFERROR(__xludf.DUMMYFUNCTION("IFNA(vlookup(H6933,IMPORTRANGE(""1vUGwO1n0QQGx9kKbO0_M5gmuhXZ6-LaxQxgrmJnzgP0"",""'TP# look up'!A:C""),3,0),"""")"),"")</f>
        <v/>
      </c>
      <c r="AH6933" s="49" t="str">
        <f t="shared" si="108"/>
        <v/>
      </c>
    </row>
    <row r="6934" spans="8:34" ht="12.75">
      <c r="H6934" s="43"/>
      <c r="AG6934" s="49" t="str">
        <f ca="1">IFERROR(__xludf.DUMMYFUNCTION("IFNA(vlookup(H6934,IMPORTRANGE(""1vUGwO1n0QQGx9kKbO0_M5gmuhXZ6-LaxQxgrmJnzgP0"",""'TP# look up'!A:C""),3,0),"""")"),"")</f>
        <v/>
      </c>
      <c r="AH6934" s="49" t="str">
        <f t="shared" si="108"/>
        <v/>
      </c>
    </row>
    <row r="6935" spans="8:34" ht="12.75">
      <c r="H6935" s="43"/>
      <c r="AG6935" s="49" t="str">
        <f ca="1">IFERROR(__xludf.DUMMYFUNCTION("IFNA(vlookup(H6935,IMPORTRANGE(""1vUGwO1n0QQGx9kKbO0_M5gmuhXZ6-LaxQxgrmJnzgP0"",""'TP# look up'!A:C""),3,0),"""")"),"")</f>
        <v/>
      </c>
      <c r="AH6935" s="49" t="str">
        <f t="shared" si="108"/>
        <v/>
      </c>
    </row>
    <row r="6936" spans="8:34" ht="12.75">
      <c r="H6936" s="43"/>
      <c r="AG6936" s="49" t="str">
        <f ca="1">IFERROR(__xludf.DUMMYFUNCTION("IFNA(vlookup(H6936,IMPORTRANGE(""1vUGwO1n0QQGx9kKbO0_M5gmuhXZ6-LaxQxgrmJnzgP0"",""'TP# look up'!A:C""),3,0),"""")"),"")</f>
        <v/>
      </c>
      <c r="AH6936" s="49" t="str">
        <f t="shared" si="108"/>
        <v/>
      </c>
    </row>
    <row r="6937" spans="8:34" ht="12.75">
      <c r="H6937" s="43"/>
      <c r="AG6937" s="49" t="str">
        <f ca="1">IFERROR(__xludf.DUMMYFUNCTION("IFNA(vlookup(H6937,IMPORTRANGE(""1vUGwO1n0QQGx9kKbO0_M5gmuhXZ6-LaxQxgrmJnzgP0"",""'TP# look up'!A:C""),3,0),"""")"),"")</f>
        <v/>
      </c>
      <c r="AH6937" s="49" t="str">
        <f t="shared" si="108"/>
        <v/>
      </c>
    </row>
    <row r="6938" spans="8:34" ht="12.75">
      <c r="H6938" s="43"/>
      <c r="AG6938" s="49" t="str">
        <f ca="1">IFERROR(__xludf.DUMMYFUNCTION("IFNA(vlookup(H6938,IMPORTRANGE(""1vUGwO1n0QQGx9kKbO0_M5gmuhXZ6-LaxQxgrmJnzgP0"",""'TP# look up'!A:C""),3,0),"""")"),"")</f>
        <v/>
      </c>
      <c r="AH6938" s="49" t="str">
        <f t="shared" si="108"/>
        <v/>
      </c>
    </row>
    <row r="6939" spans="8:34" ht="12.75">
      <c r="H6939" s="43"/>
      <c r="AG6939" s="49" t="str">
        <f ca="1">IFERROR(__xludf.DUMMYFUNCTION("IFNA(vlookup(H6939,IMPORTRANGE(""1vUGwO1n0QQGx9kKbO0_M5gmuhXZ6-LaxQxgrmJnzgP0"",""'TP# look up'!A:C""),3,0),"""")"),"")</f>
        <v/>
      </c>
      <c r="AH6939" s="49" t="str">
        <f t="shared" si="108"/>
        <v/>
      </c>
    </row>
    <row r="6940" spans="8:34" ht="12.75">
      <c r="H6940" s="43"/>
      <c r="AG6940" s="49" t="str">
        <f ca="1">IFERROR(__xludf.DUMMYFUNCTION("IFNA(vlookup(H6940,IMPORTRANGE(""1vUGwO1n0QQGx9kKbO0_M5gmuhXZ6-LaxQxgrmJnzgP0"",""'TP# look up'!A:C""),3,0),"""")"),"")</f>
        <v/>
      </c>
      <c r="AH6940" s="49" t="str">
        <f t="shared" si="108"/>
        <v/>
      </c>
    </row>
    <row r="6941" spans="8:34" ht="12.75">
      <c r="H6941" s="43"/>
      <c r="AG6941" s="49" t="str">
        <f ca="1">IFERROR(__xludf.DUMMYFUNCTION("IFNA(vlookup(H6941,IMPORTRANGE(""1vUGwO1n0QQGx9kKbO0_M5gmuhXZ6-LaxQxgrmJnzgP0"",""'TP# look up'!A:C""),3,0),"""")"),"")</f>
        <v/>
      </c>
      <c r="AH6941" s="49" t="str">
        <f t="shared" si="108"/>
        <v/>
      </c>
    </row>
    <row r="6942" spans="8:34" ht="12.75">
      <c r="H6942" s="43"/>
      <c r="AG6942" s="49" t="str">
        <f ca="1">IFERROR(__xludf.DUMMYFUNCTION("IFNA(vlookup(H6942,IMPORTRANGE(""1vUGwO1n0QQGx9kKbO0_M5gmuhXZ6-LaxQxgrmJnzgP0"",""'TP# look up'!A:C""),3,0),"""")"),"")</f>
        <v/>
      </c>
      <c r="AH6942" s="49" t="str">
        <f t="shared" si="108"/>
        <v/>
      </c>
    </row>
    <row r="6943" spans="8:34" ht="12.75">
      <c r="H6943" s="43"/>
      <c r="AG6943" s="49" t="str">
        <f ca="1">IFERROR(__xludf.DUMMYFUNCTION("IFNA(vlookup(H6943,IMPORTRANGE(""1vUGwO1n0QQGx9kKbO0_M5gmuhXZ6-LaxQxgrmJnzgP0"",""'TP# look up'!A:C""),3,0),"""")"),"")</f>
        <v/>
      </c>
      <c r="AH6943" s="49" t="str">
        <f t="shared" si="108"/>
        <v/>
      </c>
    </row>
    <row r="6944" spans="8:34" ht="12.75">
      <c r="H6944" s="43"/>
      <c r="AG6944" s="49" t="str">
        <f ca="1">IFERROR(__xludf.DUMMYFUNCTION("IFNA(vlookup(H6944,IMPORTRANGE(""1vUGwO1n0QQGx9kKbO0_M5gmuhXZ6-LaxQxgrmJnzgP0"",""'TP# look up'!A:C""),3,0),"""")"),"")</f>
        <v/>
      </c>
      <c r="AH6944" s="49" t="str">
        <f t="shared" si="108"/>
        <v/>
      </c>
    </row>
    <row r="6945" spans="8:34" ht="12.75">
      <c r="H6945" s="43"/>
      <c r="AG6945" s="49" t="str">
        <f ca="1">IFERROR(__xludf.DUMMYFUNCTION("IFNA(vlookup(H6945,IMPORTRANGE(""1vUGwO1n0QQGx9kKbO0_M5gmuhXZ6-LaxQxgrmJnzgP0"",""'TP# look up'!A:C""),3,0),"""")"),"")</f>
        <v/>
      </c>
      <c r="AH6945" s="49" t="str">
        <f t="shared" si="108"/>
        <v/>
      </c>
    </row>
    <row r="6946" spans="8:34" ht="12.75">
      <c r="H6946" s="43"/>
      <c r="AG6946" s="49" t="str">
        <f ca="1">IFERROR(__xludf.DUMMYFUNCTION("IFNA(vlookup(H6946,IMPORTRANGE(""1vUGwO1n0QQGx9kKbO0_M5gmuhXZ6-LaxQxgrmJnzgP0"",""'TP# look up'!A:C""),3,0),"""")"),"")</f>
        <v/>
      </c>
      <c r="AH6946" s="49" t="str">
        <f t="shared" si="108"/>
        <v/>
      </c>
    </row>
    <row r="6947" spans="8:34" ht="12.75">
      <c r="H6947" s="43"/>
      <c r="AG6947" s="49" t="str">
        <f ca="1">IFERROR(__xludf.DUMMYFUNCTION("IFNA(vlookup(H6947,IMPORTRANGE(""1vUGwO1n0QQGx9kKbO0_M5gmuhXZ6-LaxQxgrmJnzgP0"",""'TP# look up'!A:C""),3,0),"""")"),"")</f>
        <v/>
      </c>
      <c r="AH6947" s="49" t="str">
        <f t="shared" si="108"/>
        <v/>
      </c>
    </row>
    <row r="6948" spans="8:34" ht="12.75">
      <c r="H6948" s="43"/>
      <c r="AG6948" s="49" t="str">
        <f ca="1">IFERROR(__xludf.DUMMYFUNCTION("IFNA(vlookup(H6948,IMPORTRANGE(""1vUGwO1n0QQGx9kKbO0_M5gmuhXZ6-LaxQxgrmJnzgP0"",""'TP# look up'!A:C""),3,0),"""")"),"")</f>
        <v/>
      </c>
      <c r="AH6948" s="49" t="str">
        <f t="shared" si="108"/>
        <v/>
      </c>
    </row>
    <row r="6949" spans="8:34" ht="12.75">
      <c r="H6949" s="43"/>
      <c r="AG6949" s="49" t="str">
        <f ca="1">IFERROR(__xludf.DUMMYFUNCTION("IFNA(vlookup(H6949,IMPORTRANGE(""1vUGwO1n0QQGx9kKbO0_M5gmuhXZ6-LaxQxgrmJnzgP0"",""'TP# look up'!A:C""),3,0),"""")"),"")</f>
        <v/>
      </c>
      <c r="AH6949" s="49" t="str">
        <f t="shared" si="108"/>
        <v/>
      </c>
    </row>
    <row r="6950" spans="8:34" ht="12.75">
      <c r="H6950" s="43"/>
      <c r="AG6950" s="49" t="str">
        <f ca="1">IFERROR(__xludf.DUMMYFUNCTION("IFNA(vlookup(H6950,IMPORTRANGE(""1vUGwO1n0QQGx9kKbO0_M5gmuhXZ6-LaxQxgrmJnzgP0"",""'TP# look up'!A:C""),3,0),"""")"),"")</f>
        <v/>
      </c>
      <c r="AH6950" s="49" t="str">
        <f t="shared" si="108"/>
        <v/>
      </c>
    </row>
    <row r="6951" spans="8:34" ht="12.75">
      <c r="H6951" s="43"/>
      <c r="AG6951" s="49" t="str">
        <f ca="1">IFERROR(__xludf.DUMMYFUNCTION("IFNA(vlookup(H6951,IMPORTRANGE(""1vUGwO1n0QQGx9kKbO0_M5gmuhXZ6-LaxQxgrmJnzgP0"",""'TP# look up'!A:C""),3,0),"""")"),"")</f>
        <v/>
      </c>
      <c r="AH6951" s="49" t="str">
        <f t="shared" si="108"/>
        <v/>
      </c>
    </row>
    <row r="6952" spans="8:34" ht="12.75">
      <c r="H6952" s="43"/>
      <c r="AG6952" s="49" t="str">
        <f ca="1">IFERROR(__xludf.DUMMYFUNCTION("IFNA(vlookup(H6952,IMPORTRANGE(""1vUGwO1n0QQGx9kKbO0_M5gmuhXZ6-LaxQxgrmJnzgP0"",""'TP# look up'!A:C""),3,0),"""")"),"")</f>
        <v/>
      </c>
      <c r="AH6952" s="49" t="str">
        <f t="shared" si="108"/>
        <v/>
      </c>
    </row>
    <row r="6953" spans="8:34" ht="12.75">
      <c r="H6953" s="43"/>
      <c r="AG6953" s="49" t="str">
        <f ca="1">IFERROR(__xludf.DUMMYFUNCTION("IFNA(vlookup(H6953,IMPORTRANGE(""1vUGwO1n0QQGx9kKbO0_M5gmuhXZ6-LaxQxgrmJnzgP0"",""'TP# look up'!A:C""),3,0),"""")"),"")</f>
        <v/>
      </c>
      <c r="AH6953" s="49" t="str">
        <f t="shared" si="108"/>
        <v/>
      </c>
    </row>
    <row r="6954" spans="8:34" ht="12.75">
      <c r="H6954" s="43"/>
      <c r="AG6954" s="49" t="str">
        <f ca="1">IFERROR(__xludf.DUMMYFUNCTION("IFNA(vlookup(H6954,IMPORTRANGE(""1vUGwO1n0QQGx9kKbO0_M5gmuhXZ6-LaxQxgrmJnzgP0"",""'TP# look up'!A:C""),3,0),"""")"),"")</f>
        <v/>
      </c>
      <c r="AH6954" s="49" t="str">
        <f t="shared" si="108"/>
        <v/>
      </c>
    </row>
    <row r="6955" spans="8:34" ht="12.75">
      <c r="H6955" s="43"/>
      <c r="AG6955" s="49" t="str">
        <f ca="1">IFERROR(__xludf.DUMMYFUNCTION("IFNA(vlookup(H6955,IMPORTRANGE(""1vUGwO1n0QQGx9kKbO0_M5gmuhXZ6-LaxQxgrmJnzgP0"",""'TP# look up'!A:C""),3,0),"""")"),"")</f>
        <v/>
      </c>
      <c r="AH6955" s="49" t="str">
        <f t="shared" si="108"/>
        <v/>
      </c>
    </row>
    <row r="6956" spans="8:34" ht="12.75">
      <c r="H6956" s="43"/>
      <c r="AG6956" s="49" t="str">
        <f ca="1">IFERROR(__xludf.DUMMYFUNCTION("IFNA(vlookup(H6956,IMPORTRANGE(""1vUGwO1n0QQGx9kKbO0_M5gmuhXZ6-LaxQxgrmJnzgP0"",""'TP# look up'!A:C""),3,0),"""")"),"")</f>
        <v/>
      </c>
      <c r="AH6956" s="49" t="str">
        <f t="shared" si="108"/>
        <v/>
      </c>
    </row>
    <row r="6957" spans="8:34" ht="12.75">
      <c r="H6957" s="43"/>
      <c r="AG6957" s="49" t="str">
        <f ca="1">IFERROR(__xludf.DUMMYFUNCTION("IFNA(vlookup(H6957,IMPORTRANGE(""1vUGwO1n0QQGx9kKbO0_M5gmuhXZ6-LaxQxgrmJnzgP0"",""'TP# look up'!A:C""),3,0),"""")"),"")</f>
        <v/>
      </c>
      <c r="AH6957" s="49" t="str">
        <f t="shared" si="108"/>
        <v/>
      </c>
    </row>
    <row r="6958" spans="8:34" ht="12.75">
      <c r="H6958" s="43"/>
      <c r="AG6958" s="49" t="str">
        <f ca="1">IFERROR(__xludf.DUMMYFUNCTION("IFNA(vlookup(H6958,IMPORTRANGE(""1vUGwO1n0QQGx9kKbO0_M5gmuhXZ6-LaxQxgrmJnzgP0"",""'TP# look up'!A:C""),3,0),"""")"),"")</f>
        <v/>
      </c>
      <c r="AH6958" s="49" t="str">
        <f t="shared" si="108"/>
        <v/>
      </c>
    </row>
    <row r="6959" spans="8:34" ht="12.75">
      <c r="H6959" s="43"/>
      <c r="AG6959" s="49" t="str">
        <f ca="1">IFERROR(__xludf.DUMMYFUNCTION("IFNA(vlookup(H6959,IMPORTRANGE(""1vUGwO1n0QQGx9kKbO0_M5gmuhXZ6-LaxQxgrmJnzgP0"",""'TP# look up'!A:C""),3,0),"""")"),"")</f>
        <v/>
      </c>
      <c r="AH6959" s="49" t="str">
        <f t="shared" si="108"/>
        <v/>
      </c>
    </row>
    <row r="6960" spans="8:34" ht="12.75">
      <c r="H6960" s="43"/>
      <c r="AG6960" s="49" t="str">
        <f ca="1">IFERROR(__xludf.DUMMYFUNCTION("IFNA(vlookup(H6960,IMPORTRANGE(""1vUGwO1n0QQGx9kKbO0_M5gmuhXZ6-LaxQxgrmJnzgP0"",""'TP# look up'!A:C""),3,0),"""")"),"")</f>
        <v/>
      </c>
      <c r="AH6960" s="49" t="str">
        <f t="shared" si="108"/>
        <v/>
      </c>
    </row>
    <row r="6961" spans="8:34" ht="12.75">
      <c r="H6961" s="43"/>
      <c r="AG6961" s="49" t="str">
        <f ca="1">IFERROR(__xludf.DUMMYFUNCTION("IFNA(vlookup(H6961,IMPORTRANGE(""1vUGwO1n0QQGx9kKbO0_M5gmuhXZ6-LaxQxgrmJnzgP0"",""'TP# look up'!A:C""),3,0),"""")"),"")</f>
        <v/>
      </c>
      <c r="AH6961" s="49" t="str">
        <f t="shared" si="108"/>
        <v/>
      </c>
    </row>
    <row r="6962" spans="8:34" ht="12.75">
      <c r="H6962" s="43"/>
      <c r="AG6962" s="49" t="str">
        <f ca="1">IFERROR(__xludf.DUMMYFUNCTION("IFNA(vlookup(H6962,IMPORTRANGE(""1vUGwO1n0QQGx9kKbO0_M5gmuhXZ6-LaxQxgrmJnzgP0"",""'TP# look up'!A:C""),3,0),"""")"),"")</f>
        <v/>
      </c>
      <c r="AH6962" s="49" t="str">
        <f t="shared" si="108"/>
        <v/>
      </c>
    </row>
    <row r="6963" spans="8:34" ht="12.75">
      <c r="H6963" s="43"/>
      <c r="AG6963" s="49" t="str">
        <f ca="1">IFERROR(__xludf.DUMMYFUNCTION("IFNA(vlookup(H6963,IMPORTRANGE(""1vUGwO1n0QQGx9kKbO0_M5gmuhXZ6-LaxQxgrmJnzgP0"",""'TP# look up'!A:C""),3,0),"""")"),"")</f>
        <v/>
      </c>
      <c r="AH6963" s="49" t="str">
        <f t="shared" si="108"/>
        <v/>
      </c>
    </row>
    <row r="6964" spans="8:34" ht="12.75">
      <c r="H6964" s="43"/>
      <c r="AG6964" s="49" t="str">
        <f ca="1">IFERROR(__xludf.DUMMYFUNCTION("IFNA(vlookup(H6964,IMPORTRANGE(""1vUGwO1n0QQGx9kKbO0_M5gmuhXZ6-LaxQxgrmJnzgP0"",""'TP# look up'!A:C""),3,0),"""")"),"")</f>
        <v/>
      </c>
      <c r="AH6964" s="49" t="str">
        <f t="shared" si="108"/>
        <v/>
      </c>
    </row>
    <row r="6965" spans="8:34" ht="12.75">
      <c r="H6965" s="43"/>
      <c r="AG6965" s="49" t="str">
        <f ca="1">IFERROR(__xludf.DUMMYFUNCTION("IFNA(vlookup(H6965,IMPORTRANGE(""1vUGwO1n0QQGx9kKbO0_M5gmuhXZ6-LaxQxgrmJnzgP0"",""'TP# look up'!A:C""),3,0),"""")"),"")</f>
        <v/>
      </c>
      <c r="AH6965" s="49" t="str">
        <f t="shared" si="108"/>
        <v/>
      </c>
    </row>
    <row r="6966" spans="8:34" ht="12.75">
      <c r="H6966" s="43"/>
      <c r="AG6966" s="49" t="str">
        <f ca="1">IFERROR(__xludf.DUMMYFUNCTION("IFNA(vlookup(H6966,IMPORTRANGE(""1vUGwO1n0QQGx9kKbO0_M5gmuhXZ6-LaxQxgrmJnzgP0"",""'TP# look up'!A:C""),3,0),"""")"),"")</f>
        <v/>
      </c>
      <c r="AH6966" s="49" t="str">
        <f t="shared" si="108"/>
        <v/>
      </c>
    </row>
    <row r="6967" spans="8:34" ht="12.75">
      <c r="H6967" s="43"/>
      <c r="AG6967" s="49" t="str">
        <f ca="1">IFERROR(__xludf.DUMMYFUNCTION("IFNA(vlookup(H6967,IMPORTRANGE(""1vUGwO1n0QQGx9kKbO0_M5gmuhXZ6-LaxQxgrmJnzgP0"",""'TP# look up'!A:C""),3,0),"""")"),"")</f>
        <v/>
      </c>
      <c r="AH6967" s="49" t="str">
        <f t="shared" si="108"/>
        <v/>
      </c>
    </row>
    <row r="6968" spans="8:34" ht="12.75">
      <c r="H6968" s="43"/>
      <c r="AG6968" s="49" t="str">
        <f ca="1">IFERROR(__xludf.DUMMYFUNCTION("IFNA(vlookup(H6968,IMPORTRANGE(""1vUGwO1n0QQGx9kKbO0_M5gmuhXZ6-LaxQxgrmJnzgP0"",""'TP# look up'!A:C""),3,0),"""")"),"")</f>
        <v/>
      </c>
      <c r="AH6968" s="49" t="str">
        <f t="shared" si="108"/>
        <v/>
      </c>
    </row>
    <row r="6969" spans="8:34" ht="12.75">
      <c r="H6969" s="43"/>
      <c r="AG6969" s="49" t="str">
        <f ca="1">IFERROR(__xludf.DUMMYFUNCTION("IFNA(vlookup(H6969,IMPORTRANGE(""1vUGwO1n0QQGx9kKbO0_M5gmuhXZ6-LaxQxgrmJnzgP0"",""'TP# look up'!A:C""),3,0),"""")"),"")</f>
        <v/>
      </c>
      <c r="AH6969" s="49" t="str">
        <f t="shared" si="108"/>
        <v/>
      </c>
    </row>
    <row r="6970" spans="8:34" ht="12.75">
      <c r="H6970" s="43"/>
      <c r="AG6970" s="49" t="str">
        <f ca="1">IFERROR(__xludf.DUMMYFUNCTION("IFNA(vlookup(H6970,IMPORTRANGE(""1vUGwO1n0QQGx9kKbO0_M5gmuhXZ6-LaxQxgrmJnzgP0"",""'TP# look up'!A:C""),3,0),"""")"),"")</f>
        <v/>
      </c>
      <c r="AH6970" s="49" t="str">
        <f t="shared" si="108"/>
        <v/>
      </c>
    </row>
    <row r="6971" spans="8:34" ht="12.75">
      <c r="H6971" s="43"/>
      <c r="AG6971" s="49" t="str">
        <f ca="1">IFERROR(__xludf.DUMMYFUNCTION("IFNA(vlookup(H6971,IMPORTRANGE(""1vUGwO1n0QQGx9kKbO0_M5gmuhXZ6-LaxQxgrmJnzgP0"",""'TP# look up'!A:C""),3,0),"""")"),"")</f>
        <v/>
      </c>
      <c r="AH6971" s="49" t="str">
        <f t="shared" si="108"/>
        <v/>
      </c>
    </row>
    <row r="6972" spans="8:34" ht="12.75">
      <c r="H6972" s="43"/>
      <c r="AG6972" s="49" t="str">
        <f ca="1">IFERROR(__xludf.DUMMYFUNCTION("IFNA(vlookup(H6972,IMPORTRANGE(""1vUGwO1n0QQGx9kKbO0_M5gmuhXZ6-LaxQxgrmJnzgP0"",""'TP# look up'!A:C""),3,0),"""")"),"")</f>
        <v/>
      </c>
      <c r="AH6972" s="49" t="str">
        <f t="shared" si="108"/>
        <v/>
      </c>
    </row>
    <row r="6973" spans="8:34" ht="12.75">
      <c r="H6973" s="43"/>
      <c r="AG6973" s="49" t="str">
        <f ca="1">IFERROR(__xludf.DUMMYFUNCTION("IFNA(vlookup(H6973,IMPORTRANGE(""1vUGwO1n0QQGx9kKbO0_M5gmuhXZ6-LaxQxgrmJnzgP0"",""'TP# look up'!A:C""),3,0),"""")"),"")</f>
        <v/>
      </c>
      <c r="AH6973" s="49" t="str">
        <f t="shared" si="108"/>
        <v/>
      </c>
    </row>
    <row r="6974" spans="8:34" ht="12.75">
      <c r="H6974" s="43"/>
      <c r="AG6974" s="49" t="str">
        <f ca="1">IFERROR(__xludf.DUMMYFUNCTION("IFNA(vlookup(H6974,IMPORTRANGE(""1vUGwO1n0QQGx9kKbO0_M5gmuhXZ6-LaxQxgrmJnzgP0"",""'TP# look up'!A:C""),3,0),"""")"),"")</f>
        <v/>
      </c>
      <c r="AH6974" s="49" t="str">
        <f t="shared" si="108"/>
        <v/>
      </c>
    </row>
    <row r="6975" spans="8:34" ht="12.75">
      <c r="H6975" s="43"/>
      <c r="AG6975" s="49" t="str">
        <f ca="1">IFERROR(__xludf.DUMMYFUNCTION("IFNA(vlookup(H6975,IMPORTRANGE(""1vUGwO1n0QQGx9kKbO0_M5gmuhXZ6-LaxQxgrmJnzgP0"",""'TP# look up'!A:C""),3,0),"""")"),"")</f>
        <v/>
      </c>
      <c r="AH6975" s="49" t="str">
        <f t="shared" si="108"/>
        <v/>
      </c>
    </row>
    <row r="6976" spans="8:34" ht="12.75">
      <c r="H6976" s="43"/>
      <c r="AG6976" s="49" t="str">
        <f ca="1">IFERROR(__xludf.DUMMYFUNCTION("IFNA(vlookup(H6976,IMPORTRANGE(""1vUGwO1n0QQGx9kKbO0_M5gmuhXZ6-LaxQxgrmJnzgP0"",""'TP# look up'!A:C""),3,0),"""")"),"")</f>
        <v/>
      </c>
      <c r="AH6976" s="49" t="str">
        <f t="shared" si="108"/>
        <v/>
      </c>
    </row>
    <row r="6977" spans="8:34" ht="12.75">
      <c r="H6977" s="43"/>
      <c r="AG6977" s="49" t="str">
        <f ca="1">IFERROR(__xludf.DUMMYFUNCTION("IFNA(vlookup(H6977,IMPORTRANGE(""1vUGwO1n0QQGx9kKbO0_M5gmuhXZ6-LaxQxgrmJnzgP0"",""'TP# look up'!A:C""),3,0),"""")"),"")</f>
        <v/>
      </c>
      <c r="AH6977" s="49" t="str">
        <f t="shared" si="108"/>
        <v/>
      </c>
    </row>
    <row r="6978" spans="8:34" ht="12.75">
      <c r="H6978" s="43"/>
      <c r="AG6978" s="49" t="str">
        <f ca="1">IFERROR(__xludf.DUMMYFUNCTION("IFNA(vlookup(H6978,IMPORTRANGE(""1vUGwO1n0QQGx9kKbO0_M5gmuhXZ6-LaxQxgrmJnzgP0"",""'TP# look up'!A:C""),3,0),"""")"),"")</f>
        <v/>
      </c>
      <c r="AH6978" s="49" t="str">
        <f t="shared" ref="AH6978:AH7041" si="109">LEFT(J6978,2)</f>
        <v/>
      </c>
    </row>
    <row r="6979" spans="8:34" ht="12.75">
      <c r="H6979" s="43"/>
      <c r="AG6979" s="49" t="str">
        <f ca="1">IFERROR(__xludf.DUMMYFUNCTION("IFNA(vlookup(H6979,IMPORTRANGE(""1vUGwO1n0QQGx9kKbO0_M5gmuhXZ6-LaxQxgrmJnzgP0"",""'TP# look up'!A:C""),3,0),"""")"),"")</f>
        <v/>
      </c>
      <c r="AH6979" s="49" t="str">
        <f t="shared" si="109"/>
        <v/>
      </c>
    </row>
    <row r="6980" spans="8:34" ht="12.75">
      <c r="H6980" s="43"/>
      <c r="AG6980" s="49" t="str">
        <f ca="1">IFERROR(__xludf.DUMMYFUNCTION("IFNA(vlookup(H6980,IMPORTRANGE(""1vUGwO1n0QQGx9kKbO0_M5gmuhXZ6-LaxQxgrmJnzgP0"",""'TP# look up'!A:C""),3,0),"""")"),"")</f>
        <v/>
      </c>
      <c r="AH6980" s="49" t="str">
        <f t="shared" si="109"/>
        <v/>
      </c>
    </row>
    <row r="6981" spans="8:34" ht="12.75">
      <c r="H6981" s="43"/>
      <c r="AG6981" s="49" t="str">
        <f ca="1">IFERROR(__xludf.DUMMYFUNCTION("IFNA(vlookup(H6981,IMPORTRANGE(""1vUGwO1n0QQGx9kKbO0_M5gmuhXZ6-LaxQxgrmJnzgP0"",""'TP# look up'!A:C""),3,0),"""")"),"")</f>
        <v/>
      </c>
      <c r="AH6981" s="49" t="str">
        <f t="shared" si="109"/>
        <v/>
      </c>
    </row>
    <row r="6982" spans="8:34" ht="12.75">
      <c r="H6982" s="43"/>
      <c r="AG6982" s="49" t="str">
        <f ca="1">IFERROR(__xludf.DUMMYFUNCTION("IFNA(vlookup(H6982,IMPORTRANGE(""1vUGwO1n0QQGx9kKbO0_M5gmuhXZ6-LaxQxgrmJnzgP0"",""'TP# look up'!A:C""),3,0),"""")"),"")</f>
        <v/>
      </c>
      <c r="AH6982" s="49" t="str">
        <f t="shared" si="109"/>
        <v/>
      </c>
    </row>
    <row r="6983" spans="8:34" ht="12.75">
      <c r="H6983" s="43"/>
      <c r="AG6983" s="49" t="str">
        <f ca="1">IFERROR(__xludf.DUMMYFUNCTION("IFNA(vlookup(H6983,IMPORTRANGE(""1vUGwO1n0QQGx9kKbO0_M5gmuhXZ6-LaxQxgrmJnzgP0"",""'TP# look up'!A:C""),3,0),"""")"),"")</f>
        <v/>
      </c>
      <c r="AH6983" s="49" t="str">
        <f t="shared" si="109"/>
        <v/>
      </c>
    </row>
    <row r="6984" spans="8:34" ht="12.75">
      <c r="H6984" s="43"/>
      <c r="AG6984" s="49" t="str">
        <f ca="1">IFERROR(__xludf.DUMMYFUNCTION("IFNA(vlookup(H6984,IMPORTRANGE(""1vUGwO1n0QQGx9kKbO0_M5gmuhXZ6-LaxQxgrmJnzgP0"",""'TP# look up'!A:C""),3,0),"""")"),"")</f>
        <v/>
      </c>
      <c r="AH6984" s="49" t="str">
        <f t="shared" si="109"/>
        <v/>
      </c>
    </row>
    <row r="6985" spans="8:34" ht="12.75">
      <c r="H6985" s="43"/>
      <c r="AG6985" s="49" t="str">
        <f ca="1">IFERROR(__xludf.DUMMYFUNCTION("IFNA(vlookup(H6985,IMPORTRANGE(""1vUGwO1n0QQGx9kKbO0_M5gmuhXZ6-LaxQxgrmJnzgP0"",""'TP# look up'!A:C""),3,0),"""")"),"")</f>
        <v/>
      </c>
      <c r="AH6985" s="49" t="str">
        <f t="shared" si="109"/>
        <v/>
      </c>
    </row>
    <row r="6986" spans="8:34" ht="12.75">
      <c r="H6986" s="43"/>
      <c r="AG6986" s="49" t="str">
        <f ca="1">IFERROR(__xludf.DUMMYFUNCTION("IFNA(vlookup(H6986,IMPORTRANGE(""1vUGwO1n0QQGx9kKbO0_M5gmuhXZ6-LaxQxgrmJnzgP0"",""'TP# look up'!A:C""),3,0),"""")"),"")</f>
        <v/>
      </c>
      <c r="AH6986" s="49" t="str">
        <f t="shared" si="109"/>
        <v/>
      </c>
    </row>
    <row r="6987" spans="8:34" ht="12.75">
      <c r="H6987" s="43"/>
      <c r="AG6987" s="49" t="str">
        <f ca="1">IFERROR(__xludf.DUMMYFUNCTION("IFNA(vlookup(H6987,IMPORTRANGE(""1vUGwO1n0QQGx9kKbO0_M5gmuhXZ6-LaxQxgrmJnzgP0"",""'TP# look up'!A:C""),3,0),"""")"),"")</f>
        <v/>
      </c>
      <c r="AH6987" s="49" t="str">
        <f t="shared" si="109"/>
        <v/>
      </c>
    </row>
    <row r="6988" spans="8:34" ht="12.75">
      <c r="H6988" s="43"/>
      <c r="AG6988" s="49" t="str">
        <f ca="1">IFERROR(__xludf.DUMMYFUNCTION("IFNA(vlookup(H6988,IMPORTRANGE(""1vUGwO1n0QQGx9kKbO0_M5gmuhXZ6-LaxQxgrmJnzgP0"",""'TP# look up'!A:C""),3,0),"""")"),"")</f>
        <v/>
      </c>
      <c r="AH6988" s="49" t="str">
        <f t="shared" si="109"/>
        <v/>
      </c>
    </row>
    <row r="6989" spans="8:34" ht="12.75">
      <c r="H6989" s="43"/>
      <c r="AG6989" s="49" t="str">
        <f ca="1">IFERROR(__xludf.DUMMYFUNCTION("IFNA(vlookup(H6989,IMPORTRANGE(""1vUGwO1n0QQGx9kKbO0_M5gmuhXZ6-LaxQxgrmJnzgP0"",""'TP# look up'!A:C""),3,0),"""")"),"")</f>
        <v/>
      </c>
      <c r="AH6989" s="49" t="str">
        <f t="shared" si="109"/>
        <v/>
      </c>
    </row>
    <row r="6990" spans="8:34" ht="12.75">
      <c r="H6990" s="43"/>
      <c r="AG6990" s="49" t="str">
        <f ca="1">IFERROR(__xludf.DUMMYFUNCTION("IFNA(vlookup(H6990,IMPORTRANGE(""1vUGwO1n0QQGx9kKbO0_M5gmuhXZ6-LaxQxgrmJnzgP0"",""'TP# look up'!A:C""),3,0),"""")"),"")</f>
        <v/>
      </c>
      <c r="AH6990" s="49" t="str">
        <f t="shared" si="109"/>
        <v/>
      </c>
    </row>
    <row r="6991" spans="8:34" ht="12.75">
      <c r="H6991" s="43"/>
      <c r="AG6991" s="49" t="str">
        <f ca="1">IFERROR(__xludf.DUMMYFUNCTION("IFNA(vlookup(H6991,IMPORTRANGE(""1vUGwO1n0QQGx9kKbO0_M5gmuhXZ6-LaxQxgrmJnzgP0"",""'TP# look up'!A:C""),3,0),"""")"),"")</f>
        <v/>
      </c>
      <c r="AH6991" s="49" t="str">
        <f t="shared" si="109"/>
        <v/>
      </c>
    </row>
    <row r="6992" spans="8:34" ht="12.75">
      <c r="H6992" s="43"/>
      <c r="AG6992" s="49" t="str">
        <f ca="1">IFERROR(__xludf.DUMMYFUNCTION("IFNA(vlookup(H6992,IMPORTRANGE(""1vUGwO1n0QQGx9kKbO0_M5gmuhXZ6-LaxQxgrmJnzgP0"",""'TP# look up'!A:C""),3,0),"""")"),"")</f>
        <v/>
      </c>
      <c r="AH6992" s="49" t="str">
        <f t="shared" si="109"/>
        <v/>
      </c>
    </row>
    <row r="6993" spans="8:34" ht="12.75">
      <c r="H6993" s="43"/>
      <c r="AG6993" s="49" t="str">
        <f ca="1">IFERROR(__xludf.DUMMYFUNCTION("IFNA(vlookup(H6993,IMPORTRANGE(""1vUGwO1n0QQGx9kKbO0_M5gmuhXZ6-LaxQxgrmJnzgP0"",""'TP# look up'!A:C""),3,0),"""")"),"")</f>
        <v/>
      </c>
      <c r="AH6993" s="49" t="str">
        <f t="shared" si="109"/>
        <v/>
      </c>
    </row>
    <row r="6994" spans="8:34" ht="12.75">
      <c r="H6994" s="43"/>
      <c r="AG6994" s="49" t="str">
        <f ca="1">IFERROR(__xludf.DUMMYFUNCTION("IFNA(vlookup(H6994,IMPORTRANGE(""1vUGwO1n0QQGx9kKbO0_M5gmuhXZ6-LaxQxgrmJnzgP0"",""'TP# look up'!A:C""),3,0),"""")"),"")</f>
        <v/>
      </c>
      <c r="AH6994" s="49" t="str">
        <f t="shared" si="109"/>
        <v/>
      </c>
    </row>
    <row r="6995" spans="8:34" ht="12.75">
      <c r="H6995" s="43"/>
      <c r="AG6995" s="49" t="str">
        <f ca="1">IFERROR(__xludf.DUMMYFUNCTION("IFNA(vlookup(H6995,IMPORTRANGE(""1vUGwO1n0QQGx9kKbO0_M5gmuhXZ6-LaxQxgrmJnzgP0"",""'TP# look up'!A:C""),3,0),"""")"),"")</f>
        <v/>
      </c>
      <c r="AH6995" s="49" t="str">
        <f t="shared" si="109"/>
        <v/>
      </c>
    </row>
    <row r="6996" spans="8:34" ht="12.75">
      <c r="H6996" s="43"/>
      <c r="AG6996" s="49" t="str">
        <f ca="1">IFERROR(__xludf.DUMMYFUNCTION("IFNA(vlookup(H6996,IMPORTRANGE(""1vUGwO1n0QQGx9kKbO0_M5gmuhXZ6-LaxQxgrmJnzgP0"",""'TP# look up'!A:C""),3,0),"""")"),"")</f>
        <v/>
      </c>
      <c r="AH6996" s="49" t="str">
        <f t="shared" si="109"/>
        <v/>
      </c>
    </row>
    <row r="6997" spans="8:34" ht="12.75">
      <c r="H6997" s="43"/>
      <c r="AG6997" s="49" t="str">
        <f ca="1">IFERROR(__xludf.DUMMYFUNCTION("IFNA(vlookup(H6997,IMPORTRANGE(""1vUGwO1n0QQGx9kKbO0_M5gmuhXZ6-LaxQxgrmJnzgP0"",""'TP# look up'!A:C""),3,0),"""")"),"")</f>
        <v/>
      </c>
      <c r="AH6997" s="49" t="str">
        <f t="shared" si="109"/>
        <v/>
      </c>
    </row>
    <row r="6998" spans="8:34" ht="12.75">
      <c r="H6998" s="43"/>
      <c r="AG6998" s="49" t="str">
        <f ca="1">IFERROR(__xludf.DUMMYFUNCTION("IFNA(vlookup(H6998,IMPORTRANGE(""1vUGwO1n0QQGx9kKbO0_M5gmuhXZ6-LaxQxgrmJnzgP0"",""'TP# look up'!A:C""),3,0),"""")"),"")</f>
        <v/>
      </c>
      <c r="AH6998" s="49" t="str">
        <f t="shared" si="109"/>
        <v/>
      </c>
    </row>
    <row r="6999" spans="8:34" ht="12.75">
      <c r="H6999" s="43"/>
      <c r="AG6999" s="49" t="str">
        <f ca="1">IFERROR(__xludf.DUMMYFUNCTION("IFNA(vlookup(H6999,IMPORTRANGE(""1vUGwO1n0QQGx9kKbO0_M5gmuhXZ6-LaxQxgrmJnzgP0"",""'TP# look up'!A:C""),3,0),"""")"),"")</f>
        <v/>
      </c>
      <c r="AH6999" s="49" t="str">
        <f t="shared" si="109"/>
        <v/>
      </c>
    </row>
    <row r="7000" spans="8:34" ht="12.75">
      <c r="H7000" s="43"/>
      <c r="AG7000" s="49" t="str">
        <f ca="1">IFERROR(__xludf.DUMMYFUNCTION("IFNA(vlookup(H7000,IMPORTRANGE(""1vUGwO1n0QQGx9kKbO0_M5gmuhXZ6-LaxQxgrmJnzgP0"",""'TP# look up'!A:C""),3,0),"""")"),"")</f>
        <v/>
      </c>
      <c r="AH7000" s="49" t="str">
        <f t="shared" si="109"/>
        <v/>
      </c>
    </row>
    <row r="7001" spans="8:34" ht="12.75">
      <c r="H7001" s="43"/>
      <c r="AG7001" s="49" t="str">
        <f ca="1">IFERROR(__xludf.DUMMYFUNCTION("IFNA(vlookup(H7001,IMPORTRANGE(""1vUGwO1n0QQGx9kKbO0_M5gmuhXZ6-LaxQxgrmJnzgP0"",""'TP# look up'!A:C""),3,0),"""")"),"")</f>
        <v/>
      </c>
      <c r="AH7001" s="49" t="str">
        <f t="shared" si="109"/>
        <v/>
      </c>
    </row>
    <row r="7002" spans="8:34" ht="12.75">
      <c r="H7002" s="43"/>
      <c r="AG7002" s="49" t="str">
        <f ca="1">IFERROR(__xludf.DUMMYFUNCTION("IFNA(vlookup(H7002,IMPORTRANGE(""1vUGwO1n0QQGx9kKbO0_M5gmuhXZ6-LaxQxgrmJnzgP0"",""'TP# look up'!A:C""),3,0),"""")"),"")</f>
        <v/>
      </c>
      <c r="AH7002" s="49" t="str">
        <f t="shared" si="109"/>
        <v/>
      </c>
    </row>
    <row r="7003" spans="8:34" ht="12.75">
      <c r="H7003" s="43"/>
      <c r="AG7003" s="49" t="str">
        <f ca="1">IFERROR(__xludf.DUMMYFUNCTION("IFNA(vlookup(H7003,IMPORTRANGE(""1vUGwO1n0QQGx9kKbO0_M5gmuhXZ6-LaxQxgrmJnzgP0"",""'TP# look up'!A:C""),3,0),"""")"),"")</f>
        <v/>
      </c>
      <c r="AH7003" s="49" t="str">
        <f t="shared" si="109"/>
        <v/>
      </c>
    </row>
    <row r="7004" spans="8:34" ht="12.75">
      <c r="H7004" s="43"/>
      <c r="AG7004" s="49" t="str">
        <f ca="1">IFERROR(__xludf.DUMMYFUNCTION("IFNA(vlookup(H7004,IMPORTRANGE(""1vUGwO1n0QQGx9kKbO0_M5gmuhXZ6-LaxQxgrmJnzgP0"",""'TP# look up'!A:C""),3,0),"""")"),"")</f>
        <v/>
      </c>
      <c r="AH7004" s="49" t="str">
        <f t="shared" si="109"/>
        <v/>
      </c>
    </row>
    <row r="7005" spans="8:34" ht="12.75">
      <c r="H7005" s="43"/>
      <c r="AG7005" s="49" t="str">
        <f ca="1">IFERROR(__xludf.DUMMYFUNCTION("IFNA(vlookup(H7005,IMPORTRANGE(""1vUGwO1n0QQGx9kKbO0_M5gmuhXZ6-LaxQxgrmJnzgP0"",""'TP# look up'!A:C""),3,0),"""")"),"")</f>
        <v/>
      </c>
      <c r="AH7005" s="49" t="str">
        <f t="shared" si="109"/>
        <v/>
      </c>
    </row>
    <row r="7006" spans="8:34" ht="12.75">
      <c r="H7006" s="43"/>
      <c r="AG7006" s="49" t="str">
        <f ca="1">IFERROR(__xludf.DUMMYFUNCTION("IFNA(vlookup(H7006,IMPORTRANGE(""1vUGwO1n0QQGx9kKbO0_M5gmuhXZ6-LaxQxgrmJnzgP0"",""'TP# look up'!A:C""),3,0),"""")"),"")</f>
        <v/>
      </c>
      <c r="AH7006" s="49" t="str">
        <f t="shared" si="109"/>
        <v/>
      </c>
    </row>
    <row r="7007" spans="8:34" ht="12.75">
      <c r="H7007" s="43"/>
      <c r="AG7007" s="49" t="str">
        <f ca="1">IFERROR(__xludf.DUMMYFUNCTION("IFNA(vlookup(H7007,IMPORTRANGE(""1vUGwO1n0QQGx9kKbO0_M5gmuhXZ6-LaxQxgrmJnzgP0"",""'TP# look up'!A:C""),3,0),"""")"),"")</f>
        <v/>
      </c>
      <c r="AH7007" s="49" t="str">
        <f t="shared" si="109"/>
        <v/>
      </c>
    </row>
    <row r="7008" spans="8:34" ht="12.75">
      <c r="H7008" s="43"/>
      <c r="AG7008" s="49" t="str">
        <f ca="1">IFERROR(__xludf.DUMMYFUNCTION("IFNA(vlookup(H7008,IMPORTRANGE(""1vUGwO1n0QQGx9kKbO0_M5gmuhXZ6-LaxQxgrmJnzgP0"",""'TP# look up'!A:C""),3,0),"""")"),"")</f>
        <v/>
      </c>
      <c r="AH7008" s="49" t="str">
        <f t="shared" si="109"/>
        <v/>
      </c>
    </row>
    <row r="7009" spans="8:34" ht="12.75">
      <c r="H7009" s="43"/>
      <c r="AG7009" s="49" t="str">
        <f ca="1">IFERROR(__xludf.DUMMYFUNCTION("IFNA(vlookup(H7009,IMPORTRANGE(""1vUGwO1n0QQGx9kKbO0_M5gmuhXZ6-LaxQxgrmJnzgP0"",""'TP# look up'!A:C""),3,0),"""")"),"")</f>
        <v/>
      </c>
      <c r="AH7009" s="49" t="str">
        <f t="shared" si="109"/>
        <v/>
      </c>
    </row>
    <row r="7010" spans="8:34" ht="12.75">
      <c r="H7010" s="43"/>
      <c r="AG7010" s="49" t="str">
        <f ca="1">IFERROR(__xludf.DUMMYFUNCTION("IFNA(vlookup(H7010,IMPORTRANGE(""1vUGwO1n0QQGx9kKbO0_M5gmuhXZ6-LaxQxgrmJnzgP0"",""'TP# look up'!A:C""),3,0),"""")"),"")</f>
        <v/>
      </c>
      <c r="AH7010" s="49" t="str">
        <f t="shared" si="109"/>
        <v/>
      </c>
    </row>
    <row r="7011" spans="8:34" ht="12.75">
      <c r="H7011" s="43"/>
      <c r="AG7011" s="49" t="str">
        <f ca="1">IFERROR(__xludf.DUMMYFUNCTION("IFNA(vlookup(H7011,IMPORTRANGE(""1vUGwO1n0QQGx9kKbO0_M5gmuhXZ6-LaxQxgrmJnzgP0"",""'TP# look up'!A:C""),3,0),"""")"),"")</f>
        <v/>
      </c>
      <c r="AH7011" s="49" t="str">
        <f t="shared" si="109"/>
        <v/>
      </c>
    </row>
    <row r="7012" spans="8:34" ht="12.75">
      <c r="H7012" s="43"/>
      <c r="AG7012" s="49" t="str">
        <f ca="1">IFERROR(__xludf.DUMMYFUNCTION("IFNA(vlookup(H7012,IMPORTRANGE(""1vUGwO1n0QQGx9kKbO0_M5gmuhXZ6-LaxQxgrmJnzgP0"",""'TP# look up'!A:C""),3,0),"""")"),"")</f>
        <v/>
      </c>
      <c r="AH7012" s="49" t="str">
        <f t="shared" si="109"/>
        <v/>
      </c>
    </row>
    <row r="7013" spans="8:34" ht="12.75">
      <c r="H7013" s="43"/>
      <c r="AG7013" s="49" t="str">
        <f ca="1">IFERROR(__xludf.DUMMYFUNCTION("IFNA(vlookup(H7013,IMPORTRANGE(""1vUGwO1n0QQGx9kKbO0_M5gmuhXZ6-LaxQxgrmJnzgP0"",""'TP# look up'!A:C""),3,0),"""")"),"")</f>
        <v/>
      </c>
      <c r="AH7013" s="49" t="str">
        <f t="shared" si="109"/>
        <v/>
      </c>
    </row>
    <row r="7014" spans="8:34" ht="12.75">
      <c r="H7014" s="43"/>
      <c r="AG7014" s="49" t="str">
        <f ca="1">IFERROR(__xludf.DUMMYFUNCTION("IFNA(vlookup(H7014,IMPORTRANGE(""1vUGwO1n0QQGx9kKbO0_M5gmuhXZ6-LaxQxgrmJnzgP0"",""'TP# look up'!A:C""),3,0),"""")"),"")</f>
        <v/>
      </c>
      <c r="AH7014" s="49" t="str">
        <f t="shared" si="109"/>
        <v/>
      </c>
    </row>
    <row r="7015" spans="8:34" ht="12.75">
      <c r="H7015" s="43"/>
      <c r="AG7015" s="49" t="str">
        <f ca="1">IFERROR(__xludf.DUMMYFUNCTION("IFNA(vlookup(H7015,IMPORTRANGE(""1vUGwO1n0QQGx9kKbO0_M5gmuhXZ6-LaxQxgrmJnzgP0"",""'TP# look up'!A:C""),3,0),"""")"),"")</f>
        <v/>
      </c>
      <c r="AH7015" s="49" t="str">
        <f t="shared" si="109"/>
        <v/>
      </c>
    </row>
    <row r="7016" spans="8:34" ht="12.75">
      <c r="H7016" s="43"/>
      <c r="AG7016" s="49" t="str">
        <f ca="1">IFERROR(__xludf.DUMMYFUNCTION("IFNA(vlookup(H7016,IMPORTRANGE(""1vUGwO1n0QQGx9kKbO0_M5gmuhXZ6-LaxQxgrmJnzgP0"",""'TP# look up'!A:C""),3,0),"""")"),"")</f>
        <v/>
      </c>
      <c r="AH7016" s="49" t="str">
        <f t="shared" si="109"/>
        <v/>
      </c>
    </row>
    <row r="7017" spans="8:34" ht="12.75">
      <c r="H7017" s="43"/>
      <c r="AG7017" s="49" t="str">
        <f ca="1">IFERROR(__xludf.DUMMYFUNCTION("IFNA(vlookup(H7017,IMPORTRANGE(""1vUGwO1n0QQGx9kKbO0_M5gmuhXZ6-LaxQxgrmJnzgP0"",""'TP# look up'!A:C""),3,0),"""")"),"")</f>
        <v/>
      </c>
      <c r="AH7017" s="49" t="str">
        <f t="shared" si="109"/>
        <v/>
      </c>
    </row>
    <row r="7018" spans="8:34" ht="12.75">
      <c r="H7018" s="43"/>
      <c r="AG7018" s="49" t="str">
        <f ca="1">IFERROR(__xludf.DUMMYFUNCTION("IFNA(vlookup(H7018,IMPORTRANGE(""1vUGwO1n0QQGx9kKbO0_M5gmuhXZ6-LaxQxgrmJnzgP0"",""'TP# look up'!A:C""),3,0),"""")"),"")</f>
        <v/>
      </c>
      <c r="AH7018" s="49" t="str">
        <f t="shared" si="109"/>
        <v/>
      </c>
    </row>
    <row r="7019" spans="8:34" ht="12.75">
      <c r="H7019" s="43"/>
      <c r="AG7019" s="49" t="str">
        <f ca="1">IFERROR(__xludf.DUMMYFUNCTION("IFNA(vlookup(H7019,IMPORTRANGE(""1vUGwO1n0QQGx9kKbO0_M5gmuhXZ6-LaxQxgrmJnzgP0"",""'TP# look up'!A:C""),3,0),"""")"),"")</f>
        <v/>
      </c>
      <c r="AH7019" s="49" t="str">
        <f t="shared" si="109"/>
        <v/>
      </c>
    </row>
    <row r="7020" spans="8:34" ht="12.75">
      <c r="H7020" s="43"/>
      <c r="AG7020" s="49" t="str">
        <f ca="1">IFERROR(__xludf.DUMMYFUNCTION("IFNA(vlookup(H7020,IMPORTRANGE(""1vUGwO1n0QQGx9kKbO0_M5gmuhXZ6-LaxQxgrmJnzgP0"",""'TP# look up'!A:C""),3,0),"""")"),"")</f>
        <v/>
      </c>
      <c r="AH7020" s="49" t="str">
        <f t="shared" si="109"/>
        <v/>
      </c>
    </row>
    <row r="7021" spans="8:34" ht="12.75">
      <c r="H7021" s="43"/>
      <c r="AG7021" s="49" t="str">
        <f ca="1">IFERROR(__xludf.DUMMYFUNCTION("IFNA(vlookup(H7021,IMPORTRANGE(""1vUGwO1n0QQGx9kKbO0_M5gmuhXZ6-LaxQxgrmJnzgP0"",""'TP# look up'!A:C""),3,0),"""")"),"")</f>
        <v/>
      </c>
      <c r="AH7021" s="49" t="str">
        <f t="shared" si="109"/>
        <v/>
      </c>
    </row>
    <row r="7022" spans="8:34" ht="12.75">
      <c r="H7022" s="43"/>
      <c r="AG7022" s="49" t="str">
        <f ca="1">IFERROR(__xludf.DUMMYFUNCTION("IFNA(vlookup(H7022,IMPORTRANGE(""1vUGwO1n0QQGx9kKbO0_M5gmuhXZ6-LaxQxgrmJnzgP0"",""'TP# look up'!A:C""),3,0),"""")"),"")</f>
        <v/>
      </c>
      <c r="AH7022" s="49" t="str">
        <f t="shared" si="109"/>
        <v/>
      </c>
    </row>
    <row r="7023" spans="8:34" ht="12.75">
      <c r="H7023" s="43"/>
      <c r="AG7023" s="49" t="str">
        <f ca="1">IFERROR(__xludf.DUMMYFUNCTION("IFNA(vlookup(H7023,IMPORTRANGE(""1vUGwO1n0QQGx9kKbO0_M5gmuhXZ6-LaxQxgrmJnzgP0"",""'TP# look up'!A:C""),3,0),"""")"),"")</f>
        <v/>
      </c>
      <c r="AH7023" s="49" t="str">
        <f t="shared" si="109"/>
        <v/>
      </c>
    </row>
    <row r="7024" spans="8:34" ht="12.75">
      <c r="H7024" s="43"/>
      <c r="AG7024" s="49" t="str">
        <f ca="1">IFERROR(__xludf.DUMMYFUNCTION("IFNA(vlookup(H7024,IMPORTRANGE(""1vUGwO1n0QQGx9kKbO0_M5gmuhXZ6-LaxQxgrmJnzgP0"",""'TP# look up'!A:C""),3,0),"""")"),"")</f>
        <v/>
      </c>
      <c r="AH7024" s="49" t="str">
        <f t="shared" si="109"/>
        <v/>
      </c>
    </row>
    <row r="7025" spans="8:34" ht="12.75">
      <c r="H7025" s="43"/>
      <c r="AG7025" s="49" t="str">
        <f ca="1">IFERROR(__xludf.DUMMYFUNCTION("IFNA(vlookup(H7025,IMPORTRANGE(""1vUGwO1n0QQGx9kKbO0_M5gmuhXZ6-LaxQxgrmJnzgP0"",""'TP# look up'!A:C""),3,0),"""")"),"")</f>
        <v/>
      </c>
      <c r="AH7025" s="49" t="str">
        <f t="shared" si="109"/>
        <v/>
      </c>
    </row>
    <row r="7026" spans="8:34" ht="12.75">
      <c r="H7026" s="43"/>
      <c r="AG7026" s="49" t="str">
        <f ca="1">IFERROR(__xludf.DUMMYFUNCTION("IFNA(vlookup(H7026,IMPORTRANGE(""1vUGwO1n0QQGx9kKbO0_M5gmuhXZ6-LaxQxgrmJnzgP0"",""'TP# look up'!A:C""),3,0),"""")"),"")</f>
        <v/>
      </c>
      <c r="AH7026" s="49" t="str">
        <f t="shared" si="109"/>
        <v/>
      </c>
    </row>
    <row r="7027" spans="8:34" ht="12.75">
      <c r="H7027" s="43"/>
      <c r="AG7027" s="49" t="str">
        <f ca="1">IFERROR(__xludf.DUMMYFUNCTION("IFNA(vlookup(H7027,IMPORTRANGE(""1vUGwO1n0QQGx9kKbO0_M5gmuhXZ6-LaxQxgrmJnzgP0"",""'TP# look up'!A:C""),3,0),"""")"),"")</f>
        <v/>
      </c>
      <c r="AH7027" s="49" t="str">
        <f t="shared" si="109"/>
        <v/>
      </c>
    </row>
    <row r="7028" spans="8:34" ht="12.75">
      <c r="H7028" s="43"/>
      <c r="AG7028" s="49" t="str">
        <f ca="1">IFERROR(__xludf.DUMMYFUNCTION("IFNA(vlookup(H7028,IMPORTRANGE(""1vUGwO1n0QQGx9kKbO0_M5gmuhXZ6-LaxQxgrmJnzgP0"",""'TP# look up'!A:C""),3,0),"""")"),"")</f>
        <v/>
      </c>
      <c r="AH7028" s="49" t="str">
        <f t="shared" si="109"/>
        <v/>
      </c>
    </row>
    <row r="7029" spans="8:34" ht="12.75">
      <c r="H7029" s="43"/>
      <c r="AG7029" s="49" t="str">
        <f ca="1">IFERROR(__xludf.DUMMYFUNCTION("IFNA(vlookup(H7029,IMPORTRANGE(""1vUGwO1n0QQGx9kKbO0_M5gmuhXZ6-LaxQxgrmJnzgP0"",""'TP# look up'!A:C""),3,0),"""")"),"")</f>
        <v/>
      </c>
      <c r="AH7029" s="49" t="str">
        <f t="shared" si="109"/>
        <v/>
      </c>
    </row>
    <row r="7030" spans="8:34" ht="12.75">
      <c r="H7030" s="43"/>
      <c r="AG7030" s="49" t="str">
        <f ca="1">IFERROR(__xludf.DUMMYFUNCTION("IFNA(vlookup(H7030,IMPORTRANGE(""1vUGwO1n0QQGx9kKbO0_M5gmuhXZ6-LaxQxgrmJnzgP0"",""'TP# look up'!A:C""),3,0),"""")"),"")</f>
        <v/>
      </c>
      <c r="AH7030" s="49" t="str">
        <f t="shared" si="109"/>
        <v/>
      </c>
    </row>
    <row r="7031" spans="8:34" ht="12.75">
      <c r="H7031" s="43"/>
      <c r="AG7031" s="49" t="str">
        <f ca="1">IFERROR(__xludf.DUMMYFUNCTION("IFNA(vlookup(H7031,IMPORTRANGE(""1vUGwO1n0QQGx9kKbO0_M5gmuhXZ6-LaxQxgrmJnzgP0"",""'TP# look up'!A:C""),3,0),"""")"),"")</f>
        <v/>
      </c>
      <c r="AH7031" s="49" t="str">
        <f t="shared" si="109"/>
        <v/>
      </c>
    </row>
    <row r="7032" spans="8:34" ht="12.75">
      <c r="H7032" s="43"/>
      <c r="AG7032" s="49" t="str">
        <f ca="1">IFERROR(__xludf.DUMMYFUNCTION("IFNA(vlookup(H7032,IMPORTRANGE(""1vUGwO1n0QQGx9kKbO0_M5gmuhXZ6-LaxQxgrmJnzgP0"",""'TP# look up'!A:C""),3,0),"""")"),"")</f>
        <v/>
      </c>
      <c r="AH7032" s="49" t="str">
        <f t="shared" si="109"/>
        <v/>
      </c>
    </row>
    <row r="7033" spans="8:34" ht="12.75">
      <c r="H7033" s="43"/>
      <c r="AG7033" s="49" t="str">
        <f ca="1">IFERROR(__xludf.DUMMYFUNCTION("IFNA(vlookup(H7033,IMPORTRANGE(""1vUGwO1n0QQGx9kKbO0_M5gmuhXZ6-LaxQxgrmJnzgP0"",""'TP# look up'!A:C""),3,0),"""")"),"")</f>
        <v/>
      </c>
      <c r="AH7033" s="49" t="str">
        <f t="shared" si="109"/>
        <v/>
      </c>
    </row>
    <row r="7034" spans="8:34" ht="12.75">
      <c r="H7034" s="43"/>
      <c r="AG7034" s="49" t="str">
        <f ca="1">IFERROR(__xludf.DUMMYFUNCTION("IFNA(vlookup(H7034,IMPORTRANGE(""1vUGwO1n0QQGx9kKbO0_M5gmuhXZ6-LaxQxgrmJnzgP0"",""'TP# look up'!A:C""),3,0),"""")"),"")</f>
        <v/>
      </c>
      <c r="AH7034" s="49" t="str">
        <f t="shared" si="109"/>
        <v/>
      </c>
    </row>
    <row r="7035" spans="8:34" ht="12.75">
      <c r="H7035" s="43"/>
      <c r="AG7035" s="49" t="str">
        <f ca="1">IFERROR(__xludf.DUMMYFUNCTION("IFNA(vlookup(H7035,IMPORTRANGE(""1vUGwO1n0QQGx9kKbO0_M5gmuhXZ6-LaxQxgrmJnzgP0"",""'TP# look up'!A:C""),3,0),"""")"),"")</f>
        <v/>
      </c>
      <c r="AH7035" s="49" t="str">
        <f t="shared" si="109"/>
        <v/>
      </c>
    </row>
    <row r="7036" spans="8:34" ht="12.75">
      <c r="H7036" s="43"/>
      <c r="AG7036" s="49" t="str">
        <f ca="1">IFERROR(__xludf.DUMMYFUNCTION("IFNA(vlookup(H7036,IMPORTRANGE(""1vUGwO1n0QQGx9kKbO0_M5gmuhXZ6-LaxQxgrmJnzgP0"",""'TP# look up'!A:C""),3,0),"""")"),"")</f>
        <v/>
      </c>
      <c r="AH7036" s="49" t="str">
        <f t="shared" si="109"/>
        <v/>
      </c>
    </row>
    <row r="7037" spans="8:34" ht="12.75">
      <c r="H7037" s="43"/>
      <c r="AG7037" s="49" t="str">
        <f ca="1">IFERROR(__xludf.DUMMYFUNCTION("IFNA(vlookup(H7037,IMPORTRANGE(""1vUGwO1n0QQGx9kKbO0_M5gmuhXZ6-LaxQxgrmJnzgP0"",""'TP# look up'!A:C""),3,0),"""")"),"")</f>
        <v/>
      </c>
      <c r="AH7037" s="49" t="str">
        <f t="shared" si="109"/>
        <v/>
      </c>
    </row>
    <row r="7038" spans="8:34" ht="12.75">
      <c r="H7038" s="43"/>
      <c r="AG7038" s="49" t="str">
        <f ca="1">IFERROR(__xludf.DUMMYFUNCTION("IFNA(vlookup(H7038,IMPORTRANGE(""1vUGwO1n0QQGx9kKbO0_M5gmuhXZ6-LaxQxgrmJnzgP0"",""'TP# look up'!A:C""),3,0),"""")"),"")</f>
        <v/>
      </c>
      <c r="AH7038" s="49" t="str">
        <f t="shared" si="109"/>
        <v/>
      </c>
    </row>
    <row r="7039" spans="8:34" ht="12.75">
      <c r="H7039" s="43"/>
      <c r="AG7039" s="49" t="str">
        <f ca="1">IFERROR(__xludf.DUMMYFUNCTION("IFNA(vlookup(H7039,IMPORTRANGE(""1vUGwO1n0QQGx9kKbO0_M5gmuhXZ6-LaxQxgrmJnzgP0"",""'TP# look up'!A:C""),3,0),"""")"),"")</f>
        <v/>
      </c>
      <c r="AH7039" s="49" t="str">
        <f t="shared" si="109"/>
        <v/>
      </c>
    </row>
    <row r="7040" spans="8:34" ht="12.75">
      <c r="H7040" s="43"/>
      <c r="AG7040" s="49" t="str">
        <f ca="1">IFERROR(__xludf.DUMMYFUNCTION("IFNA(vlookup(H7040,IMPORTRANGE(""1vUGwO1n0QQGx9kKbO0_M5gmuhXZ6-LaxQxgrmJnzgP0"",""'TP# look up'!A:C""),3,0),"""")"),"")</f>
        <v/>
      </c>
      <c r="AH7040" s="49" t="str">
        <f t="shared" si="109"/>
        <v/>
      </c>
    </row>
    <row r="7041" spans="8:34" ht="12.75">
      <c r="H7041" s="43"/>
      <c r="AG7041" s="49" t="str">
        <f ca="1">IFERROR(__xludf.DUMMYFUNCTION("IFNA(vlookup(H7041,IMPORTRANGE(""1vUGwO1n0QQGx9kKbO0_M5gmuhXZ6-LaxQxgrmJnzgP0"",""'TP# look up'!A:C""),3,0),"""")"),"")</f>
        <v/>
      </c>
      <c r="AH7041" s="49" t="str">
        <f t="shared" si="109"/>
        <v/>
      </c>
    </row>
    <row r="7042" spans="8:34" ht="12.75">
      <c r="H7042" s="43"/>
      <c r="AG7042" s="49" t="str">
        <f ca="1">IFERROR(__xludf.DUMMYFUNCTION("IFNA(vlookup(H7042,IMPORTRANGE(""1vUGwO1n0QQGx9kKbO0_M5gmuhXZ6-LaxQxgrmJnzgP0"",""'TP# look up'!A:C""),3,0),"""")"),"")</f>
        <v/>
      </c>
      <c r="AH7042" s="49" t="str">
        <f t="shared" ref="AH7042:AH7105" si="110">LEFT(J7042,2)</f>
        <v/>
      </c>
    </row>
    <row r="7043" spans="8:34" ht="12.75">
      <c r="H7043" s="43"/>
      <c r="AG7043" s="49" t="str">
        <f ca="1">IFERROR(__xludf.DUMMYFUNCTION("IFNA(vlookup(H7043,IMPORTRANGE(""1vUGwO1n0QQGx9kKbO0_M5gmuhXZ6-LaxQxgrmJnzgP0"",""'TP# look up'!A:C""),3,0),"""")"),"")</f>
        <v/>
      </c>
      <c r="AH7043" s="49" t="str">
        <f t="shared" si="110"/>
        <v/>
      </c>
    </row>
    <row r="7044" spans="8:34" ht="12.75">
      <c r="H7044" s="43"/>
      <c r="AG7044" s="49" t="str">
        <f ca="1">IFERROR(__xludf.DUMMYFUNCTION("IFNA(vlookup(H7044,IMPORTRANGE(""1vUGwO1n0QQGx9kKbO0_M5gmuhXZ6-LaxQxgrmJnzgP0"",""'TP# look up'!A:C""),3,0),"""")"),"")</f>
        <v/>
      </c>
      <c r="AH7044" s="49" t="str">
        <f t="shared" si="110"/>
        <v/>
      </c>
    </row>
    <row r="7045" spans="8:34" ht="12.75">
      <c r="H7045" s="43"/>
      <c r="AG7045" s="49" t="str">
        <f ca="1">IFERROR(__xludf.DUMMYFUNCTION("IFNA(vlookup(H7045,IMPORTRANGE(""1vUGwO1n0QQGx9kKbO0_M5gmuhXZ6-LaxQxgrmJnzgP0"",""'TP# look up'!A:C""),3,0),"""")"),"")</f>
        <v/>
      </c>
      <c r="AH7045" s="49" t="str">
        <f t="shared" si="110"/>
        <v/>
      </c>
    </row>
    <row r="7046" spans="8:34" ht="12.75">
      <c r="H7046" s="43"/>
      <c r="AG7046" s="49" t="str">
        <f ca="1">IFERROR(__xludf.DUMMYFUNCTION("IFNA(vlookup(H7046,IMPORTRANGE(""1vUGwO1n0QQGx9kKbO0_M5gmuhXZ6-LaxQxgrmJnzgP0"",""'TP# look up'!A:C""),3,0),"""")"),"")</f>
        <v/>
      </c>
      <c r="AH7046" s="49" t="str">
        <f t="shared" si="110"/>
        <v/>
      </c>
    </row>
    <row r="7047" spans="8:34" ht="12.75">
      <c r="H7047" s="43"/>
      <c r="AG7047" s="49" t="str">
        <f ca="1">IFERROR(__xludf.DUMMYFUNCTION("IFNA(vlookup(H7047,IMPORTRANGE(""1vUGwO1n0QQGx9kKbO0_M5gmuhXZ6-LaxQxgrmJnzgP0"",""'TP# look up'!A:C""),3,0),"""")"),"")</f>
        <v/>
      </c>
      <c r="AH7047" s="49" t="str">
        <f t="shared" si="110"/>
        <v/>
      </c>
    </row>
    <row r="7048" spans="8:34" ht="12.75">
      <c r="H7048" s="43"/>
      <c r="AG7048" s="49" t="str">
        <f ca="1">IFERROR(__xludf.DUMMYFUNCTION("IFNA(vlookup(H7048,IMPORTRANGE(""1vUGwO1n0QQGx9kKbO0_M5gmuhXZ6-LaxQxgrmJnzgP0"",""'TP# look up'!A:C""),3,0),"""")"),"")</f>
        <v/>
      </c>
      <c r="AH7048" s="49" t="str">
        <f t="shared" si="110"/>
        <v/>
      </c>
    </row>
    <row r="7049" spans="8:34" ht="12.75">
      <c r="H7049" s="43"/>
      <c r="AG7049" s="49" t="str">
        <f ca="1">IFERROR(__xludf.DUMMYFUNCTION("IFNA(vlookup(H7049,IMPORTRANGE(""1vUGwO1n0QQGx9kKbO0_M5gmuhXZ6-LaxQxgrmJnzgP0"",""'TP# look up'!A:C""),3,0),"""")"),"")</f>
        <v/>
      </c>
      <c r="AH7049" s="49" t="str">
        <f t="shared" si="110"/>
        <v/>
      </c>
    </row>
    <row r="7050" spans="8:34" ht="12.75">
      <c r="H7050" s="43"/>
      <c r="AG7050" s="49" t="str">
        <f ca="1">IFERROR(__xludf.DUMMYFUNCTION("IFNA(vlookup(H7050,IMPORTRANGE(""1vUGwO1n0QQGx9kKbO0_M5gmuhXZ6-LaxQxgrmJnzgP0"",""'TP# look up'!A:C""),3,0),"""")"),"")</f>
        <v/>
      </c>
      <c r="AH7050" s="49" t="str">
        <f t="shared" si="110"/>
        <v/>
      </c>
    </row>
    <row r="7051" spans="8:34" ht="12.75">
      <c r="H7051" s="43"/>
      <c r="AG7051" s="49" t="str">
        <f ca="1">IFERROR(__xludf.DUMMYFUNCTION("IFNA(vlookup(H7051,IMPORTRANGE(""1vUGwO1n0QQGx9kKbO0_M5gmuhXZ6-LaxQxgrmJnzgP0"",""'TP# look up'!A:C""),3,0),"""")"),"")</f>
        <v/>
      </c>
      <c r="AH7051" s="49" t="str">
        <f t="shared" si="110"/>
        <v/>
      </c>
    </row>
    <row r="7052" spans="8:34" ht="12.75">
      <c r="H7052" s="43"/>
      <c r="AG7052" s="49" t="str">
        <f ca="1">IFERROR(__xludf.DUMMYFUNCTION("IFNA(vlookup(H7052,IMPORTRANGE(""1vUGwO1n0QQGx9kKbO0_M5gmuhXZ6-LaxQxgrmJnzgP0"",""'TP# look up'!A:C""),3,0),"""")"),"")</f>
        <v/>
      </c>
      <c r="AH7052" s="49" t="str">
        <f t="shared" si="110"/>
        <v/>
      </c>
    </row>
    <row r="7053" spans="8:34" ht="12.75">
      <c r="H7053" s="43"/>
      <c r="AG7053" s="49" t="str">
        <f ca="1">IFERROR(__xludf.DUMMYFUNCTION("IFNA(vlookup(H7053,IMPORTRANGE(""1vUGwO1n0QQGx9kKbO0_M5gmuhXZ6-LaxQxgrmJnzgP0"",""'TP# look up'!A:C""),3,0),"""")"),"")</f>
        <v/>
      </c>
      <c r="AH7053" s="49" t="str">
        <f t="shared" si="110"/>
        <v/>
      </c>
    </row>
    <row r="7054" spans="8:34" ht="12.75">
      <c r="H7054" s="43"/>
      <c r="AG7054" s="49" t="str">
        <f ca="1">IFERROR(__xludf.DUMMYFUNCTION("IFNA(vlookup(H7054,IMPORTRANGE(""1vUGwO1n0QQGx9kKbO0_M5gmuhXZ6-LaxQxgrmJnzgP0"",""'TP# look up'!A:C""),3,0),"""")"),"")</f>
        <v/>
      </c>
      <c r="AH7054" s="49" t="str">
        <f t="shared" si="110"/>
        <v/>
      </c>
    </row>
    <row r="7055" spans="8:34" ht="12.75">
      <c r="H7055" s="43"/>
      <c r="AG7055" s="49" t="str">
        <f ca="1">IFERROR(__xludf.DUMMYFUNCTION("IFNA(vlookup(H7055,IMPORTRANGE(""1vUGwO1n0QQGx9kKbO0_M5gmuhXZ6-LaxQxgrmJnzgP0"",""'TP# look up'!A:C""),3,0),"""")"),"")</f>
        <v/>
      </c>
      <c r="AH7055" s="49" t="str">
        <f t="shared" si="110"/>
        <v/>
      </c>
    </row>
    <row r="7056" spans="8:34" ht="12.75">
      <c r="H7056" s="43"/>
      <c r="AG7056" s="49" t="str">
        <f ca="1">IFERROR(__xludf.DUMMYFUNCTION("IFNA(vlookup(H7056,IMPORTRANGE(""1vUGwO1n0QQGx9kKbO0_M5gmuhXZ6-LaxQxgrmJnzgP0"",""'TP# look up'!A:C""),3,0),"""")"),"")</f>
        <v/>
      </c>
      <c r="AH7056" s="49" t="str">
        <f t="shared" si="110"/>
        <v/>
      </c>
    </row>
    <row r="7057" spans="8:34" ht="12.75">
      <c r="H7057" s="43"/>
      <c r="AG7057" s="49" t="str">
        <f ca="1">IFERROR(__xludf.DUMMYFUNCTION("IFNA(vlookup(H7057,IMPORTRANGE(""1vUGwO1n0QQGx9kKbO0_M5gmuhXZ6-LaxQxgrmJnzgP0"",""'TP# look up'!A:C""),3,0),"""")"),"")</f>
        <v/>
      </c>
      <c r="AH7057" s="49" t="str">
        <f t="shared" si="110"/>
        <v/>
      </c>
    </row>
    <row r="7058" spans="8:34" ht="12.75">
      <c r="H7058" s="43"/>
      <c r="AG7058" s="49" t="str">
        <f ca="1">IFERROR(__xludf.DUMMYFUNCTION("IFNA(vlookup(H7058,IMPORTRANGE(""1vUGwO1n0QQGx9kKbO0_M5gmuhXZ6-LaxQxgrmJnzgP0"",""'TP# look up'!A:C""),3,0),"""")"),"")</f>
        <v/>
      </c>
      <c r="AH7058" s="49" t="str">
        <f t="shared" si="110"/>
        <v/>
      </c>
    </row>
    <row r="7059" spans="8:34" ht="12.75">
      <c r="H7059" s="43"/>
      <c r="AG7059" s="49" t="str">
        <f ca="1">IFERROR(__xludf.DUMMYFUNCTION("IFNA(vlookup(H7059,IMPORTRANGE(""1vUGwO1n0QQGx9kKbO0_M5gmuhXZ6-LaxQxgrmJnzgP0"",""'TP# look up'!A:C""),3,0),"""")"),"")</f>
        <v/>
      </c>
      <c r="AH7059" s="49" t="str">
        <f t="shared" si="110"/>
        <v/>
      </c>
    </row>
    <row r="7060" spans="8:34" ht="12.75">
      <c r="H7060" s="43"/>
      <c r="AG7060" s="49" t="str">
        <f ca="1">IFERROR(__xludf.DUMMYFUNCTION("IFNA(vlookup(H7060,IMPORTRANGE(""1vUGwO1n0QQGx9kKbO0_M5gmuhXZ6-LaxQxgrmJnzgP0"",""'TP# look up'!A:C""),3,0),"""")"),"")</f>
        <v/>
      </c>
      <c r="AH7060" s="49" t="str">
        <f t="shared" si="110"/>
        <v/>
      </c>
    </row>
    <row r="7061" spans="8:34" ht="12.75">
      <c r="H7061" s="43"/>
      <c r="AG7061" s="49" t="str">
        <f ca="1">IFERROR(__xludf.DUMMYFUNCTION("IFNA(vlookup(H7061,IMPORTRANGE(""1vUGwO1n0QQGx9kKbO0_M5gmuhXZ6-LaxQxgrmJnzgP0"",""'TP# look up'!A:C""),3,0),"""")"),"")</f>
        <v/>
      </c>
      <c r="AH7061" s="49" t="str">
        <f t="shared" si="110"/>
        <v/>
      </c>
    </row>
    <row r="7062" spans="8:34" ht="12.75">
      <c r="H7062" s="43"/>
      <c r="AG7062" s="49" t="str">
        <f ca="1">IFERROR(__xludf.DUMMYFUNCTION("IFNA(vlookup(H7062,IMPORTRANGE(""1vUGwO1n0QQGx9kKbO0_M5gmuhXZ6-LaxQxgrmJnzgP0"",""'TP# look up'!A:C""),3,0),"""")"),"")</f>
        <v/>
      </c>
      <c r="AH7062" s="49" t="str">
        <f t="shared" si="110"/>
        <v/>
      </c>
    </row>
    <row r="7063" spans="8:34" ht="12.75">
      <c r="H7063" s="43"/>
      <c r="AG7063" s="49" t="str">
        <f ca="1">IFERROR(__xludf.DUMMYFUNCTION("IFNA(vlookup(H7063,IMPORTRANGE(""1vUGwO1n0QQGx9kKbO0_M5gmuhXZ6-LaxQxgrmJnzgP0"",""'TP# look up'!A:C""),3,0),"""")"),"")</f>
        <v/>
      </c>
      <c r="AH7063" s="49" t="str">
        <f t="shared" si="110"/>
        <v/>
      </c>
    </row>
    <row r="7064" spans="8:34" ht="12.75">
      <c r="H7064" s="43"/>
      <c r="AG7064" s="49" t="str">
        <f ca="1">IFERROR(__xludf.DUMMYFUNCTION("IFNA(vlookup(H7064,IMPORTRANGE(""1vUGwO1n0QQGx9kKbO0_M5gmuhXZ6-LaxQxgrmJnzgP0"",""'TP# look up'!A:C""),3,0),"""")"),"")</f>
        <v/>
      </c>
      <c r="AH7064" s="49" t="str">
        <f t="shared" si="110"/>
        <v/>
      </c>
    </row>
    <row r="7065" spans="8:34" ht="12.75">
      <c r="H7065" s="43"/>
      <c r="AG7065" s="49" t="str">
        <f ca="1">IFERROR(__xludf.DUMMYFUNCTION("IFNA(vlookup(H7065,IMPORTRANGE(""1vUGwO1n0QQGx9kKbO0_M5gmuhXZ6-LaxQxgrmJnzgP0"",""'TP# look up'!A:C""),3,0),"""")"),"")</f>
        <v/>
      </c>
      <c r="AH7065" s="49" t="str">
        <f t="shared" si="110"/>
        <v/>
      </c>
    </row>
    <row r="7066" spans="8:34" ht="12.75">
      <c r="H7066" s="43"/>
      <c r="AG7066" s="49" t="str">
        <f ca="1">IFERROR(__xludf.DUMMYFUNCTION("IFNA(vlookup(H7066,IMPORTRANGE(""1vUGwO1n0QQGx9kKbO0_M5gmuhXZ6-LaxQxgrmJnzgP0"",""'TP# look up'!A:C""),3,0),"""")"),"")</f>
        <v/>
      </c>
      <c r="AH7066" s="49" t="str">
        <f t="shared" si="110"/>
        <v/>
      </c>
    </row>
    <row r="7067" spans="8:34" ht="12.75">
      <c r="H7067" s="43"/>
      <c r="AG7067" s="49" t="str">
        <f ca="1">IFERROR(__xludf.DUMMYFUNCTION("IFNA(vlookup(H7067,IMPORTRANGE(""1vUGwO1n0QQGx9kKbO0_M5gmuhXZ6-LaxQxgrmJnzgP0"",""'TP# look up'!A:C""),3,0),"""")"),"")</f>
        <v/>
      </c>
      <c r="AH7067" s="49" t="str">
        <f t="shared" si="110"/>
        <v/>
      </c>
    </row>
    <row r="7068" spans="8:34" ht="12.75">
      <c r="H7068" s="43"/>
      <c r="AG7068" s="49" t="str">
        <f ca="1">IFERROR(__xludf.DUMMYFUNCTION("IFNA(vlookup(H7068,IMPORTRANGE(""1vUGwO1n0QQGx9kKbO0_M5gmuhXZ6-LaxQxgrmJnzgP0"",""'TP# look up'!A:C""),3,0),"""")"),"")</f>
        <v/>
      </c>
      <c r="AH7068" s="49" t="str">
        <f t="shared" si="110"/>
        <v/>
      </c>
    </row>
    <row r="7069" spans="8:34" ht="12.75">
      <c r="H7069" s="43"/>
      <c r="AG7069" s="49" t="str">
        <f ca="1">IFERROR(__xludf.DUMMYFUNCTION("IFNA(vlookup(H7069,IMPORTRANGE(""1vUGwO1n0QQGx9kKbO0_M5gmuhXZ6-LaxQxgrmJnzgP0"",""'TP# look up'!A:C""),3,0),"""")"),"")</f>
        <v/>
      </c>
      <c r="AH7069" s="49" t="str">
        <f t="shared" si="110"/>
        <v/>
      </c>
    </row>
    <row r="7070" spans="8:34" ht="12.75">
      <c r="H7070" s="43"/>
      <c r="AG7070" s="49" t="str">
        <f ca="1">IFERROR(__xludf.DUMMYFUNCTION("IFNA(vlookup(H7070,IMPORTRANGE(""1vUGwO1n0QQGx9kKbO0_M5gmuhXZ6-LaxQxgrmJnzgP0"",""'TP# look up'!A:C""),3,0),"""")"),"")</f>
        <v/>
      </c>
      <c r="AH7070" s="49" t="str">
        <f t="shared" si="110"/>
        <v/>
      </c>
    </row>
    <row r="7071" spans="8:34" ht="12.75">
      <c r="H7071" s="43"/>
      <c r="AG7071" s="49" t="str">
        <f ca="1">IFERROR(__xludf.DUMMYFUNCTION("IFNA(vlookup(H7071,IMPORTRANGE(""1vUGwO1n0QQGx9kKbO0_M5gmuhXZ6-LaxQxgrmJnzgP0"",""'TP# look up'!A:C""),3,0),"""")"),"")</f>
        <v/>
      </c>
      <c r="AH7071" s="49" t="str">
        <f t="shared" si="110"/>
        <v/>
      </c>
    </row>
    <row r="7072" spans="8:34" ht="12.75">
      <c r="H7072" s="43"/>
      <c r="AG7072" s="49" t="str">
        <f ca="1">IFERROR(__xludf.DUMMYFUNCTION("IFNA(vlookup(H7072,IMPORTRANGE(""1vUGwO1n0QQGx9kKbO0_M5gmuhXZ6-LaxQxgrmJnzgP0"",""'TP# look up'!A:C""),3,0),"""")"),"")</f>
        <v/>
      </c>
      <c r="AH7072" s="49" t="str">
        <f t="shared" si="110"/>
        <v/>
      </c>
    </row>
    <row r="7073" spans="8:34" ht="12.75">
      <c r="H7073" s="43"/>
      <c r="AG7073" s="49" t="str">
        <f ca="1">IFERROR(__xludf.DUMMYFUNCTION("IFNA(vlookup(H7073,IMPORTRANGE(""1vUGwO1n0QQGx9kKbO0_M5gmuhXZ6-LaxQxgrmJnzgP0"",""'TP# look up'!A:C""),3,0),"""")"),"")</f>
        <v/>
      </c>
      <c r="AH7073" s="49" t="str">
        <f t="shared" si="110"/>
        <v/>
      </c>
    </row>
    <row r="7074" spans="8:34" ht="12.75">
      <c r="H7074" s="43"/>
      <c r="AG7074" s="49" t="str">
        <f ca="1">IFERROR(__xludf.DUMMYFUNCTION("IFNA(vlookup(H7074,IMPORTRANGE(""1vUGwO1n0QQGx9kKbO0_M5gmuhXZ6-LaxQxgrmJnzgP0"",""'TP# look up'!A:C""),3,0),"""")"),"")</f>
        <v/>
      </c>
      <c r="AH7074" s="49" t="str">
        <f t="shared" si="110"/>
        <v/>
      </c>
    </row>
    <row r="7075" spans="8:34" ht="12.75">
      <c r="H7075" s="43"/>
      <c r="AG7075" s="49" t="str">
        <f ca="1">IFERROR(__xludf.DUMMYFUNCTION("IFNA(vlookup(H7075,IMPORTRANGE(""1vUGwO1n0QQGx9kKbO0_M5gmuhXZ6-LaxQxgrmJnzgP0"",""'TP# look up'!A:C""),3,0),"""")"),"")</f>
        <v/>
      </c>
      <c r="AH7075" s="49" t="str">
        <f t="shared" si="110"/>
        <v/>
      </c>
    </row>
    <row r="7076" spans="8:34" ht="12.75">
      <c r="H7076" s="43"/>
      <c r="AG7076" s="49" t="str">
        <f ca="1">IFERROR(__xludf.DUMMYFUNCTION("IFNA(vlookup(H7076,IMPORTRANGE(""1vUGwO1n0QQGx9kKbO0_M5gmuhXZ6-LaxQxgrmJnzgP0"",""'TP# look up'!A:C""),3,0),"""")"),"")</f>
        <v/>
      </c>
      <c r="AH7076" s="49" t="str">
        <f t="shared" si="110"/>
        <v/>
      </c>
    </row>
    <row r="7077" spans="8:34" ht="12.75">
      <c r="H7077" s="43"/>
      <c r="AG7077" s="49" t="str">
        <f ca="1">IFERROR(__xludf.DUMMYFUNCTION("IFNA(vlookup(H7077,IMPORTRANGE(""1vUGwO1n0QQGx9kKbO0_M5gmuhXZ6-LaxQxgrmJnzgP0"",""'TP# look up'!A:C""),3,0),"""")"),"")</f>
        <v/>
      </c>
      <c r="AH7077" s="49" t="str">
        <f t="shared" si="110"/>
        <v/>
      </c>
    </row>
    <row r="7078" spans="8:34" ht="12.75">
      <c r="H7078" s="43"/>
      <c r="AG7078" s="49" t="str">
        <f ca="1">IFERROR(__xludf.DUMMYFUNCTION("IFNA(vlookup(H7078,IMPORTRANGE(""1vUGwO1n0QQGx9kKbO0_M5gmuhXZ6-LaxQxgrmJnzgP0"",""'TP# look up'!A:C""),3,0),"""")"),"")</f>
        <v/>
      </c>
      <c r="AH7078" s="49" t="str">
        <f t="shared" si="110"/>
        <v/>
      </c>
    </row>
    <row r="7079" spans="8:34" ht="12.75">
      <c r="H7079" s="43"/>
      <c r="AG7079" s="49" t="str">
        <f ca="1">IFERROR(__xludf.DUMMYFUNCTION("IFNA(vlookup(H7079,IMPORTRANGE(""1vUGwO1n0QQGx9kKbO0_M5gmuhXZ6-LaxQxgrmJnzgP0"",""'TP# look up'!A:C""),3,0),"""")"),"")</f>
        <v/>
      </c>
      <c r="AH7079" s="49" t="str">
        <f t="shared" si="110"/>
        <v/>
      </c>
    </row>
    <row r="7080" spans="8:34" ht="12.75">
      <c r="H7080" s="43"/>
      <c r="AG7080" s="49" t="str">
        <f ca="1">IFERROR(__xludf.DUMMYFUNCTION("IFNA(vlookup(H7080,IMPORTRANGE(""1vUGwO1n0QQGx9kKbO0_M5gmuhXZ6-LaxQxgrmJnzgP0"",""'TP# look up'!A:C""),3,0),"""")"),"")</f>
        <v/>
      </c>
      <c r="AH7080" s="49" t="str">
        <f t="shared" si="110"/>
        <v/>
      </c>
    </row>
    <row r="7081" spans="8:34" ht="12.75">
      <c r="H7081" s="43"/>
      <c r="AG7081" s="49" t="str">
        <f ca="1">IFERROR(__xludf.DUMMYFUNCTION("IFNA(vlookup(H7081,IMPORTRANGE(""1vUGwO1n0QQGx9kKbO0_M5gmuhXZ6-LaxQxgrmJnzgP0"",""'TP# look up'!A:C""),3,0),"""")"),"")</f>
        <v/>
      </c>
      <c r="AH7081" s="49" t="str">
        <f t="shared" si="110"/>
        <v/>
      </c>
    </row>
    <row r="7082" spans="8:34" ht="12.75">
      <c r="H7082" s="43"/>
      <c r="AG7082" s="49" t="str">
        <f ca="1">IFERROR(__xludf.DUMMYFUNCTION("IFNA(vlookup(H7082,IMPORTRANGE(""1vUGwO1n0QQGx9kKbO0_M5gmuhXZ6-LaxQxgrmJnzgP0"",""'TP# look up'!A:C""),3,0),"""")"),"")</f>
        <v/>
      </c>
      <c r="AH7082" s="49" t="str">
        <f t="shared" si="110"/>
        <v/>
      </c>
    </row>
    <row r="7083" spans="8:34" ht="12.75">
      <c r="H7083" s="43"/>
      <c r="AG7083" s="49" t="str">
        <f ca="1">IFERROR(__xludf.DUMMYFUNCTION("IFNA(vlookup(H7083,IMPORTRANGE(""1vUGwO1n0QQGx9kKbO0_M5gmuhXZ6-LaxQxgrmJnzgP0"",""'TP# look up'!A:C""),3,0),"""")"),"")</f>
        <v/>
      </c>
      <c r="AH7083" s="49" t="str">
        <f t="shared" si="110"/>
        <v/>
      </c>
    </row>
    <row r="7084" spans="8:34" ht="12.75">
      <c r="H7084" s="43"/>
      <c r="AG7084" s="49" t="str">
        <f ca="1">IFERROR(__xludf.DUMMYFUNCTION("IFNA(vlookup(H7084,IMPORTRANGE(""1vUGwO1n0QQGx9kKbO0_M5gmuhXZ6-LaxQxgrmJnzgP0"",""'TP# look up'!A:C""),3,0),"""")"),"")</f>
        <v/>
      </c>
      <c r="AH7084" s="49" t="str">
        <f t="shared" si="110"/>
        <v/>
      </c>
    </row>
    <row r="7085" spans="8:34" ht="12.75">
      <c r="H7085" s="43"/>
      <c r="AG7085" s="49" t="str">
        <f ca="1">IFERROR(__xludf.DUMMYFUNCTION("IFNA(vlookup(H7085,IMPORTRANGE(""1vUGwO1n0QQGx9kKbO0_M5gmuhXZ6-LaxQxgrmJnzgP0"",""'TP# look up'!A:C""),3,0),"""")"),"")</f>
        <v/>
      </c>
      <c r="AH7085" s="49" t="str">
        <f t="shared" si="110"/>
        <v/>
      </c>
    </row>
    <row r="7086" spans="8:34" ht="12.75">
      <c r="H7086" s="43"/>
      <c r="AG7086" s="49" t="str">
        <f ca="1">IFERROR(__xludf.DUMMYFUNCTION("IFNA(vlookup(H7086,IMPORTRANGE(""1vUGwO1n0QQGx9kKbO0_M5gmuhXZ6-LaxQxgrmJnzgP0"",""'TP# look up'!A:C""),3,0),"""")"),"")</f>
        <v/>
      </c>
      <c r="AH7086" s="49" t="str">
        <f t="shared" si="110"/>
        <v/>
      </c>
    </row>
    <row r="7087" spans="8:34" ht="12.75">
      <c r="H7087" s="43"/>
      <c r="AG7087" s="49" t="str">
        <f ca="1">IFERROR(__xludf.DUMMYFUNCTION("IFNA(vlookup(H7087,IMPORTRANGE(""1vUGwO1n0QQGx9kKbO0_M5gmuhXZ6-LaxQxgrmJnzgP0"",""'TP# look up'!A:C""),3,0),"""")"),"")</f>
        <v/>
      </c>
      <c r="AH7087" s="49" t="str">
        <f t="shared" si="110"/>
        <v/>
      </c>
    </row>
    <row r="7088" spans="8:34" ht="12.75">
      <c r="H7088" s="43"/>
      <c r="AG7088" s="49" t="str">
        <f ca="1">IFERROR(__xludf.DUMMYFUNCTION("IFNA(vlookup(H7088,IMPORTRANGE(""1vUGwO1n0QQGx9kKbO0_M5gmuhXZ6-LaxQxgrmJnzgP0"",""'TP# look up'!A:C""),3,0),"""")"),"")</f>
        <v/>
      </c>
      <c r="AH7088" s="49" t="str">
        <f t="shared" si="110"/>
        <v/>
      </c>
    </row>
    <row r="7089" spans="8:34" ht="12.75">
      <c r="H7089" s="43"/>
      <c r="AG7089" s="49" t="str">
        <f ca="1">IFERROR(__xludf.DUMMYFUNCTION("IFNA(vlookup(H7089,IMPORTRANGE(""1vUGwO1n0QQGx9kKbO0_M5gmuhXZ6-LaxQxgrmJnzgP0"",""'TP# look up'!A:C""),3,0),"""")"),"")</f>
        <v/>
      </c>
      <c r="AH7089" s="49" t="str">
        <f t="shared" si="110"/>
        <v/>
      </c>
    </row>
    <row r="7090" spans="8:34" ht="12.75">
      <c r="H7090" s="43"/>
      <c r="AG7090" s="49" t="str">
        <f ca="1">IFERROR(__xludf.DUMMYFUNCTION("IFNA(vlookup(H7090,IMPORTRANGE(""1vUGwO1n0QQGx9kKbO0_M5gmuhXZ6-LaxQxgrmJnzgP0"",""'TP# look up'!A:C""),3,0),"""")"),"")</f>
        <v/>
      </c>
      <c r="AH7090" s="49" t="str">
        <f t="shared" si="110"/>
        <v/>
      </c>
    </row>
    <row r="7091" spans="8:34" ht="12.75">
      <c r="H7091" s="43"/>
      <c r="AG7091" s="49" t="str">
        <f ca="1">IFERROR(__xludf.DUMMYFUNCTION("IFNA(vlookup(H7091,IMPORTRANGE(""1vUGwO1n0QQGx9kKbO0_M5gmuhXZ6-LaxQxgrmJnzgP0"",""'TP# look up'!A:C""),3,0),"""")"),"")</f>
        <v/>
      </c>
      <c r="AH7091" s="49" t="str">
        <f t="shared" si="110"/>
        <v/>
      </c>
    </row>
    <row r="7092" spans="8:34" ht="12.75">
      <c r="H7092" s="43"/>
      <c r="AG7092" s="49" t="str">
        <f ca="1">IFERROR(__xludf.DUMMYFUNCTION("IFNA(vlookup(H7092,IMPORTRANGE(""1vUGwO1n0QQGx9kKbO0_M5gmuhXZ6-LaxQxgrmJnzgP0"",""'TP# look up'!A:C""),3,0),"""")"),"")</f>
        <v/>
      </c>
      <c r="AH7092" s="49" t="str">
        <f t="shared" si="110"/>
        <v/>
      </c>
    </row>
    <row r="7093" spans="8:34" ht="12.75">
      <c r="H7093" s="43"/>
      <c r="AG7093" s="49" t="str">
        <f ca="1">IFERROR(__xludf.DUMMYFUNCTION("IFNA(vlookup(H7093,IMPORTRANGE(""1vUGwO1n0QQGx9kKbO0_M5gmuhXZ6-LaxQxgrmJnzgP0"",""'TP# look up'!A:C""),3,0),"""")"),"")</f>
        <v/>
      </c>
      <c r="AH7093" s="49" t="str">
        <f t="shared" si="110"/>
        <v/>
      </c>
    </row>
    <row r="7094" spans="8:34" ht="12.75">
      <c r="H7094" s="43"/>
      <c r="AG7094" s="49" t="str">
        <f ca="1">IFERROR(__xludf.DUMMYFUNCTION("IFNA(vlookup(H7094,IMPORTRANGE(""1vUGwO1n0QQGx9kKbO0_M5gmuhXZ6-LaxQxgrmJnzgP0"",""'TP# look up'!A:C""),3,0),"""")"),"")</f>
        <v/>
      </c>
      <c r="AH7094" s="49" t="str">
        <f t="shared" si="110"/>
        <v/>
      </c>
    </row>
    <row r="7095" spans="8:34" ht="12.75">
      <c r="H7095" s="43"/>
      <c r="AG7095" s="49" t="str">
        <f ca="1">IFERROR(__xludf.DUMMYFUNCTION("IFNA(vlookup(H7095,IMPORTRANGE(""1vUGwO1n0QQGx9kKbO0_M5gmuhXZ6-LaxQxgrmJnzgP0"",""'TP# look up'!A:C""),3,0),"""")"),"")</f>
        <v/>
      </c>
      <c r="AH7095" s="49" t="str">
        <f t="shared" si="110"/>
        <v/>
      </c>
    </row>
    <row r="7096" spans="8:34" ht="12.75">
      <c r="H7096" s="43"/>
      <c r="AG7096" s="49" t="str">
        <f ca="1">IFERROR(__xludf.DUMMYFUNCTION("IFNA(vlookup(H7096,IMPORTRANGE(""1vUGwO1n0QQGx9kKbO0_M5gmuhXZ6-LaxQxgrmJnzgP0"",""'TP# look up'!A:C""),3,0),"""")"),"")</f>
        <v/>
      </c>
      <c r="AH7096" s="49" t="str">
        <f t="shared" si="110"/>
        <v/>
      </c>
    </row>
    <row r="7097" spans="8:34" ht="12.75">
      <c r="H7097" s="43"/>
      <c r="AG7097" s="49" t="str">
        <f ca="1">IFERROR(__xludf.DUMMYFUNCTION("IFNA(vlookup(H7097,IMPORTRANGE(""1vUGwO1n0QQGx9kKbO0_M5gmuhXZ6-LaxQxgrmJnzgP0"",""'TP# look up'!A:C""),3,0),"""")"),"")</f>
        <v/>
      </c>
      <c r="AH7097" s="49" t="str">
        <f t="shared" si="110"/>
        <v/>
      </c>
    </row>
    <row r="7098" spans="8:34" ht="12.75">
      <c r="H7098" s="43"/>
      <c r="AG7098" s="49" t="str">
        <f ca="1">IFERROR(__xludf.DUMMYFUNCTION("IFNA(vlookup(H7098,IMPORTRANGE(""1vUGwO1n0QQGx9kKbO0_M5gmuhXZ6-LaxQxgrmJnzgP0"",""'TP# look up'!A:C""),3,0),"""")"),"")</f>
        <v/>
      </c>
      <c r="AH7098" s="49" t="str">
        <f t="shared" si="110"/>
        <v/>
      </c>
    </row>
    <row r="7099" spans="8:34" ht="12.75">
      <c r="H7099" s="43"/>
      <c r="AG7099" s="49" t="str">
        <f ca="1">IFERROR(__xludf.DUMMYFUNCTION("IFNA(vlookup(H7099,IMPORTRANGE(""1vUGwO1n0QQGx9kKbO0_M5gmuhXZ6-LaxQxgrmJnzgP0"",""'TP# look up'!A:C""),3,0),"""")"),"")</f>
        <v/>
      </c>
      <c r="AH7099" s="49" t="str">
        <f t="shared" si="110"/>
        <v/>
      </c>
    </row>
    <row r="7100" spans="8:34" ht="12.75">
      <c r="H7100" s="43"/>
      <c r="AG7100" s="49" t="str">
        <f ca="1">IFERROR(__xludf.DUMMYFUNCTION("IFNA(vlookup(H7100,IMPORTRANGE(""1vUGwO1n0QQGx9kKbO0_M5gmuhXZ6-LaxQxgrmJnzgP0"",""'TP# look up'!A:C""),3,0),"""")"),"")</f>
        <v/>
      </c>
      <c r="AH7100" s="49" t="str">
        <f t="shared" si="110"/>
        <v/>
      </c>
    </row>
    <row r="7101" spans="8:34" ht="12.75">
      <c r="H7101" s="43"/>
      <c r="AG7101" s="49" t="str">
        <f ca="1">IFERROR(__xludf.DUMMYFUNCTION("IFNA(vlookup(H7101,IMPORTRANGE(""1vUGwO1n0QQGx9kKbO0_M5gmuhXZ6-LaxQxgrmJnzgP0"",""'TP# look up'!A:C""),3,0),"""")"),"")</f>
        <v/>
      </c>
      <c r="AH7101" s="49" t="str">
        <f t="shared" si="110"/>
        <v/>
      </c>
    </row>
    <row r="7102" spans="8:34" ht="12.75">
      <c r="H7102" s="43"/>
      <c r="AG7102" s="49" t="str">
        <f ca="1">IFERROR(__xludf.DUMMYFUNCTION("IFNA(vlookup(H7102,IMPORTRANGE(""1vUGwO1n0QQGx9kKbO0_M5gmuhXZ6-LaxQxgrmJnzgP0"",""'TP# look up'!A:C""),3,0),"""")"),"")</f>
        <v/>
      </c>
      <c r="AH7102" s="49" t="str">
        <f t="shared" si="110"/>
        <v/>
      </c>
    </row>
    <row r="7103" spans="8:34" ht="12.75">
      <c r="H7103" s="43"/>
      <c r="AG7103" s="49" t="str">
        <f ca="1">IFERROR(__xludf.DUMMYFUNCTION("IFNA(vlookup(H7103,IMPORTRANGE(""1vUGwO1n0QQGx9kKbO0_M5gmuhXZ6-LaxQxgrmJnzgP0"",""'TP# look up'!A:C""),3,0),"""")"),"")</f>
        <v/>
      </c>
      <c r="AH7103" s="49" t="str">
        <f t="shared" si="110"/>
        <v/>
      </c>
    </row>
    <row r="7104" spans="8:34" ht="12.75">
      <c r="H7104" s="43"/>
      <c r="AG7104" s="49" t="str">
        <f ca="1">IFERROR(__xludf.DUMMYFUNCTION("IFNA(vlookup(H7104,IMPORTRANGE(""1vUGwO1n0QQGx9kKbO0_M5gmuhXZ6-LaxQxgrmJnzgP0"",""'TP# look up'!A:C""),3,0),"""")"),"")</f>
        <v/>
      </c>
      <c r="AH7104" s="49" t="str">
        <f t="shared" si="110"/>
        <v/>
      </c>
    </row>
    <row r="7105" spans="8:34" ht="12.75">
      <c r="H7105" s="43"/>
      <c r="AG7105" s="49" t="str">
        <f ca="1">IFERROR(__xludf.DUMMYFUNCTION("IFNA(vlookup(H7105,IMPORTRANGE(""1vUGwO1n0QQGx9kKbO0_M5gmuhXZ6-LaxQxgrmJnzgP0"",""'TP# look up'!A:C""),3,0),"""")"),"")</f>
        <v/>
      </c>
      <c r="AH7105" s="49" t="str">
        <f t="shared" si="110"/>
        <v/>
      </c>
    </row>
    <row r="7106" spans="8:34" ht="12.75">
      <c r="H7106" s="43"/>
      <c r="AG7106" s="49" t="str">
        <f ca="1">IFERROR(__xludf.DUMMYFUNCTION("IFNA(vlookup(H7106,IMPORTRANGE(""1vUGwO1n0QQGx9kKbO0_M5gmuhXZ6-LaxQxgrmJnzgP0"",""'TP# look up'!A:C""),3,0),"""")"),"")</f>
        <v/>
      </c>
      <c r="AH7106" s="49" t="str">
        <f t="shared" ref="AH7106:AH7169" si="111">LEFT(J7106,2)</f>
        <v/>
      </c>
    </row>
    <row r="7107" spans="8:34" ht="12.75">
      <c r="H7107" s="43"/>
      <c r="AG7107" s="49" t="str">
        <f ca="1">IFERROR(__xludf.DUMMYFUNCTION("IFNA(vlookup(H7107,IMPORTRANGE(""1vUGwO1n0QQGx9kKbO0_M5gmuhXZ6-LaxQxgrmJnzgP0"",""'TP# look up'!A:C""),3,0),"""")"),"")</f>
        <v/>
      </c>
      <c r="AH7107" s="49" t="str">
        <f t="shared" si="111"/>
        <v/>
      </c>
    </row>
    <row r="7108" spans="8:34" ht="12.75">
      <c r="H7108" s="43"/>
      <c r="AG7108" s="49" t="str">
        <f ca="1">IFERROR(__xludf.DUMMYFUNCTION("IFNA(vlookup(H7108,IMPORTRANGE(""1vUGwO1n0QQGx9kKbO0_M5gmuhXZ6-LaxQxgrmJnzgP0"",""'TP# look up'!A:C""),3,0),"""")"),"")</f>
        <v/>
      </c>
      <c r="AH7108" s="49" t="str">
        <f t="shared" si="111"/>
        <v/>
      </c>
    </row>
    <row r="7109" spans="8:34" ht="12.75">
      <c r="H7109" s="43"/>
      <c r="AG7109" s="49" t="str">
        <f ca="1">IFERROR(__xludf.DUMMYFUNCTION("IFNA(vlookup(H7109,IMPORTRANGE(""1vUGwO1n0QQGx9kKbO0_M5gmuhXZ6-LaxQxgrmJnzgP0"",""'TP# look up'!A:C""),3,0),"""")"),"")</f>
        <v/>
      </c>
      <c r="AH7109" s="49" t="str">
        <f t="shared" si="111"/>
        <v/>
      </c>
    </row>
    <row r="7110" spans="8:34" ht="12.75">
      <c r="H7110" s="43"/>
      <c r="AG7110" s="49" t="str">
        <f ca="1">IFERROR(__xludf.DUMMYFUNCTION("IFNA(vlookup(H7110,IMPORTRANGE(""1vUGwO1n0QQGx9kKbO0_M5gmuhXZ6-LaxQxgrmJnzgP0"",""'TP# look up'!A:C""),3,0),"""")"),"")</f>
        <v/>
      </c>
      <c r="AH7110" s="49" t="str">
        <f t="shared" si="111"/>
        <v/>
      </c>
    </row>
    <row r="7111" spans="8:34" ht="12.75">
      <c r="H7111" s="43"/>
      <c r="AG7111" s="49" t="str">
        <f ca="1">IFERROR(__xludf.DUMMYFUNCTION("IFNA(vlookup(H7111,IMPORTRANGE(""1vUGwO1n0QQGx9kKbO0_M5gmuhXZ6-LaxQxgrmJnzgP0"",""'TP# look up'!A:C""),3,0),"""")"),"")</f>
        <v/>
      </c>
      <c r="AH7111" s="49" t="str">
        <f t="shared" si="111"/>
        <v/>
      </c>
    </row>
    <row r="7112" spans="8:34" ht="12.75">
      <c r="H7112" s="43"/>
      <c r="AG7112" s="49" t="str">
        <f ca="1">IFERROR(__xludf.DUMMYFUNCTION("IFNA(vlookup(H7112,IMPORTRANGE(""1vUGwO1n0QQGx9kKbO0_M5gmuhXZ6-LaxQxgrmJnzgP0"",""'TP# look up'!A:C""),3,0),"""")"),"")</f>
        <v/>
      </c>
      <c r="AH7112" s="49" t="str">
        <f t="shared" si="111"/>
        <v/>
      </c>
    </row>
    <row r="7113" spans="8:34" ht="12.75">
      <c r="H7113" s="43"/>
      <c r="AG7113" s="49" t="str">
        <f ca="1">IFERROR(__xludf.DUMMYFUNCTION("IFNA(vlookup(H7113,IMPORTRANGE(""1vUGwO1n0QQGx9kKbO0_M5gmuhXZ6-LaxQxgrmJnzgP0"",""'TP# look up'!A:C""),3,0),"""")"),"")</f>
        <v/>
      </c>
      <c r="AH7113" s="49" t="str">
        <f t="shared" si="111"/>
        <v/>
      </c>
    </row>
    <row r="7114" spans="8:34" ht="12.75">
      <c r="H7114" s="43"/>
      <c r="AG7114" s="49" t="str">
        <f ca="1">IFERROR(__xludf.DUMMYFUNCTION("IFNA(vlookup(H7114,IMPORTRANGE(""1vUGwO1n0QQGx9kKbO0_M5gmuhXZ6-LaxQxgrmJnzgP0"",""'TP# look up'!A:C""),3,0),"""")"),"")</f>
        <v/>
      </c>
      <c r="AH7114" s="49" t="str">
        <f t="shared" si="111"/>
        <v/>
      </c>
    </row>
    <row r="7115" spans="8:34" ht="12.75">
      <c r="H7115" s="43"/>
      <c r="AG7115" s="49" t="str">
        <f ca="1">IFERROR(__xludf.DUMMYFUNCTION("IFNA(vlookup(H7115,IMPORTRANGE(""1vUGwO1n0QQGx9kKbO0_M5gmuhXZ6-LaxQxgrmJnzgP0"",""'TP# look up'!A:C""),3,0),"""")"),"")</f>
        <v/>
      </c>
      <c r="AH7115" s="49" t="str">
        <f t="shared" si="111"/>
        <v/>
      </c>
    </row>
    <row r="7116" spans="8:34" ht="12.75">
      <c r="H7116" s="43"/>
      <c r="AG7116" s="49" t="str">
        <f ca="1">IFERROR(__xludf.DUMMYFUNCTION("IFNA(vlookup(H7116,IMPORTRANGE(""1vUGwO1n0QQGx9kKbO0_M5gmuhXZ6-LaxQxgrmJnzgP0"",""'TP# look up'!A:C""),3,0),"""")"),"")</f>
        <v/>
      </c>
      <c r="AH7116" s="49" t="str">
        <f t="shared" si="111"/>
        <v/>
      </c>
    </row>
    <row r="7117" spans="8:34" ht="12.75">
      <c r="H7117" s="43"/>
      <c r="AG7117" s="49" t="str">
        <f ca="1">IFERROR(__xludf.DUMMYFUNCTION("IFNA(vlookup(H7117,IMPORTRANGE(""1vUGwO1n0QQGx9kKbO0_M5gmuhXZ6-LaxQxgrmJnzgP0"",""'TP# look up'!A:C""),3,0),"""")"),"")</f>
        <v/>
      </c>
      <c r="AH7117" s="49" t="str">
        <f t="shared" si="111"/>
        <v/>
      </c>
    </row>
    <row r="7118" spans="8:34" ht="12.75">
      <c r="H7118" s="43"/>
      <c r="AG7118" s="49" t="str">
        <f ca="1">IFERROR(__xludf.DUMMYFUNCTION("IFNA(vlookup(H7118,IMPORTRANGE(""1vUGwO1n0QQGx9kKbO0_M5gmuhXZ6-LaxQxgrmJnzgP0"",""'TP# look up'!A:C""),3,0),"""")"),"")</f>
        <v/>
      </c>
      <c r="AH7118" s="49" t="str">
        <f t="shared" si="111"/>
        <v/>
      </c>
    </row>
    <row r="7119" spans="8:34" ht="12.75">
      <c r="H7119" s="43"/>
      <c r="AG7119" s="49" t="str">
        <f ca="1">IFERROR(__xludf.DUMMYFUNCTION("IFNA(vlookup(H7119,IMPORTRANGE(""1vUGwO1n0QQGx9kKbO0_M5gmuhXZ6-LaxQxgrmJnzgP0"",""'TP# look up'!A:C""),3,0),"""")"),"")</f>
        <v/>
      </c>
      <c r="AH7119" s="49" t="str">
        <f t="shared" si="111"/>
        <v/>
      </c>
    </row>
    <row r="7120" spans="8:34" ht="12.75">
      <c r="H7120" s="43"/>
      <c r="AG7120" s="49" t="str">
        <f ca="1">IFERROR(__xludf.DUMMYFUNCTION("IFNA(vlookup(H7120,IMPORTRANGE(""1vUGwO1n0QQGx9kKbO0_M5gmuhXZ6-LaxQxgrmJnzgP0"",""'TP# look up'!A:C""),3,0),"""")"),"")</f>
        <v/>
      </c>
      <c r="AH7120" s="49" t="str">
        <f t="shared" si="111"/>
        <v/>
      </c>
    </row>
    <row r="7121" spans="8:34" ht="12.75">
      <c r="H7121" s="43"/>
      <c r="AG7121" s="49" t="str">
        <f ca="1">IFERROR(__xludf.DUMMYFUNCTION("IFNA(vlookup(H7121,IMPORTRANGE(""1vUGwO1n0QQGx9kKbO0_M5gmuhXZ6-LaxQxgrmJnzgP0"",""'TP# look up'!A:C""),3,0),"""")"),"")</f>
        <v/>
      </c>
      <c r="AH7121" s="49" t="str">
        <f t="shared" si="111"/>
        <v/>
      </c>
    </row>
    <row r="7122" spans="8:34" ht="12.75">
      <c r="H7122" s="43"/>
      <c r="AG7122" s="49" t="str">
        <f ca="1">IFERROR(__xludf.DUMMYFUNCTION("IFNA(vlookup(H7122,IMPORTRANGE(""1vUGwO1n0QQGx9kKbO0_M5gmuhXZ6-LaxQxgrmJnzgP0"",""'TP# look up'!A:C""),3,0),"""")"),"")</f>
        <v/>
      </c>
      <c r="AH7122" s="49" t="str">
        <f t="shared" si="111"/>
        <v/>
      </c>
    </row>
    <row r="7123" spans="8:34" ht="12.75">
      <c r="H7123" s="43"/>
      <c r="AG7123" s="49" t="str">
        <f ca="1">IFERROR(__xludf.DUMMYFUNCTION("IFNA(vlookup(H7123,IMPORTRANGE(""1vUGwO1n0QQGx9kKbO0_M5gmuhXZ6-LaxQxgrmJnzgP0"",""'TP# look up'!A:C""),3,0),"""")"),"")</f>
        <v/>
      </c>
      <c r="AH7123" s="49" t="str">
        <f t="shared" si="111"/>
        <v/>
      </c>
    </row>
    <row r="7124" spans="8:34" ht="12.75">
      <c r="H7124" s="43"/>
      <c r="AG7124" s="49" t="str">
        <f ca="1">IFERROR(__xludf.DUMMYFUNCTION("IFNA(vlookup(H7124,IMPORTRANGE(""1vUGwO1n0QQGx9kKbO0_M5gmuhXZ6-LaxQxgrmJnzgP0"",""'TP# look up'!A:C""),3,0),"""")"),"")</f>
        <v/>
      </c>
      <c r="AH7124" s="49" t="str">
        <f t="shared" si="111"/>
        <v/>
      </c>
    </row>
    <row r="7125" spans="8:34" ht="12.75">
      <c r="H7125" s="43"/>
      <c r="AG7125" s="49" t="str">
        <f ca="1">IFERROR(__xludf.DUMMYFUNCTION("IFNA(vlookup(H7125,IMPORTRANGE(""1vUGwO1n0QQGx9kKbO0_M5gmuhXZ6-LaxQxgrmJnzgP0"",""'TP# look up'!A:C""),3,0),"""")"),"")</f>
        <v/>
      </c>
      <c r="AH7125" s="49" t="str">
        <f t="shared" si="111"/>
        <v/>
      </c>
    </row>
    <row r="7126" spans="8:34" ht="12.75">
      <c r="H7126" s="43"/>
      <c r="AG7126" s="49" t="str">
        <f ca="1">IFERROR(__xludf.DUMMYFUNCTION("IFNA(vlookup(H7126,IMPORTRANGE(""1vUGwO1n0QQGx9kKbO0_M5gmuhXZ6-LaxQxgrmJnzgP0"",""'TP# look up'!A:C""),3,0),"""")"),"")</f>
        <v/>
      </c>
      <c r="AH7126" s="49" t="str">
        <f t="shared" si="111"/>
        <v/>
      </c>
    </row>
    <row r="7127" spans="8:34" ht="12.75">
      <c r="H7127" s="43"/>
      <c r="AG7127" s="49" t="str">
        <f ca="1">IFERROR(__xludf.DUMMYFUNCTION("IFNA(vlookup(H7127,IMPORTRANGE(""1vUGwO1n0QQGx9kKbO0_M5gmuhXZ6-LaxQxgrmJnzgP0"",""'TP# look up'!A:C""),3,0),"""")"),"")</f>
        <v/>
      </c>
      <c r="AH7127" s="49" t="str">
        <f t="shared" si="111"/>
        <v/>
      </c>
    </row>
    <row r="7128" spans="8:34" ht="12.75">
      <c r="H7128" s="43"/>
      <c r="AG7128" s="49" t="str">
        <f ca="1">IFERROR(__xludf.DUMMYFUNCTION("IFNA(vlookup(H7128,IMPORTRANGE(""1vUGwO1n0QQGx9kKbO0_M5gmuhXZ6-LaxQxgrmJnzgP0"",""'TP# look up'!A:C""),3,0),"""")"),"")</f>
        <v/>
      </c>
      <c r="AH7128" s="49" t="str">
        <f t="shared" si="111"/>
        <v/>
      </c>
    </row>
    <row r="7129" spans="8:34" ht="12.75">
      <c r="H7129" s="43"/>
      <c r="AG7129" s="49" t="str">
        <f ca="1">IFERROR(__xludf.DUMMYFUNCTION("IFNA(vlookup(H7129,IMPORTRANGE(""1vUGwO1n0QQGx9kKbO0_M5gmuhXZ6-LaxQxgrmJnzgP0"",""'TP# look up'!A:C""),3,0),"""")"),"")</f>
        <v/>
      </c>
      <c r="AH7129" s="49" t="str">
        <f t="shared" si="111"/>
        <v/>
      </c>
    </row>
    <row r="7130" spans="8:34" ht="12.75">
      <c r="H7130" s="43"/>
      <c r="AG7130" s="49" t="str">
        <f ca="1">IFERROR(__xludf.DUMMYFUNCTION("IFNA(vlookup(H7130,IMPORTRANGE(""1vUGwO1n0QQGx9kKbO0_M5gmuhXZ6-LaxQxgrmJnzgP0"",""'TP# look up'!A:C""),3,0),"""")"),"")</f>
        <v/>
      </c>
      <c r="AH7130" s="49" t="str">
        <f t="shared" si="111"/>
        <v/>
      </c>
    </row>
    <row r="7131" spans="8:34" ht="12.75">
      <c r="H7131" s="43"/>
      <c r="AG7131" s="49" t="str">
        <f ca="1">IFERROR(__xludf.DUMMYFUNCTION("IFNA(vlookup(H7131,IMPORTRANGE(""1vUGwO1n0QQGx9kKbO0_M5gmuhXZ6-LaxQxgrmJnzgP0"",""'TP# look up'!A:C""),3,0),"""")"),"")</f>
        <v/>
      </c>
      <c r="AH7131" s="49" t="str">
        <f t="shared" si="111"/>
        <v/>
      </c>
    </row>
    <row r="7132" spans="8:34" ht="12.75">
      <c r="H7132" s="43"/>
      <c r="AG7132" s="49" t="str">
        <f ca="1">IFERROR(__xludf.DUMMYFUNCTION("IFNA(vlookup(H7132,IMPORTRANGE(""1vUGwO1n0QQGx9kKbO0_M5gmuhXZ6-LaxQxgrmJnzgP0"",""'TP# look up'!A:C""),3,0),"""")"),"")</f>
        <v/>
      </c>
      <c r="AH7132" s="49" t="str">
        <f t="shared" si="111"/>
        <v/>
      </c>
    </row>
    <row r="7133" spans="8:34" ht="12.75">
      <c r="H7133" s="43"/>
      <c r="AG7133" s="49" t="str">
        <f ca="1">IFERROR(__xludf.DUMMYFUNCTION("IFNA(vlookup(H7133,IMPORTRANGE(""1vUGwO1n0QQGx9kKbO0_M5gmuhXZ6-LaxQxgrmJnzgP0"",""'TP# look up'!A:C""),3,0),"""")"),"")</f>
        <v/>
      </c>
      <c r="AH7133" s="49" t="str">
        <f t="shared" si="111"/>
        <v/>
      </c>
    </row>
    <row r="7134" spans="8:34" ht="12.75">
      <c r="H7134" s="43"/>
      <c r="AG7134" s="49" t="str">
        <f ca="1">IFERROR(__xludf.DUMMYFUNCTION("IFNA(vlookup(H7134,IMPORTRANGE(""1vUGwO1n0QQGx9kKbO0_M5gmuhXZ6-LaxQxgrmJnzgP0"",""'TP# look up'!A:C""),3,0),"""")"),"")</f>
        <v/>
      </c>
      <c r="AH7134" s="49" t="str">
        <f t="shared" si="111"/>
        <v/>
      </c>
    </row>
    <row r="7135" spans="8:34" ht="12.75">
      <c r="H7135" s="43"/>
      <c r="AG7135" s="49" t="str">
        <f ca="1">IFERROR(__xludf.DUMMYFUNCTION("IFNA(vlookup(H7135,IMPORTRANGE(""1vUGwO1n0QQGx9kKbO0_M5gmuhXZ6-LaxQxgrmJnzgP0"",""'TP# look up'!A:C""),3,0),"""")"),"")</f>
        <v/>
      </c>
      <c r="AH7135" s="49" t="str">
        <f t="shared" si="111"/>
        <v/>
      </c>
    </row>
    <row r="7136" spans="8:34" ht="12.75">
      <c r="H7136" s="43"/>
      <c r="AG7136" s="49" t="str">
        <f ca="1">IFERROR(__xludf.DUMMYFUNCTION("IFNA(vlookup(H7136,IMPORTRANGE(""1vUGwO1n0QQGx9kKbO0_M5gmuhXZ6-LaxQxgrmJnzgP0"",""'TP# look up'!A:C""),3,0),"""")"),"")</f>
        <v/>
      </c>
      <c r="AH7136" s="49" t="str">
        <f t="shared" si="111"/>
        <v/>
      </c>
    </row>
    <row r="7137" spans="8:34" ht="12.75">
      <c r="H7137" s="43"/>
      <c r="AG7137" s="49" t="str">
        <f ca="1">IFERROR(__xludf.DUMMYFUNCTION("IFNA(vlookup(H7137,IMPORTRANGE(""1vUGwO1n0QQGx9kKbO0_M5gmuhXZ6-LaxQxgrmJnzgP0"",""'TP# look up'!A:C""),3,0),"""")"),"")</f>
        <v/>
      </c>
      <c r="AH7137" s="49" t="str">
        <f t="shared" si="111"/>
        <v/>
      </c>
    </row>
    <row r="7138" spans="8:34" ht="12.75">
      <c r="H7138" s="43"/>
      <c r="AG7138" s="49" t="str">
        <f ca="1">IFERROR(__xludf.DUMMYFUNCTION("IFNA(vlookup(H7138,IMPORTRANGE(""1vUGwO1n0QQGx9kKbO0_M5gmuhXZ6-LaxQxgrmJnzgP0"",""'TP# look up'!A:C""),3,0),"""")"),"")</f>
        <v/>
      </c>
      <c r="AH7138" s="49" t="str">
        <f t="shared" si="111"/>
        <v/>
      </c>
    </row>
    <row r="7139" spans="8:34" ht="12.75">
      <c r="H7139" s="43"/>
      <c r="AG7139" s="49" t="str">
        <f ca="1">IFERROR(__xludf.DUMMYFUNCTION("IFNA(vlookup(H7139,IMPORTRANGE(""1vUGwO1n0QQGx9kKbO0_M5gmuhXZ6-LaxQxgrmJnzgP0"",""'TP# look up'!A:C""),3,0),"""")"),"")</f>
        <v/>
      </c>
      <c r="AH7139" s="49" t="str">
        <f t="shared" si="111"/>
        <v/>
      </c>
    </row>
    <row r="7140" spans="8:34" ht="12.75">
      <c r="H7140" s="43"/>
      <c r="AG7140" s="49" t="str">
        <f ca="1">IFERROR(__xludf.DUMMYFUNCTION("IFNA(vlookup(H7140,IMPORTRANGE(""1vUGwO1n0QQGx9kKbO0_M5gmuhXZ6-LaxQxgrmJnzgP0"",""'TP# look up'!A:C""),3,0),"""")"),"")</f>
        <v/>
      </c>
      <c r="AH7140" s="49" t="str">
        <f t="shared" si="111"/>
        <v/>
      </c>
    </row>
    <row r="7141" spans="8:34" ht="12.75">
      <c r="H7141" s="43"/>
      <c r="AG7141" s="49" t="str">
        <f ca="1">IFERROR(__xludf.DUMMYFUNCTION("IFNA(vlookup(H7141,IMPORTRANGE(""1vUGwO1n0QQGx9kKbO0_M5gmuhXZ6-LaxQxgrmJnzgP0"",""'TP# look up'!A:C""),3,0),"""")"),"")</f>
        <v/>
      </c>
      <c r="AH7141" s="49" t="str">
        <f t="shared" si="111"/>
        <v/>
      </c>
    </row>
    <row r="7142" spans="8:34" ht="12.75">
      <c r="H7142" s="43"/>
      <c r="AG7142" s="49" t="str">
        <f ca="1">IFERROR(__xludf.DUMMYFUNCTION("IFNA(vlookup(H7142,IMPORTRANGE(""1vUGwO1n0QQGx9kKbO0_M5gmuhXZ6-LaxQxgrmJnzgP0"",""'TP# look up'!A:C""),3,0),"""")"),"")</f>
        <v/>
      </c>
      <c r="AH7142" s="49" t="str">
        <f t="shared" si="111"/>
        <v/>
      </c>
    </row>
    <row r="7143" spans="8:34" ht="12.75">
      <c r="H7143" s="43"/>
      <c r="AG7143" s="49" t="str">
        <f ca="1">IFERROR(__xludf.DUMMYFUNCTION("IFNA(vlookup(H7143,IMPORTRANGE(""1vUGwO1n0QQGx9kKbO0_M5gmuhXZ6-LaxQxgrmJnzgP0"",""'TP# look up'!A:C""),3,0),"""")"),"")</f>
        <v/>
      </c>
      <c r="AH7143" s="49" t="str">
        <f t="shared" si="111"/>
        <v/>
      </c>
    </row>
    <row r="7144" spans="8:34" ht="12.75">
      <c r="H7144" s="43"/>
      <c r="AG7144" s="49" t="str">
        <f ca="1">IFERROR(__xludf.DUMMYFUNCTION("IFNA(vlookup(H7144,IMPORTRANGE(""1vUGwO1n0QQGx9kKbO0_M5gmuhXZ6-LaxQxgrmJnzgP0"",""'TP# look up'!A:C""),3,0),"""")"),"")</f>
        <v/>
      </c>
      <c r="AH7144" s="49" t="str">
        <f t="shared" si="111"/>
        <v/>
      </c>
    </row>
    <row r="7145" spans="8:34" ht="12.75">
      <c r="H7145" s="43"/>
      <c r="AG7145" s="49" t="str">
        <f ca="1">IFERROR(__xludf.DUMMYFUNCTION("IFNA(vlookup(H7145,IMPORTRANGE(""1vUGwO1n0QQGx9kKbO0_M5gmuhXZ6-LaxQxgrmJnzgP0"",""'TP# look up'!A:C""),3,0),"""")"),"")</f>
        <v/>
      </c>
      <c r="AH7145" s="49" t="str">
        <f t="shared" si="111"/>
        <v/>
      </c>
    </row>
    <row r="7146" spans="8:34" ht="12.75">
      <c r="H7146" s="43"/>
      <c r="AG7146" s="49" t="str">
        <f ca="1">IFERROR(__xludf.DUMMYFUNCTION("IFNA(vlookup(H7146,IMPORTRANGE(""1vUGwO1n0QQGx9kKbO0_M5gmuhXZ6-LaxQxgrmJnzgP0"",""'TP# look up'!A:C""),3,0),"""")"),"")</f>
        <v/>
      </c>
      <c r="AH7146" s="49" t="str">
        <f t="shared" si="111"/>
        <v/>
      </c>
    </row>
    <row r="7147" spans="8:34" ht="12.75">
      <c r="H7147" s="43"/>
      <c r="AG7147" s="49" t="str">
        <f ca="1">IFERROR(__xludf.DUMMYFUNCTION("IFNA(vlookup(H7147,IMPORTRANGE(""1vUGwO1n0QQGx9kKbO0_M5gmuhXZ6-LaxQxgrmJnzgP0"",""'TP# look up'!A:C""),3,0),"""")"),"")</f>
        <v/>
      </c>
      <c r="AH7147" s="49" t="str">
        <f t="shared" si="111"/>
        <v/>
      </c>
    </row>
    <row r="7148" spans="8:34" ht="12.75">
      <c r="H7148" s="43"/>
      <c r="AG7148" s="49" t="str">
        <f ca="1">IFERROR(__xludf.DUMMYFUNCTION("IFNA(vlookup(H7148,IMPORTRANGE(""1vUGwO1n0QQGx9kKbO0_M5gmuhXZ6-LaxQxgrmJnzgP0"",""'TP# look up'!A:C""),3,0),"""")"),"")</f>
        <v/>
      </c>
      <c r="AH7148" s="49" t="str">
        <f t="shared" si="111"/>
        <v/>
      </c>
    </row>
    <row r="7149" spans="8:34" ht="12.75">
      <c r="H7149" s="43"/>
      <c r="AG7149" s="49" t="str">
        <f ca="1">IFERROR(__xludf.DUMMYFUNCTION("IFNA(vlookup(H7149,IMPORTRANGE(""1vUGwO1n0QQGx9kKbO0_M5gmuhXZ6-LaxQxgrmJnzgP0"",""'TP# look up'!A:C""),3,0),"""")"),"")</f>
        <v/>
      </c>
      <c r="AH7149" s="49" t="str">
        <f t="shared" si="111"/>
        <v/>
      </c>
    </row>
    <row r="7150" spans="8:34" ht="12.75">
      <c r="H7150" s="43"/>
      <c r="AG7150" s="49" t="str">
        <f ca="1">IFERROR(__xludf.DUMMYFUNCTION("IFNA(vlookup(H7150,IMPORTRANGE(""1vUGwO1n0QQGx9kKbO0_M5gmuhXZ6-LaxQxgrmJnzgP0"",""'TP# look up'!A:C""),3,0),"""")"),"")</f>
        <v/>
      </c>
      <c r="AH7150" s="49" t="str">
        <f t="shared" si="111"/>
        <v/>
      </c>
    </row>
    <row r="7151" spans="8:34" ht="12.75">
      <c r="H7151" s="43"/>
      <c r="AG7151" s="49" t="str">
        <f ca="1">IFERROR(__xludf.DUMMYFUNCTION("IFNA(vlookup(H7151,IMPORTRANGE(""1vUGwO1n0QQGx9kKbO0_M5gmuhXZ6-LaxQxgrmJnzgP0"",""'TP# look up'!A:C""),3,0),"""")"),"")</f>
        <v/>
      </c>
      <c r="AH7151" s="49" t="str">
        <f t="shared" si="111"/>
        <v/>
      </c>
    </row>
    <row r="7152" spans="8:34" ht="12.75">
      <c r="H7152" s="43"/>
      <c r="AG7152" s="49" t="str">
        <f ca="1">IFERROR(__xludf.DUMMYFUNCTION("IFNA(vlookup(H7152,IMPORTRANGE(""1vUGwO1n0QQGx9kKbO0_M5gmuhXZ6-LaxQxgrmJnzgP0"",""'TP# look up'!A:C""),3,0),"""")"),"")</f>
        <v/>
      </c>
      <c r="AH7152" s="49" t="str">
        <f t="shared" si="111"/>
        <v/>
      </c>
    </row>
    <row r="7153" spans="8:34" ht="12.75">
      <c r="H7153" s="43"/>
      <c r="AG7153" s="49" t="str">
        <f ca="1">IFERROR(__xludf.DUMMYFUNCTION("IFNA(vlookup(H7153,IMPORTRANGE(""1vUGwO1n0QQGx9kKbO0_M5gmuhXZ6-LaxQxgrmJnzgP0"",""'TP# look up'!A:C""),3,0),"""")"),"")</f>
        <v/>
      </c>
      <c r="AH7153" s="49" t="str">
        <f t="shared" si="111"/>
        <v/>
      </c>
    </row>
    <row r="7154" spans="8:34" ht="12.75">
      <c r="H7154" s="43"/>
      <c r="AG7154" s="49" t="str">
        <f ca="1">IFERROR(__xludf.DUMMYFUNCTION("IFNA(vlookup(H7154,IMPORTRANGE(""1vUGwO1n0QQGx9kKbO0_M5gmuhXZ6-LaxQxgrmJnzgP0"",""'TP# look up'!A:C""),3,0),"""")"),"")</f>
        <v/>
      </c>
      <c r="AH7154" s="49" t="str">
        <f t="shared" si="111"/>
        <v/>
      </c>
    </row>
    <row r="7155" spans="8:34" ht="12.75">
      <c r="H7155" s="43"/>
      <c r="AG7155" s="49" t="str">
        <f ca="1">IFERROR(__xludf.DUMMYFUNCTION("IFNA(vlookup(H7155,IMPORTRANGE(""1vUGwO1n0QQGx9kKbO0_M5gmuhXZ6-LaxQxgrmJnzgP0"",""'TP# look up'!A:C""),3,0),"""")"),"")</f>
        <v/>
      </c>
      <c r="AH7155" s="49" t="str">
        <f t="shared" si="111"/>
        <v/>
      </c>
    </row>
    <row r="7156" spans="8:34" ht="12.75">
      <c r="H7156" s="43"/>
      <c r="AG7156" s="49" t="str">
        <f ca="1">IFERROR(__xludf.DUMMYFUNCTION("IFNA(vlookup(H7156,IMPORTRANGE(""1vUGwO1n0QQGx9kKbO0_M5gmuhXZ6-LaxQxgrmJnzgP0"",""'TP# look up'!A:C""),3,0),"""")"),"")</f>
        <v/>
      </c>
      <c r="AH7156" s="49" t="str">
        <f t="shared" si="111"/>
        <v/>
      </c>
    </row>
    <row r="7157" spans="8:34" ht="12.75">
      <c r="H7157" s="43"/>
      <c r="AG7157" s="49" t="str">
        <f ca="1">IFERROR(__xludf.DUMMYFUNCTION("IFNA(vlookup(H7157,IMPORTRANGE(""1vUGwO1n0QQGx9kKbO0_M5gmuhXZ6-LaxQxgrmJnzgP0"",""'TP# look up'!A:C""),3,0),"""")"),"")</f>
        <v/>
      </c>
      <c r="AH7157" s="49" t="str">
        <f t="shared" si="111"/>
        <v/>
      </c>
    </row>
    <row r="7158" spans="8:34" ht="12.75">
      <c r="H7158" s="43"/>
      <c r="AG7158" s="49" t="str">
        <f ca="1">IFERROR(__xludf.DUMMYFUNCTION("IFNA(vlookup(H7158,IMPORTRANGE(""1vUGwO1n0QQGx9kKbO0_M5gmuhXZ6-LaxQxgrmJnzgP0"",""'TP# look up'!A:C""),3,0),"""")"),"")</f>
        <v/>
      </c>
      <c r="AH7158" s="49" t="str">
        <f t="shared" si="111"/>
        <v/>
      </c>
    </row>
    <row r="7159" spans="8:34" ht="12.75">
      <c r="H7159" s="43"/>
      <c r="AG7159" s="49" t="str">
        <f ca="1">IFERROR(__xludf.DUMMYFUNCTION("IFNA(vlookup(H7159,IMPORTRANGE(""1vUGwO1n0QQGx9kKbO0_M5gmuhXZ6-LaxQxgrmJnzgP0"",""'TP# look up'!A:C""),3,0),"""")"),"")</f>
        <v/>
      </c>
      <c r="AH7159" s="49" t="str">
        <f t="shared" si="111"/>
        <v/>
      </c>
    </row>
    <row r="7160" spans="8:34" ht="12.75">
      <c r="H7160" s="43"/>
      <c r="AG7160" s="49" t="str">
        <f ca="1">IFERROR(__xludf.DUMMYFUNCTION("IFNA(vlookup(H7160,IMPORTRANGE(""1vUGwO1n0QQGx9kKbO0_M5gmuhXZ6-LaxQxgrmJnzgP0"",""'TP# look up'!A:C""),3,0),"""")"),"")</f>
        <v/>
      </c>
      <c r="AH7160" s="49" t="str">
        <f t="shared" si="111"/>
        <v/>
      </c>
    </row>
    <row r="7161" spans="8:34" ht="12.75">
      <c r="H7161" s="43"/>
      <c r="AG7161" s="49" t="str">
        <f ca="1">IFERROR(__xludf.DUMMYFUNCTION("IFNA(vlookup(H7161,IMPORTRANGE(""1vUGwO1n0QQGx9kKbO0_M5gmuhXZ6-LaxQxgrmJnzgP0"",""'TP# look up'!A:C""),3,0),"""")"),"")</f>
        <v/>
      </c>
      <c r="AH7161" s="49" t="str">
        <f t="shared" si="111"/>
        <v/>
      </c>
    </row>
    <row r="7162" spans="8:34" ht="12.75">
      <c r="H7162" s="43"/>
      <c r="AG7162" s="49" t="str">
        <f ca="1">IFERROR(__xludf.DUMMYFUNCTION("IFNA(vlookup(H7162,IMPORTRANGE(""1vUGwO1n0QQGx9kKbO0_M5gmuhXZ6-LaxQxgrmJnzgP0"",""'TP# look up'!A:C""),3,0),"""")"),"")</f>
        <v/>
      </c>
      <c r="AH7162" s="49" t="str">
        <f t="shared" si="111"/>
        <v/>
      </c>
    </row>
    <row r="7163" spans="8:34" ht="12.75">
      <c r="H7163" s="43"/>
      <c r="AG7163" s="49" t="str">
        <f ca="1">IFERROR(__xludf.DUMMYFUNCTION("IFNA(vlookup(H7163,IMPORTRANGE(""1vUGwO1n0QQGx9kKbO0_M5gmuhXZ6-LaxQxgrmJnzgP0"",""'TP# look up'!A:C""),3,0),"""")"),"")</f>
        <v/>
      </c>
      <c r="AH7163" s="49" t="str">
        <f t="shared" si="111"/>
        <v/>
      </c>
    </row>
    <row r="7164" spans="8:34" ht="12.75">
      <c r="H7164" s="43"/>
      <c r="AG7164" s="49" t="str">
        <f ca="1">IFERROR(__xludf.DUMMYFUNCTION("IFNA(vlookup(H7164,IMPORTRANGE(""1vUGwO1n0QQGx9kKbO0_M5gmuhXZ6-LaxQxgrmJnzgP0"",""'TP# look up'!A:C""),3,0),"""")"),"")</f>
        <v/>
      </c>
      <c r="AH7164" s="49" t="str">
        <f t="shared" si="111"/>
        <v/>
      </c>
    </row>
    <row r="7165" spans="8:34" ht="12.75">
      <c r="H7165" s="43"/>
      <c r="AG7165" s="49" t="str">
        <f ca="1">IFERROR(__xludf.DUMMYFUNCTION("IFNA(vlookup(H7165,IMPORTRANGE(""1vUGwO1n0QQGx9kKbO0_M5gmuhXZ6-LaxQxgrmJnzgP0"",""'TP# look up'!A:C""),3,0),"""")"),"")</f>
        <v/>
      </c>
      <c r="AH7165" s="49" t="str">
        <f t="shared" si="111"/>
        <v/>
      </c>
    </row>
    <row r="7166" spans="8:34" ht="12.75">
      <c r="H7166" s="43"/>
      <c r="AG7166" s="49" t="str">
        <f ca="1">IFERROR(__xludf.DUMMYFUNCTION("IFNA(vlookup(H7166,IMPORTRANGE(""1vUGwO1n0QQGx9kKbO0_M5gmuhXZ6-LaxQxgrmJnzgP0"",""'TP# look up'!A:C""),3,0),"""")"),"")</f>
        <v/>
      </c>
      <c r="AH7166" s="49" t="str">
        <f t="shared" si="111"/>
        <v/>
      </c>
    </row>
    <row r="7167" spans="8:34" ht="12.75">
      <c r="H7167" s="43"/>
      <c r="AG7167" s="49" t="str">
        <f ca="1">IFERROR(__xludf.DUMMYFUNCTION("IFNA(vlookup(H7167,IMPORTRANGE(""1vUGwO1n0QQGx9kKbO0_M5gmuhXZ6-LaxQxgrmJnzgP0"",""'TP# look up'!A:C""),3,0),"""")"),"")</f>
        <v/>
      </c>
      <c r="AH7167" s="49" t="str">
        <f t="shared" si="111"/>
        <v/>
      </c>
    </row>
    <row r="7168" spans="8:34" ht="12.75">
      <c r="H7168" s="43"/>
      <c r="AG7168" s="49" t="str">
        <f ca="1">IFERROR(__xludf.DUMMYFUNCTION("IFNA(vlookup(H7168,IMPORTRANGE(""1vUGwO1n0QQGx9kKbO0_M5gmuhXZ6-LaxQxgrmJnzgP0"",""'TP# look up'!A:C""),3,0),"""")"),"")</f>
        <v/>
      </c>
      <c r="AH7168" s="49" t="str">
        <f t="shared" si="111"/>
        <v/>
      </c>
    </row>
    <row r="7169" spans="8:34" ht="12.75">
      <c r="H7169" s="43"/>
      <c r="AG7169" s="49" t="str">
        <f ca="1">IFERROR(__xludf.DUMMYFUNCTION("IFNA(vlookup(H7169,IMPORTRANGE(""1vUGwO1n0QQGx9kKbO0_M5gmuhXZ6-LaxQxgrmJnzgP0"",""'TP# look up'!A:C""),3,0),"""")"),"")</f>
        <v/>
      </c>
      <c r="AH7169" s="49" t="str">
        <f t="shared" si="111"/>
        <v/>
      </c>
    </row>
    <row r="7170" spans="8:34" ht="12.75">
      <c r="H7170" s="43"/>
      <c r="AG7170" s="49" t="str">
        <f ca="1">IFERROR(__xludf.DUMMYFUNCTION("IFNA(vlookup(H7170,IMPORTRANGE(""1vUGwO1n0QQGx9kKbO0_M5gmuhXZ6-LaxQxgrmJnzgP0"",""'TP# look up'!A:C""),3,0),"""")"),"")</f>
        <v/>
      </c>
      <c r="AH7170" s="49" t="str">
        <f t="shared" ref="AH7170:AH7233" si="112">LEFT(J7170,2)</f>
        <v/>
      </c>
    </row>
    <row r="7171" spans="8:34" ht="12.75">
      <c r="H7171" s="43"/>
      <c r="AG7171" s="49" t="str">
        <f ca="1">IFERROR(__xludf.DUMMYFUNCTION("IFNA(vlookup(H7171,IMPORTRANGE(""1vUGwO1n0QQGx9kKbO0_M5gmuhXZ6-LaxQxgrmJnzgP0"",""'TP# look up'!A:C""),3,0),"""")"),"")</f>
        <v/>
      </c>
      <c r="AH7171" s="49" t="str">
        <f t="shared" si="112"/>
        <v/>
      </c>
    </row>
    <row r="7172" spans="8:34" ht="12.75">
      <c r="H7172" s="43"/>
      <c r="AG7172" s="49" t="str">
        <f ca="1">IFERROR(__xludf.DUMMYFUNCTION("IFNA(vlookup(H7172,IMPORTRANGE(""1vUGwO1n0QQGx9kKbO0_M5gmuhXZ6-LaxQxgrmJnzgP0"",""'TP# look up'!A:C""),3,0),"""")"),"")</f>
        <v/>
      </c>
      <c r="AH7172" s="49" t="str">
        <f t="shared" si="112"/>
        <v/>
      </c>
    </row>
    <row r="7173" spans="8:34" ht="12.75">
      <c r="H7173" s="43"/>
      <c r="AG7173" s="49" t="str">
        <f ca="1">IFERROR(__xludf.DUMMYFUNCTION("IFNA(vlookup(H7173,IMPORTRANGE(""1vUGwO1n0QQGx9kKbO0_M5gmuhXZ6-LaxQxgrmJnzgP0"",""'TP# look up'!A:C""),3,0),"""")"),"")</f>
        <v/>
      </c>
      <c r="AH7173" s="49" t="str">
        <f t="shared" si="112"/>
        <v/>
      </c>
    </row>
    <row r="7174" spans="8:34" ht="12.75">
      <c r="H7174" s="43"/>
      <c r="AG7174" s="49" t="str">
        <f ca="1">IFERROR(__xludf.DUMMYFUNCTION("IFNA(vlookup(H7174,IMPORTRANGE(""1vUGwO1n0QQGx9kKbO0_M5gmuhXZ6-LaxQxgrmJnzgP0"",""'TP# look up'!A:C""),3,0),"""")"),"")</f>
        <v/>
      </c>
      <c r="AH7174" s="49" t="str">
        <f t="shared" si="112"/>
        <v/>
      </c>
    </row>
    <row r="7175" spans="8:34" ht="12.75">
      <c r="H7175" s="43"/>
      <c r="AG7175" s="49" t="str">
        <f ca="1">IFERROR(__xludf.DUMMYFUNCTION("IFNA(vlookup(H7175,IMPORTRANGE(""1vUGwO1n0QQGx9kKbO0_M5gmuhXZ6-LaxQxgrmJnzgP0"",""'TP# look up'!A:C""),3,0),"""")"),"")</f>
        <v/>
      </c>
      <c r="AH7175" s="49" t="str">
        <f t="shared" si="112"/>
        <v/>
      </c>
    </row>
    <row r="7176" spans="8:34" ht="12.75">
      <c r="H7176" s="43"/>
      <c r="AG7176" s="49" t="str">
        <f ca="1">IFERROR(__xludf.DUMMYFUNCTION("IFNA(vlookup(H7176,IMPORTRANGE(""1vUGwO1n0QQGx9kKbO0_M5gmuhXZ6-LaxQxgrmJnzgP0"",""'TP# look up'!A:C""),3,0),"""")"),"")</f>
        <v/>
      </c>
      <c r="AH7176" s="49" t="str">
        <f t="shared" si="112"/>
        <v/>
      </c>
    </row>
    <row r="7177" spans="8:34" ht="12.75">
      <c r="H7177" s="43"/>
      <c r="AG7177" s="49" t="str">
        <f ca="1">IFERROR(__xludf.DUMMYFUNCTION("IFNA(vlookup(H7177,IMPORTRANGE(""1vUGwO1n0QQGx9kKbO0_M5gmuhXZ6-LaxQxgrmJnzgP0"",""'TP# look up'!A:C""),3,0),"""")"),"")</f>
        <v/>
      </c>
      <c r="AH7177" s="49" t="str">
        <f t="shared" si="112"/>
        <v/>
      </c>
    </row>
    <row r="7178" spans="8:34" ht="12.75">
      <c r="H7178" s="43"/>
      <c r="AG7178" s="49" t="str">
        <f ca="1">IFERROR(__xludf.DUMMYFUNCTION("IFNA(vlookup(H7178,IMPORTRANGE(""1vUGwO1n0QQGx9kKbO0_M5gmuhXZ6-LaxQxgrmJnzgP0"",""'TP# look up'!A:C""),3,0),"""")"),"")</f>
        <v/>
      </c>
      <c r="AH7178" s="49" t="str">
        <f t="shared" si="112"/>
        <v/>
      </c>
    </row>
    <row r="7179" spans="8:34" ht="12.75">
      <c r="H7179" s="43"/>
      <c r="AG7179" s="49" t="str">
        <f ca="1">IFERROR(__xludf.DUMMYFUNCTION("IFNA(vlookup(H7179,IMPORTRANGE(""1vUGwO1n0QQGx9kKbO0_M5gmuhXZ6-LaxQxgrmJnzgP0"",""'TP# look up'!A:C""),3,0),"""")"),"")</f>
        <v/>
      </c>
      <c r="AH7179" s="49" t="str">
        <f t="shared" si="112"/>
        <v/>
      </c>
    </row>
    <row r="7180" spans="8:34" ht="12.75">
      <c r="H7180" s="43"/>
      <c r="AG7180" s="49" t="str">
        <f ca="1">IFERROR(__xludf.DUMMYFUNCTION("IFNA(vlookup(H7180,IMPORTRANGE(""1vUGwO1n0QQGx9kKbO0_M5gmuhXZ6-LaxQxgrmJnzgP0"",""'TP# look up'!A:C""),3,0),"""")"),"")</f>
        <v/>
      </c>
      <c r="AH7180" s="49" t="str">
        <f t="shared" si="112"/>
        <v/>
      </c>
    </row>
    <row r="7181" spans="8:34" ht="12.75">
      <c r="H7181" s="43"/>
      <c r="AG7181" s="49" t="str">
        <f ca="1">IFERROR(__xludf.DUMMYFUNCTION("IFNA(vlookup(H7181,IMPORTRANGE(""1vUGwO1n0QQGx9kKbO0_M5gmuhXZ6-LaxQxgrmJnzgP0"",""'TP# look up'!A:C""),3,0),"""")"),"")</f>
        <v/>
      </c>
      <c r="AH7181" s="49" t="str">
        <f t="shared" si="112"/>
        <v/>
      </c>
    </row>
    <row r="7182" spans="8:34" ht="12.75">
      <c r="H7182" s="43"/>
      <c r="AG7182" s="49" t="str">
        <f ca="1">IFERROR(__xludf.DUMMYFUNCTION("IFNA(vlookup(H7182,IMPORTRANGE(""1vUGwO1n0QQGx9kKbO0_M5gmuhXZ6-LaxQxgrmJnzgP0"",""'TP# look up'!A:C""),3,0),"""")"),"")</f>
        <v/>
      </c>
      <c r="AH7182" s="49" t="str">
        <f t="shared" si="112"/>
        <v/>
      </c>
    </row>
    <row r="7183" spans="8:34" ht="12.75">
      <c r="H7183" s="43"/>
      <c r="AG7183" s="49" t="str">
        <f ca="1">IFERROR(__xludf.DUMMYFUNCTION("IFNA(vlookup(H7183,IMPORTRANGE(""1vUGwO1n0QQGx9kKbO0_M5gmuhXZ6-LaxQxgrmJnzgP0"",""'TP# look up'!A:C""),3,0),"""")"),"")</f>
        <v/>
      </c>
      <c r="AH7183" s="49" t="str">
        <f t="shared" si="112"/>
        <v/>
      </c>
    </row>
    <row r="7184" spans="8:34" ht="12.75">
      <c r="H7184" s="43"/>
      <c r="AG7184" s="49" t="str">
        <f ca="1">IFERROR(__xludf.DUMMYFUNCTION("IFNA(vlookup(H7184,IMPORTRANGE(""1vUGwO1n0QQGx9kKbO0_M5gmuhXZ6-LaxQxgrmJnzgP0"",""'TP# look up'!A:C""),3,0),"""")"),"")</f>
        <v/>
      </c>
      <c r="AH7184" s="49" t="str">
        <f t="shared" si="112"/>
        <v/>
      </c>
    </row>
    <row r="7185" spans="8:34" ht="12.75">
      <c r="H7185" s="43"/>
      <c r="AG7185" s="49" t="str">
        <f ca="1">IFERROR(__xludf.DUMMYFUNCTION("IFNA(vlookup(H7185,IMPORTRANGE(""1vUGwO1n0QQGx9kKbO0_M5gmuhXZ6-LaxQxgrmJnzgP0"",""'TP# look up'!A:C""),3,0),"""")"),"")</f>
        <v/>
      </c>
      <c r="AH7185" s="49" t="str">
        <f t="shared" si="112"/>
        <v/>
      </c>
    </row>
    <row r="7186" spans="8:34" ht="12.75">
      <c r="H7186" s="43"/>
      <c r="AG7186" s="49" t="str">
        <f ca="1">IFERROR(__xludf.DUMMYFUNCTION("IFNA(vlookup(H7186,IMPORTRANGE(""1vUGwO1n0QQGx9kKbO0_M5gmuhXZ6-LaxQxgrmJnzgP0"",""'TP# look up'!A:C""),3,0),"""")"),"")</f>
        <v/>
      </c>
      <c r="AH7186" s="49" t="str">
        <f t="shared" si="112"/>
        <v/>
      </c>
    </row>
    <row r="7187" spans="8:34" ht="12.75">
      <c r="H7187" s="43"/>
      <c r="AG7187" s="49" t="str">
        <f ca="1">IFERROR(__xludf.DUMMYFUNCTION("IFNA(vlookup(H7187,IMPORTRANGE(""1vUGwO1n0QQGx9kKbO0_M5gmuhXZ6-LaxQxgrmJnzgP0"",""'TP# look up'!A:C""),3,0),"""")"),"")</f>
        <v/>
      </c>
      <c r="AH7187" s="49" t="str">
        <f t="shared" si="112"/>
        <v/>
      </c>
    </row>
    <row r="7188" spans="8:34" ht="12.75">
      <c r="H7188" s="43"/>
      <c r="AG7188" s="49" t="str">
        <f ca="1">IFERROR(__xludf.DUMMYFUNCTION("IFNA(vlookup(H7188,IMPORTRANGE(""1vUGwO1n0QQGx9kKbO0_M5gmuhXZ6-LaxQxgrmJnzgP0"",""'TP# look up'!A:C""),3,0),"""")"),"")</f>
        <v/>
      </c>
      <c r="AH7188" s="49" t="str">
        <f t="shared" si="112"/>
        <v/>
      </c>
    </row>
    <row r="7189" spans="8:34" ht="12.75">
      <c r="H7189" s="43"/>
      <c r="AG7189" s="49" t="str">
        <f ca="1">IFERROR(__xludf.DUMMYFUNCTION("IFNA(vlookup(H7189,IMPORTRANGE(""1vUGwO1n0QQGx9kKbO0_M5gmuhXZ6-LaxQxgrmJnzgP0"",""'TP# look up'!A:C""),3,0),"""")"),"")</f>
        <v/>
      </c>
      <c r="AH7189" s="49" t="str">
        <f t="shared" si="112"/>
        <v/>
      </c>
    </row>
    <row r="7190" spans="8:34" ht="12.75">
      <c r="H7190" s="43"/>
      <c r="AG7190" s="49" t="str">
        <f ca="1">IFERROR(__xludf.DUMMYFUNCTION("IFNA(vlookup(H7190,IMPORTRANGE(""1vUGwO1n0QQGx9kKbO0_M5gmuhXZ6-LaxQxgrmJnzgP0"",""'TP# look up'!A:C""),3,0),"""")"),"")</f>
        <v/>
      </c>
      <c r="AH7190" s="49" t="str">
        <f t="shared" si="112"/>
        <v/>
      </c>
    </row>
    <row r="7191" spans="8:34" ht="12.75">
      <c r="H7191" s="43"/>
      <c r="AG7191" s="49" t="str">
        <f ca="1">IFERROR(__xludf.DUMMYFUNCTION("IFNA(vlookup(H7191,IMPORTRANGE(""1vUGwO1n0QQGx9kKbO0_M5gmuhXZ6-LaxQxgrmJnzgP0"",""'TP# look up'!A:C""),3,0),"""")"),"")</f>
        <v/>
      </c>
      <c r="AH7191" s="49" t="str">
        <f t="shared" si="112"/>
        <v/>
      </c>
    </row>
    <row r="7192" spans="8:34" ht="12.75">
      <c r="H7192" s="43"/>
      <c r="AG7192" s="49" t="str">
        <f ca="1">IFERROR(__xludf.DUMMYFUNCTION("IFNA(vlookup(H7192,IMPORTRANGE(""1vUGwO1n0QQGx9kKbO0_M5gmuhXZ6-LaxQxgrmJnzgP0"",""'TP# look up'!A:C""),3,0),"""")"),"")</f>
        <v/>
      </c>
      <c r="AH7192" s="49" t="str">
        <f t="shared" si="112"/>
        <v/>
      </c>
    </row>
    <row r="7193" spans="8:34" ht="12.75">
      <c r="H7193" s="43"/>
      <c r="AG7193" s="49" t="str">
        <f ca="1">IFERROR(__xludf.DUMMYFUNCTION("IFNA(vlookup(H7193,IMPORTRANGE(""1vUGwO1n0QQGx9kKbO0_M5gmuhXZ6-LaxQxgrmJnzgP0"",""'TP# look up'!A:C""),3,0),"""")"),"")</f>
        <v/>
      </c>
      <c r="AH7193" s="49" t="str">
        <f t="shared" si="112"/>
        <v/>
      </c>
    </row>
    <row r="7194" spans="8:34" ht="12.75">
      <c r="H7194" s="43"/>
      <c r="AG7194" s="49" t="str">
        <f ca="1">IFERROR(__xludf.DUMMYFUNCTION("IFNA(vlookup(H7194,IMPORTRANGE(""1vUGwO1n0QQGx9kKbO0_M5gmuhXZ6-LaxQxgrmJnzgP0"",""'TP# look up'!A:C""),3,0),"""")"),"")</f>
        <v/>
      </c>
      <c r="AH7194" s="49" t="str">
        <f t="shared" si="112"/>
        <v/>
      </c>
    </row>
    <row r="7195" spans="8:34" ht="12.75">
      <c r="H7195" s="43"/>
      <c r="AG7195" s="49" t="str">
        <f ca="1">IFERROR(__xludf.DUMMYFUNCTION("IFNA(vlookup(H7195,IMPORTRANGE(""1vUGwO1n0QQGx9kKbO0_M5gmuhXZ6-LaxQxgrmJnzgP0"",""'TP# look up'!A:C""),3,0),"""")"),"")</f>
        <v/>
      </c>
      <c r="AH7195" s="49" t="str">
        <f t="shared" si="112"/>
        <v/>
      </c>
    </row>
    <row r="7196" spans="8:34" ht="12.75">
      <c r="H7196" s="43"/>
      <c r="AG7196" s="49" t="str">
        <f ca="1">IFERROR(__xludf.DUMMYFUNCTION("IFNA(vlookup(H7196,IMPORTRANGE(""1vUGwO1n0QQGx9kKbO0_M5gmuhXZ6-LaxQxgrmJnzgP0"",""'TP# look up'!A:C""),3,0),"""")"),"")</f>
        <v/>
      </c>
      <c r="AH7196" s="49" t="str">
        <f t="shared" si="112"/>
        <v/>
      </c>
    </row>
    <row r="7197" spans="8:34" ht="12.75">
      <c r="H7197" s="43"/>
      <c r="AG7197" s="49" t="str">
        <f ca="1">IFERROR(__xludf.DUMMYFUNCTION("IFNA(vlookup(H7197,IMPORTRANGE(""1vUGwO1n0QQGx9kKbO0_M5gmuhXZ6-LaxQxgrmJnzgP0"",""'TP# look up'!A:C""),3,0),"""")"),"")</f>
        <v/>
      </c>
      <c r="AH7197" s="49" t="str">
        <f t="shared" si="112"/>
        <v/>
      </c>
    </row>
    <row r="7198" spans="8:34" ht="12.75">
      <c r="H7198" s="43"/>
      <c r="AG7198" s="49" t="str">
        <f ca="1">IFERROR(__xludf.DUMMYFUNCTION("IFNA(vlookup(H7198,IMPORTRANGE(""1vUGwO1n0QQGx9kKbO0_M5gmuhXZ6-LaxQxgrmJnzgP0"",""'TP# look up'!A:C""),3,0),"""")"),"")</f>
        <v/>
      </c>
      <c r="AH7198" s="49" t="str">
        <f t="shared" si="112"/>
        <v/>
      </c>
    </row>
    <row r="7199" spans="8:34" ht="12.75">
      <c r="H7199" s="43"/>
      <c r="AG7199" s="49" t="str">
        <f ca="1">IFERROR(__xludf.DUMMYFUNCTION("IFNA(vlookup(H7199,IMPORTRANGE(""1vUGwO1n0QQGx9kKbO0_M5gmuhXZ6-LaxQxgrmJnzgP0"",""'TP# look up'!A:C""),3,0),"""")"),"")</f>
        <v/>
      </c>
      <c r="AH7199" s="49" t="str">
        <f t="shared" si="112"/>
        <v/>
      </c>
    </row>
    <row r="7200" spans="8:34" ht="12.75">
      <c r="H7200" s="43"/>
      <c r="AG7200" s="49" t="str">
        <f ca="1">IFERROR(__xludf.DUMMYFUNCTION("IFNA(vlookup(H7200,IMPORTRANGE(""1vUGwO1n0QQGx9kKbO0_M5gmuhXZ6-LaxQxgrmJnzgP0"",""'TP# look up'!A:C""),3,0),"""")"),"")</f>
        <v/>
      </c>
      <c r="AH7200" s="49" t="str">
        <f t="shared" si="112"/>
        <v/>
      </c>
    </row>
    <row r="7201" spans="8:34" ht="12.75">
      <c r="H7201" s="43"/>
      <c r="AG7201" s="49" t="str">
        <f ca="1">IFERROR(__xludf.DUMMYFUNCTION("IFNA(vlookup(H7201,IMPORTRANGE(""1vUGwO1n0QQGx9kKbO0_M5gmuhXZ6-LaxQxgrmJnzgP0"",""'TP# look up'!A:C""),3,0),"""")"),"")</f>
        <v/>
      </c>
      <c r="AH7201" s="49" t="str">
        <f t="shared" si="112"/>
        <v/>
      </c>
    </row>
    <row r="7202" spans="8:34" ht="12.75">
      <c r="H7202" s="43"/>
      <c r="AG7202" s="49" t="str">
        <f ca="1">IFERROR(__xludf.DUMMYFUNCTION("IFNA(vlookup(H7202,IMPORTRANGE(""1vUGwO1n0QQGx9kKbO0_M5gmuhXZ6-LaxQxgrmJnzgP0"",""'TP# look up'!A:C""),3,0),"""")"),"")</f>
        <v/>
      </c>
      <c r="AH7202" s="49" t="str">
        <f t="shared" si="112"/>
        <v/>
      </c>
    </row>
    <row r="7203" spans="8:34" ht="12.75">
      <c r="H7203" s="43"/>
      <c r="AG7203" s="49" t="str">
        <f ca="1">IFERROR(__xludf.DUMMYFUNCTION("IFNA(vlookup(H7203,IMPORTRANGE(""1vUGwO1n0QQGx9kKbO0_M5gmuhXZ6-LaxQxgrmJnzgP0"",""'TP# look up'!A:C""),3,0),"""")"),"")</f>
        <v/>
      </c>
      <c r="AH7203" s="49" t="str">
        <f t="shared" si="112"/>
        <v/>
      </c>
    </row>
    <row r="7204" spans="8:34" ht="12.75">
      <c r="H7204" s="43"/>
      <c r="AG7204" s="49" t="str">
        <f ca="1">IFERROR(__xludf.DUMMYFUNCTION("IFNA(vlookup(H7204,IMPORTRANGE(""1vUGwO1n0QQGx9kKbO0_M5gmuhXZ6-LaxQxgrmJnzgP0"",""'TP# look up'!A:C""),3,0),"""")"),"")</f>
        <v/>
      </c>
      <c r="AH7204" s="49" t="str">
        <f t="shared" si="112"/>
        <v/>
      </c>
    </row>
    <row r="7205" spans="8:34" ht="12.75">
      <c r="H7205" s="43"/>
      <c r="AG7205" s="49" t="str">
        <f ca="1">IFERROR(__xludf.DUMMYFUNCTION("IFNA(vlookup(H7205,IMPORTRANGE(""1vUGwO1n0QQGx9kKbO0_M5gmuhXZ6-LaxQxgrmJnzgP0"",""'TP# look up'!A:C""),3,0),"""")"),"")</f>
        <v/>
      </c>
      <c r="AH7205" s="49" t="str">
        <f t="shared" si="112"/>
        <v/>
      </c>
    </row>
    <row r="7206" spans="8:34" ht="12.75">
      <c r="H7206" s="43"/>
      <c r="AG7206" s="49" t="str">
        <f ca="1">IFERROR(__xludf.DUMMYFUNCTION("IFNA(vlookup(H7206,IMPORTRANGE(""1vUGwO1n0QQGx9kKbO0_M5gmuhXZ6-LaxQxgrmJnzgP0"",""'TP# look up'!A:C""),3,0),"""")"),"")</f>
        <v/>
      </c>
      <c r="AH7206" s="49" t="str">
        <f t="shared" si="112"/>
        <v/>
      </c>
    </row>
    <row r="7207" spans="8:34" ht="12.75">
      <c r="H7207" s="43"/>
      <c r="AG7207" s="49" t="str">
        <f ca="1">IFERROR(__xludf.DUMMYFUNCTION("IFNA(vlookup(H7207,IMPORTRANGE(""1vUGwO1n0QQGx9kKbO0_M5gmuhXZ6-LaxQxgrmJnzgP0"",""'TP# look up'!A:C""),3,0),"""")"),"")</f>
        <v/>
      </c>
      <c r="AH7207" s="49" t="str">
        <f t="shared" si="112"/>
        <v/>
      </c>
    </row>
    <row r="7208" spans="8:34" ht="12.75">
      <c r="H7208" s="43"/>
      <c r="AG7208" s="49" t="str">
        <f ca="1">IFERROR(__xludf.DUMMYFUNCTION("IFNA(vlookup(H7208,IMPORTRANGE(""1vUGwO1n0QQGx9kKbO0_M5gmuhXZ6-LaxQxgrmJnzgP0"",""'TP# look up'!A:C""),3,0),"""")"),"")</f>
        <v/>
      </c>
      <c r="AH7208" s="49" t="str">
        <f t="shared" si="112"/>
        <v/>
      </c>
    </row>
    <row r="7209" spans="8:34" ht="12.75">
      <c r="H7209" s="43"/>
      <c r="AG7209" s="49" t="str">
        <f ca="1">IFERROR(__xludf.DUMMYFUNCTION("IFNA(vlookup(H7209,IMPORTRANGE(""1vUGwO1n0QQGx9kKbO0_M5gmuhXZ6-LaxQxgrmJnzgP0"",""'TP# look up'!A:C""),3,0),"""")"),"")</f>
        <v/>
      </c>
      <c r="AH7209" s="49" t="str">
        <f t="shared" si="112"/>
        <v/>
      </c>
    </row>
    <row r="7210" spans="8:34" ht="12.75">
      <c r="H7210" s="43"/>
      <c r="AG7210" s="49" t="str">
        <f ca="1">IFERROR(__xludf.DUMMYFUNCTION("IFNA(vlookup(H7210,IMPORTRANGE(""1vUGwO1n0QQGx9kKbO0_M5gmuhXZ6-LaxQxgrmJnzgP0"",""'TP# look up'!A:C""),3,0),"""")"),"")</f>
        <v/>
      </c>
      <c r="AH7210" s="49" t="str">
        <f t="shared" si="112"/>
        <v/>
      </c>
    </row>
    <row r="7211" spans="8:34" ht="12.75">
      <c r="H7211" s="43"/>
      <c r="AG7211" s="49" t="str">
        <f ca="1">IFERROR(__xludf.DUMMYFUNCTION("IFNA(vlookup(H7211,IMPORTRANGE(""1vUGwO1n0QQGx9kKbO0_M5gmuhXZ6-LaxQxgrmJnzgP0"",""'TP# look up'!A:C""),3,0),"""")"),"")</f>
        <v/>
      </c>
      <c r="AH7211" s="49" t="str">
        <f t="shared" si="112"/>
        <v/>
      </c>
    </row>
    <row r="7212" spans="8:34" ht="12.75">
      <c r="H7212" s="43"/>
      <c r="AG7212" s="49" t="str">
        <f ca="1">IFERROR(__xludf.DUMMYFUNCTION("IFNA(vlookup(H7212,IMPORTRANGE(""1vUGwO1n0QQGx9kKbO0_M5gmuhXZ6-LaxQxgrmJnzgP0"",""'TP# look up'!A:C""),3,0),"""")"),"")</f>
        <v/>
      </c>
      <c r="AH7212" s="49" t="str">
        <f t="shared" si="112"/>
        <v/>
      </c>
    </row>
    <row r="7213" spans="8:34" ht="12.75">
      <c r="H7213" s="43"/>
      <c r="AG7213" s="49" t="str">
        <f ca="1">IFERROR(__xludf.DUMMYFUNCTION("IFNA(vlookup(H7213,IMPORTRANGE(""1vUGwO1n0QQGx9kKbO0_M5gmuhXZ6-LaxQxgrmJnzgP0"",""'TP# look up'!A:C""),3,0),"""")"),"")</f>
        <v/>
      </c>
      <c r="AH7213" s="49" t="str">
        <f t="shared" si="112"/>
        <v/>
      </c>
    </row>
    <row r="7214" spans="8:34" ht="12.75">
      <c r="H7214" s="43"/>
      <c r="AG7214" s="49" t="str">
        <f ca="1">IFERROR(__xludf.DUMMYFUNCTION("IFNA(vlookup(H7214,IMPORTRANGE(""1vUGwO1n0QQGx9kKbO0_M5gmuhXZ6-LaxQxgrmJnzgP0"",""'TP# look up'!A:C""),3,0),"""")"),"")</f>
        <v/>
      </c>
      <c r="AH7214" s="49" t="str">
        <f t="shared" si="112"/>
        <v/>
      </c>
    </row>
    <row r="7215" spans="8:34" ht="12.75">
      <c r="H7215" s="43"/>
      <c r="AG7215" s="49" t="str">
        <f ca="1">IFERROR(__xludf.DUMMYFUNCTION("IFNA(vlookup(H7215,IMPORTRANGE(""1vUGwO1n0QQGx9kKbO0_M5gmuhXZ6-LaxQxgrmJnzgP0"",""'TP# look up'!A:C""),3,0),"""")"),"")</f>
        <v/>
      </c>
      <c r="AH7215" s="49" t="str">
        <f t="shared" si="112"/>
        <v/>
      </c>
    </row>
    <row r="7216" spans="8:34" ht="12.75">
      <c r="H7216" s="43"/>
      <c r="AG7216" s="49" t="str">
        <f ca="1">IFERROR(__xludf.DUMMYFUNCTION("IFNA(vlookup(H7216,IMPORTRANGE(""1vUGwO1n0QQGx9kKbO0_M5gmuhXZ6-LaxQxgrmJnzgP0"",""'TP# look up'!A:C""),3,0),"""")"),"")</f>
        <v/>
      </c>
      <c r="AH7216" s="49" t="str">
        <f t="shared" si="112"/>
        <v/>
      </c>
    </row>
    <row r="7217" spans="8:34" ht="12.75">
      <c r="H7217" s="43"/>
      <c r="AG7217" s="49" t="str">
        <f ca="1">IFERROR(__xludf.DUMMYFUNCTION("IFNA(vlookup(H7217,IMPORTRANGE(""1vUGwO1n0QQGx9kKbO0_M5gmuhXZ6-LaxQxgrmJnzgP0"",""'TP# look up'!A:C""),3,0),"""")"),"")</f>
        <v/>
      </c>
      <c r="AH7217" s="49" t="str">
        <f t="shared" si="112"/>
        <v/>
      </c>
    </row>
    <row r="7218" spans="8:34" ht="12.75">
      <c r="H7218" s="43"/>
      <c r="AG7218" s="49" t="str">
        <f ca="1">IFERROR(__xludf.DUMMYFUNCTION("IFNA(vlookup(H7218,IMPORTRANGE(""1vUGwO1n0QQGx9kKbO0_M5gmuhXZ6-LaxQxgrmJnzgP0"",""'TP# look up'!A:C""),3,0),"""")"),"")</f>
        <v/>
      </c>
      <c r="AH7218" s="49" t="str">
        <f t="shared" si="112"/>
        <v/>
      </c>
    </row>
    <row r="7219" spans="8:34" ht="12.75">
      <c r="H7219" s="43"/>
      <c r="AG7219" s="49" t="str">
        <f ca="1">IFERROR(__xludf.DUMMYFUNCTION("IFNA(vlookup(H7219,IMPORTRANGE(""1vUGwO1n0QQGx9kKbO0_M5gmuhXZ6-LaxQxgrmJnzgP0"",""'TP# look up'!A:C""),3,0),"""")"),"")</f>
        <v/>
      </c>
      <c r="AH7219" s="49" t="str">
        <f t="shared" si="112"/>
        <v/>
      </c>
    </row>
    <row r="7220" spans="8:34" ht="12.75">
      <c r="H7220" s="43"/>
      <c r="AG7220" s="49" t="str">
        <f ca="1">IFERROR(__xludf.DUMMYFUNCTION("IFNA(vlookup(H7220,IMPORTRANGE(""1vUGwO1n0QQGx9kKbO0_M5gmuhXZ6-LaxQxgrmJnzgP0"",""'TP# look up'!A:C""),3,0),"""")"),"")</f>
        <v/>
      </c>
      <c r="AH7220" s="49" t="str">
        <f t="shared" si="112"/>
        <v/>
      </c>
    </row>
    <row r="7221" spans="8:34" ht="12.75">
      <c r="H7221" s="43"/>
      <c r="AG7221" s="49" t="str">
        <f ca="1">IFERROR(__xludf.DUMMYFUNCTION("IFNA(vlookup(H7221,IMPORTRANGE(""1vUGwO1n0QQGx9kKbO0_M5gmuhXZ6-LaxQxgrmJnzgP0"",""'TP# look up'!A:C""),3,0),"""")"),"")</f>
        <v/>
      </c>
      <c r="AH7221" s="49" t="str">
        <f t="shared" si="112"/>
        <v/>
      </c>
    </row>
    <row r="7222" spans="8:34" ht="12.75">
      <c r="H7222" s="43"/>
      <c r="AG7222" s="49" t="str">
        <f ca="1">IFERROR(__xludf.DUMMYFUNCTION("IFNA(vlookup(H7222,IMPORTRANGE(""1vUGwO1n0QQGx9kKbO0_M5gmuhXZ6-LaxQxgrmJnzgP0"",""'TP# look up'!A:C""),3,0),"""")"),"")</f>
        <v/>
      </c>
      <c r="AH7222" s="49" t="str">
        <f t="shared" si="112"/>
        <v/>
      </c>
    </row>
    <row r="7223" spans="8:34" ht="12.75">
      <c r="H7223" s="43"/>
      <c r="AG7223" s="49" t="str">
        <f ca="1">IFERROR(__xludf.DUMMYFUNCTION("IFNA(vlookup(H7223,IMPORTRANGE(""1vUGwO1n0QQGx9kKbO0_M5gmuhXZ6-LaxQxgrmJnzgP0"",""'TP# look up'!A:C""),3,0),"""")"),"")</f>
        <v/>
      </c>
      <c r="AH7223" s="49" t="str">
        <f t="shared" si="112"/>
        <v/>
      </c>
    </row>
    <row r="7224" spans="8:34" ht="12.75">
      <c r="H7224" s="43"/>
      <c r="AG7224" s="49" t="str">
        <f ca="1">IFERROR(__xludf.DUMMYFUNCTION("IFNA(vlookup(H7224,IMPORTRANGE(""1vUGwO1n0QQGx9kKbO0_M5gmuhXZ6-LaxQxgrmJnzgP0"",""'TP# look up'!A:C""),3,0),"""")"),"")</f>
        <v/>
      </c>
      <c r="AH7224" s="49" t="str">
        <f t="shared" si="112"/>
        <v/>
      </c>
    </row>
    <row r="7225" spans="8:34" ht="12.75">
      <c r="H7225" s="43"/>
      <c r="AG7225" s="49" t="str">
        <f ca="1">IFERROR(__xludf.DUMMYFUNCTION("IFNA(vlookup(H7225,IMPORTRANGE(""1vUGwO1n0QQGx9kKbO0_M5gmuhXZ6-LaxQxgrmJnzgP0"",""'TP# look up'!A:C""),3,0),"""")"),"")</f>
        <v/>
      </c>
      <c r="AH7225" s="49" t="str">
        <f t="shared" si="112"/>
        <v/>
      </c>
    </row>
    <row r="7226" spans="8:34" ht="12.75">
      <c r="H7226" s="43"/>
      <c r="AG7226" s="49" t="str">
        <f ca="1">IFERROR(__xludf.DUMMYFUNCTION("IFNA(vlookup(H7226,IMPORTRANGE(""1vUGwO1n0QQGx9kKbO0_M5gmuhXZ6-LaxQxgrmJnzgP0"",""'TP# look up'!A:C""),3,0),"""")"),"")</f>
        <v/>
      </c>
      <c r="AH7226" s="49" t="str">
        <f t="shared" si="112"/>
        <v/>
      </c>
    </row>
    <row r="7227" spans="8:34" ht="12.75">
      <c r="H7227" s="43"/>
      <c r="AG7227" s="49" t="str">
        <f ca="1">IFERROR(__xludf.DUMMYFUNCTION("IFNA(vlookup(H7227,IMPORTRANGE(""1vUGwO1n0QQGx9kKbO0_M5gmuhXZ6-LaxQxgrmJnzgP0"",""'TP# look up'!A:C""),3,0),"""")"),"")</f>
        <v/>
      </c>
      <c r="AH7227" s="49" t="str">
        <f t="shared" si="112"/>
        <v/>
      </c>
    </row>
    <row r="7228" spans="8:34" ht="12.75">
      <c r="H7228" s="43"/>
      <c r="AG7228" s="49" t="str">
        <f ca="1">IFERROR(__xludf.DUMMYFUNCTION("IFNA(vlookup(H7228,IMPORTRANGE(""1vUGwO1n0QQGx9kKbO0_M5gmuhXZ6-LaxQxgrmJnzgP0"",""'TP# look up'!A:C""),3,0),"""")"),"")</f>
        <v/>
      </c>
      <c r="AH7228" s="49" t="str">
        <f t="shared" si="112"/>
        <v/>
      </c>
    </row>
    <row r="7229" spans="8:34" ht="12.75">
      <c r="H7229" s="43"/>
      <c r="AG7229" s="49" t="str">
        <f ca="1">IFERROR(__xludf.DUMMYFUNCTION("IFNA(vlookup(H7229,IMPORTRANGE(""1vUGwO1n0QQGx9kKbO0_M5gmuhXZ6-LaxQxgrmJnzgP0"",""'TP# look up'!A:C""),3,0),"""")"),"")</f>
        <v/>
      </c>
      <c r="AH7229" s="49" t="str">
        <f t="shared" si="112"/>
        <v/>
      </c>
    </row>
    <row r="7230" spans="8:34" ht="12.75">
      <c r="H7230" s="43"/>
      <c r="AG7230" s="49" t="str">
        <f ca="1">IFERROR(__xludf.DUMMYFUNCTION("IFNA(vlookup(H7230,IMPORTRANGE(""1vUGwO1n0QQGx9kKbO0_M5gmuhXZ6-LaxQxgrmJnzgP0"",""'TP# look up'!A:C""),3,0),"""")"),"")</f>
        <v/>
      </c>
      <c r="AH7230" s="49" t="str">
        <f t="shared" si="112"/>
        <v/>
      </c>
    </row>
    <row r="7231" spans="8:34" ht="12.75">
      <c r="H7231" s="43"/>
      <c r="AG7231" s="49" t="str">
        <f ca="1">IFERROR(__xludf.DUMMYFUNCTION("IFNA(vlookup(H7231,IMPORTRANGE(""1vUGwO1n0QQGx9kKbO0_M5gmuhXZ6-LaxQxgrmJnzgP0"",""'TP# look up'!A:C""),3,0),"""")"),"")</f>
        <v/>
      </c>
      <c r="AH7231" s="49" t="str">
        <f t="shared" si="112"/>
        <v/>
      </c>
    </row>
    <row r="7232" spans="8:34" ht="12.75">
      <c r="H7232" s="43"/>
      <c r="AG7232" s="49" t="str">
        <f ca="1">IFERROR(__xludf.DUMMYFUNCTION("IFNA(vlookup(H7232,IMPORTRANGE(""1vUGwO1n0QQGx9kKbO0_M5gmuhXZ6-LaxQxgrmJnzgP0"",""'TP# look up'!A:C""),3,0),"""")"),"")</f>
        <v/>
      </c>
      <c r="AH7232" s="49" t="str">
        <f t="shared" si="112"/>
        <v/>
      </c>
    </row>
    <row r="7233" spans="8:34" ht="12.75">
      <c r="H7233" s="43"/>
      <c r="AG7233" s="49" t="str">
        <f ca="1">IFERROR(__xludf.DUMMYFUNCTION("IFNA(vlookup(H7233,IMPORTRANGE(""1vUGwO1n0QQGx9kKbO0_M5gmuhXZ6-LaxQxgrmJnzgP0"",""'TP# look up'!A:C""),3,0),"""")"),"")</f>
        <v/>
      </c>
      <c r="AH7233" s="49" t="str">
        <f t="shared" si="112"/>
        <v/>
      </c>
    </row>
    <row r="7234" spans="8:34" ht="12.75">
      <c r="H7234" s="43"/>
      <c r="AG7234" s="49" t="str">
        <f ca="1">IFERROR(__xludf.DUMMYFUNCTION("IFNA(vlookup(H7234,IMPORTRANGE(""1vUGwO1n0QQGx9kKbO0_M5gmuhXZ6-LaxQxgrmJnzgP0"",""'TP# look up'!A:C""),3,0),"""")"),"")</f>
        <v/>
      </c>
      <c r="AH7234" s="49" t="str">
        <f t="shared" ref="AH7234:AH7297" si="113">LEFT(J7234,2)</f>
        <v/>
      </c>
    </row>
    <row r="7235" spans="8:34" ht="12.75">
      <c r="H7235" s="43"/>
      <c r="AG7235" s="49" t="str">
        <f ca="1">IFERROR(__xludf.DUMMYFUNCTION("IFNA(vlookup(H7235,IMPORTRANGE(""1vUGwO1n0QQGx9kKbO0_M5gmuhXZ6-LaxQxgrmJnzgP0"",""'TP# look up'!A:C""),3,0),"""")"),"")</f>
        <v/>
      </c>
      <c r="AH7235" s="49" t="str">
        <f t="shared" si="113"/>
        <v/>
      </c>
    </row>
    <row r="7236" spans="8:34" ht="12.75">
      <c r="H7236" s="43"/>
      <c r="AG7236" s="49" t="str">
        <f ca="1">IFERROR(__xludf.DUMMYFUNCTION("IFNA(vlookup(H7236,IMPORTRANGE(""1vUGwO1n0QQGx9kKbO0_M5gmuhXZ6-LaxQxgrmJnzgP0"",""'TP# look up'!A:C""),3,0),"""")"),"")</f>
        <v/>
      </c>
      <c r="AH7236" s="49" t="str">
        <f t="shared" si="113"/>
        <v/>
      </c>
    </row>
    <row r="7237" spans="8:34" ht="12.75">
      <c r="H7237" s="43"/>
      <c r="AG7237" s="49" t="str">
        <f ca="1">IFERROR(__xludf.DUMMYFUNCTION("IFNA(vlookup(H7237,IMPORTRANGE(""1vUGwO1n0QQGx9kKbO0_M5gmuhXZ6-LaxQxgrmJnzgP0"",""'TP# look up'!A:C""),3,0),"""")"),"")</f>
        <v/>
      </c>
      <c r="AH7237" s="49" t="str">
        <f t="shared" si="113"/>
        <v/>
      </c>
    </row>
    <row r="7238" spans="8:34" ht="12.75">
      <c r="H7238" s="43"/>
      <c r="AG7238" s="49" t="str">
        <f ca="1">IFERROR(__xludf.DUMMYFUNCTION("IFNA(vlookup(H7238,IMPORTRANGE(""1vUGwO1n0QQGx9kKbO0_M5gmuhXZ6-LaxQxgrmJnzgP0"",""'TP# look up'!A:C""),3,0),"""")"),"")</f>
        <v/>
      </c>
      <c r="AH7238" s="49" t="str">
        <f t="shared" si="113"/>
        <v/>
      </c>
    </row>
    <row r="7239" spans="8:34" ht="12.75">
      <c r="H7239" s="43"/>
      <c r="AG7239" s="49" t="str">
        <f ca="1">IFERROR(__xludf.DUMMYFUNCTION("IFNA(vlookup(H7239,IMPORTRANGE(""1vUGwO1n0QQGx9kKbO0_M5gmuhXZ6-LaxQxgrmJnzgP0"",""'TP# look up'!A:C""),3,0),"""")"),"")</f>
        <v/>
      </c>
      <c r="AH7239" s="49" t="str">
        <f t="shared" si="113"/>
        <v/>
      </c>
    </row>
    <row r="7240" spans="8:34" ht="12.75">
      <c r="H7240" s="43"/>
      <c r="AG7240" s="49" t="str">
        <f ca="1">IFERROR(__xludf.DUMMYFUNCTION("IFNA(vlookup(H7240,IMPORTRANGE(""1vUGwO1n0QQGx9kKbO0_M5gmuhXZ6-LaxQxgrmJnzgP0"",""'TP# look up'!A:C""),3,0),"""")"),"")</f>
        <v/>
      </c>
      <c r="AH7240" s="49" t="str">
        <f t="shared" si="113"/>
        <v/>
      </c>
    </row>
    <row r="7241" spans="8:34" ht="12.75">
      <c r="H7241" s="43"/>
      <c r="AG7241" s="49" t="str">
        <f ca="1">IFERROR(__xludf.DUMMYFUNCTION("IFNA(vlookup(H7241,IMPORTRANGE(""1vUGwO1n0QQGx9kKbO0_M5gmuhXZ6-LaxQxgrmJnzgP0"",""'TP# look up'!A:C""),3,0),"""")"),"")</f>
        <v/>
      </c>
      <c r="AH7241" s="49" t="str">
        <f t="shared" si="113"/>
        <v/>
      </c>
    </row>
    <row r="7242" spans="8:34" ht="12.75">
      <c r="H7242" s="43"/>
      <c r="AG7242" s="49" t="str">
        <f ca="1">IFERROR(__xludf.DUMMYFUNCTION("IFNA(vlookup(H7242,IMPORTRANGE(""1vUGwO1n0QQGx9kKbO0_M5gmuhXZ6-LaxQxgrmJnzgP0"",""'TP# look up'!A:C""),3,0),"""")"),"")</f>
        <v/>
      </c>
      <c r="AH7242" s="49" t="str">
        <f t="shared" si="113"/>
        <v/>
      </c>
    </row>
    <row r="7243" spans="8:34" ht="12.75">
      <c r="H7243" s="43"/>
      <c r="AG7243" s="49" t="str">
        <f ca="1">IFERROR(__xludf.DUMMYFUNCTION("IFNA(vlookup(H7243,IMPORTRANGE(""1vUGwO1n0QQGx9kKbO0_M5gmuhXZ6-LaxQxgrmJnzgP0"",""'TP# look up'!A:C""),3,0),"""")"),"")</f>
        <v/>
      </c>
      <c r="AH7243" s="49" t="str">
        <f t="shared" si="113"/>
        <v/>
      </c>
    </row>
    <row r="7244" spans="8:34" ht="12.75">
      <c r="H7244" s="43"/>
      <c r="AG7244" s="49" t="str">
        <f ca="1">IFERROR(__xludf.DUMMYFUNCTION("IFNA(vlookup(H7244,IMPORTRANGE(""1vUGwO1n0QQGx9kKbO0_M5gmuhXZ6-LaxQxgrmJnzgP0"",""'TP# look up'!A:C""),3,0),"""")"),"")</f>
        <v/>
      </c>
      <c r="AH7244" s="49" t="str">
        <f t="shared" si="113"/>
        <v/>
      </c>
    </row>
    <row r="7245" spans="8:34" ht="12.75">
      <c r="H7245" s="43"/>
      <c r="AG7245" s="49" t="str">
        <f ca="1">IFERROR(__xludf.DUMMYFUNCTION("IFNA(vlookup(H7245,IMPORTRANGE(""1vUGwO1n0QQGx9kKbO0_M5gmuhXZ6-LaxQxgrmJnzgP0"",""'TP# look up'!A:C""),3,0),"""")"),"")</f>
        <v/>
      </c>
      <c r="AH7245" s="49" t="str">
        <f t="shared" si="113"/>
        <v/>
      </c>
    </row>
    <row r="7246" spans="8:34" ht="12.75">
      <c r="H7246" s="43"/>
      <c r="AG7246" s="49" t="str">
        <f ca="1">IFERROR(__xludf.DUMMYFUNCTION("IFNA(vlookup(H7246,IMPORTRANGE(""1vUGwO1n0QQGx9kKbO0_M5gmuhXZ6-LaxQxgrmJnzgP0"",""'TP# look up'!A:C""),3,0),"""")"),"")</f>
        <v/>
      </c>
      <c r="AH7246" s="49" t="str">
        <f t="shared" si="113"/>
        <v/>
      </c>
    </row>
    <row r="7247" spans="8:34" ht="12.75">
      <c r="H7247" s="43"/>
      <c r="AG7247" s="49" t="str">
        <f ca="1">IFERROR(__xludf.DUMMYFUNCTION("IFNA(vlookup(H7247,IMPORTRANGE(""1vUGwO1n0QQGx9kKbO0_M5gmuhXZ6-LaxQxgrmJnzgP0"",""'TP# look up'!A:C""),3,0),"""")"),"")</f>
        <v/>
      </c>
      <c r="AH7247" s="49" t="str">
        <f t="shared" si="113"/>
        <v/>
      </c>
    </row>
    <row r="7248" spans="8:34" ht="12.75">
      <c r="H7248" s="43"/>
      <c r="AG7248" s="49" t="str">
        <f ca="1">IFERROR(__xludf.DUMMYFUNCTION("IFNA(vlookup(H7248,IMPORTRANGE(""1vUGwO1n0QQGx9kKbO0_M5gmuhXZ6-LaxQxgrmJnzgP0"",""'TP# look up'!A:C""),3,0),"""")"),"")</f>
        <v/>
      </c>
      <c r="AH7248" s="49" t="str">
        <f t="shared" si="113"/>
        <v/>
      </c>
    </row>
    <row r="7249" spans="8:34" ht="12.75">
      <c r="H7249" s="43"/>
      <c r="AG7249" s="49" t="str">
        <f ca="1">IFERROR(__xludf.DUMMYFUNCTION("IFNA(vlookup(H7249,IMPORTRANGE(""1vUGwO1n0QQGx9kKbO0_M5gmuhXZ6-LaxQxgrmJnzgP0"",""'TP# look up'!A:C""),3,0),"""")"),"")</f>
        <v/>
      </c>
      <c r="AH7249" s="49" t="str">
        <f t="shared" si="113"/>
        <v/>
      </c>
    </row>
    <row r="7250" spans="8:34" ht="12.75">
      <c r="H7250" s="43"/>
      <c r="AG7250" s="49" t="str">
        <f ca="1">IFERROR(__xludf.DUMMYFUNCTION("IFNA(vlookup(H7250,IMPORTRANGE(""1vUGwO1n0QQGx9kKbO0_M5gmuhXZ6-LaxQxgrmJnzgP0"",""'TP# look up'!A:C""),3,0),"""")"),"")</f>
        <v/>
      </c>
      <c r="AH7250" s="49" t="str">
        <f t="shared" si="113"/>
        <v/>
      </c>
    </row>
    <row r="7251" spans="8:34" ht="12.75">
      <c r="H7251" s="43"/>
      <c r="AG7251" s="49" t="str">
        <f ca="1">IFERROR(__xludf.DUMMYFUNCTION("IFNA(vlookup(H7251,IMPORTRANGE(""1vUGwO1n0QQGx9kKbO0_M5gmuhXZ6-LaxQxgrmJnzgP0"",""'TP# look up'!A:C""),3,0),"""")"),"")</f>
        <v/>
      </c>
      <c r="AH7251" s="49" t="str">
        <f t="shared" si="113"/>
        <v/>
      </c>
    </row>
    <row r="7252" spans="8:34" ht="12.75">
      <c r="H7252" s="43"/>
      <c r="AG7252" s="49" t="str">
        <f ca="1">IFERROR(__xludf.DUMMYFUNCTION("IFNA(vlookup(H7252,IMPORTRANGE(""1vUGwO1n0QQGx9kKbO0_M5gmuhXZ6-LaxQxgrmJnzgP0"",""'TP# look up'!A:C""),3,0),"""")"),"")</f>
        <v/>
      </c>
      <c r="AH7252" s="49" t="str">
        <f t="shared" si="113"/>
        <v/>
      </c>
    </row>
    <row r="7253" spans="8:34" ht="12.75">
      <c r="H7253" s="43"/>
      <c r="AG7253" s="49" t="str">
        <f ca="1">IFERROR(__xludf.DUMMYFUNCTION("IFNA(vlookup(H7253,IMPORTRANGE(""1vUGwO1n0QQGx9kKbO0_M5gmuhXZ6-LaxQxgrmJnzgP0"",""'TP# look up'!A:C""),3,0),"""")"),"")</f>
        <v/>
      </c>
      <c r="AH7253" s="49" t="str">
        <f t="shared" si="113"/>
        <v/>
      </c>
    </row>
    <row r="7254" spans="8:34" ht="12.75">
      <c r="H7254" s="43"/>
      <c r="AG7254" s="49" t="str">
        <f ca="1">IFERROR(__xludf.DUMMYFUNCTION("IFNA(vlookup(H7254,IMPORTRANGE(""1vUGwO1n0QQGx9kKbO0_M5gmuhXZ6-LaxQxgrmJnzgP0"",""'TP# look up'!A:C""),3,0),"""")"),"")</f>
        <v/>
      </c>
      <c r="AH7254" s="49" t="str">
        <f t="shared" si="113"/>
        <v/>
      </c>
    </row>
    <row r="7255" spans="8:34" ht="12.75">
      <c r="H7255" s="43"/>
      <c r="AG7255" s="49" t="str">
        <f ca="1">IFERROR(__xludf.DUMMYFUNCTION("IFNA(vlookup(H7255,IMPORTRANGE(""1vUGwO1n0QQGx9kKbO0_M5gmuhXZ6-LaxQxgrmJnzgP0"",""'TP# look up'!A:C""),3,0),"""")"),"")</f>
        <v/>
      </c>
      <c r="AH7255" s="49" t="str">
        <f t="shared" si="113"/>
        <v/>
      </c>
    </row>
    <row r="7256" spans="8:34" ht="12.75">
      <c r="H7256" s="43"/>
      <c r="AG7256" s="49" t="str">
        <f ca="1">IFERROR(__xludf.DUMMYFUNCTION("IFNA(vlookup(H7256,IMPORTRANGE(""1vUGwO1n0QQGx9kKbO0_M5gmuhXZ6-LaxQxgrmJnzgP0"",""'TP# look up'!A:C""),3,0),"""")"),"")</f>
        <v/>
      </c>
      <c r="AH7256" s="49" t="str">
        <f t="shared" si="113"/>
        <v/>
      </c>
    </row>
    <row r="7257" spans="8:34" ht="12.75">
      <c r="H7257" s="43"/>
      <c r="AG7257" s="49" t="str">
        <f ca="1">IFERROR(__xludf.DUMMYFUNCTION("IFNA(vlookup(H7257,IMPORTRANGE(""1vUGwO1n0QQGx9kKbO0_M5gmuhXZ6-LaxQxgrmJnzgP0"",""'TP# look up'!A:C""),3,0),"""")"),"")</f>
        <v/>
      </c>
      <c r="AH7257" s="49" t="str">
        <f t="shared" si="113"/>
        <v/>
      </c>
    </row>
    <row r="7258" spans="8:34" ht="12.75">
      <c r="H7258" s="43"/>
      <c r="AG7258" s="49" t="str">
        <f ca="1">IFERROR(__xludf.DUMMYFUNCTION("IFNA(vlookup(H7258,IMPORTRANGE(""1vUGwO1n0QQGx9kKbO0_M5gmuhXZ6-LaxQxgrmJnzgP0"",""'TP# look up'!A:C""),3,0),"""")"),"")</f>
        <v/>
      </c>
      <c r="AH7258" s="49" t="str">
        <f t="shared" si="113"/>
        <v/>
      </c>
    </row>
    <row r="7259" spans="8:34" ht="12.75">
      <c r="H7259" s="43"/>
      <c r="AG7259" s="49" t="str">
        <f ca="1">IFERROR(__xludf.DUMMYFUNCTION("IFNA(vlookup(H7259,IMPORTRANGE(""1vUGwO1n0QQGx9kKbO0_M5gmuhXZ6-LaxQxgrmJnzgP0"",""'TP# look up'!A:C""),3,0),"""")"),"")</f>
        <v/>
      </c>
      <c r="AH7259" s="49" t="str">
        <f t="shared" si="113"/>
        <v/>
      </c>
    </row>
    <row r="7260" spans="8:34" ht="12.75">
      <c r="H7260" s="43"/>
      <c r="AG7260" s="49" t="str">
        <f ca="1">IFERROR(__xludf.DUMMYFUNCTION("IFNA(vlookup(H7260,IMPORTRANGE(""1vUGwO1n0QQGx9kKbO0_M5gmuhXZ6-LaxQxgrmJnzgP0"",""'TP# look up'!A:C""),3,0),"""")"),"")</f>
        <v/>
      </c>
      <c r="AH7260" s="49" t="str">
        <f t="shared" si="113"/>
        <v/>
      </c>
    </row>
    <row r="7261" spans="8:34" ht="12.75">
      <c r="H7261" s="43"/>
      <c r="AG7261" s="49" t="str">
        <f ca="1">IFERROR(__xludf.DUMMYFUNCTION("IFNA(vlookup(H7261,IMPORTRANGE(""1vUGwO1n0QQGx9kKbO0_M5gmuhXZ6-LaxQxgrmJnzgP0"",""'TP# look up'!A:C""),3,0),"""")"),"")</f>
        <v/>
      </c>
      <c r="AH7261" s="49" t="str">
        <f t="shared" si="113"/>
        <v/>
      </c>
    </row>
    <row r="7262" spans="8:34" ht="12.75">
      <c r="H7262" s="43"/>
      <c r="AG7262" s="49" t="str">
        <f ca="1">IFERROR(__xludf.DUMMYFUNCTION("IFNA(vlookup(H7262,IMPORTRANGE(""1vUGwO1n0QQGx9kKbO0_M5gmuhXZ6-LaxQxgrmJnzgP0"",""'TP# look up'!A:C""),3,0),"""")"),"")</f>
        <v/>
      </c>
      <c r="AH7262" s="49" t="str">
        <f t="shared" si="113"/>
        <v/>
      </c>
    </row>
    <row r="7263" spans="8:34" ht="12.75">
      <c r="H7263" s="43"/>
      <c r="AG7263" s="49" t="str">
        <f ca="1">IFERROR(__xludf.DUMMYFUNCTION("IFNA(vlookup(H7263,IMPORTRANGE(""1vUGwO1n0QQGx9kKbO0_M5gmuhXZ6-LaxQxgrmJnzgP0"",""'TP# look up'!A:C""),3,0),"""")"),"")</f>
        <v/>
      </c>
      <c r="AH7263" s="49" t="str">
        <f t="shared" si="113"/>
        <v/>
      </c>
    </row>
    <row r="7264" spans="8:34" ht="12.75">
      <c r="H7264" s="43"/>
      <c r="AG7264" s="49" t="str">
        <f ca="1">IFERROR(__xludf.DUMMYFUNCTION("IFNA(vlookup(H7264,IMPORTRANGE(""1vUGwO1n0QQGx9kKbO0_M5gmuhXZ6-LaxQxgrmJnzgP0"",""'TP# look up'!A:C""),3,0),"""")"),"")</f>
        <v/>
      </c>
      <c r="AH7264" s="49" t="str">
        <f t="shared" si="113"/>
        <v/>
      </c>
    </row>
    <row r="7265" spans="8:34" ht="12.75">
      <c r="H7265" s="43"/>
      <c r="AG7265" s="49" t="str">
        <f ca="1">IFERROR(__xludf.DUMMYFUNCTION("IFNA(vlookup(H7265,IMPORTRANGE(""1vUGwO1n0QQGx9kKbO0_M5gmuhXZ6-LaxQxgrmJnzgP0"",""'TP# look up'!A:C""),3,0),"""")"),"")</f>
        <v/>
      </c>
      <c r="AH7265" s="49" t="str">
        <f t="shared" si="113"/>
        <v/>
      </c>
    </row>
    <row r="7266" spans="8:34" ht="12.75">
      <c r="H7266" s="43"/>
      <c r="AG7266" s="49" t="str">
        <f ca="1">IFERROR(__xludf.DUMMYFUNCTION("IFNA(vlookup(H7266,IMPORTRANGE(""1vUGwO1n0QQGx9kKbO0_M5gmuhXZ6-LaxQxgrmJnzgP0"",""'TP# look up'!A:C""),3,0),"""")"),"")</f>
        <v/>
      </c>
      <c r="AH7266" s="49" t="str">
        <f t="shared" si="113"/>
        <v/>
      </c>
    </row>
    <row r="7267" spans="8:34" ht="12.75">
      <c r="H7267" s="43"/>
      <c r="AG7267" s="49" t="str">
        <f ca="1">IFERROR(__xludf.DUMMYFUNCTION("IFNA(vlookup(H7267,IMPORTRANGE(""1vUGwO1n0QQGx9kKbO0_M5gmuhXZ6-LaxQxgrmJnzgP0"",""'TP# look up'!A:C""),3,0),"""")"),"")</f>
        <v/>
      </c>
      <c r="AH7267" s="49" t="str">
        <f t="shared" si="113"/>
        <v/>
      </c>
    </row>
    <row r="7268" spans="8:34" ht="12.75">
      <c r="H7268" s="43"/>
      <c r="AG7268" s="49" t="str">
        <f ca="1">IFERROR(__xludf.DUMMYFUNCTION("IFNA(vlookup(H7268,IMPORTRANGE(""1vUGwO1n0QQGx9kKbO0_M5gmuhXZ6-LaxQxgrmJnzgP0"",""'TP# look up'!A:C""),3,0),"""")"),"")</f>
        <v/>
      </c>
      <c r="AH7268" s="49" t="str">
        <f t="shared" si="113"/>
        <v/>
      </c>
    </row>
    <row r="7269" spans="8:34" ht="12.75">
      <c r="H7269" s="43"/>
      <c r="AG7269" s="49" t="str">
        <f ca="1">IFERROR(__xludf.DUMMYFUNCTION("IFNA(vlookup(H7269,IMPORTRANGE(""1vUGwO1n0QQGx9kKbO0_M5gmuhXZ6-LaxQxgrmJnzgP0"",""'TP# look up'!A:C""),3,0),"""")"),"")</f>
        <v/>
      </c>
      <c r="AH7269" s="49" t="str">
        <f t="shared" si="113"/>
        <v/>
      </c>
    </row>
    <row r="7270" spans="8:34" ht="12.75">
      <c r="H7270" s="43"/>
      <c r="AG7270" s="49" t="str">
        <f ca="1">IFERROR(__xludf.DUMMYFUNCTION("IFNA(vlookup(H7270,IMPORTRANGE(""1vUGwO1n0QQGx9kKbO0_M5gmuhXZ6-LaxQxgrmJnzgP0"",""'TP# look up'!A:C""),3,0),"""")"),"")</f>
        <v/>
      </c>
      <c r="AH7270" s="49" t="str">
        <f t="shared" si="113"/>
        <v/>
      </c>
    </row>
    <row r="7271" spans="8:34" ht="12.75">
      <c r="H7271" s="43"/>
      <c r="AG7271" s="49" t="str">
        <f ca="1">IFERROR(__xludf.DUMMYFUNCTION("IFNA(vlookup(H7271,IMPORTRANGE(""1vUGwO1n0QQGx9kKbO0_M5gmuhXZ6-LaxQxgrmJnzgP0"",""'TP# look up'!A:C""),3,0),"""")"),"")</f>
        <v/>
      </c>
      <c r="AH7271" s="49" t="str">
        <f t="shared" si="113"/>
        <v/>
      </c>
    </row>
    <row r="7272" spans="8:34" ht="12.75">
      <c r="H7272" s="43"/>
      <c r="AG7272" s="49" t="str">
        <f ca="1">IFERROR(__xludf.DUMMYFUNCTION("IFNA(vlookup(H7272,IMPORTRANGE(""1vUGwO1n0QQGx9kKbO0_M5gmuhXZ6-LaxQxgrmJnzgP0"",""'TP# look up'!A:C""),3,0),"""")"),"")</f>
        <v/>
      </c>
      <c r="AH7272" s="49" t="str">
        <f t="shared" si="113"/>
        <v/>
      </c>
    </row>
    <row r="7273" spans="8:34" ht="12.75">
      <c r="H7273" s="43"/>
      <c r="AG7273" s="49" t="str">
        <f ca="1">IFERROR(__xludf.DUMMYFUNCTION("IFNA(vlookup(H7273,IMPORTRANGE(""1vUGwO1n0QQGx9kKbO0_M5gmuhXZ6-LaxQxgrmJnzgP0"",""'TP# look up'!A:C""),3,0),"""")"),"")</f>
        <v/>
      </c>
      <c r="AH7273" s="49" t="str">
        <f t="shared" si="113"/>
        <v/>
      </c>
    </row>
    <row r="7274" spans="8:34" ht="12.75">
      <c r="H7274" s="43"/>
      <c r="AG7274" s="49" t="str">
        <f ca="1">IFERROR(__xludf.DUMMYFUNCTION("IFNA(vlookup(H7274,IMPORTRANGE(""1vUGwO1n0QQGx9kKbO0_M5gmuhXZ6-LaxQxgrmJnzgP0"",""'TP# look up'!A:C""),3,0),"""")"),"")</f>
        <v/>
      </c>
      <c r="AH7274" s="49" t="str">
        <f t="shared" si="113"/>
        <v/>
      </c>
    </row>
    <row r="7275" spans="8:34" ht="12.75">
      <c r="H7275" s="43"/>
      <c r="AG7275" s="49" t="str">
        <f ca="1">IFERROR(__xludf.DUMMYFUNCTION("IFNA(vlookup(H7275,IMPORTRANGE(""1vUGwO1n0QQGx9kKbO0_M5gmuhXZ6-LaxQxgrmJnzgP0"",""'TP# look up'!A:C""),3,0),"""")"),"")</f>
        <v/>
      </c>
      <c r="AH7275" s="49" t="str">
        <f t="shared" si="113"/>
        <v/>
      </c>
    </row>
    <row r="7276" spans="8:34" ht="12.75">
      <c r="H7276" s="43"/>
      <c r="AG7276" s="49" t="str">
        <f ca="1">IFERROR(__xludf.DUMMYFUNCTION("IFNA(vlookup(H7276,IMPORTRANGE(""1vUGwO1n0QQGx9kKbO0_M5gmuhXZ6-LaxQxgrmJnzgP0"",""'TP# look up'!A:C""),3,0),"""")"),"")</f>
        <v/>
      </c>
      <c r="AH7276" s="49" t="str">
        <f t="shared" si="113"/>
        <v/>
      </c>
    </row>
    <row r="7277" spans="8:34" ht="12.75">
      <c r="H7277" s="43"/>
      <c r="AG7277" s="49" t="str">
        <f ca="1">IFERROR(__xludf.DUMMYFUNCTION("IFNA(vlookup(H7277,IMPORTRANGE(""1vUGwO1n0QQGx9kKbO0_M5gmuhXZ6-LaxQxgrmJnzgP0"",""'TP# look up'!A:C""),3,0),"""")"),"")</f>
        <v/>
      </c>
      <c r="AH7277" s="49" t="str">
        <f t="shared" si="113"/>
        <v/>
      </c>
    </row>
    <row r="7278" spans="8:34" ht="12.75">
      <c r="H7278" s="43"/>
      <c r="AG7278" s="49" t="str">
        <f ca="1">IFERROR(__xludf.DUMMYFUNCTION("IFNA(vlookup(H7278,IMPORTRANGE(""1vUGwO1n0QQGx9kKbO0_M5gmuhXZ6-LaxQxgrmJnzgP0"",""'TP# look up'!A:C""),3,0),"""")"),"")</f>
        <v/>
      </c>
      <c r="AH7278" s="49" t="str">
        <f t="shared" si="113"/>
        <v/>
      </c>
    </row>
    <row r="7279" spans="8:34" ht="12.75">
      <c r="H7279" s="43"/>
      <c r="AG7279" s="49" t="str">
        <f ca="1">IFERROR(__xludf.DUMMYFUNCTION("IFNA(vlookup(H7279,IMPORTRANGE(""1vUGwO1n0QQGx9kKbO0_M5gmuhXZ6-LaxQxgrmJnzgP0"",""'TP# look up'!A:C""),3,0),"""")"),"")</f>
        <v/>
      </c>
      <c r="AH7279" s="49" t="str">
        <f t="shared" si="113"/>
        <v/>
      </c>
    </row>
    <row r="7280" spans="8:34" ht="12.75">
      <c r="H7280" s="43"/>
      <c r="AG7280" s="49" t="str">
        <f ca="1">IFERROR(__xludf.DUMMYFUNCTION("IFNA(vlookup(H7280,IMPORTRANGE(""1vUGwO1n0QQGx9kKbO0_M5gmuhXZ6-LaxQxgrmJnzgP0"",""'TP# look up'!A:C""),3,0),"""")"),"")</f>
        <v/>
      </c>
      <c r="AH7280" s="49" t="str">
        <f t="shared" si="113"/>
        <v/>
      </c>
    </row>
    <row r="7281" spans="8:34" ht="12.75">
      <c r="H7281" s="43"/>
      <c r="AG7281" s="49" t="str">
        <f ca="1">IFERROR(__xludf.DUMMYFUNCTION("IFNA(vlookup(H7281,IMPORTRANGE(""1vUGwO1n0QQGx9kKbO0_M5gmuhXZ6-LaxQxgrmJnzgP0"",""'TP# look up'!A:C""),3,0),"""")"),"")</f>
        <v/>
      </c>
      <c r="AH7281" s="49" t="str">
        <f t="shared" si="113"/>
        <v/>
      </c>
    </row>
    <row r="7282" spans="8:34" ht="12.75">
      <c r="H7282" s="43"/>
      <c r="AG7282" s="49" t="str">
        <f ca="1">IFERROR(__xludf.DUMMYFUNCTION("IFNA(vlookup(H7282,IMPORTRANGE(""1vUGwO1n0QQGx9kKbO0_M5gmuhXZ6-LaxQxgrmJnzgP0"",""'TP# look up'!A:C""),3,0),"""")"),"")</f>
        <v/>
      </c>
      <c r="AH7282" s="49" t="str">
        <f t="shared" si="113"/>
        <v/>
      </c>
    </row>
    <row r="7283" spans="8:34" ht="12.75">
      <c r="H7283" s="43"/>
      <c r="AG7283" s="49" t="str">
        <f ca="1">IFERROR(__xludf.DUMMYFUNCTION("IFNA(vlookup(H7283,IMPORTRANGE(""1vUGwO1n0QQGx9kKbO0_M5gmuhXZ6-LaxQxgrmJnzgP0"",""'TP# look up'!A:C""),3,0),"""")"),"")</f>
        <v/>
      </c>
      <c r="AH7283" s="49" t="str">
        <f t="shared" si="113"/>
        <v/>
      </c>
    </row>
    <row r="7284" spans="8:34" ht="12.75">
      <c r="H7284" s="43"/>
      <c r="AG7284" s="49" t="str">
        <f ca="1">IFERROR(__xludf.DUMMYFUNCTION("IFNA(vlookup(H7284,IMPORTRANGE(""1vUGwO1n0QQGx9kKbO0_M5gmuhXZ6-LaxQxgrmJnzgP0"",""'TP# look up'!A:C""),3,0),"""")"),"")</f>
        <v/>
      </c>
      <c r="AH7284" s="49" t="str">
        <f t="shared" si="113"/>
        <v/>
      </c>
    </row>
    <row r="7285" spans="8:34" ht="12.75">
      <c r="H7285" s="43"/>
      <c r="AG7285" s="49" t="str">
        <f ca="1">IFERROR(__xludf.DUMMYFUNCTION("IFNA(vlookup(H7285,IMPORTRANGE(""1vUGwO1n0QQGx9kKbO0_M5gmuhXZ6-LaxQxgrmJnzgP0"",""'TP# look up'!A:C""),3,0),"""")"),"")</f>
        <v/>
      </c>
      <c r="AH7285" s="49" t="str">
        <f t="shared" si="113"/>
        <v/>
      </c>
    </row>
    <row r="7286" spans="8:34" ht="12.75">
      <c r="H7286" s="43"/>
      <c r="AG7286" s="49" t="str">
        <f ca="1">IFERROR(__xludf.DUMMYFUNCTION("IFNA(vlookup(H7286,IMPORTRANGE(""1vUGwO1n0QQGx9kKbO0_M5gmuhXZ6-LaxQxgrmJnzgP0"",""'TP# look up'!A:C""),3,0),"""")"),"")</f>
        <v/>
      </c>
      <c r="AH7286" s="49" t="str">
        <f t="shared" si="113"/>
        <v/>
      </c>
    </row>
    <row r="7287" spans="8:34" ht="12.75">
      <c r="H7287" s="43"/>
      <c r="AG7287" s="49" t="str">
        <f ca="1">IFERROR(__xludf.DUMMYFUNCTION("IFNA(vlookup(H7287,IMPORTRANGE(""1vUGwO1n0QQGx9kKbO0_M5gmuhXZ6-LaxQxgrmJnzgP0"",""'TP# look up'!A:C""),3,0),"""")"),"")</f>
        <v/>
      </c>
      <c r="AH7287" s="49" t="str">
        <f t="shared" si="113"/>
        <v/>
      </c>
    </row>
    <row r="7288" spans="8:34" ht="12.75">
      <c r="H7288" s="43"/>
      <c r="AG7288" s="49" t="str">
        <f ca="1">IFERROR(__xludf.DUMMYFUNCTION("IFNA(vlookup(H7288,IMPORTRANGE(""1vUGwO1n0QQGx9kKbO0_M5gmuhXZ6-LaxQxgrmJnzgP0"",""'TP# look up'!A:C""),3,0),"""")"),"")</f>
        <v/>
      </c>
      <c r="AH7288" s="49" t="str">
        <f t="shared" si="113"/>
        <v/>
      </c>
    </row>
    <row r="7289" spans="8:34" ht="12.75">
      <c r="H7289" s="43"/>
      <c r="AG7289" s="49" t="str">
        <f ca="1">IFERROR(__xludf.DUMMYFUNCTION("IFNA(vlookup(H7289,IMPORTRANGE(""1vUGwO1n0QQGx9kKbO0_M5gmuhXZ6-LaxQxgrmJnzgP0"",""'TP# look up'!A:C""),3,0),"""")"),"")</f>
        <v/>
      </c>
      <c r="AH7289" s="49" t="str">
        <f t="shared" si="113"/>
        <v/>
      </c>
    </row>
    <row r="7290" spans="8:34" ht="12.75">
      <c r="H7290" s="43"/>
      <c r="AG7290" s="49" t="str">
        <f ca="1">IFERROR(__xludf.DUMMYFUNCTION("IFNA(vlookup(H7290,IMPORTRANGE(""1vUGwO1n0QQGx9kKbO0_M5gmuhXZ6-LaxQxgrmJnzgP0"",""'TP# look up'!A:C""),3,0),"""")"),"")</f>
        <v/>
      </c>
      <c r="AH7290" s="49" t="str">
        <f t="shared" si="113"/>
        <v/>
      </c>
    </row>
    <row r="7291" spans="8:34" ht="12.75">
      <c r="H7291" s="43"/>
      <c r="AG7291" s="49" t="str">
        <f ca="1">IFERROR(__xludf.DUMMYFUNCTION("IFNA(vlookup(H7291,IMPORTRANGE(""1vUGwO1n0QQGx9kKbO0_M5gmuhXZ6-LaxQxgrmJnzgP0"",""'TP# look up'!A:C""),3,0),"""")"),"")</f>
        <v/>
      </c>
      <c r="AH7291" s="49" t="str">
        <f t="shared" si="113"/>
        <v/>
      </c>
    </row>
    <row r="7292" spans="8:34" ht="12.75">
      <c r="H7292" s="43"/>
      <c r="AG7292" s="49" t="str">
        <f ca="1">IFERROR(__xludf.DUMMYFUNCTION("IFNA(vlookup(H7292,IMPORTRANGE(""1vUGwO1n0QQGx9kKbO0_M5gmuhXZ6-LaxQxgrmJnzgP0"",""'TP# look up'!A:C""),3,0),"""")"),"")</f>
        <v/>
      </c>
      <c r="AH7292" s="49" t="str">
        <f t="shared" si="113"/>
        <v/>
      </c>
    </row>
    <row r="7293" spans="8:34" ht="12.75">
      <c r="H7293" s="43"/>
      <c r="AG7293" s="49" t="str">
        <f ca="1">IFERROR(__xludf.DUMMYFUNCTION("IFNA(vlookup(H7293,IMPORTRANGE(""1vUGwO1n0QQGx9kKbO0_M5gmuhXZ6-LaxQxgrmJnzgP0"",""'TP# look up'!A:C""),3,0),"""")"),"")</f>
        <v/>
      </c>
      <c r="AH7293" s="49" t="str">
        <f t="shared" si="113"/>
        <v/>
      </c>
    </row>
    <row r="7294" spans="8:34" ht="12.75">
      <c r="H7294" s="43"/>
      <c r="AG7294" s="49" t="str">
        <f ca="1">IFERROR(__xludf.DUMMYFUNCTION("IFNA(vlookup(H7294,IMPORTRANGE(""1vUGwO1n0QQGx9kKbO0_M5gmuhXZ6-LaxQxgrmJnzgP0"",""'TP# look up'!A:C""),3,0),"""")"),"")</f>
        <v/>
      </c>
      <c r="AH7294" s="49" t="str">
        <f t="shared" si="113"/>
        <v/>
      </c>
    </row>
    <row r="7295" spans="8:34" ht="12.75">
      <c r="H7295" s="43"/>
      <c r="AG7295" s="49" t="str">
        <f ca="1">IFERROR(__xludf.DUMMYFUNCTION("IFNA(vlookup(H7295,IMPORTRANGE(""1vUGwO1n0QQGx9kKbO0_M5gmuhXZ6-LaxQxgrmJnzgP0"",""'TP# look up'!A:C""),3,0),"""")"),"")</f>
        <v/>
      </c>
      <c r="AH7295" s="49" t="str">
        <f t="shared" si="113"/>
        <v/>
      </c>
    </row>
    <row r="7296" spans="8:34" ht="12.75">
      <c r="H7296" s="43"/>
      <c r="AG7296" s="49" t="str">
        <f ca="1">IFERROR(__xludf.DUMMYFUNCTION("IFNA(vlookup(H7296,IMPORTRANGE(""1vUGwO1n0QQGx9kKbO0_M5gmuhXZ6-LaxQxgrmJnzgP0"",""'TP# look up'!A:C""),3,0),"""")"),"")</f>
        <v/>
      </c>
      <c r="AH7296" s="49" t="str">
        <f t="shared" si="113"/>
        <v/>
      </c>
    </row>
    <row r="7297" spans="8:34" ht="12.75">
      <c r="H7297" s="43"/>
      <c r="AG7297" s="49" t="str">
        <f ca="1">IFERROR(__xludf.DUMMYFUNCTION("IFNA(vlookup(H7297,IMPORTRANGE(""1vUGwO1n0QQGx9kKbO0_M5gmuhXZ6-LaxQxgrmJnzgP0"",""'TP# look up'!A:C""),3,0),"""")"),"")</f>
        <v/>
      </c>
      <c r="AH7297" s="49" t="str">
        <f t="shared" si="113"/>
        <v/>
      </c>
    </row>
    <row r="7298" spans="8:34" ht="12.75">
      <c r="H7298" s="43"/>
      <c r="AG7298" s="49" t="str">
        <f ca="1">IFERROR(__xludf.DUMMYFUNCTION("IFNA(vlookup(H7298,IMPORTRANGE(""1vUGwO1n0QQGx9kKbO0_M5gmuhXZ6-LaxQxgrmJnzgP0"",""'TP# look up'!A:C""),3,0),"""")"),"")</f>
        <v/>
      </c>
      <c r="AH7298" s="49" t="str">
        <f t="shared" ref="AH7298:AH7361" si="114">LEFT(J7298,2)</f>
        <v/>
      </c>
    </row>
    <row r="7299" spans="8:34" ht="12.75">
      <c r="H7299" s="43"/>
      <c r="AG7299" s="49" t="str">
        <f ca="1">IFERROR(__xludf.DUMMYFUNCTION("IFNA(vlookup(H7299,IMPORTRANGE(""1vUGwO1n0QQGx9kKbO0_M5gmuhXZ6-LaxQxgrmJnzgP0"",""'TP# look up'!A:C""),3,0),"""")"),"")</f>
        <v/>
      </c>
      <c r="AH7299" s="49" t="str">
        <f t="shared" si="114"/>
        <v/>
      </c>
    </row>
    <row r="7300" spans="8:34" ht="12.75">
      <c r="H7300" s="43"/>
      <c r="AG7300" s="49" t="str">
        <f ca="1">IFERROR(__xludf.DUMMYFUNCTION("IFNA(vlookup(H7300,IMPORTRANGE(""1vUGwO1n0QQGx9kKbO0_M5gmuhXZ6-LaxQxgrmJnzgP0"",""'TP# look up'!A:C""),3,0),"""")"),"")</f>
        <v/>
      </c>
      <c r="AH7300" s="49" t="str">
        <f t="shared" si="114"/>
        <v/>
      </c>
    </row>
    <row r="7301" spans="8:34" ht="12.75">
      <c r="H7301" s="43"/>
      <c r="AG7301" s="49" t="str">
        <f ca="1">IFERROR(__xludf.DUMMYFUNCTION("IFNA(vlookup(H7301,IMPORTRANGE(""1vUGwO1n0QQGx9kKbO0_M5gmuhXZ6-LaxQxgrmJnzgP0"",""'TP# look up'!A:C""),3,0),"""")"),"")</f>
        <v/>
      </c>
      <c r="AH7301" s="49" t="str">
        <f t="shared" si="114"/>
        <v/>
      </c>
    </row>
    <row r="7302" spans="8:34" ht="12.75">
      <c r="H7302" s="43"/>
      <c r="AG7302" s="49" t="str">
        <f ca="1">IFERROR(__xludf.DUMMYFUNCTION("IFNA(vlookup(H7302,IMPORTRANGE(""1vUGwO1n0QQGx9kKbO0_M5gmuhXZ6-LaxQxgrmJnzgP0"",""'TP# look up'!A:C""),3,0),"""")"),"")</f>
        <v/>
      </c>
      <c r="AH7302" s="49" t="str">
        <f t="shared" si="114"/>
        <v/>
      </c>
    </row>
    <row r="7303" spans="8:34" ht="12.75">
      <c r="H7303" s="43"/>
      <c r="AG7303" s="49" t="str">
        <f ca="1">IFERROR(__xludf.DUMMYFUNCTION("IFNA(vlookup(H7303,IMPORTRANGE(""1vUGwO1n0QQGx9kKbO0_M5gmuhXZ6-LaxQxgrmJnzgP0"",""'TP# look up'!A:C""),3,0),"""")"),"")</f>
        <v/>
      </c>
      <c r="AH7303" s="49" t="str">
        <f t="shared" si="114"/>
        <v/>
      </c>
    </row>
    <row r="7304" spans="8:34" ht="12.75">
      <c r="H7304" s="43"/>
      <c r="AG7304" s="49" t="str">
        <f ca="1">IFERROR(__xludf.DUMMYFUNCTION("IFNA(vlookup(H7304,IMPORTRANGE(""1vUGwO1n0QQGx9kKbO0_M5gmuhXZ6-LaxQxgrmJnzgP0"",""'TP# look up'!A:C""),3,0),"""")"),"")</f>
        <v/>
      </c>
      <c r="AH7304" s="49" t="str">
        <f t="shared" si="114"/>
        <v/>
      </c>
    </row>
    <row r="7305" spans="8:34" ht="12.75">
      <c r="H7305" s="43"/>
      <c r="AG7305" s="49" t="str">
        <f ca="1">IFERROR(__xludf.DUMMYFUNCTION("IFNA(vlookup(H7305,IMPORTRANGE(""1vUGwO1n0QQGx9kKbO0_M5gmuhXZ6-LaxQxgrmJnzgP0"",""'TP# look up'!A:C""),3,0),"""")"),"")</f>
        <v/>
      </c>
      <c r="AH7305" s="49" t="str">
        <f t="shared" si="114"/>
        <v/>
      </c>
    </row>
    <row r="7306" spans="8:34" ht="12.75">
      <c r="H7306" s="43"/>
      <c r="AG7306" s="49" t="str">
        <f ca="1">IFERROR(__xludf.DUMMYFUNCTION("IFNA(vlookup(H7306,IMPORTRANGE(""1vUGwO1n0QQGx9kKbO0_M5gmuhXZ6-LaxQxgrmJnzgP0"",""'TP# look up'!A:C""),3,0),"""")"),"")</f>
        <v/>
      </c>
      <c r="AH7306" s="49" t="str">
        <f t="shared" si="114"/>
        <v/>
      </c>
    </row>
    <row r="7307" spans="8:34" ht="12.75">
      <c r="H7307" s="43"/>
      <c r="AG7307" s="49" t="str">
        <f ca="1">IFERROR(__xludf.DUMMYFUNCTION("IFNA(vlookup(H7307,IMPORTRANGE(""1vUGwO1n0QQGx9kKbO0_M5gmuhXZ6-LaxQxgrmJnzgP0"",""'TP# look up'!A:C""),3,0),"""")"),"")</f>
        <v/>
      </c>
      <c r="AH7307" s="49" t="str">
        <f t="shared" si="114"/>
        <v/>
      </c>
    </row>
    <row r="7308" spans="8:34" ht="12.75">
      <c r="H7308" s="43"/>
      <c r="AG7308" s="49" t="str">
        <f ca="1">IFERROR(__xludf.DUMMYFUNCTION("IFNA(vlookup(H7308,IMPORTRANGE(""1vUGwO1n0QQGx9kKbO0_M5gmuhXZ6-LaxQxgrmJnzgP0"",""'TP# look up'!A:C""),3,0),"""")"),"")</f>
        <v/>
      </c>
      <c r="AH7308" s="49" t="str">
        <f t="shared" si="114"/>
        <v/>
      </c>
    </row>
    <row r="7309" spans="8:34" ht="12.75">
      <c r="H7309" s="43"/>
      <c r="AG7309" s="49" t="str">
        <f ca="1">IFERROR(__xludf.DUMMYFUNCTION("IFNA(vlookup(H7309,IMPORTRANGE(""1vUGwO1n0QQGx9kKbO0_M5gmuhXZ6-LaxQxgrmJnzgP0"",""'TP# look up'!A:C""),3,0),"""")"),"")</f>
        <v/>
      </c>
      <c r="AH7309" s="49" t="str">
        <f t="shared" si="114"/>
        <v/>
      </c>
    </row>
    <row r="7310" spans="8:34" ht="12.75">
      <c r="H7310" s="43"/>
      <c r="AG7310" s="49" t="str">
        <f ca="1">IFERROR(__xludf.DUMMYFUNCTION("IFNA(vlookup(H7310,IMPORTRANGE(""1vUGwO1n0QQGx9kKbO0_M5gmuhXZ6-LaxQxgrmJnzgP0"",""'TP# look up'!A:C""),3,0),"""")"),"")</f>
        <v/>
      </c>
      <c r="AH7310" s="49" t="str">
        <f t="shared" si="114"/>
        <v/>
      </c>
    </row>
    <row r="7311" spans="8:34" ht="12.75">
      <c r="H7311" s="43"/>
      <c r="AG7311" s="49" t="str">
        <f ca="1">IFERROR(__xludf.DUMMYFUNCTION("IFNA(vlookup(H7311,IMPORTRANGE(""1vUGwO1n0QQGx9kKbO0_M5gmuhXZ6-LaxQxgrmJnzgP0"",""'TP# look up'!A:C""),3,0),"""")"),"")</f>
        <v/>
      </c>
      <c r="AH7311" s="49" t="str">
        <f t="shared" si="114"/>
        <v/>
      </c>
    </row>
    <row r="7312" spans="8:34" ht="12.75">
      <c r="H7312" s="43"/>
      <c r="AG7312" s="49" t="str">
        <f ca="1">IFERROR(__xludf.DUMMYFUNCTION("IFNA(vlookup(H7312,IMPORTRANGE(""1vUGwO1n0QQGx9kKbO0_M5gmuhXZ6-LaxQxgrmJnzgP0"",""'TP# look up'!A:C""),3,0),"""")"),"")</f>
        <v/>
      </c>
      <c r="AH7312" s="49" t="str">
        <f t="shared" si="114"/>
        <v/>
      </c>
    </row>
    <row r="7313" spans="8:34" ht="12.75">
      <c r="H7313" s="43"/>
      <c r="AG7313" s="49" t="str">
        <f ca="1">IFERROR(__xludf.DUMMYFUNCTION("IFNA(vlookup(H7313,IMPORTRANGE(""1vUGwO1n0QQGx9kKbO0_M5gmuhXZ6-LaxQxgrmJnzgP0"",""'TP# look up'!A:C""),3,0),"""")"),"")</f>
        <v/>
      </c>
      <c r="AH7313" s="49" t="str">
        <f t="shared" si="114"/>
        <v/>
      </c>
    </row>
    <row r="7314" spans="8:34" ht="12.75">
      <c r="H7314" s="43"/>
      <c r="AG7314" s="49" t="str">
        <f ca="1">IFERROR(__xludf.DUMMYFUNCTION("IFNA(vlookup(H7314,IMPORTRANGE(""1vUGwO1n0QQGx9kKbO0_M5gmuhXZ6-LaxQxgrmJnzgP0"",""'TP# look up'!A:C""),3,0),"""")"),"")</f>
        <v/>
      </c>
      <c r="AH7314" s="49" t="str">
        <f t="shared" si="114"/>
        <v/>
      </c>
    </row>
    <row r="7315" spans="8:34" ht="12.75">
      <c r="H7315" s="43"/>
      <c r="AG7315" s="49" t="str">
        <f ca="1">IFERROR(__xludf.DUMMYFUNCTION("IFNA(vlookup(H7315,IMPORTRANGE(""1vUGwO1n0QQGx9kKbO0_M5gmuhXZ6-LaxQxgrmJnzgP0"",""'TP# look up'!A:C""),3,0),"""")"),"")</f>
        <v/>
      </c>
      <c r="AH7315" s="49" t="str">
        <f t="shared" si="114"/>
        <v/>
      </c>
    </row>
    <row r="7316" spans="8:34" ht="12.75">
      <c r="H7316" s="43"/>
      <c r="AG7316" s="49" t="str">
        <f ca="1">IFERROR(__xludf.DUMMYFUNCTION("IFNA(vlookup(H7316,IMPORTRANGE(""1vUGwO1n0QQGx9kKbO0_M5gmuhXZ6-LaxQxgrmJnzgP0"",""'TP# look up'!A:C""),3,0),"""")"),"")</f>
        <v/>
      </c>
      <c r="AH7316" s="49" t="str">
        <f t="shared" si="114"/>
        <v/>
      </c>
    </row>
    <row r="7317" spans="8:34" ht="12.75">
      <c r="H7317" s="43"/>
      <c r="AG7317" s="49" t="str">
        <f ca="1">IFERROR(__xludf.DUMMYFUNCTION("IFNA(vlookup(H7317,IMPORTRANGE(""1vUGwO1n0QQGx9kKbO0_M5gmuhXZ6-LaxQxgrmJnzgP0"",""'TP# look up'!A:C""),3,0),"""")"),"")</f>
        <v/>
      </c>
      <c r="AH7317" s="49" t="str">
        <f t="shared" si="114"/>
        <v/>
      </c>
    </row>
    <row r="7318" spans="8:34" ht="12.75">
      <c r="H7318" s="43"/>
      <c r="AG7318" s="49" t="str">
        <f ca="1">IFERROR(__xludf.DUMMYFUNCTION("IFNA(vlookup(H7318,IMPORTRANGE(""1vUGwO1n0QQGx9kKbO0_M5gmuhXZ6-LaxQxgrmJnzgP0"",""'TP# look up'!A:C""),3,0),"""")"),"")</f>
        <v/>
      </c>
      <c r="AH7318" s="49" t="str">
        <f t="shared" si="114"/>
        <v/>
      </c>
    </row>
    <row r="7319" spans="8:34" ht="12.75">
      <c r="H7319" s="43"/>
      <c r="AG7319" s="49" t="str">
        <f ca="1">IFERROR(__xludf.DUMMYFUNCTION("IFNA(vlookup(H7319,IMPORTRANGE(""1vUGwO1n0QQGx9kKbO0_M5gmuhXZ6-LaxQxgrmJnzgP0"",""'TP# look up'!A:C""),3,0),"""")"),"")</f>
        <v/>
      </c>
      <c r="AH7319" s="49" t="str">
        <f t="shared" si="114"/>
        <v/>
      </c>
    </row>
    <row r="7320" spans="8:34" ht="12.75">
      <c r="H7320" s="43"/>
      <c r="AG7320" s="49" t="str">
        <f ca="1">IFERROR(__xludf.DUMMYFUNCTION("IFNA(vlookup(H7320,IMPORTRANGE(""1vUGwO1n0QQGx9kKbO0_M5gmuhXZ6-LaxQxgrmJnzgP0"",""'TP# look up'!A:C""),3,0),"""")"),"")</f>
        <v/>
      </c>
      <c r="AH7320" s="49" t="str">
        <f t="shared" si="114"/>
        <v/>
      </c>
    </row>
    <row r="7321" spans="8:34" ht="12.75">
      <c r="H7321" s="43"/>
      <c r="AG7321" s="49" t="str">
        <f ca="1">IFERROR(__xludf.DUMMYFUNCTION("IFNA(vlookup(H7321,IMPORTRANGE(""1vUGwO1n0QQGx9kKbO0_M5gmuhXZ6-LaxQxgrmJnzgP0"",""'TP# look up'!A:C""),3,0),"""")"),"")</f>
        <v/>
      </c>
      <c r="AH7321" s="49" t="str">
        <f t="shared" si="114"/>
        <v/>
      </c>
    </row>
    <row r="7322" spans="8:34" ht="12.75">
      <c r="H7322" s="43"/>
      <c r="AG7322" s="49" t="str">
        <f ca="1">IFERROR(__xludf.DUMMYFUNCTION("IFNA(vlookup(H7322,IMPORTRANGE(""1vUGwO1n0QQGx9kKbO0_M5gmuhXZ6-LaxQxgrmJnzgP0"",""'TP# look up'!A:C""),3,0),"""")"),"")</f>
        <v/>
      </c>
      <c r="AH7322" s="49" t="str">
        <f t="shared" si="114"/>
        <v/>
      </c>
    </row>
    <row r="7323" spans="8:34" ht="12.75">
      <c r="H7323" s="43"/>
      <c r="AG7323" s="49" t="str">
        <f ca="1">IFERROR(__xludf.DUMMYFUNCTION("IFNA(vlookup(H7323,IMPORTRANGE(""1vUGwO1n0QQGx9kKbO0_M5gmuhXZ6-LaxQxgrmJnzgP0"",""'TP# look up'!A:C""),3,0),"""")"),"")</f>
        <v/>
      </c>
      <c r="AH7323" s="49" t="str">
        <f t="shared" si="114"/>
        <v/>
      </c>
    </row>
    <row r="7324" spans="8:34" ht="12.75">
      <c r="H7324" s="43"/>
      <c r="AG7324" s="49" t="str">
        <f ca="1">IFERROR(__xludf.DUMMYFUNCTION("IFNA(vlookup(H7324,IMPORTRANGE(""1vUGwO1n0QQGx9kKbO0_M5gmuhXZ6-LaxQxgrmJnzgP0"",""'TP# look up'!A:C""),3,0),"""")"),"")</f>
        <v/>
      </c>
      <c r="AH7324" s="49" t="str">
        <f t="shared" si="114"/>
        <v/>
      </c>
    </row>
    <row r="7325" spans="8:34" ht="12.75">
      <c r="H7325" s="43"/>
      <c r="AG7325" s="49" t="str">
        <f ca="1">IFERROR(__xludf.DUMMYFUNCTION("IFNA(vlookup(H7325,IMPORTRANGE(""1vUGwO1n0QQGx9kKbO0_M5gmuhXZ6-LaxQxgrmJnzgP0"",""'TP# look up'!A:C""),3,0),"""")"),"")</f>
        <v/>
      </c>
      <c r="AH7325" s="49" t="str">
        <f t="shared" si="114"/>
        <v/>
      </c>
    </row>
    <row r="7326" spans="8:34" ht="12.75">
      <c r="H7326" s="43"/>
      <c r="AG7326" s="49" t="str">
        <f ca="1">IFERROR(__xludf.DUMMYFUNCTION("IFNA(vlookup(H7326,IMPORTRANGE(""1vUGwO1n0QQGx9kKbO0_M5gmuhXZ6-LaxQxgrmJnzgP0"",""'TP# look up'!A:C""),3,0),"""")"),"")</f>
        <v/>
      </c>
      <c r="AH7326" s="49" t="str">
        <f t="shared" si="114"/>
        <v/>
      </c>
    </row>
    <row r="7327" spans="8:34" ht="12.75">
      <c r="H7327" s="43"/>
      <c r="AG7327" s="49" t="str">
        <f ca="1">IFERROR(__xludf.DUMMYFUNCTION("IFNA(vlookup(H7327,IMPORTRANGE(""1vUGwO1n0QQGx9kKbO0_M5gmuhXZ6-LaxQxgrmJnzgP0"",""'TP# look up'!A:C""),3,0),"""")"),"")</f>
        <v/>
      </c>
      <c r="AH7327" s="49" t="str">
        <f t="shared" si="114"/>
        <v/>
      </c>
    </row>
    <row r="7328" spans="8:34" ht="12.75">
      <c r="H7328" s="43"/>
      <c r="AG7328" s="49" t="str">
        <f ca="1">IFERROR(__xludf.DUMMYFUNCTION("IFNA(vlookup(H7328,IMPORTRANGE(""1vUGwO1n0QQGx9kKbO0_M5gmuhXZ6-LaxQxgrmJnzgP0"",""'TP# look up'!A:C""),3,0),"""")"),"")</f>
        <v/>
      </c>
      <c r="AH7328" s="49" t="str">
        <f t="shared" si="114"/>
        <v/>
      </c>
    </row>
    <row r="7329" spans="8:34" ht="12.75">
      <c r="H7329" s="43"/>
      <c r="AG7329" s="49" t="str">
        <f ca="1">IFERROR(__xludf.DUMMYFUNCTION("IFNA(vlookup(H7329,IMPORTRANGE(""1vUGwO1n0QQGx9kKbO0_M5gmuhXZ6-LaxQxgrmJnzgP0"",""'TP# look up'!A:C""),3,0),"""")"),"")</f>
        <v/>
      </c>
      <c r="AH7329" s="49" t="str">
        <f t="shared" si="114"/>
        <v/>
      </c>
    </row>
    <row r="7330" spans="8:34" ht="12.75">
      <c r="H7330" s="43"/>
      <c r="AG7330" s="49" t="str">
        <f ca="1">IFERROR(__xludf.DUMMYFUNCTION("IFNA(vlookup(H7330,IMPORTRANGE(""1vUGwO1n0QQGx9kKbO0_M5gmuhXZ6-LaxQxgrmJnzgP0"",""'TP# look up'!A:C""),3,0),"""")"),"")</f>
        <v/>
      </c>
      <c r="AH7330" s="49" t="str">
        <f t="shared" si="114"/>
        <v/>
      </c>
    </row>
    <row r="7331" spans="8:34" ht="12.75">
      <c r="H7331" s="43"/>
      <c r="AG7331" s="49" t="str">
        <f ca="1">IFERROR(__xludf.DUMMYFUNCTION("IFNA(vlookup(H7331,IMPORTRANGE(""1vUGwO1n0QQGx9kKbO0_M5gmuhXZ6-LaxQxgrmJnzgP0"",""'TP# look up'!A:C""),3,0),"""")"),"")</f>
        <v/>
      </c>
      <c r="AH7331" s="49" t="str">
        <f t="shared" si="114"/>
        <v/>
      </c>
    </row>
    <row r="7332" spans="8:34" ht="12.75">
      <c r="H7332" s="43"/>
      <c r="AG7332" s="49" t="str">
        <f ca="1">IFERROR(__xludf.DUMMYFUNCTION("IFNA(vlookup(H7332,IMPORTRANGE(""1vUGwO1n0QQGx9kKbO0_M5gmuhXZ6-LaxQxgrmJnzgP0"",""'TP# look up'!A:C""),3,0),"""")"),"")</f>
        <v/>
      </c>
      <c r="AH7332" s="49" t="str">
        <f t="shared" si="114"/>
        <v/>
      </c>
    </row>
    <row r="7333" spans="8:34" ht="12.75">
      <c r="H7333" s="43"/>
      <c r="AG7333" s="49" t="str">
        <f ca="1">IFERROR(__xludf.DUMMYFUNCTION("IFNA(vlookup(H7333,IMPORTRANGE(""1vUGwO1n0QQGx9kKbO0_M5gmuhXZ6-LaxQxgrmJnzgP0"",""'TP# look up'!A:C""),3,0),"""")"),"")</f>
        <v/>
      </c>
      <c r="AH7333" s="49" t="str">
        <f t="shared" si="114"/>
        <v/>
      </c>
    </row>
    <row r="7334" spans="8:34" ht="12.75">
      <c r="H7334" s="43"/>
      <c r="AG7334" s="49" t="str">
        <f ca="1">IFERROR(__xludf.DUMMYFUNCTION("IFNA(vlookup(H7334,IMPORTRANGE(""1vUGwO1n0QQGx9kKbO0_M5gmuhXZ6-LaxQxgrmJnzgP0"",""'TP# look up'!A:C""),3,0),"""")"),"")</f>
        <v/>
      </c>
      <c r="AH7334" s="49" t="str">
        <f t="shared" si="114"/>
        <v/>
      </c>
    </row>
    <row r="7335" spans="8:34" ht="12.75">
      <c r="H7335" s="43"/>
      <c r="AG7335" s="49" t="str">
        <f ca="1">IFERROR(__xludf.DUMMYFUNCTION("IFNA(vlookup(H7335,IMPORTRANGE(""1vUGwO1n0QQGx9kKbO0_M5gmuhXZ6-LaxQxgrmJnzgP0"",""'TP# look up'!A:C""),3,0),"""")"),"")</f>
        <v/>
      </c>
      <c r="AH7335" s="49" t="str">
        <f t="shared" si="114"/>
        <v/>
      </c>
    </row>
    <row r="7336" spans="8:34" ht="12.75">
      <c r="H7336" s="43"/>
      <c r="AG7336" s="49" t="str">
        <f ca="1">IFERROR(__xludf.DUMMYFUNCTION("IFNA(vlookup(H7336,IMPORTRANGE(""1vUGwO1n0QQGx9kKbO0_M5gmuhXZ6-LaxQxgrmJnzgP0"",""'TP# look up'!A:C""),3,0),"""")"),"")</f>
        <v/>
      </c>
      <c r="AH7336" s="49" t="str">
        <f t="shared" si="114"/>
        <v/>
      </c>
    </row>
    <row r="7337" spans="8:34" ht="12.75">
      <c r="H7337" s="43"/>
      <c r="AG7337" s="49" t="str">
        <f ca="1">IFERROR(__xludf.DUMMYFUNCTION("IFNA(vlookup(H7337,IMPORTRANGE(""1vUGwO1n0QQGx9kKbO0_M5gmuhXZ6-LaxQxgrmJnzgP0"",""'TP# look up'!A:C""),3,0),"""")"),"")</f>
        <v/>
      </c>
      <c r="AH7337" s="49" t="str">
        <f t="shared" si="114"/>
        <v/>
      </c>
    </row>
    <row r="7338" spans="8:34" ht="12.75">
      <c r="H7338" s="43"/>
      <c r="AG7338" s="49" t="str">
        <f ca="1">IFERROR(__xludf.DUMMYFUNCTION("IFNA(vlookup(H7338,IMPORTRANGE(""1vUGwO1n0QQGx9kKbO0_M5gmuhXZ6-LaxQxgrmJnzgP0"",""'TP# look up'!A:C""),3,0),"""")"),"")</f>
        <v/>
      </c>
      <c r="AH7338" s="49" t="str">
        <f t="shared" si="114"/>
        <v/>
      </c>
    </row>
    <row r="7339" spans="8:34" ht="12.75">
      <c r="H7339" s="43"/>
      <c r="AG7339" s="49" t="str">
        <f ca="1">IFERROR(__xludf.DUMMYFUNCTION("IFNA(vlookup(H7339,IMPORTRANGE(""1vUGwO1n0QQGx9kKbO0_M5gmuhXZ6-LaxQxgrmJnzgP0"",""'TP# look up'!A:C""),3,0),"""")"),"")</f>
        <v/>
      </c>
      <c r="AH7339" s="49" t="str">
        <f t="shared" si="114"/>
        <v/>
      </c>
    </row>
    <row r="7340" spans="8:34" ht="12.75">
      <c r="H7340" s="43"/>
      <c r="AG7340" s="49" t="str">
        <f ca="1">IFERROR(__xludf.DUMMYFUNCTION("IFNA(vlookup(H7340,IMPORTRANGE(""1vUGwO1n0QQGx9kKbO0_M5gmuhXZ6-LaxQxgrmJnzgP0"",""'TP# look up'!A:C""),3,0),"""")"),"")</f>
        <v/>
      </c>
      <c r="AH7340" s="49" t="str">
        <f t="shared" si="114"/>
        <v/>
      </c>
    </row>
    <row r="7341" spans="8:34" ht="12.75">
      <c r="H7341" s="43"/>
      <c r="AG7341" s="49" t="str">
        <f ca="1">IFERROR(__xludf.DUMMYFUNCTION("IFNA(vlookup(H7341,IMPORTRANGE(""1vUGwO1n0QQGx9kKbO0_M5gmuhXZ6-LaxQxgrmJnzgP0"",""'TP# look up'!A:C""),3,0),"""")"),"")</f>
        <v/>
      </c>
      <c r="AH7341" s="49" t="str">
        <f t="shared" si="114"/>
        <v/>
      </c>
    </row>
    <row r="7342" spans="8:34" ht="12.75">
      <c r="H7342" s="43"/>
      <c r="AG7342" s="49" t="str">
        <f ca="1">IFERROR(__xludf.DUMMYFUNCTION("IFNA(vlookup(H7342,IMPORTRANGE(""1vUGwO1n0QQGx9kKbO0_M5gmuhXZ6-LaxQxgrmJnzgP0"",""'TP# look up'!A:C""),3,0),"""")"),"")</f>
        <v/>
      </c>
      <c r="AH7342" s="49" t="str">
        <f t="shared" si="114"/>
        <v/>
      </c>
    </row>
    <row r="7343" spans="8:34" ht="12.75">
      <c r="H7343" s="43"/>
      <c r="AG7343" s="49" t="str">
        <f ca="1">IFERROR(__xludf.DUMMYFUNCTION("IFNA(vlookup(H7343,IMPORTRANGE(""1vUGwO1n0QQGx9kKbO0_M5gmuhXZ6-LaxQxgrmJnzgP0"",""'TP# look up'!A:C""),3,0),"""")"),"")</f>
        <v/>
      </c>
      <c r="AH7343" s="49" t="str">
        <f t="shared" si="114"/>
        <v/>
      </c>
    </row>
    <row r="7344" spans="8:34" ht="12.75">
      <c r="H7344" s="43"/>
      <c r="AG7344" s="49" t="str">
        <f ca="1">IFERROR(__xludf.DUMMYFUNCTION("IFNA(vlookup(H7344,IMPORTRANGE(""1vUGwO1n0QQGx9kKbO0_M5gmuhXZ6-LaxQxgrmJnzgP0"",""'TP# look up'!A:C""),3,0),"""")"),"")</f>
        <v/>
      </c>
      <c r="AH7344" s="49" t="str">
        <f t="shared" si="114"/>
        <v/>
      </c>
    </row>
    <row r="7345" spans="8:34" ht="12.75">
      <c r="H7345" s="43"/>
      <c r="AG7345" s="49" t="str">
        <f ca="1">IFERROR(__xludf.DUMMYFUNCTION("IFNA(vlookup(H7345,IMPORTRANGE(""1vUGwO1n0QQGx9kKbO0_M5gmuhXZ6-LaxQxgrmJnzgP0"",""'TP# look up'!A:C""),3,0),"""")"),"")</f>
        <v/>
      </c>
      <c r="AH7345" s="49" t="str">
        <f t="shared" si="114"/>
        <v/>
      </c>
    </row>
    <row r="7346" spans="8:34" ht="12.75">
      <c r="H7346" s="43"/>
      <c r="AG7346" s="49" t="str">
        <f ca="1">IFERROR(__xludf.DUMMYFUNCTION("IFNA(vlookup(H7346,IMPORTRANGE(""1vUGwO1n0QQGx9kKbO0_M5gmuhXZ6-LaxQxgrmJnzgP0"",""'TP# look up'!A:C""),3,0),"""")"),"")</f>
        <v/>
      </c>
      <c r="AH7346" s="49" t="str">
        <f t="shared" si="114"/>
        <v/>
      </c>
    </row>
    <row r="7347" spans="8:34" ht="12.75">
      <c r="H7347" s="43"/>
      <c r="AG7347" s="49" t="str">
        <f ca="1">IFERROR(__xludf.DUMMYFUNCTION("IFNA(vlookup(H7347,IMPORTRANGE(""1vUGwO1n0QQGx9kKbO0_M5gmuhXZ6-LaxQxgrmJnzgP0"",""'TP# look up'!A:C""),3,0),"""")"),"")</f>
        <v/>
      </c>
      <c r="AH7347" s="49" t="str">
        <f t="shared" si="114"/>
        <v/>
      </c>
    </row>
    <row r="7348" spans="8:34" ht="12.75">
      <c r="H7348" s="43"/>
      <c r="AG7348" s="49" t="str">
        <f ca="1">IFERROR(__xludf.DUMMYFUNCTION("IFNA(vlookup(H7348,IMPORTRANGE(""1vUGwO1n0QQGx9kKbO0_M5gmuhXZ6-LaxQxgrmJnzgP0"",""'TP# look up'!A:C""),3,0),"""")"),"")</f>
        <v/>
      </c>
      <c r="AH7348" s="49" t="str">
        <f t="shared" si="114"/>
        <v/>
      </c>
    </row>
    <row r="7349" spans="8:34" ht="12.75">
      <c r="H7349" s="43"/>
      <c r="AG7349" s="49" t="str">
        <f ca="1">IFERROR(__xludf.DUMMYFUNCTION("IFNA(vlookup(H7349,IMPORTRANGE(""1vUGwO1n0QQGx9kKbO0_M5gmuhXZ6-LaxQxgrmJnzgP0"",""'TP# look up'!A:C""),3,0),"""")"),"")</f>
        <v/>
      </c>
      <c r="AH7349" s="49" t="str">
        <f t="shared" si="114"/>
        <v/>
      </c>
    </row>
    <row r="7350" spans="8:34" ht="12.75">
      <c r="H7350" s="43"/>
      <c r="AG7350" s="49" t="str">
        <f ca="1">IFERROR(__xludf.DUMMYFUNCTION("IFNA(vlookup(H7350,IMPORTRANGE(""1vUGwO1n0QQGx9kKbO0_M5gmuhXZ6-LaxQxgrmJnzgP0"",""'TP# look up'!A:C""),3,0),"""")"),"")</f>
        <v/>
      </c>
      <c r="AH7350" s="49" t="str">
        <f t="shared" si="114"/>
        <v/>
      </c>
    </row>
    <row r="7351" spans="8:34" ht="12.75">
      <c r="H7351" s="43"/>
      <c r="AG7351" s="49" t="str">
        <f ca="1">IFERROR(__xludf.DUMMYFUNCTION("IFNA(vlookup(H7351,IMPORTRANGE(""1vUGwO1n0QQGx9kKbO0_M5gmuhXZ6-LaxQxgrmJnzgP0"",""'TP# look up'!A:C""),3,0),"""")"),"")</f>
        <v/>
      </c>
      <c r="AH7351" s="49" t="str">
        <f t="shared" si="114"/>
        <v/>
      </c>
    </row>
    <row r="7352" spans="8:34" ht="12.75">
      <c r="H7352" s="43"/>
      <c r="AG7352" s="49" t="str">
        <f ca="1">IFERROR(__xludf.DUMMYFUNCTION("IFNA(vlookup(H7352,IMPORTRANGE(""1vUGwO1n0QQGx9kKbO0_M5gmuhXZ6-LaxQxgrmJnzgP0"",""'TP# look up'!A:C""),3,0),"""")"),"")</f>
        <v/>
      </c>
      <c r="AH7352" s="49" t="str">
        <f t="shared" si="114"/>
        <v/>
      </c>
    </row>
    <row r="7353" spans="8:34" ht="12.75">
      <c r="H7353" s="43"/>
      <c r="AG7353" s="49" t="str">
        <f ca="1">IFERROR(__xludf.DUMMYFUNCTION("IFNA(vlookup(H7353,IMPORTRANGE(""1vUGwO1n0QQGx9kKbO0_M5gmuhXZ6-LaxQxgrmJnzgP0"",""'TP# look up'!A:C""),3,0),"""")"),"")</f>
        <v/>
      </c>
      <c r="AH7353" s="49" t="str">
        <f t="shared" si="114"/>
        <v/>
      </c>
    </row>
    <row r="7354" spans="8:34" ht="12.75">
      <c r="H7354" s="43"/>
      <c r="AG7354" s="49" t="str">
        <f ca="1">IFERROR(__xludf.DUMMYFUNCTION("IFNA(vlookup(H7354,IMPORTRANGE(""1vUGwO1n0QQGx9kKbO0_M5gmuhXZ6-LaxQxgrmJnzgP0"",""'TP# look up'!A:C""),3,0),"""")"),"")</f>
        <v/>
      </c>
      <c r="AH7354" s="49" t="str">
        <f t="shared" si="114"/>
        <v/>
      </c>
    </row>
    <row r="7355" spans="8:34" ht="12.75">
      <c r="H7355" s="43"/>
      <c r="AG7355" s="49" t="str">
        <f ca="1">IFERROR(__xludf.DUMMYFUNCTION("IFNA(vlookup(H7355,IMPORTRANGE(""1vUGwO1n0QQGx9kKbO0_M5gmuhXZ6-LaxQxgrmJnzgP0"",""'TP# look up'!A:C""),3,0),"""")"),"")</f>
        <v/>
      </c>
      <c r="AH7355" s="49" t="str">
        <f t="shared" si="114"/>
        <v/>
      </c>
    </row>
    <row r="7356" spans="8:34" ht="12.75">
      <c r="H7356" s="43"/>
      <c r="AG7356" s="49" t="str">
        <f ca="1">IFERROR(__xludf.DUMMYFUNCTION("IFNA(vlookup(H7356,IMPORTRANGE(""1vUGwO1n0QQGx9kKbO0_M5gmuhXZ6-LaxQxgrmJnzgP0"",""'TP# look up'!A:C""),3,0),"""")"),"")</f>
        <v/>
      </c>
      <c r="AH7356" s="49" t="str">
        <f t="shared" si="114"/>
        <v/>
      </c>
    </row>
    <row r="7357" spans="8:34" ht="12.75">
      <c r="H7357" s="43"/>
      <c r="AG7357" s="49" t="str">
        <f ca="1">IFERROR(__xludf.DUMMYFUNCTION("IFNA(vlookup(H7357,IMPORTRANGE(""1vUGwO1n0QQGx9kKbO0_M5gmuhXZ6-LaxQxgrmJnzgP0"",""'TP# look up'!A:C""),3,0),"""")"),"")</f>
        <v/>
      </c>
      <c r="AH7357" s="49" t="str">
        <f t="shared" si="114"/>
        <v/>
      </c>
    </row>
    <row r="7358" spans="8:34" ht="12.75">
      <c r="H7358" s="43"/>
      <c r="AG7358" s="49" t="str">
        <f ca="1">IFERROR(__xludf.DUMMYFUNCTION("IFNA(vlookup(H7358,IMPORTRANGE(""1vUGwO1n0QQGx9kKbO0_M5gmuhXZ6-LaxQxgrmJnzgP0"",""'TP# look up'!A:C""),3,0),"""")"),"")</f>
        <v/>
      </c>
      <c r="AH7358" s="49" t="str">
        <f t="shared" si="114"/>
        <v/>
      </c>
    </row>
    <row r="7359" spans="8:34" ht="12.75">
      <c r="H7359" s="43"/>
      <c r="AG7359" s="49" t="str">
        <f ca="1">IFERROR(__xludf.DUMMYFUNCTION("IFNA(vlookup(H7359,IMPORTRANGE(""1vUGwO1n0QQGx9kKbO0_M5gmuhXZ6-LaxQxgrmJnzgP0"",""'TP# look up'!A:C""),3,0),"""")"),"")</f>
        <v/>
      </c>
      <c r="AH7359" s="49" t="str">
        <f t="shared" si="114"/>
        <v/>
      </c>
    </row>
    <row r="7360" spans="8:34" ht="12.75">
      <c r="H7360" s="43"/>
      <c r="AG7360" s="49" t="str">
        <f ca="1">IFERROR(__xludf.DUMMYFUNCTION("IFNA(vlookup(H7360,IMPORTRANGE(""1vUGwO1n0QQGx9kKbO0_M5gmuhXZ6-LaxQxgrmJnzgP0"",""'TP# look up'!A:C""),3,0),"""")"),"")</f>
        <v/>
      </c>
      <c r="AH7360" s="49" t="str">
        <f t="shared" si="114"/>
        <v/>
      </c>
    </row>
    <row r="7361" spans="8:34" ht="12.75">
      <c r="H7361" s="43"/>
      <c r="AG7361" s="49" t="str">
        <f ca="1">IFERROR(__xludf.DUMMYFUNCTION("IFNA(vlookup(H7361,IMPORTRANGE(""1vUGwO1n0QQGx9kKbO0_M5gmuhXZ6-LaxQxgrmJnzgP0"",""'TP# look up'!A:C""),3,0),"""")"),"")</f>
        <v/>
      </c>
      <c r="AH7361" s="49" t="str">
        <f t="shared" si="114"/>
        <v/>
      </c>
    </row>
    <row r="7362" spans="8:34" ht="12.75">
      <c r="H7362" s="43"/>
      <c r="AG7362" s="49" t="str">
        <f ca="1">IFERROR(__xludf.DUMMYFUNCTION("IFNA(vlookup(H7362,IMPORTRANGE(""1vUGwO1n0QQGx9kKbO0_M5gmuhXZ6-LaxQxgrmJnzgP0"",""'TP# look up'!A:C""),3,0),"""")"),"")</f>
        <v/>
      </c>
      <c r="AH7362" s="49" t="str">
        <f t="shared" ref="AH7362:AH7425" si="115">LEFT(J7362,2)</f>
        <v/>
      </c>
    </row>
    <row r="7363" spans="8:34" ht="12.75">
      <c r="H7363" s="43"/>
      <c r="AG7363" s="49" t="str">
        <f ca="1">IFERROR(__xludf.DUMMYFUNCTION("IFNA(vlookup(H7363,IMPORTRANGE(""1vUGwO1n0QQGx9kKbO0_M5gmuhXZ6-LaxQxgrmJnzgP0"",""'TP# look up'!A:C""),3,0),"""")"),"")</f>
        <v/>
      </c>
      <c r="AH7363" s="49" t="str">
        <f t="shared" si="115"/>
        <v/>
      </c>
    </row>
    <row r="7364" spans="8:34" ht="12.75">
      <c r="H7364" s="43"/>
      <c r="AG7364" s="49" t="str">
        <f ca="1">IFERROR(__xludf.DUMMYFUNCTION("IFNA(vlookup(H7364,IMPORTRANGE(""1vUGwO1n0QQGx9kKbO0_M5gmuhXZ6-LaxQxgrmJnzgP0"",""'TP# look up'!A:C""),3,0),"""")"),"")</f>
        <v/>
      </c>
      <c r="AH7364" s="49" t="str">
        <f t="shared" si="115"/>
        <v/>
      </c>
    </row>
    <row r="7365" spans="8:34" ht="12.75">
      <c r="H7365" s="43"/>
      <c r="AG7365" s="49" t="str">
        <f ca="1">IFERROR(__xludf.DUMMYFUNCTION("IFNA(vlookup(H7365,IMPORTRANGE(""1vUGwO1n0QQGx9kKbO0_M5gmuhXZ6-LaxQxgrmJnzgP0"",""'TP# look up'!A:C""),3,0),"""")"),"")</f>
        <v/>
      </c>
      <c r="AH7365" s="49" t="str">
        <f t="shared" si="115"/>
        <v/>
      </c>
    </row>
    <row r="7366" spans="8:34" ht="12.75">
      <c r="H7366" s="43"/>
      <c r="AG7366" s="49" t="str">
        <f ca="1">IFERROR(__xludf.DUMMYFUNCTION("IFNA(vlookup(H7366,IMPORTRANGE(""1vUGwO1n0QQGx9kKbO0_M5gmuhXZ6-LaxQxgrmJnzgP0"",""'TP# look up'!A:C""),3,0),"""")"),"")</f>
        <v/>
      </c>
      <c r="AH7366" s="49" t="str">
        <f t="shared" si="115"/>
        <v/>
      </c>
    </row>
    <row r="7367" spans="8:34" ht="12.75">
      <c r="H7367" s="43"/>
      <c r="AG7367" s="49" t="str">
        <f ca="1">IFERROR(__xludf.DUMMYFUNCTION("IFNA(vlookup(H7367,IMPORTRANGE(""1vUGwO1n0QQGx9kKbO0_M5gmuhXZ6-LaxQxgrmJnzgP0"",""'TP# look up'!A:C""),3,0),"""")"),"")</f>
        <v/>
      </c>
      <c r="AH7367" s="49" t="str">
        <f t="shared" si="115"/>
        <v/>
      </c>
    </row>
    <row r="7368" spans="8:34" ht="12.75">
      <c r="H7368" s="43"/>
      <c r="AG7368" s="49" t="str">
        <f ca="1">IFERROR(__xludf.DUMMYFUNCTION("IFNA(vlookup(H7368,IMPORTRANGE(""1vUGwO1n0QQGx9kKbO0_M5gmuhXZ6-LaxQxgrmJnzgP0"",""'TP# look up'!A:C""),3,0),"""")"),"")</f>
        <v/>
      </c>
      <c r="AH7368" s="49" t="str">
        <f t="shared" si="115"/>
        <v/>
      </c>
    </row>
    <row r="7369" spans="8:34" ht="12.75">
      <c r="H7369" s="43"/>
      <c r="AG7369" s="49" t="str">
        <f ca="1">IFERROR(__xludf.DUMMYFUNCTION("IFNA(vlookup(H7369,IMPORTRANGE(""1vUGwO1n0QQGx9kKbO0_M5gmuhXZ6-LaxQxgrmJnzgP0"",""'TP# look up'!A:C""),3,0),"""")"),"")</f>
        <v/>
      </c>
      <c r="AH7369" s="49" t="str">
        <f t="shared" si="115"/>
        <v/>
      </c>
    </row>
    <row r="7370" spans="8:34" ht="12.75">
      <c r="H7370" s="43"/>
      <c r="AG7370" s="49" t="str">
        <f ca="1">IFERROR(__xludf.DUMMYFUNCTION("IFNA(vlookup(H7370,IMPORTRANGE(""1vUGwO1n0QQGx9kKbO0_M5gmuhXZ6-LaxQxgrmJnzgP0"",""'TP# look up'!A:C""),3,0),"""")"),"")</f>
        <v/>
      </c>
      <c r="AH7370" s="49" t="str">
        <f t="shared" si="115"/>
        <v/>
      </c>
    </row>
    <row r="7371" spans="8:34" ht="12.75">
      <c r="H7371" s="43"/>
      <c r="AG7371" s="49" t="str">
        <f ca="1">IFERROR(__xludf.DUMMYFUNCTION("IFNA(vlookup(H7371,IMPORTRANGE(""1vUGwO1n0QQGx9kKbO0_M5gmuhXZ6-LaxQxgrmJnzgP0"",""'TP# look up'!A:C""),3,0),"""")"),"")</f>
        <v/>
      </c>
      <c r="AH7371" s="49" t="str">
        <f t="shared" si="115"/>
        <v/>
      </c>
    </row>
    <row r="7372" spans="8:34" ht="12.75">
      <c r="H7372" s="43"/>
      <c r="AG7372" s="49" t="str">
        <f ca="1">IFERROR(__xludf.DUMMYFUNCTION("IFNA(vlookup(H7372,IMPORTRANGE(""1vUGwO1n0QQGx9kKbO0_M5gmuhXZ6-LaxQxgrmJnzgP0"",""'TP# look up'!A:C""),3,0),"""")"),"")</f>
        <v/>
      </c>
      <c r="AH7372" s="49" t="str">
        <f t="shared" si="115"/>
        <v/>
      </c>
    </row>
    <row r="7373" spans="8:34" ht="12.75">
      <c r="H7373" s="43"/>
      <c r="AG7373" s="49" t="str">
        <f ca="1">IFERROR(__xludf.DUMMYFUNCTION("IFNA(vlookup(H7373,IMPORTRANGE(""1vUGwO1n0QQGx9kKbO0_M5gmuhXZ6-LaxQxgrmJnzgP0"",""'TP# look up'!A:C""),3,0),"""")"),"")</f>
        <v/>
      </c>
      <c r="AH7373" s="49" t="str">
        <f t="shared" si="115"/>
        <v/>
      </c>
    </row>
    <row r="7374" spans="8:34" ht="12.75">
      <c r="H7374" s="43"/>
      <c r="AG7374" s="49" t="str">
        <f ca="1">IFERROR(__xludf.DUMMYFUNCTION("IFNA(vlookup(H7374,IMPORTRANGE(""1vUGwO1n0QQGx9kKbO0_M5gmuhXZ6-LaxQxgrmJnzgP0"",""'TP# look up'!A:C""),3,0),"""")"),"")</f>
        <v/>
      </c>
      <c r="AH7374" s="49" t="str">
        <f t="shared" si="115"/>
        <v/>
      </c>
    </row>
    <row r="7375" spans="8:34" ht="12.75">
      <c r="H7375" s="43"/>
      <c r="AG7375" s="49" t="str">
        <f ca="1">IFERROR(__xludf.DUMMYFUNCTION("IFNA(vlookup(H7375,IMPORTRANGE(""1vUGwO1n0QQGx9kKbO0_M5gmuhXZ6-LaxQxgrmJnzgP0"",""'TP# look up'!A:C""),3,0),"""")"),"")</f>
        <v/>
      </c>
      <c r="AH7375" s="49" t="str">
        <f t="shared" si="115"/>
        <v/>
      </c>
    </row>
    <row r="7376" spans="8:34" ht="12.75">
      <c r="H7376" s="43"/>
      <c r="AG7376" s="49" t="str">
        <f ca="1">IFERROR(__xludf.DUMMYFUNCTION("IFNA(vlookup(H7376,IMPORTRANGE(""1vUGwO1n0QQGx9kKbO0_M5gmuhXZ6-LaxQxgrmJnzgP0"",""'TP# look up'!A:C""),3,0),"""")"),"")</f>
        <v/>
      </c>
      <c r="AH7376" s="49" t="str">
        <f t="shared" si="115"/>
        <v/>
      </c>
    </row>
    <row r="7377" spans="8:34" ht="12.75">
      <c r="H7377" s="43"/>
      <c r="AG7377" s="49" t="str">
        <f ca="1">IFERROR(__xludf.DUMMYFUNCTION("IFNA(vlookup(H7377,IMPORTRANGE(""1vUGwO1n0QQGx9kKbO0_M5gmuhXZ6-LaxQxgrmJnzgP0"",""'TP# look up'!A:C""),3,0),"""")"),"")</f>
        <v/>
      </c>
      <c r="AH7377" s="49" t="str">
        <f t="shared" si="115"/>
        <v/>
      </c>
    </row>
    <row r="7378" spans="8:34" ht="12.75">
      <c r="H7378" s="43"/>
      <c r="AG7378" s="49" t="str">
        <f ca="1">IFERROR(__xludf.DUMMYFUNCTION("IFNA(vlookup(H7378,IMPORTRANGE(""1vUGwO1n0QQGx9kKbO0_M5gmuhXZ6-LaxQxgrmJnzgP0"",""'TP# look up'!A:C""),3,0),"""")"),"")</f>
        <v/>
      </c>
      <c r="AH7378" s="49" t="str">
        <f t="shared" si="115"/>
        <v/>
      </c>
    </row>
    <row r="7379" spans="8:34" ht="12.75">
      <c r="H7379" s="43"/>
      <c r="AG7379" s="49" t="str">
        <f ca="1">IFERROR(__xludf.DUMMYFUNCTION("IFNA(vlookup(H7379,IMPORTRANGE(""1vUGwO1n0QQGx9kKbO0_M5gmuhXZ6-LaxQxgrmJnzgP0"",""'TP# look up'!A:C""),3,0),"""")"),"")</f>
        <v/>
      </c>
      <c r="AH7379" s="49" t="str">
        <f t="shared" si="115"/>
        <v/>
      </c>
    </row>
    <row r="7380" spans="8:34" ht="12.75">
      <c r="H7380" s="43"/>
      <c r="AG7380" s="49" t="str">
        <f ca="1">IFERROR(__xludf.DUMMYFUNCTION("IFNA(vlookup(H7380,IMPORTRANGE(""1vUGwO1n0QQGx9kKbO0_M5gmuhXZ6-LaxQxgrmJnzgP0"",""'TP# look up'!A:C""),3,0),"""")"),"")</f>
        <v/>
      </c>
      <c r="AH7380" s="49" t="str">
        <f t="shared" si="115"/>
        <v/>
      </c>
    </row>
    <row r="7381" spans="8:34" ht="12.75">
      <c r="H7381" s="43"/>
      <c r="AG7381" s="49" t="str">
        <f ca="1">IFERROR(__xludf.DUMMYFUNCTION("IFNA(vlookup(H7381,IMPORTRANGE(""1vUGwO1n0QQGx9kKbO0_M5gmuhXZ6-LaxQxgrmJnzgP0"",""'TP# look up'!A:C""),3,0),"""")"),"")</f>
        <v/>
      </c>
      <c r="AH7381" s="49" t="str">
        <f t="shared" si="115"/>
        <v/>
      </c>
    </row>
    <row r="7382" spans="8:34" ht="12.75">
      <c r="H7382" s="43"/>
      <c r="AG7382" s="49" t="str">
        <f ca="1">IFERROR(__xludf.DUMMYFUNCTION("IFNA(vlookup(H7382,IMPORTRANGE(""1vUGwO1n0QQGx9kKbO0_M5gmuhXZ6-LaxQxgrmJnzgP0"",""'TP# look up'!A:C""),3,0),"""")"),"")</f>
        <v/>
      </c>
      <c r="AH7382" s="49" t="str">
        <f t="shared" si="115"/>
        <v/>
      </c>
    </row>
    <row r="7383" spans="8:34" ht="12.75">
      <c r="H7383" s="43"/>
      <c r="AG7383" s="49" t="str">
        <f ca="1">IFERROR(__xludf.DUMMYFUNCTION("IFNA(vlookup(H7383,IMPORTRANGE(""1vUGwO1n0QQGx9kKbO0_M5gmuhXZ6-LaxQxgrmJnzgP0"",""'TP# look up'!A:C""),3,0),"""")"),"")</f>
        <v/>
      </c>
      <c r="AH7383" s="49" t="str">
        <f t="shared" si="115"/>
        <v/>
      </c>
    </row>
    <row r="7384" spans="8:34" ht="12.75">
      <c r="H7384" s="43"/>
      <c r="AG7384" s="49" t="str">
        <f ca="1">IFERROR(__xludf.DUMMYFUNCTION("IFNA(vlookup(H7384,IMPORTRANGE(""1vUGwO1n0QQGx9kKbO0_M5gmuhXZ6-LaxQxgrmJnzgP0"",""'TP# look up'!A:C""),3,0),"""")"),"")</f>
        <v/>
      </c>
      <c r="AH7384" s="49" t="str">
        <f t="shared" si="115"/>
        <v/>
      </c>
    </row>
    <row r="7385" spans="8:34" ht="12.75">
      <c r="H7385" s="43"/>
      <c r="AG7385" s="49" t="str">
        <f ca="1">IFERROR(__xludf.DUMMYFUNCTION("IFNA(vlookup(H7385,IMPORTRANGE(""1vUGwO1n0QQGx9kKbO0_M5gmuhXZ6-LaxQxgrmJnzgP0"",""'TP# look up'!A:C""),3,0),"""")"),"")</f>
        <v/>
      </c>
      <c r="AH7385" s="49" t="str">
        <f t="shared" si="115"/>
        <v/>
      </c>
    </row>
    <row r="7386" spans="8:34" ht="12.75">
      <c r="H7386" s="43"/>
      <c r="AG7386" s="49" t="str">
        <f ca="1">IFERROR(__xludf.DUMMYFUNCTION("IFNA(vlookup(H7386,IMPORTRANGE(""1vUGwO1n0QQGx9kKbO0_M5gmuhXZ6-LaxQxgrmJnzgP0"",""'TP# look up'!A:C""),3,0),"""")"),"")</f>
        <v/>
      </c>
      <c r="AH7386" s="49" t="str">
        <f t="shared" si="115"/>
        <v/>
      </c>
    </row>
    <row r="7387" spans="8:34" ht="12.75">
      <c r="H7387" s="43"/>
      <c r="AG7387" s="49" t="str">
        <f ca="1">IFERROR(__xludf.DUMMYFUNCTION("IFNA(vlookup(H7387,IMPORTRANGE(""1vUGwO1n0QQGx9kKbO0_M5gmuhXZ6-LaxQxgrmJnzgP0"",""'TP# look up'!A:C""),3,0),"""")"),"")</f>
        <v/>
      </c>
      <c r="AH7387" s="49" t="str">
        <f t="shared" si="115"/>
        <v/>
      </c>
    </row>
    <row r="7388" spans="8:34" ht="12.75">
      <c r="H7388" s="43"/>
      <c r="AG7388" s="49" t="str">
        <f ca="1">IFERROR(__xludf.DUMMYFUNCTION("IFNA(vlookup(H7388,IMPORTRANGE(""1vUGwO1n0QQGx9kKbO0_M5gmuhXZ6-LaxQxgrmJnzgP0"",""'TP# look up'!A:C""),3,0),"""")"),"")</f>
        <v/>
      </c>
      <c r="AH7388" s="49" t="str">
        <f t="shared" si="115"/>
        <v/>
      </c>
    </row>
    <row r="7389" spans="8:34" ht="12.75">
      <c r="H7389" s="43"/>
      <c r="AG7389" s="49" t="str">
        <f ca="1">IFERROR(__xludf.DUMMYFUNCTION("IFNA(vlookup(H7389,IMPORTRANGE(""1vUGwO1n0QQGx9kKbO0_M5gmuhXZ6-LaxQxgrmJnzgP0"",""'TP# look up'!A:C""),3,0),"""")"),"")</f>
        <v/>
      </c>
      <c r="AH7389" s="49" t="str">
        <f t="shared" si="115"/>
        <v/>
      </c>
    </row>
    <row r="7390" spans="8:34" ht="12.75">
      <c r="H7390" s="43"/>
      <c r="AG7390" s="49" t="str">
        <f ca="1">IFERROR(__xludf.DUMMYFUNCTION("IFNA(vlookup(H7390,IMPORTRANGE(""1vUGwO1n0QQGx9kKbO0_M5gmuhXZ6-LaxQxgrmJnzgP0"",""'TP# look up'!A:C""),3,0),"""")"),"")</f>
        <v/>
      </c>
      <c r="AH7390" s="49" t="str">
        <f t="shared" si="115"/>
        <v/>
      </c>
    </row>
    <row r="7391" spans="8:34" ht="12.75">
      <c r="H7391" s="43"/>
      <c r="AG7391" s="49" t="str">
        <f ca="1">IFERROR(__xludf.DUMMYFUNCTION("IFNA(vlookup(H7391,IMPORTRANGE(""1vUGwO1n0QQGx9kKbO0_M5gmuhXZ6-LaxQxgrmJnzgP0"",""'TP# look up'!A:C""),3,0),"""")"),"")</f>
        <v/>
      </c>
      <c r="AH7391" s="49" t="str">
        <f t="shared" si="115"/>
        <v/>
      </c>
    </row>
    <row r="7392" spans="8:34" ht="12.75">
      <c r="H7392" s="43"/>
      <c r="AG7392" s="49" t="str">
        <f ca="1">IFERROR(__xludf.DUMMYFUNCTION("IFNA(vlookup(H7392,IMPORTRANGE(""1vUGwO1n0QQGx9kKbO0_M5gmuhXZ6-LaxQxgrmJnzgP0"",""'TP# look up'!A:C""),3,0),"""")"),"")</f>
        <v/>
      </c>
      <c r="AH7392" s="49" t="str">
        <f t="shared" si="115"/>
        <v/>
      </c>
    </row>
    <row r="7393" spans="8:34" ht="12.75">
      <c r="H7393" s="43"/>
      <c r="AG7393" s="49" t="str">
        <f ca="1">IFERROR(__xludf.DUMMYFUNCTION("IFNA(vlookup(H7393,IMPORTRANGE(""1vUGwO1n0QQGx9kKbO0_M5gmuhXZ6-LaxQxgrmJnzgP0"",""'TP# look up'!A:C""),3,0),"""")"),"")</f>
        <v/>
      </c>
      <c r="AH7393" s="49" t="str">
        <f t="shared" si="115"/>
        <v/>
      </c>
    </row>
    <row r="7394" spans="8:34" ht="12.75">
      <c r="H7394" s="43"/>
      <c r="AG7394" s="49" t="str">
        <f ca="1">IFERROR(__xludf.DUMMYFUNCTION("IFNA(vlookup(H7394,IMPORTRANGE(""1vUGwO1n0QQGx9kKbO0_M5gmuhXZ6-LaxQxgrmJnzgP0"",""'TP# look up'!A:C""),3,0),"""")"),"")</f>
        <v/>
      </c>
      <c r="AH7394" s="49" t="str">
        <f t="shared" si="115"/>
        <v/>
      </c>
    </row>
    <row r="7395" spans="8:34" ht="12.75">
      <c r="H7395" s="43"/>
      <c r="AG7395" s="49" t="str">
        <f ca="1">IFERROR(__xludf.DUMMYFUNCTION("IFNA(vlookup(H7395,IMPORTRANGE(""1vUGwO1n0QQGx9kKbO0_M5gmuhXZ6-LaxQxgrmJnzgP0"",""'TP# look up'!A:C""),3,0),"""")"),"")</f>
        <v/>
      </c>
      <c r="AH7395" s="49" t="str">
        <f t="shared" si="115"/>
        <v/>
      </c>
    </row>
    <row r="7396" spans="8:34" ht="12.75">
      <c r="H7396" s="43"/>
      <c r="AG7396" s="49" t="str">
        <f ca="1">IFERROR(__xludf.DUMMYFUNCTION("IFNA(vlookup(H7396,IMPORTRANGE(""1vUGwO1n0QQGx9kKbO0_M5gmuhXZ6-LaxQxgrmJnzgP0"",""'TP# look up'!A:C""),3,0),"""")"),"")</f>
        <v/>
      </c>
      <c r="AH7396" s="49" t="str">
        <f t="shared" si="115"/>
        <v/>
      </c>
    </row>
    <row r="7397" spans="8:34" ht="12.75">
      <c r="H7397" s="43"/>
      <c r="AG7397" s="49" t="str">
        <f ca="1">IFERROR(__xludf.DUMMYFUNCTION("IFNA(vlookup(H7397,IMPORTRANGE(""1vUGwO1n0QQGx9kKbO0_M5gmuhXZ6-LaxQxgrmJnzgP0"",""'TP# look up'!A:C""),3,0),"""")"),"")</f>
        <v/>
      </c>
      <c r="AH7397" s="49" t="str">
        <f t="shared" si="115"/>
        <v/>
      </c>
    </row>
    <row r="7398" spans="8:34" ht="12.75">
      <c r="H7398" s="43"/>
      <c r="AG7398" s="49" t="str">
        <f ca="1">IFERROR(__xludf.DUMMYFUNCTION("IFNA(vlookup(H7398,IMPORTRANGE(""1vUGwO1n0QQGx9kKbO0_M5gmuhXZ6-LaxQxgrmJnzgP0"",""'TP# look up'!A:C""),3,0),"""")"),"")</f>
        <v/>
      </c>
      <c r="AH7398" s="49" t="str">
        <f t="shared" si="115"/>
        <v/>
      </c>
    </row>
    <row r="7399" spans="8:34" ht="12.75">
      <c r="H7399" s="43"/>
      <c r="AG7399" s="49" t="str">
        <f ca="1">IFERROR(__xludf.DUMMYFUNCTION("IFNA(vlookup(H7399,IMPORTRANGE(""1vUGwO1n0QQGx9kKbO0_M5gmuhXZ6-LaxQxgrmJnzgP0"",""'TP# look up'!A:C""),3,0),"""")"),"")</f>
        <v/>
      </c>
      <c r="AH7399" s="49" t="str">
        <f t="shared" si="115"/>
        <v/>
      </c>
    </row>
    <row r="7400" spans="8:34" ht="12.75">
      <c r="H7400" s="43"/>
      <c r="AG7400" s="49" t="str">
        <f ca="1">IFERROR(__xludf.DUMMYFUNCTION("IFNA(vlookup(H7400,IMPORTRANGE(""1vUGwO1n0QQGx9kKbO0_M5gmuhXZ6-LaxQxgrmJnzgP0"",""'TP# look up'!A:C""),3,0),"""")"),"")</f>
        <v/>
      </c>
      <c r="AH7400" s="49" t="str">
        <f t="shared" si="115"/>
        <v/>
      </c>
    </row>
    <row r="7401" spans="8:34" ht="12.75">
      <c r="H7401" s="43"/>
      <c r="AG7401" s="49" t="str">
        <f ca="1">IFERROR(__xludf.DUMMYFUNCTION("IFNA(vlookup(H7401,IMPORTRANGE(""1vUGwO1n0QQGx9kKbO0_M5gmuhXZ6-LaxQxgrmJnzgP0"",""'TP# look up'!A:C""),3,0),"""")"),"")</f>
        <v/>
      </c>
      <c r="AH7401" s="49" t="str">
        <f t="shared" si="115"/>
        <v/>
      </c>
    </row>
    <row r="7402" spans="8:34" ht="12.75">
      <c r="H7402" s="43"/>
      <c r="AG7402" s="49" t="str">
        <f ca="1">IFERROR(__xludf.DUMMYFUNCTION("IFNA(vlookup(H7402,IMPORTRANGE(""1vUGwO1n0QQGx9kKbO0_M5gmuhXZ6-LaxQxgrmJnzgP0"",""'TP# look up'!A:C""),3,0),"""")"),"")</f>
        <v/>
      </c>
      <c r="AH7402" s="49" t="str">
        <f t="shared" si="115"/>
        <v/>
      </c>
    </row>
    <row r="7403" spans="8:34" ht="12.75">
      <c r="H7403" s="43"/>
      <c r="AG7403" s="49" t="str">
        <f ca="1">IFERROR(__xludf.DUMMYFUNCTION("IFNA(vlookup(H7403,IMPORTRANGE(""1vUGwO1n0QQGx9kKbO0_M5gmuhXZ6-LaxQxgrmJnzgP0"",""'TP# look up'!A:C""),3,0),"""")"),"")</f>
        <v/>
      </c>
      <c r="AH7403" s="49" t="str">
        <f t="shared" si="115"/>
        <v/>
      </c>
    </row>
    <row r="7404" spans="8:34" ht="12.75">
      <c r="H7404" s="43"/>
      <c r="AG7404" s="49" t="str">
        <f ca="1">IFERROR(__xludf.DUMMYFUNCTION("IFNA(vlookup(H7404,IMPORTRANGE(""1vUGwO1n0QQGx9kKbO0_M5gmuhXZ6-LaxQxgrmJnzgP0"",""'TP# look up'!A:C""),3,0),"""")"),"")</f>
        <v/>
      </c>
      <c r="AH7404" s="49" t="str">
        <f t="shared" si="115"/>
        <v/>
      </c>
    </row>
    <row r="7405" spans="8:34" ht="12.75">
      <c r="H7405" s="43"/>
      <c r="AG7405" s="49" t="str">
        <f ca="1">IFERROR(__xludf.DUMMYFUNCTION("IFNA(vlookup(H7405,IMPORTRANGE(""1vUGwO1n0QQGx9kKbO0_M5gmuhXZ6-LaxQxgrmJnzgP0"",""'TP# look up'!A:C""),3,0),"""")"),"")</f>
        <v/>
      </c>
      <c r="AH7405" s="49" t="str">
        <f t="shared" si="115"/>
        <v/>
      </c>
    </row>
    <row r="7406" spans="8:34" ht="12.75">
      <c r="H7406" s="43"/>
      <c r="AG7406" s="49" t="str">
        <f ca="1">IFERROR(__xludf.DUMMYFUNCTION("IFNA(vlookup(H7406,IMPORTRANGE(""1vUGwO1n0QQGx9kKbO0_M5gmuhXZ6-LaxQxgrmJnzgP0"",""'TP# look up'!A:C""),3,0),"""")"),"")</f>
        <v/>
      </c>
      <c r="AH7406" s="49" t="str">
        <f t="shared" si="115"/>
        <v/>
      </c>
    </row>
    <row r="7407" spans="8:34" ht="12.75">
      <c r="H7407" s="43"/>
      <c r="AG7407" s="49" t="str">
        <f ca="1">IFERROR(__xludf.DUMMYFUNCTION("IFNA(vlookup(H7407,IMPORTRANGE(""1vUGwO1n0QQGx9kKbO0_M5gmuhXZ6-LaxQxgrmJnzgP0"",""'TP# look up'!A:C""),3,0),"""")"),"")</f>
        <v/>
      </c>
      <c r="AH7407" s="49" t="str">
        <f t="shared" si="115"/>
        <v/>
      </c>
    </row>
    <row r="7408" spans="8:34" ht="12.75">
      <c r="H7408" s="43"/>
      <c r="AG7408" s="49" t="str">
        <f ca="1">IFERROR(__xludf.DUMMYFUNCTION("IFNA(vlookup(H7408,IMPORTRANGE(""1vUGwO1n0QQGx9kKbO0_M5gmuhXZ6-LaxQxgrmJnzgP0"",""'TP# look up'!A:C""),3,0),"""")"),"")</f>
        <v/>
      </c>
      <c r="AH7408" s="49" t="str">
        <f t="shared" si="115"/>
        <v/>
      </c>
    </row>
    <row r="7409" spans="8:34" ht="12.75">
      <c r="H7409" s="43"/>
      <c r="AG7409" s="49" t="str">
        <f ca="1">IFERROR(__xludf.DUMMYFUNCTION("IFNA(vlookup(H7409,IMPORTRANGE(""1vUGwO1n0QQGx9kKbO0_M5gmuhXZ6-LaxQxgrmJnzgP0"",""'TP# look up'!A:C""),3,0),"""")"),"")</f>
        <v/>
      </c>
      <c r="AH7409" s="49" t="str">
        <f t="shared" si="115"/>
        <v/>
      </c>
    </row>
    <row r="7410" spans="8:34" ht="12.75">
      <c r="H7410" s="43"/>
      <c r="AG7410" s="49" t="str">
        <f ca="1">IFERROR(__xludf.DUMMYFUNCTION("IFNA(vlookup(H7410,IMPORTRANGE(""1vUGwO1n0QQGx9kKbO0_M5gmuhXZ6-LaxQxgrmJnzgP0"",""'TP# look up'!A:C""),3,0),"""")"),"")</f>
        <v/>
      </c>
      <c r="AH7410" s="49" t="str">
        <f t="shared" si="115"/>
        <v/>
      </c>
    </row>
    <row r="7411" spans="8:34" ht="12.75">
      <c r="H7411" s="43"/>
      <c r="AG7411" s="49" t="str">
        <f ca="1">IFERROR(__xludf.DUMMYFUNCTION("IFNA(vlookup(H7411,IMPORTRANGE(""1vUGwO1n0QQGx9kKbO0_M5gmuhXZ6-LaxQxgrmJnzgP0"",""'TP# look up'!A:C""),3,0),"""")"),"")</f>
        <v/>
      </c>
      <c r="AH7411" s="49" t="str">
        <f t="shared" si="115"/>
        <v/>
      </c>
    </row>
    <row r="7412" spans="8:34" ht="12.75">
      <c r="H7412" s="43"/>
      <c r="AG7412" s="49" t="str">
        <f ca="1">IFERROR(__xludf.DUMMYFUNCTION("IFNA(vlookup(H7412,IMPORTRANGE(""1vUGwO1n0QQGx9kKbO0_M5gmuhXZ6-LaxQxgrmJnzgP0"",""'TP# look up'!A:C""),3,0),"""")"),"")</f>
        <v/>
      </c>
      <c r="AH7412" s="49" t="str">
        <f t="shared" si="115"/>
        <v/>
      </c>
    </row>
    <row r="7413" spans="8:34" ht="12.75">
      <c r="H7413" s="43"/>
      <c r="AG7413" s="49" t="str">
        <f ca="1">IFERROR(__xludf.DUMMYFUNCTION("IFNA(vlookup(H7413,IMPORTRANGE(""1vUGwO1n0QQGx9kKbO0_M5gmuhXZ6-LaxQxgrmJnzgP0"",""'TP# look up'!A:C""),3,0),"""")"),"")</f>
        <v/>
      </c>
      <c r="AH7413" s="49" t="str">
        <f t="shared" si="115"/>
        <v/>
      </c>
    </row>
    <row r="7414" spans="8:34" ht="12.75">
      <c r="H7414" s="43"/>
      <c r="AG7414" s="49" t="str">
        <f ca="1">IFERROR(__xludf.DUMMYFUNCTION("IFNA(vlookup(H7414,IMPORTRANGE(""1vUGwO1n0QQGx9kKbO0_M5gmuhXZ6-LaxQxgrmJnzgP0"",""'TP# look up'!A:C""),3,0),"""")"),"")</f>
        <v/>
      </c>
      <c r="AH7414" s="49" t="str">
        <f t="shared" si="115"/>
        <v/>
      </c>
    </row>
    <row r="7415" spans="8:34" ht="12.75">
      <c r="H7415" s="43"/>
      <c r="AG7415" s="49" t="str">
        <f ca="1">IFERROR(__xludf.DUMMYFUNCTION("IFNA(vlookup(H7415,IMPORTRANGE(""1vUGwO1n0QQGx9kKbO0_M5gmuhXZ6-LaxQxgrmJnzgP0"",""'TP# look up'!A:C""),3,0),"""")"),"")</f>
        <v/>
      </c>
      <c r="AH7415" s="49" t="str">
        <f t="shared" si="115"/>
        <v/>
      </c>
    </row>
    <row r="7416" spans="8:34" ht="12.75">
      <c r="H7416" s="43"/>
      <c r="AG7416" s="49" t="str">
        <f ca="1">IFERROR(__xludf.DUMMYFUNCTION("IFNA(vlookup(H7416,IMPORTRANGE(""1vUGwO1n0QQGx9kKbO0_M5gmuhXZ6-LaxQxgrmJnzgP0"",""'TP# look up'!A:C""),3,0),"""")"),"")</f>
        <v/>
      </c>
      <c r="AH7416" s="49" t="str">
        <f t="shared" si="115"/>
        <v/>
      </c>
    </row>
    <row r="7417" spans="8:34" ht="12.75">
      <c r="H7417" s="43"/>
      <c r="AG7417" s="49" t="str">
        <f ca="1">IFERROR(__xludf.DUMMYFUNCTION("IFNA(vlookup(H7417,IMPORTRANGE(""1vUGwO1n0QQGx9kKbO0_M5gmuhXZ6-LaxQxgrmJnzgP0"",""'TP# look up'!A:C""),3,0),"""")"),"")</f>
        <v/>
      </c>
      <c r="AH7417" s="49" t="str">
        <f t="shared" si="115"/>
        <v/>
      </c>
    </row>
    <row r="7418" spans="8:34" ht="12.75">
      <c r="H7418" s="43"/>
      <c r="AG7418" s="49" t="str">
        <f ca="1">IFERROR(__xludf.DUMMYFUNCTION("IFNA(vlookup(H7418,IMPORTRANGE(""1vUGwO1n0QQGx9kKbO0_M5gmuhXZ6-LaxQxgrmJnzgP0"",""'TP# look up'!A:C""),3,0),"""")"),"")</f>
        <v/>
      </c>
      <c r="AH7418" s="49" t="str">
        <f t="shared" si="115"/>
        <v/>
      </c>
    </row>
    <row r="7419" spans="8:34" ht="12.75">
      <c r="H7419" s="43"/>
      <c r="AG7419" s="49" t="str">
        <f ca="1">IFERROR(__xludf.DUMMYFUNCTION("IFNA(vlookup(H7419,IMPORTRANGE(""1vUGwO1n0QQGx9kKbO0_M5gmuhXZ6-LaxQxgrmJnzgP0"",""'TP# look up'!A:C""),3,0),"""")"),"")</f>
        <v/>
      </c>
      <c r="AH7419" s="49" t="str">
        <f t="shared" si="115"/>
        <v/>
      </c>
    </row>
    <row r="7420" spans="8:34" ht="12.75">
      <c r="H7420" s="43"/>
      <c r="AG7420" s="49" t="str">
        <f ca="1">IFERROR(__xludf.DUMMYFUNCTION("IFNA(vlookup(H7420,IMPORTRANGE(""1vUGwO1n0QQGx9kKbO0_M5gmuhXZ6-LaxQxgrmJnzgP0"",""'TP# look up'!A:C""),3,0),"""")"),"")</f>
        <v/>
      </c>
      <c r="AH7420" s="49" t="str">
        <f t="shared" si="115"/>
        <v/>
      </c>
    </row>
    <row r="7421" spans="8:34" ht="12.75">
      <c r="H7421" s="43"/>
      <c r="AG7421" s="49" t="str">
        <f ca="1">IFERROR(__xludf.DUMMYFUNCTION("IFNA(vlookup(H7421,IMPORTRANGE(""1vUGwO1n0QQGx9kKbO0_M5gmuhXZ6-LaxQxgrmJnzgP0"",""'TP# look up'!A:C""),3,0),"""")"),"")</f>
        <v/>
      </c>
      <c r="AH7421" s="49" t="str">
        <f t="shared" si="115"/>
        <v/>
      </c>
    </row>
    <row r="7422" spans="8:34" ht="12.75">
      <c r="H7422" s="43"/>
      <c r="AG7422" s="49" t="str">
        <f ca="1">IFERROR(__xludf.DUMMYFUNCTION("IFNA(vlookup(H7422,IMPORTRANGE(""1vUGwO1n0QQGx9kKbO0_M5gmuhXZ6-LaxQxgrmJnzgP0"",""'TP# look up'!A:C""),3,0),"""")"),"")</f>
        <v/>
      </c>
      <c r="AH7422" s="49" t="str">
        <f t="shared" si="115"/>
        <v/>
      </c>
    </row>
    <row r="7423" spans="8:34" ht="12.75">
      <c r="H7423" s="43"/>
      <c r="AG7423" s="49" t="str">
        <f ca="1">IFERROR(__xludf.DUMMYFUNCTION("IFNA(vlookup(H7423,IMPORTRANGE(""1vUGwO1n0QQGx9kKbO0_M5gmuhXZ6-LaxQxgrmJnzgP0"",""'TP# look up'!A:C""),3,0),"""")"),"")</f>
        <v/>
      </c>
      <c r="AH7423" s="49" t="str">
        <f t="shared" si="115"/>
        <v/>
      </c>
    </row>
    <row r="7424" spans="8:34" ht="12.75">
      <c r="H7424" s="43"/>
      <c r="AG7424" s="49" t="str">
        <f ca="1">IFERROR(__xludf.DUMMYFUNCTION("IFNA(vlookup(H7424,IMPORTRANGE(""1vUGwO1n0QQGx9kKbO0_M5gmuhXZ6-LaxQxgrmJnzgP0"",""'TP# look up'!A:C""),3,0),"""")"),"")</f>
        <v/>
      </c>
      <c r="AH7424" s="49" t="str">
        <f t="shared" si="115"/>
        <v/>
      </c>
    </row>
    <row r="7425" spans="8:34" ht="12.75">
      <c r="H7425" s="43"/>
      <c r="AG7425" s="49" t="str">
        <f ca="1">IFERROR(__xludf.DUMMYFUNCTION("IFNA(vlookup(H7425,IMPORTRANGE(""1vUGwO1n0QQGx9kKbO0_M5gmuhXZ6-LaxQxgrmJnzgP0"",""'TP# look up'!A:C""),3,0),"""")"),"")</f>
        <v/>
      </c>
      <c r="AH7425" s="49" t="str">
        <f t="shared" si="115"/>
        <v/>
      </c>
    </row>
    <row r="7426" spans="8:34" ht="12.75">
      <c r="H7426" s="43"/>
      <c r="AG7426" s="49" t="str">
        <f ca="1">IFERROR(__xludf.DUMMYFUNCTION("IFNA(vlookup(H7426,IMPORTRANGE(""1vUGwO1n0QQGx9kKbO0_M5gmuhXZ6-LaxQxgrmJnzgP0"",""'TP# look up'!A:C""),3,0),"""")"),"")</f>
        <v/>
      </c>
      <c r="AH7426" s="49" t="str">
        <f t="shared" ref="AH7426:AH7489" si="116">LEFT(J7426,2)</f>
        <v/>
      </c>
    </row>
    <row r="7427" spans="8:34" ht="12.75">
      <c r="H7427" s="43"/>
      <c r="AG7427" s="49" t="str">
        <f ca="1">IFERROR(__xludf.DUMMYFUNCTION("IFNA(vlookup(H7427,IMPORTRANGE(""1vUGwO1n0QQGx9kKbO0_M5gmuhXZ6-LaxQxgrmJnzgP0"",""'TP# look up'!A:C""),3,0),"""")"),"")</f>
        <v/>
      </c>
      <c r="AH7427" s="49" t="str">
        <f t="shared" si="116"/>
        <v/>
      </c>
    </row>
    <row r="7428" spans="8:34" ht="12.75">
      <c r="H7428" s="43"/>
      <c r="AG7428" s="49" t="str">
        <f ca="1">IFERROR(__xludf.DUMMYFUNCTION("IFNA(vlookup(H7428,IMPORTRANGE(""1vUGwO1n0QQGx9kKbO0_M5gmuhXZ6-LaxQxgrmJnzgP0"",""'TP# look up'!A:C""),3,0),"""")"),"")</f>
        <v/>
      </c>
      <c r="AH7428" s="49" t="str">
        <f t="shared" si="116"/>
        <v/>
      </c>
    </row>
    <row r="7429" spans="8:34" ht="12.75">
      <c r="H7429" s="43"/>
      <c r="AG7429" s="49" t="str">
        <f ca="1">IFERROR(__xludf.DUMMYFUNCTION("IFNA(vlookup(H7429,IMPORTRANGE(""1vUGwO1n0QQGx9kKbO0_M5gmuhXZ6-LaxQxgrmJnzgP0"",""'TP# look up'!A:C""),3,0),"""")"),"")</f>
        <v/>
      </c>
      <c r="AH7429" s="49" t="str">
        <f t="shared" si="116"/>
        <v/>
      </c>
    </row>
    <row r="7430" spans="8:34" ht="12.75">
      <c r="H7430" s="43"/>
      <c r="AG7430" s="49" t="str">
        <f ca="1">IFERROR(__xludf.DUMMYFUNCTION("IFNA(vlookup(H7430,IMPORTRANGE(""1vUGwO1n0QQGx9kKbO0_M5gmuhXZ6-LaxQxgrmJnzgP0"",""'TP# look up'!A:C""),3,0),"""")"),"")</f>
        <v/>
      </c>
      <c r="AH7430" s="49" t="str">
        <f t="shared" si="116"/>
        <v/>
      </c>
    </row>
    <row r="7431" spans="8:34" ht="12.75">
      <c r="H7431" s="43"/>
      <c r="AG7431" s="49" t="str">
        <f ca="1">IFERROR(__xludf.DUMMYFUNCTION("IFNA(vlookup(H7431,IMPORTRANGE(""1vUGwO1n0QQGx9kKbO0_M5gmuhXZ6-LaxQxgrmJnzgP0"",""'TP# look up'!A:C""),3,0),"""")"),"")</f>
        <v/>
      </c>
      <c r="AH7431" s="49" t="str">
        <f t="shared" si="116"/>
        <v/>
      </c>
    </row>
    <row r="7432" spans="8:34" ht="12.75">
      <c r="H7432" s="43"/>
      <c r="AG7432" s="49" t="str">
        <f ca="1">IFERROR(__xludf.DUMMYFUNCTION("IFNA(vlookup(H7432,IMPORTRANGE(""1vUGwO1n0QQGx9kKbO0_M5gmuhXZ6-LaxQxgrmJnzgP0"",""'TP# look up'!A:C""),3,0),"""")"),"")</f>
        <v/>
      </c>
      <c r="AH7432" s="49" t="str">
        <f t="shared" si="116"/>
        <v/>
      </c>
    </row>
    <row r="7433" spans="8:34" ht="12.75">
      <c r="H7433" s="43"/>
      <c r="AG7433" s="49" t="str">
        <f ca="1">IFERROR(__xludf.DUMMYFUNCTION("IFNA(vlookup(H7433,IMPORTRANGE(""1vUGwO1n0QQGx9kKbO0_M5gmuhXZ6-LaxQxgrmJnzgP0"",""'TP# look up'!A:C""),3,0),"""")"),"")</f>
        <v/>
      </c>
      <c r="AH7433" s="49" t="str">
        <f t="shared" si="116"/>
        <v/>
      </c>
    </row>
    <row r="7434" spans="8:34" ht="12.75">
      <c r="H7434" s="43"/>
      <c r="AG7434" s="49" t="str">
        <f ca="1">IFERROR(__xludf.DUMMYFUNCTION("IFNA(vlookup(H7434,IMPORTRANGE(""1vUGwO1n0QQGx9kKbO0_M5gmuhXZ6-LaxQxgrmJnzgP0"",""'TP# look up'!A:C""),3,0),"""")"),"")</f>
        <v/>
      </c>
      <c r="AH7434" s="49" t="str">
        <f t="shared" si="116"/>
        <v/>
      </c>
    </row>
    <row r="7435" spans="8:34" ht="12.75">
      <c r="H7435" s="43"/>
      <c r="AG7435" s="49" t="str">
        <f ca="1">IFERROR(__xludf.DUMMYFUNCTION("IFNA(vlookup(H7435,IMPORTRANGE(""1vUGwO1n0QQGx9kKbO0_M5gmuhXZ6-LaxQxgrmJnzgP0"",""'TP# look up'!A:C""),3,0),"""")"),"")</f>
        <v/>
      </c>
      <c r="AH7435" s="49" t="str">
        <f t="shared" si="116"/>
        <v/>
      </c>
    </row>
    <row r="7436" spans="8:34" ht="12.75">
      <c r="H7436" s="43"/>
      <c r="AG7436" s="49" t="str">
        <f ca="1">IFERROR(__xludf.DUMMYFUNCTION("IFNA(vlookup(H7436,IMPORTRANGE(""1vUGwO1n0QQGx9kKbO0_M5gmuhXZ6-LaxQxgrmJnzgP0"",""'TP# look up'!A:C""),3,0),"""")"),"")</f>
        <v/>
      </c>
      <c r="AH7436" s="49" t="str">
        <f t="shared" si="116"/>
        <v/>
      </c>
    </row>
    <row r="7437" spans="8:34" ht="12.75">
      <c r="H7437" s="43"/>
      <c r="AG7437" s="49" t="str">
        <f ca="1">IFERROR(__xludf.DUMMYFUNCTION("IFNA(vlookup(H7437,IMPORTRANGE(""1vUGwO1n0QQGx9kKbO0_M5gmuhXZ6-LaxQxgrmJnzgP0"",""'TP# look up'!A:C""),3,0),"""")"),"")</f>
        <v/>
      </c>
      <c r="AH7437" s="49" t="str">
        <f t="shared" si="116"/>
        <v/>
      </c>
    </row>
    <row r="7438" spans="8:34" ht="12.75">
      <c r="H7438" s="43"/>
      <c r="AG7438" s="49" t="str">
        <f ca="1">IFERROR(__xludf.DUMMYFUNCTION("IFNA(vlookup(H7438,IMPORTRANGE(""1vUGwO1n0QQGx9kKbO0_M5gmuhXZ6-LaxQxgrmJnzgP0"",""'TP# look up'!A:C""),3,0),"""")"),"")</f>
        <v/>
      </c>
      <c r="AH7438" s="49" t="str">
        <f t="shared" si="116"/>
        <v/>
      </c>
    </row>
    <row r="7439" spans="8:34" ht="12.75">
      <c r="H7439" s="43"/>
      <c r="AG7439" s="49" t="str">
        <f ca="1">IFERROR(__xludf.DUMMYFUNCTION("IFNA(vlookup(H7439,IMPORTRANGE(""1vUGwO1n0QQGx9kKbO0_M5gmuhXZ6-LaxQxgrmJnzgP0"",""'TP# look up'!A:C""),3,0),"""")"),"")</f>
        <v/>
      </c>
      <c r="AH7439" s="49" t="str">
        <f t="shared" si="116"/>
        <v/>
      </c>
    </row>
    <row r="7440" spans="8:34" ht="12.75">
      <c r="H7440" s="43"/>
      <c r="AG7440" s="49" t="str">
        <f ca="1">IFERROR(__xludf.DUMMYFUNCTION("IFNA(vlookup(H7440,IMPORTRANGE(""1vUGwO1n0QQGx9kKbO0_M5gmuhXZ6-LaxQxgrmJnzgP0"",""'TP# look up'!A:C""),3,0),"""")"),"")</f>
        <v/>
      </c>
      <c r="AH7440" s="49" t="str">
        <f t="shared" si="116"/>
        <v/>
      </c>
    </row>
    <row r="7441" spans="8:34" ht="12.75">
      <c r="H7441" s="43"/>
      <c r="AG7441" s="49" t="str">
        <f ca="1">IFERROR(__xludf.DUMMYFUNCTION("IFNA(vlookup(H7441,IMPORTRANGE(""1vUGwO1n0QQGx9kKbO0_M5gmuhXZ6-LaxQxgrmJnzgP0"",""'TP# look up'!A:C""),3,0),"""")"),"")</f>
        <v/>
      </c>
      <c r="AH7441" s="49" t="str">
        <f t="shared" si="116"/>
        <v/>
      </c>
    </row>
    <row r="7442" spans="8:34" ht="12.75">
      <c r="H7442" s="43"/>
      <c r="AG7442" s="49" t="str">
        <f ca="1">IFERROR(__xludf.DUMMYFUNCTION("IFNA(vlookup(H7442,IMPORTRANGE(""1vUGwO1n0QQGx9kKbO0_M5gmuhXZ6-LaxQxgrmJnzgP0"",""'TP# look up'!A:C""),3,0),"""")"),"")</f>
        <v/>
      </c>
      <c r="AH7442" s="49" t="str">
        <f t="shared" si="116"/>
        <v/>
      </c>
    </row>
    <row r="7443" spans="8:34" ht="12.75">
      <c r="H7443" s="43"/>
      <c r="AG7443" s="49" t="str">
        <f ca="1">IFERROR(__xludf.DUMMYFUNCTION("IFNA(vlookup(H7443,IMPORTRANGE(""1vUGwO1n0QQGx9kKbO0_M5gmuhXZ6-LaxQxgrmJnzgP0"",""'TP# look up'!A:C""),3,0),"""")"),"")</f>
        <v/>
      </c>
      <c r="AH7443" s="49" t="str">
        <f t="shared" si="116"/>
        <v/>
      </c>
    </row>
    <row r="7444" spans="8:34" ht="12.75">
      <c r="H7444" s="43"/>
      <c r="AG7444" s="49" t="str">
        <f ca="1">IFERROR(__xludf.DUMMYFUNCTION("IFNA(vlookup(H7444,IMPORTRANGE(""1vUGwO1n0QQGx9kKbO0_M5gmuhXZ6-LaxQxgrmJnzgP0"",""'TP# look up'!A:C""),3,0),"""")"),"")</f>
        <v/>
      </c>
      <c r="AH7444" s="49" t="str">
        <f t="shared" si="116"/>
        <v/>
      </c>
    </row>
    <row r="7445" spans="8:34" ht="12.75">
      <c r="H7445" s="43"/>
      <c r="AG7445" s="49" t="str">
        <f ca="1">IFERROR(__xludf.DUMMYFUNCTION("IFNA(vlookup(H7445,IMPORTRANGE(""1vUGwO1n0QQGx9kKbO0_M5gmuhXZ6-LaxQxgrmJnzgP0"",""'TP# look up'!A:C""),3,0),"""")"),"")</f>
        <v/>
      </c>
      <c r="AH7445" s="49" t="str">
        <f t="shared" si="116"/>
        <v/>
      </c>
    </row>
    <row r="7446" spans="8:34" ht="12.75">
      <c r="H7446" s="43"/>
      <c r="AG7446" s="49" t="str">
        <f ca="1">IFERROR(__xludf.DUMMYFUNCTION("IFNA(vlookup(H7446,IMPORTRANGE(""1vUGwO1n0QQGx9kKbO0_M5gmuhXZ6-LaxQxgrmJnzgP0"",""'TP# look up'!A:C""),3,0),"""")"),"")</f>
        <v/>
      </c>
      <c r="AH7446" s="49" t="str">
        <f t="shared" si="116"/>
        <v/>
      </c>
    </row>
    <row r="7447" spans="8:34" ht="12.75">
      <c r="H7447" s="43"/>
      <c r="AG7447" s="49" t="str">
        <f ca="1">IFERROR(__xludf.DUMMYFUNCTION("IFNA(vlookup(H7447,IMPORTRANGE(""1vUGwO1n0QQGx9kKbO0_M5gmuhXZ6-LaxQxgrmJnzgP0"",""'TP# look up'!A:C""),3,0),"""")"),"")</f>
        <v/>
      </c>
      <c r="AH7447" s="49" t="str">
        <f t="shared" si="116"/>
        <v/>
      </c>
    </row>
    <row r="7448" spans="8:34" ht="12.75">
      <c r="H7448" s="43"/>
      <c r="AG7448" s="49" t="str">
        <f ca="1">IFERROR(__xludf.DUMMYFUNCTION("IFNA(vlookup(H7448,IMPORTRANGE(""1vUGwO1n0QQGx9kKbO0_M5gmuhXZ6-LaxQxgrmJnzgP0"",""'TP# look up'!A:C""),3,0),"""")"),"")</f>
        <v/>
      </c>
      <c r="AH7448" s="49" t="str">
        <f t="shared" si="116"/>
        <v/>
      </c>
    </row>
    <row r="7449" spans="8:34" ht="12.75">
      <c r="H7449" s="43"/>
      <c r="AG7449" s="49" t="str">
        <f ca="1">IFERROR(__xludf.DUMMYFUNCTION("IFNA(vlookup(H7449,IMPORTRANGE(""1vUGwO1n0QQGx9kKbO0_M5gmuhXZ6-LaxQxgrmJnzgP0"",""'TP# look up'!A:C""),3,0),"""")"),"")</f>
        <v/>
      </c>
      <c r="AH7449" s="49" t="str">
        <f t="shared" si="116"/>
        <v/>
      </c>
    </row>
    <row r="7450" spans="8:34" ht="12.75">
      <c r="H7450" s="43"/>
      <c r="AG7450" s="49" t="str">
        <f ca="1">IFERROR(__xludf.DUMMYFUNCTION("IFNA(vlookup(H7450,IMPORTRANGE(""1vUGwO1n0QQGx9kKbO0_M5gmuhXZ6-LaxQxgrmJnzgP0"",""'TP# look up'!A:C""),3,0),"""")"),"")</f>
        <v/>
      </c>
      <c r="AH7450" s="49" t="str">
        <f t="shared" si="116"/>
        <v/>
      </c>
    </row>
    <row r="7451" spans="8:34" ht="12.75">
      <c r="H7451" s="43"/>
      <c r="AG7451" s="49" t="str">
        <f ca="1">IFERROR(__xludf.DUMMYFUNCTION("IFNA(vlookup(H7451,IMPORTRANGE(""1vUGwO1n0QQGx9kKbO0_M5gmuhXZ6-LaxQxgrmJnzgP0"",""'TP# look up'!A:C""),3,0),"""")"),"")</f>
        <v/>
      </c>
      <c r="AH7451" s="49" t="str">
        <f t="shared" si="116"/>
        <v/>
      </c>
    </row>
    <row r="7452" spans="8:34" ht="12.75">
      <c r="H7452" s="43"/>
      <c r="AG7452" s="49" t="str">
        <f ca="1">IFERROR(__xludf.DUMMYFUNCTION("IFNA(vlookup(H7452,IMPORTRANGE(""1vUGwO1n0QQGx9kKbO0_M5gmuhXZ6-LaxQxgrmJnzgP0"",""'TP# look up'!A:C""),3,0),"""")"),"")</f>
        <v/>
      </c>
      <c r="AH7452" s="49" t="str">
        <f t="shared" si="116"/>
        <v/>
      </c>
    </row>
    <row r="7453" spans="8:34" ht="12.75">
      <c r="H7453" s="43"/>
      <c r="AG7453" s="49" t="str">
        <f ca="1">IFERROR(__xludf.DUMMYFUNCTION("IFNA(vlookup(H7453,IMPORTRANGE(""1vUGwO1n0QQGx9kKbO0_M5gmuhXZ6-LaxQxgrmJnzgP0"",""'TP# look up'!A:C""),3,0),"""")"),"")</f>
        <v/>
      </c>
      <c r="AH7453" s="49" t="str">
        <f t="shared" si="116"/>
        <v/>
      </c>
    </row>
    <row r="7454" spans="8:34" ht="12.75">
      <c r="H7454" s="43"/>
      <c r="AG7454" s="49" t="str">
        <f ca="1">IFERROR(__xludf.DUMMYFUNCTION("IFNA(vlookup(H7454,IMPORTRANGE(""1vUGwO1n0QQGx9kKbO0_M5gmuhXZ6-LaxQxgrmJnzgP0"",""'TP# look up'!A:C""),3,0),"""")"),"")</f>
        <v/>
      </c>
      <c r="AH7454" s="49" t="str">
        <f t="shared" si="116"/>
        <v/>
      </c>
    </row>
    <row r="7455" spans="8:34" ht="12.75">
      <c r="H7455" s="43"/>
      <c r="AG7455" s="49" t="str">
        <f ca="1">IFERROR(__xludf.DUMMYFUNCTION("IFNA(vlookup(H7455,IMPORTRANGE(""1vUGwO1n0QQGx9kKbO0_M5gmuhXZ6-LaxQxgrmJnzgP0"",""'TP# look up'!A:C""),3,0),"""")"),"")</f>
        <v/>
      </c>
      <c r="AH7455" s="49" t="str">
        <f t="shared" si="116"/>
        <v/>
      </c>
    </row>
    <row r="7456" spans="8:34" ht="12.75">
      <c r="H7456" s="43"/>
      <c r="AG7456" s="49" t="str">
        <f ca="1">IFERROR(__xludf.DUMMYFUNCTION("IFNA(vlookup(H7456,IMPORTRANGE(""1vUGwO1n0QQGx9kKbO0_M5gmuhXZ6-LaxQxgrmJnzgP0"",""'TP# look up'!A:C""),3,0),"""")"),"")</f>
        <v/>
      </c>
      <c r="AH7456" s="49" t="str">
        <f t="shared" si="116"/>
        <v/>
      </c>
    </row>
    <row r="7457" spans="8:34" ht="12.75">
      <c r="H7457" s="43"/>
      <c r="AG7457" s="49" t="str">
        <f ca="1">IFERROR(__xludf.DUMMYFUNCTION("IFNA(vlookup(H7457,IMPORTRANGE(""1vUGwO1n0QQGx9kKbO0_M5gmuhXZ6-LaxQxgrmJnzgP0"",""'TP# look up'!A:C""),3,0),"""")"),"")</f>
        <v/>
      </c>
      <c r="AH7457" s="49" t="str">
        <f t="shared" si="116"/>
        <v/>
      </c>
    </row>
    <row r="7458" spans="8:34" ht="12.75">
      <c r="H7458" s="43"/>
      <c r="AG7458" s="49" t="str">
        <f ca="1">IFERROR(__xludf.DUMMYFUNCTION("IFNA(vlookup(H7458,IMPORTRANGE(""1vUGwO1n0QQGx9kKbO0_M5gmuhXZ6-LaxQxgrmJnzgP0"",""'TP# look up'!A:C""),3,0),"""")"),"")</f>
        <v/>
      </c>
      <c r="AH7458" s="49" t="str">
        <f t="shared" si="116"/>
        <v/>
      </c>
    </row>
    <row r="7459" spans="8:34" ht="12.75">
      <c r="H7459" s="43"/>
      <c r="AG7459" s="49" t="str">
        <f ca="1">IFERROR(__xludf.DUMMYFUNCTION("IFNA(vlookup(H7459,IMPORTRANGE(""1vUGwO1n0QQGx9kKbO0_M5gmuhXZ6-LaxQxgrmJnzgP0"",""'TP# look up'!A:C""),3,0),"""")"),"")</f>
        <v/>
      </c>
      <c r="AH7459" s="49" t="str">
        <f t="shared" si="116"/>
        <v/>
      </c>
    </row>
    <row r="7460" spans="8:34" ht="12.75">
      <c r="H7460" s="43"/>
      <c r="AG7460" s="49" t="str">
        <f ca="1">IFERROR(__xludf.DUMMYFUNCTION("IFNA(vlookup(H7460,IMPORTRANGE(""1vUGwO1n0QQGx9kKbO0_M5gmuhXZ6-LaxQxgrmJnzgP0"",""'TP# look up'!A:C""),3,0),"""")"),"")</f>
        <v/>
      </c>
      <c r="AH7460" s="49" t="str">
        <f t="shared" si="116"/>
        <v/>
      </c>
    </row>
    <row r="7461" spans="8:34" ht="12.75">
      <c r="H7461" s="43"/>
      <c r="AG7461" s="49" t="str">
        <f ca="1">IFERROR(__xludf.DUMMYFUNCTION("IFNA(vlookup(H7461,IMPORTRANGE(""1vUGwO1n0QQGx9kKbO0_M5gmuhXZ6-LaxQxgrmJnzgP0"",""'TP# look up'!A:C""),3,0),"""")"),"")</f>
        <v/>
      </c>
      <c r="AH7461" s="49" t="str">
        <f t="shared" si="116"/>
        <v/>
      </c>
    </row>
    <row r="7462" spans="8:34" ht="12.75">
      <c r="H7462" s="43"/>
      <c r="AG7462" s="49" t="str">
        <f ca="1">IFERROR(__xludf.DUMMYFUNCTION("IFNA(vlookup(H7462,IMPORTRANGE(""1vUGwO1n0QQGx9kKbO0_M5gmuhXZ6-LaxQxgrmJnzgP0"",""'TP# look up'!A:C""),3,0),"""")"),"")</f>
        <v/>
      </c>
      <c r="AH7462" s="49" t="str">
        <f t="shared" si="116"/>
        <v/>
      </c>
    </row>
    <row r="7463" spans="8:34" ht="12.75">
      <c r="H7463" s="43"/>
      <c r="AG7463" s="49" t="str">
        <f ca="1">IFERROR(__xludf.DUMMYFUNCTION("IFNA(vlookup(H7463,IMPORTRANGE(""1vUGwO1n0QQGx9kKbO0_M5gmuhXZ6-LaxQxgrmJnzgP0"",""'TP# look up'!A:C""),3,0),"""")"),"")</f>
        <v/>
      </c>
      <c r="AH7463" s="49" t="str">
        <f t="shared" si="116"/>
        <v/>
      </c>
    </row>
    <row r="7464" spans="8:34" ht="12.75">
      <c r="H7464" s="43"/>
      <c r="AG7464" s="49" t="str">
        <f ca="1">IFERROR(__xludf.DUMMYFUNCTION("IFNA(vlookup(H7464,IMPORTRANGE(""1vUGwO1n0QQGx9kKbO0_M5gmuhXZ6-LaxQxgrmJnzgP0"",""'TP# look up'!A:C""),3,0),"""")"),"")</f>
        <v/>
      </c>
      <c r="AH7464" s="49" t="str">
        <f t="shared" si="116"/>
        <v/>
      </c>
    </row>
    <row r="7465" spans="8:34" ht="12.75">
      <c r="H7465" s="43"/>
      <c r="AG7465" s="49" t="str">
        <f ca="1">IFERROR(__xludf.DUMMYFUNCTION("IFNA(vlookup(H7465,IMPORTRANGE(""1vUGwO1n0QQGx9kKbO0_M5gmuhXZ6-LaxQxgrmJnzgP0"",""'TP# look up'!A:C""),3,0),"""")"),"")</f>
        <v/>
      </c>
      <c r="AH7465" s="49" t="str">
        <f t="shared" si="116"/>
        <v/>
      </c>
    </row>
    <row r="7466" spans="8:34" ht="12.75">
      <c r="H7466" s="43"/>
      <c r="AG7466" s="49" t="str">
        <f ca="1">IFERROR(__xludf.DUMMYFUNCTION("IFNA(vlookup(H7466,IMPORTRANGE(""1vUGwO1n0QQGx9kKbO0_M5gmuhXZ6-LaxQxgrmJnzgP0"",""'TP# look up'!A:C""),3,0),"""")"),"")</f>
        <v/>
      </c>
      <c r="AH7466" s="49" t="str">
        <f t="shared" si="116"/>
        <v/>
      </c>
    </row>
    <row r="7467" spans="8:34" ht="12.75">
      <c r="H7467" s="43"/>
      <c r="AG7467" s="49" t="str">
        <f ca="1">IFERROR(__xludf.DUMMYFUNCTION("IFNA(vlookup(H7467,IMPORTRANGE(""1vUGwO1n0QQGx9kKbO0_M5gmuhXZ6-LaxQxgrmJnzgP0"",""'TP# look up'!A:C""),3,0),"""")"),"")</f>
        <v/>
      </c>
      <c r="AH7467" s="49" t="str">
        <f t="shared" si="116"/>
        <v/>
      </c>
    </row>
    <row r="7468" spans="8:34" ht="12.75">
      <c r="H7468" s="43"/>
      <c r="AG7468" s="49" t="str">
        <f ca="1">IFERROR(__xludf.DUMMYFUNCTION("IFNA(vlookup(H7468,IMPORTRANGE(""1vUGwO1n0QQGx9kKbO0_M5gmuhXZ6-LaxQxgrmJnzgP0"",""'TP# look up'!A:C""),3,0),"""")"),"")</f>
        <v/>
      </c>
      <c r="AH7468" s="49" t="str">
        <f t="shared" si="116"/>
        <v/>
      </c>
    </row>
    <row r="7469" spans="8:34" ht="12.75">
      <c r="H7469" s="43"/>
      <c r="AG7469" s="49" t="str">
        <f ca="1">IFERROR(__xludf.DUMMYFUNCTION("IFNA(vlookup(H7469,IMPORTRANGE(""1vUGwO1n0QQGx9kKbO0_M5gmuhXZ6-LaxQxgrmJnzgP0"",""'TP# look up'!A:C""),3,0),"""")"),"")</f>
        <v/>
      </c>
      <c r="AH7469" s="49" t="str">
        <f t="shared" si="116"/>
        <v/>
      </c>
    </row>
    <row r="7470" spans="8:34" ht="12.75">
      <c r="H7470" s="43"/>
      <c r="AG7470" s="49" t="str">
        <f ca="1">IFERROR(__xludf.DUMMYFUNCTION("IFNA(vlookup(H7470,IMPORTRANGE(""1vUGwO1n0QQGx9kKbO0_M5gmuhXZ6-LaxQxgrmJnzgP0"",""'TP# look up'!A:C""),3,0),"""")"),"")</f>
        <v/>
      </c>
      <c r="AH7470" s="49" t="str">
        <f t="shared" si="116"/>
        <v/>
      </c>
    </row>
    <row r="7471" spans="8:34" ht="12.75">
      <c r="H7471" s="43"/>
      <c r="AG7471" s="49" t="str">
        <f ca="1">IFERROR(__xludf.DUMMYFUNCTION("IFNA(vlookup(H7471,IMPORTRANGE(""1vUGwO1n0QQGx9kKbO0_M5gmuhXZ6-LaxQxgrmJnzgP0"",""'TP# look up'!A:C""),3,0),"""")"),"")</f>
        <v/>
      </c>
      <c r="AH7471" s="49" t="str">
        <f t="shared" si="116"/>
        <v/>
      </c>
    </row>
    <row r="7472" spans="8:34" ht="12.75">
      <c r="H7472" s="43"/>
      <c r="AG7472" s="49" t="str">
        <f ca="1">IFERROR(__xludf.DUMMYFUNCTION("IFNA(vlookup(H7472,IMPORTRANGE(""1vUGwO1n0QQGx9kKbO0_M5gmuhXZ6-LaxQxgrmJnzgP0"",""'TP# look up'!A:C""),3,0),"""")"),"")</f>
        <v/>
      </c>
      <c r="AH7472" s="49" t="str">
        <f t="shared" si="116"/>
        <v/>
      </c>
    </row>
    <row r="7473" spans="8:34" ht="12.75">
      <c r="H7473" s="43"/>
      <c r="AG7473" s="49" t="str">
        <f ca="1">IFERROR(__xludf.DUMMYFUNCTION("IFNA(vlookup(H7473,IMPORTRANGE(""1vUGwO1n0QQGx9kKbO0_M5gmuhXZ6-LaxQxgrmJnzgP0"",""'TP# look up'!A:C""),3,0),"""")"),"")</f>
        <v/>
      </c>
      <c r="AH7473" s="49" t="str">
        <f t="shared" si="116"/>
        <v/>
      </c>
    </row>
    <row r="7474" spans="8:34" ht="12.75">
      <c r="H7474" s="43"/>
      <c r="AG7474" s="49" t="str">
        <f ca="1">IFERROR(__xludf.DUMMYFUNCTION("IFNA(vlookup(H7474,IMPORTRANGE(""1vUGwO1n0QQGx9kKbO0_M5gmuhXZ6-LaxQxgrmJnzgP0"",""'TP# look up'!A:C""),3,0),"""")"),"")</f>
        <v/>
      </c>
      <c r="AH7474" s="49" t="str">
        <f t="shared" si="116"/>
        <v/>
      </c>
    </row>
    <row r="7475" spans="8:34" ht="12.75">
      <c r="H7475" s="43"/>
      <c r="AG7475" s="49" t="str">
        <f ca="1">IFERROR(__xludf.DUMMYFUNCTION("IFNA(vlookup(H7475,IMPORTRANGE(""1vUGwO1n0QQGx9kKbO0_M5gmuhXZ6-LaxQxgrmJnzgP0"",""'TP# look up'!A:C""),3,0),"""")"),"")</f>
        <v/>
      </c>
      <c r="AH7475" s="49" t="str">
        <f t="shared" si="116"/>
        <v/>
      </c>
    </row>
    <row r="7476" spans="8:34" ht="12.75">
      <c r="H7476" s="43"/>
      <c r="AG7476" s="49" t="str">
        <f ca="1">IFERROR(__xludf.DUMMYFUNCTION("IFNA(vlookup(H7476,IMPORTRANGE(""1vUGwO1n0QQGx9kKbO0_M5gmuhXZ6-LaxQxgrmJnzgP0"",""'TP# look up'!A:C""),3,0),"""")"),"")</f>
        <v/>
      </c>
      <c r="AH7476" s="49" t="str">
        <f t="shared" si="116"/>
        <v/>
      </c>
    </row>
    <row r="7477" spans="8:34" ht="12.75">
      <c r="H7477" s="43"/>
      <c r="AG7477" s="49" t="str">
        <f ca="1">IFERROR(__xludf.DUMMYFUNCTION("IFNA(vlookup(H7477,IMPORTRANGE(""1vUGwO1n0QQGx9kKbO0_M5gmuhXZ6-LaxQxgrmJnzgP0"",""'TP# look up'!A:C""),3,0),"""")"),"")</f>
        <v/>
      </c>
      <c r="AH7477" s="49" t="str">
        <f t="shared" si="116"/>
        <v/>
      </c>
    </row>
    <row r="7478" spans="8:34" ht="12.75">
      <c r="H7478" s="43"/>
      <c r="AG7478" s="49" t="str">
        <f ca="1">IFERROR(__xludf.DUMMYFUNCTION("IFNA(vlookup(H7478,IMPORTRANGE(""1vUGwO1n0QQGx9kKbO0_M5gmuhXZ6-LaxQxgrmJnzgP0"",""'TP# look up'!A:C""),3,0),"""")"),"")</f>
        <v/>
      </c>
      <c r="AH7478" s="49" t="str">
        <f t="shared" si="116"/>
        <v/>
      </c>
    </row>
    <row r="7479" spans="8:34" ht="12.75">
      <c r="H7479" s="43"/>
      <c r="AG7479" s="49" t="str">
        <f ca="1">IFERROR(__xludf.DUMMYFUNCTION("IFNA(vlookup(H7479,IMPORTRANGE(""1vUGwO1n0QQGx9kKbO0_M5gmuhXZ6-LaxQxgrmJnzgP0"",""'TP# look up'!A:C""),3,0),"""")"),"")</f>
        <v/>
      </c>
      <c r="AH7479" s="49" t="str">
        <f t="shared" si="116"/>
        <v/>
      </c>
    </row>
    <row r="7480" spans="8:34" ht="12.75">
      <c r="H7480" s="43"/>
      <c r="AG7480" s="49" t="str">
        <f ca="1">IFERROR(__xludf.DUMMYFUNCTION("IFNA(vlookup(H7480,IMPORTRANGE(""1vUGwO1n0QQGx9kKbO0_M5gmuhXZ6-LaxQxgrmJnzgP0"",""'TP# look up'!A:C""),3,0),"""")"),"")</f>
        <v/>
      </c>
      <c r="AH7480" s="49" t="str">
        <f t="shared" si="116"/>
        <v/>
      </c>
    </row>
    <row r="7481" spans="8:34" ht="12.75">
      <c r="H7481" s="43"/>
      <c r="AG7481" s="49" t="str">
        <f ca="1">IFERROR(__xludf.DUMMYFUNCTION("IFNA(vlookup(H7481,IMPORTRANGE(""1vUGwO1n0QQGx9kKbO0_M5gmuhXZ6-LaxQxgrmJnzgP0"",""'TP# look up'!A:C""),3,0),"""")"),"")</f>
        <v/>
      </c>
      <c r="AH7481" s="49" t="str">
        <f t="shared" si="116"/>
        <v/>
      </c>
    </row>
    <row r="7482" spans="8:34" ht="12.75">
      <c r="H7482" s="43"/>
      <c r="AG7482" s="49" t="str">
        <f ca="1">IFERROR(__xludf.DUMMYFUNCTION("IFNA(vlookup(H7482,IMPORTRANGE(""1vUGwO1n0QQGx9kKbO0_M5gmuhXZ6-LaxQxgrmJnzgP0"",""'TP# look up'!A:C""),3,0),"""")"),"")</f>
        <v/>
      </c>
      <c r="AH7482" s="49" t="str">
        <f t="shared" si="116"/>
        <v/>
      </c>
    </row>
    <row r="7483" spans="8:34" ht="12.75">
      <c r="H7483" s="43"/>
      <c r="AG7483" s="49" t="str">
        <f ca="1">IFERROR(__xludf.DUMMYFUNCTION("IFNA(vlookup(H7483,IMPORTRANGE(""1vUGwO1n0QQGx9kKbO0_M5gmuhXZ6-LaxQxgrmJnzgP0"",""'TP# look up'!A:C""),3,0),"""")"),"")</f>
        <v/>
      </c>
      <c r="AH7483" s="49" t="str">
        <f t="shared" si="116"/>
        <v/>
      </c>
    </row>
    <row r="7484" spans="8:34" ht="12.75">
      <c r="H7484" s="43"/>
      <c r="AG7484" s="49" t="str">
        <f ca="1">IFERROR(__xludf.DUMMYFUNCTION("IFNA(vlookup(H7484,IMPORTRANGE(""1vUGwO1n0QQGx9kKbO0_M5gmuhXZ6-LaxQxgrmJnzgP0"",""'TP# look up'!A:C""),3,0),"""")"),"")</f>
        <v/>
      </c>
      <c r="AH7484" s="49" t="str">
        <f t="shared" si="116"/>
        <v/>
      </c>
    </row>
    <row r="7485" spans="8:34" ht="12.75">
      <c r="H7485" s="43"/>
      <c r="AG7485" s="49" t="str">
        <f ca="1">IFERROR(__xludf.DUMMYFUNCTION("IFNA(vlookup(H7485,IMPORTRANGE(""1vUGwO1n0QQGx9kKbO0_M5gmuhXZ6-LaxQxgrmJnzgP0"",""'TP# look up'!A:C""),3,0),"""")"),"")</f>
        <v/>
      </c>
      <c r="AH7485" s="49" t="str">
        <f t="shared" si="116"/>
        <v/>
      </c>
    </row>
    <row r="7486" spans="8:34" ht="12.75">
      <c r="H7486" s="43"/>
      <c r="AG7486" s="49" t="str">
        <f ca="1">IFERROR(__xludf.DUMMYFUNCTION("IFNA(vlookup(H7486,IMPORTRANGE(""1vUGwO1n0QQGx9kKbO0_M5gmuhXZ6-LaxQxgrmJnzgP0"",""'TP# look up'!A:C""),3,0),"""")"),"")</f>
        <v/>
      </c>
      <c r="AH7486" s="49" t="str">
        <f t="shared" si="116"/>
        <v/>
      </c>
    </row>
    <row r="7487" spans="8:34" ht="12.75">
      <c r="H7487" s="43"/>
      <c r="AG7487" s="49" t="str">
        <f ca="1">IFERROR(__xludf.DUMMYFUNCTION("IFNA(vlookup(H7487,IMPORTRANGE(""1vUGwO1n0QQGx9kKbO0_M5gmuhXZ6-LaxQxgrmJnzgP0"",""'TP# look up'!A:C""),3,0),"""")"),"")</f>
        <v/>
      </c>
      <c r="AH7487" s="49" t="str">
        <f t="shared" si="116"/>
        <v/>
      </c>
    </row>
    <row r="7488" spans="8:34" ht="12.75">
      <c r="H7488" s="43"/>
      <c r="AG7488" s="49" t="str">
        <f ca="1">IFERROR(__xludf.DUMMYFUNCTION("IFNA(vlookup(H7488,IMPORTRANGE(""1vUGwO1n0QQGx9kKbO0_M5gmuhXZ6-LaxQxgrmJnzgP0"",""'TP# look up'!A:C""),3,0),"""")"),"")</f>
        <v/>
      </c>
      <c r="AH7488" s="49" t="str">
        <f t="shared" si="116"/>
        <v/>
      </c>
    </row>
    <row r="7489" spans="8:34" ht="12.75">
      <c r="H7489" s="43"/>
      <c r="AG7489" s="49" t="str">
        <f ca="1">IFERROR(__xludf.DUMMYFUNCTION("IFNA(vlookup(H7489,IMPORTRANGE(""1vUGwO1n0QQGx9kKbO0_M5gmuhXZ6-LaxQxgrmJnzgP0"",""'TP# look up'!A:C""),3,0),"""")"),"")</f>
        <v/>
      </c>
      <c r="AH7489" s="49" t="str">
        <f t="shared" si="116"/>
        <v/>
      </c>
    </row>
    <row r="7490" spans="8:34" ht="12.75">
      <c r="H7490" s="43"/>
      <c r="AG7490" s="49" t="str">
        <f ca="1">IFERROR(__xludf.DUMMYFUNCTION("IFNA(vlookup(H7490,IMPORTRANGE(""1vUGwO1n0QQGx9kKbO0_M5gmuhXZ6-LaxQxgrmJnzgP0"",""'TP# look up'!A:C""),3,0),"""")"),"")</f>
        <v/>
      </c>
      <c r="AH7490" s="49" t="str">
        <f t="shared" ref="AH7490:AH7553" si="117">LEFT(J7490,2)</f>
        <v/>
      </c>
    </row>
    <row r="7491" spans="8:34" ht="12.75">
      <c r="H7491" s="43"/>
      <c r="AG7491" s="49" t="str">
        <f ca="1">IFERROR(__xludf.DUMMYFUNCTION("IFNA(vlookup(H7491,IMPORTRANGE(""1vUGwO1n0QQGx9kKbO0_M5gmuhXZ6-LaxQxgrmJnzgP0"",""'TP# look up'!A:C""),3,0),"""")"),"")</f>
        <v/>
      </c>
      <c r="AH7491" s="49" t="str">
        <f t="shared" si="117"/>
        <v/>
      </c>
    </row>
    <row r="7492" spans="8:34" ht="12.75">
      <c r="H7492" s="43"/>
      <c r="AG7492" s="49" t="str">
        <f ca="1">IFERROR(__xludf.DUMMYFUNCTION("IFNA(vlookup(H7492,IMPORTRANGE(""1vUGwO1n0QQGx9kKbO0_M5gmuhXZ6-LaxQxgrmJnzgP0"",""'TP# look up'!A:C""),3,0),"""")"),"")</f>
        <v/>
      </c>
      <c r="AH7492" s="49" t="str">
        <f t="shared" si="117"/>
        <v/>
      </c>
    </row>
    <row r="7493" spans="8:34" ht="12.75">
      <c r="H7493" s="43"/>
      <c r="AG7493" s="49" t="str">
        <f ca="1">IFERROR(__xludf.DUMMYFUNCTION("IFNA(vlookup(H7493,IMPORTRANGE(""1vUGwO1n0QQGx9kKbO0_M5gmuhXZ6-LaxQxgrmJnzgP0"",""'TP# look up'!A:C""),3,0),"""")"),"")</f>
        <v/>
      </c>
      <c r="AH7493" s="49" t="str">
        <f t="shared" si="117"/>
        <v/>
      </c>
    </row>
    <row r="7494" spans="8:34" ht="12.75">
      <c r="H7494" s="43"/>
      <c r="AG7494" s="49" t="str">
        <f ca="1">IFERROR(__xludf.DUMMYFUNCTION("IFNA(vlookup(H7494,IMPORTRANGE(""1vUGwO1n0QQGx9kKbO0_M5gmuhXZ6-LaxQxgrmJnzgP0"",""'TP# look up'!A:C""),3,0),"""")"),"")</f>
        <v/>
      </c>
      <c r="AH7494" s="49" t="str">
        <f t="shared" si="117"/>
        <v/>
      </c>
    </row>
    <row r="7495" spans="8:34" ht="12.75">
      <c r="H7495" s="43"/>
      <c r="AG7495" s="49" t="str">
        <f ca="1">IFERROR(__xludf.DUMMYFUNCTION("IFNA(vlookup(H7495,IMPORTRANGE(""1vUGwO1n0QQGx9kKbO0_M5gmuhXZ6-LaxQxgrmJnzgP0"",""'TP# look up'!A:C""),3,0),"""")"),"")</f>
        <v/>
      </c>
      <c r="AH7495" s="49" t="str">
        <f t="shared" si="117"/>
        <v/>
      </c>
    </row>
    <row r="7496" spans="8:34" ht="12.75">
      <c r="H7496" s="43"/>
      <c r="AG7496" s="49" t="str">
        <f ca="1">IFERROR(__xludf.DUMMYFUNCTION("IFNA(vlookup(H7496,IMPORTRANGE(""1vUGwO1n0QQGx9kKbO0_M5gmuhXZ6-LaxQxgrmJnzgP0"",""'TP# look up'!A:C""),3,0),"""")"),"")</f>
        <v/>
      </c>
      <c r="AH7496" s="49" t="str">
        <f t="shared" si="117"/>
        <v/>
      </c>
    </row>
    <row r="7497" spans="8:34" ht="12.75">
      <c r="H7497" s="43"/>
      <c r="AG7497" s="49" t="str">
        <f ca="1">IFERROR(__xludf.DUMMYFUNCTION("IFNA(vlookup(H7497,IMPORTRANGE(""1vUGwO1n0QQGx9kKbO0_M5gmuhXZ6-LaxQxgrmJnzgP0"",""'TP# look up'!A:C""),3,0),"""")"),"")</f>
        <v/>
      </c>
      <c r="AH7497" s="49" t="str">
        <f t="shared" si="117"/>
        <v/>
      </c>
    </row>
    <row r="7498" spans="8:34" ht="12.75">
      <c r="H7498" s="43"/>
      <c r="AG7498" s="49" t="str">
        <f ca="1">IFERROR(__xludf.DUMMYFUNCTION("IFNA(vlookup(H7498,IMPORTRANGE(""1vUGwO1n0QQGx9kKbO0_M5gmuhXZ6-LaxQxgrmJnzgP0"",""'TP# look up'!A:C""),3,0),"""")"),"")</f>
        <v/>
      </c>
      <c r="AH7498" s="49" t="str">
        <f t="shared" si="117"/>
        <v/>
      </c>
    </row>
    <row r="7499" spans="8:34" ht="12.75">
      <c r="H7499" s="43"/>
      <c r="AG7499" s="49" t="str">
        <f ca="1">IFERROR(__xludf.DUMMYFUNCTION("IFNA(vlookup(H7499,IMPORTRANGE(""1vUGwO1n0QQGx9kKbO0_M5gmuhXZ6-LaxQxgrmJnzgP0"",""'TP# look up'!A:C""),3,0),"""")"),"")</f>
        <v/>
      </c>
      <c r="AH7499" s="49" t="str">
        <f t="shared" si="117"/>
        <v/>
      </c>
    </row>
    <row r="7500" spans="8:34" ht="12.75">
      <c r="H7500" s="43"/>
      <c r="AG7500" s="49" t="str">
        <f ca="1">IFERROR(__xludf.DUMMYFUNCTION("IFNA(vlookup(H7500,IMPORTRANGE(""1vUGwO1n0QQGx9kKbO0_M5gmuhXZ6-LaxQxgrmJnzgP0"",""'TP# look up'!A:C""),3,0),"""")"),"")</f>
        <v/>
      </c>
      <c r="AH7500" s="49" t="str">
        <f t="shared" si="117"/>
        <v/>
      </c>
    </row>
    <row r="7501" spans="8:34" ht="12.75">
      <c r="H7501" s="43"/>
      <c r="AG7501" s="49" t="str">
        <f ca="1">IFERROR(__xludf.DUMMYFUNCTION("IFNA(vlookup(H7501,IMPORTRANGE(""1vUGwO1n0QQGx9kKbO0_M5gmuhXZ6-LaxQxgrmJnzgP0"",""'TP# look up'!A:C""),3,0),"""")"),"")</f>
        <v/>
      </c>
      <c r="AH7501" s="49" t="str">
        <f t="shared" si="117"/>
        <v/>
      </c>
    </row>
    <row r="7502" spans="8:34" ht="12.75">
      <c r="H7502" s="43"/>
      <c r="AG7502" s="49" t="str">
        <f ca="1">IFERROR(__xludf.DUMMYFUNCTION("IFNA(vlookup(H7502,IMPORTRANGE(""1vUGwO1n0QQGx9kKbO0_M5gmuhXZ6-LaxQxgrmJnzgP0"",""'TP# look up'!A:C""),3,0),"""")"),"")</f>
        <v/>
      </c>
      <c r="AH7502" s="49" t="str">
        <f t="shared" si="117"/>
        <v/>
      </c>
    </row>
    <row r="7503" spans="8:34" ht="12.75">
      <c r="H7503" s="43"/>
      <c r="AG7503" s="49" t="str">
        <f ca="1">IFERROR(__xludf.DUMMYFUNCTION("IFNA(vlookup(H7503,IMPORTRANGE(""1vUGwO1n0QQGx9kKbO0_M5gmuhXZ6-LaxQxgrmJnzgP0"",""'TP# look up'!A:C""),3,0),"""")"),"")</f>
        <v/>
      </c>
      <c r="AH7503" s="49" t="str">
        <f t="shared" si="117"/>
        <v/>
      </c>
    </row>
    <row r="7504" spans="8:34" ht="12.75">
      <c r="H7504" s="43"/>
      <c r="AG7504" s="49" t="str">
        <f ca="1">IFERROR(__xludf.DUMMYFUNCTION("IFNA(vlookup(H7504,IMPORTRANGE(""1vUGwO1n0QQGx9kKbO0_M5gmuhXZ6-LaxQxgrmJnzgP0"",""'TP# look up'!A:C""),3,0),"""")"),"")</f>
        <v/>
      </c>
      <c r="AH7504" s="49" t="str">
        <f t="shared" si="117"/>
        <v/>
      </c>
    </row>
    <row r="7505" spans="8:34" ht="12.75">
      <c r="H7505" s="43"/>
      <c r="AG7505" s="49" t="str">
        <f ca="1">IFERROR(__xludf.DUMMYFUNCTION("IFNA(vlookup(H7505,IMPORTRANGE(""1vUGwO1n0QQGx9kKbO0_M5gmuhXZ6-LaxQxgrmJnzgP0"",""'TP# look up'!A:C""),3,0),"""")"),"")</f>
        <v/>
      </c>
      <c r="AH7505" s="49" t="str">
        <f t="shared" si="117"/>
        <v/>
      </c>
    </row>
    <row r="7506" spans="8:34" ht="12.75">
      <c r="H7506" s="43"/>
      <c r="AG7506" s="49" t="str">
        <f ca="1">IFERROR(__xludf.DUMMYFUNCTION("IFNA(vlookup(H7506,IMPORTRANGE(""1vUGwO1n0QQGx9kKbO0_M5gmuhXZ6-LaxQxgrmJnzgP0"",""'TP# look up'!A:C""),3,0),"""")"),"")</f>
        <v/>
      </c>
      <c r="AH7506" s="49" t="str">
        <f t="shared" si="117"/>
        <v/>
      </c>
    </row>
    <row r="7507" spans="8:34" ht="12.75">
      <c r="H7507" s="43"/>
      <c r="AG7507" s="49" t="str">
        <f ca="1">IFERROR(__xludf.DUMMYFUNCTION("IFNA(vlookup(H7507,IMPORTRANGE(""1vUGwO1n0QQGx9kKbO0_M5gmuhXZ6-LaxQxgrmJnzgP0"",""'TP# look up'!A:C""),3,0),"""")"),"")</f>
        <v/>
      </c>
      <c r="AH7507" s="49" t="str">
        <f t="shared" si="117"/>
        <v/>
      </c>
    </row>
    <row r="7508" spans="8:34" ht="12.75">
      <c r="H7508" s="43"/>
      <c r="AG7508" s="49" t="str">
        <f ca="1">IFERROR(__xludf.DUMMYFUNCTION("IFNA(vlookup(H7508,IMPORTRANGE(""1vUGwO1n0QQGx9kKbO0_M5gmuhXZ6-LaxQxgrmJnzgP0"",""'TP# look up'!A:C""),3,0),"""")"),"")</f>
        <v/>
      </c>
      <c r="AH7508" s="49" t="str">
        <f t="shared" si="117"/>
        <v/>
      </c>
    </row>
    <row r="7509" spans="8:34" ht="12.75">
      <c r="H7509" s="43"/>
      <c r="AG7509" s="49" t="str">
        <f ca="1">IFERROR(__xludf.DUMMYFUNCTION("IFNA(vlookup(H7509,IMPORTRANGE(""1vUGwO1n0QQGx9kKbO0_M5gmuhXZ6-LaxQxgrmJnzgP0"",""'TP# look up'!A:C""),3,0),"""")"),"")</f>
        <v/>
      </c>
      <c r="AH7509" s="49" t="str">
        <f t="shared" si="117"/>
        <v/>
      </c>
    </row>
    <row r="7510" spans="8:34" ht="12.75">
      <c r="H7510" s="43"/>
      <c r="AG7510" s="49" t="str">
        <f ca="1">IFERROR(__xludf.DUMMYFUNCTION("IFNA(vlookup(H7510,IMPORTRANGE(""1vUGwO1n0QQGx9kKbO0_M5gmuhXZ6-LaxQxgrmJnzgP0"",""'TP# look up'!A:C""),3,0),"""")"),"")</f>
        <v/>
      </c>
      <c r="AH7510" s="49" t="str">
        <f t="shared" si="117"/>
        <v/>
      </c>
    </row>
    <row r="7511" spans="8:34" ht="12.75">
      <c r="H7511" s="43"/>
      <c r="AG7511" s="49" t="str">
        <f ca="1">IFERROR(__xludf.DUMMYFUNCTION("IFNA(vlookup(H7511,IMPORTRANGE(""1vUGwO1n0QQGx9kKbO0_M5gmuhXZ6-LaxQxgrmJnzgP0"",""'TP# look up'!A:C""),3,0),"""")"),"")</f>
        <v/>
      </c>
      <c r="AH7511" s="49" t="str">
        <f t="shared" si="117"/>
        <v/>
      </c>
    </row>
    <row r="7512" spans="8:34" ht="12.75">
      <c r="H7512" s="43"/>
      <c r="AG7512" s="49" t="str">
        <f ca="1">IFERROR(__xludf.DUMMYFUNCTION("IFNA(vlookup(H7512,IMPORTRANGE(""1vUGwO1n0QQGx9kKbO0_M5gmuhXZ6-LaxQxgrmJnzgP0"",""'TP# look up'!A:C""),3,0),"""")"),"")</f>
        <v/>
      </c>
      <c r="AH7512" s="49" t="str">
        <f t="shared" si="117"/>
        <v/>
      </c>
    </row>
    <row r="7513" spans="8:34" ht="12.75">
      <c r="H7513" s="43"/>
      <c r="AG7513" s="49" t="str">
        <f ca="1">IFERROR(__xludf.DUMMYFUNCTION("IFNA(vlookup(H7513,IMPORTRANGE(""1vUGwO1n0QQGx9kKbO0_M5gmuhXZ6-LaxQxgrmJnzgP0"",""'TP# look up'!A:C""),3,0),"""")"),"")</f>
        <v/>
      </c>
      <c r="AH7513" s="49" t="str">
        <f t="shared" si="117"/>
        <v/>
      </c>
    </row>
    <row r="7514" spans="8:34" ht="12.75">
      <c r="H7514" s="43"/>
      <c r="AG7514" s="49" t="str">
        <f ca="1">IFERROR(__xludf.DUMMYFUNCTION("IFNA(vlookup(H7514,IMPORTRANGE(""1vUGwO1n0QQGx9kKbO0_M5gmuhXZ6-LaxQxgrmJnzgP0"",""'TP# look up'!A:C""),3,0),"""")"),"")</f>
        <v/>
      </c>
      <c r="AH7514" s="49" t="str">
        <f t="shared" si="117"/>
        <v/>
      </c>
    </row>
    <row r="7515" spans="8:34" ht="12.75">
      <c r="H7515" s="43"/>
      <c r="AG7515" s="49" t="str">
        <f ca="1">IFERROR(__xludf.DUMMYFUNCTION("IFNA(vlookup(H7515,IMPORTRANGE(""1vUGwO1n0QQGx9kKbO0_M5gmuhXZ6-LaxQxgrmJnzgP0"",""'TP# look up'!A:C""),3,0),"""")"),"")</f>
        <v/>
      </c>
      <c r="AH7515" s="49" t="str">
        <f t="shared" si="117"/>
        <v/>
      </c>
    </row>
    <row r="7516" spans="8:34" ht="12.75">
      <c r="H7516" s="43"/>
      <c r="AG7516" s="49" t="str">
        <f ca="1">IFERROR(__xludf.DUMMYFUNCTION("IFNA(vlookup(H7516,IMPORTRANGE(""1vUGwO1n0QQGx9kKbO0_M5gmuhXZ6-LaxQxgrmJnzgP0"",""'TP# look up'!A:C""),3,0),"""")"),"")</f>
        <v/>
      </c>
      <c r="AH7516" s="49" t="str">
        <f t="shared" si="117"/>
        <v/>
      </c>
    </row>
    <row r="7517" spans="8:34" ht="12.75">
      <c r="H7517" s="43"/>
      <c r="AG7517" s="49" t="str">
        <f ca="1">IFERROR(__xludf.DUMMYFUNCTION("IFNA(vlookup(H7517,IMPORTRANGE(""1vUGwO1n0QQGx9kKbO0_M5gmuhXZ6-LaxQxgrmJnzgP0"",""'TP# look up'!A:C""),3,0),"""")"),"")</f>
        <v/>
      </c>
      <c r="AH7517" s="49" t="str">
        <f t="shared" si="117"/>
        <v/>
      </c>
    </row>
    <row r="7518" spans="8:34" ht="12.75">
      <c r="H7518" s="43"/>
      <c r="AG7518" s="49" t="str">
        <f ca="1">IFERROR(__xludf.DUMMYFUNCTION("IFNA(vlookup(H7518,IMPORTRANGE(""1vUGwO1n0QQGx9kKbO0_M5gmuhXZ6-LaxQxgrmJnzgP0"",""'TP# look up'!A:C""),3,0),"""")"),"")</f>
        <v/>
      </c>
      <c r="AH7518" s="49" t="str">
        <f t="shared" si="117"/>
        <v/>
      </c>
    </row>
    <row r="7519" spans="8:34" ht="12.75">
      <c r="H7519" s="43"/>
      <c r="AG7519" s="49" t="str">
        <f ca="1">IFERROR(__xludf.DUMMYFUNCTION("IFNA(vlookup(H7519,IMPORTRANGE(""1vUGwO1n0QQGx9kKbO0_M5gmuhXZ6-LaxQxgrmJnzgP0"",""'TP# look up'!A:C""),3,0),"""")"),"")</f>
        <v/>
      </c>
      <c r="AH7519" s="49" t="str">
        <f t="shared" si="117"/>
        <v/>
      </c>
    </row>
    <row r="7520" spans="8:34" ht="12.75">
      <c r="H7520" s="43"/>
      <c r="AG7520" s="49" t="str">
        <f ca="1">IFERROR(__xludf.DUMMYFUNCTION("IFNA(vlookup(H7520,IMPORTRANGE(""1vUGwO1n0QQGx9kKbO0_M5gmuhXZ6-LaxQxgrmJnzgP0"",""'TP# look up'!A:C""),3,0),"""")"),"")</f>
        <v/>
      </c>
      <c r="AH7520" s="49" t="str">
        <f t="shared" si="117"/>
        <v/>
      </c>
    </row>
    <row r="7521" spans="8:34" ht="12.75">
      <c r="H7521" s="43"/>
      <c r="AG7521" s="49" t="str">
        <f ca="1">IFERROR(__xludf.DUMMYFUNCTION("IFNA(vlookup(H7521,IMPORTRANGE(""1vUGwO1n0QQGx9kKbO0_M5gmuhXZ6-LaxQxgrmJnzgP0"",""'TP# look up'!A:C""),3,0),"""")"),"")</f>
        <v/>
      </c>
      <c r="AH7521" s="49" t="str">
        <f t="shared" si="117"/>
        <v/>
      </c>
    </row>
    <row r="7522" spans="8:34" ht="12.75">
      <c r="H7522" s="43"/>
      <c r="AG7522" s="49" t="str">
        <f ca="1">IFERROR(__xludf.DUMMYFUNCTION("IFNA(vlookup(H7522,IMPORTRANGE(""1vUGwO1n0QQGx9kKbO0_M5gmuhXZ6-LaxQxgrmJnzgP0"",""'TP# look up'!A:C""),3,0),"""")"),"")</f>
        <v/>
      </c>
      <c r="AH7522" s="49" t="str">
        <f t="shared" si="117"/>
        <v/>
      </c>
    </row>
    <row r="7523" spans="8:34" ht="12.75">
      <c r="H7523" s="43"/>
      <c r="AG7523" s="49" t="str">
        <f ca="1">IFERROR(__xludf.DUMMYFUNCTION("IFNA(vlookup(H7523,IMPORTRANGE(""1vUGwO1n0QQGx9kKbO0_M5gmuhXZ6-LaxQxgrmJnzgP0"",""'TP# look up'!A:C""),3,0),"""")"),"")</f>
        <v/>
      </c>
      <c r="AH7523" s="49" t="str">
        <f t="shared" si="117"/>
        <v/>
      </c>
    </row>
    <row r="7524" spans="8:34" ht="12.75">
      <c r="H7524" s="43"/>
      <c r="AG7524" s="49" t="str">
        <f ca="1">IFERROR(__xludf.DUMMYFUNCTION("IFNA(vlookup(H7524,IMPORTRANGE(""1vUGwO1n0QQGx9kKbO0_M5gmuhXZ6-LaxQxgrmJnzgP0"",""'TP# look up'!A:C""),3,0),"""")"),"")</f>
        <v/>
      </c>
      <c r="AH7524" s="49" t="str">
        <f t="shared" si="117"/>
        <v/>
      </c>
    </row>
    <row r="7525" spans="8:34" ht="12.75">
      <c r="H7525" s="43"/>
      <c r="AG7525" s="49" t="str">
        <f ca="1">IFERROR(__xludf.DUMMYFUNCTION("IFNA(vlookup(H7525,IMPORTRANGE(""1vUGwO1n0QQGx9kKbO0_M5gmuhXZ6-LaxQxgrmJnzgP0"",""'TP# look up'!A:C""),3,0),"""")"),"")</f>
        <v/>
      </c>
      <c r="AH7525" s="49" t="str">
        <f t="shared" si="117"/>
        <v/>
      </c>
    </row>
    <row r="7526" spans="8:34" ht="12.75">
      <c r="H7526" s="43"/>
      <c r="AG7526" s="49" t="str">
        <f ca="1">IFERROR(__xludf.DUMMYFUNCTION("IFNA(vlookup(H7526,IMPORTRANGE(""1vUGwO1n0QQGx9kKbO0_M5gmuhXZ6-LaxQxgrmJnzgP0"",""'TP# look up'!A:C""),3,0),"""")"),"")</f>
        <v/>
      </c>
      <c r="AH7526" s="49" t="str">
        <f t="shared" si="117"/>
        <v/>
      </c>
    </row>
    <row r="7527" spans="8:34" ht="12.75">
      <c r="H7527" s="43"/>
      <c r="AG7527" s="49" t="str">
        <f ca="1">IFERROR(__xludf.DUMMYFUNCTION("IFNA(vlookup(H7527,IMPORTRANGE(""1vUGwO1n0QQGx9kKbO0_M5gmuhXZ6-LaxQxgrmJnzgP0"",""'TP# look up'!A:C""),3,0),"""")"),"")</f>
        <v/>
      </c>
      <c r="AH7527" s="49" t="str">
        <f t="shared" si="117"/>
        <v/>
      </c>
    </row>
    <row r="7528" spans="8:34" ht="12.75">
      <c r="H7528" s="43"/>
      <c r="AG7528" s="49" t="str">
        <f ca="1">IFERROR(__xludf.DUMMYFUNCTION("IFNA(vlookup(H7528,IMPORTRANGE(""1vUGwO1n0QQGx9kKbO0_M5gmuhXZ6-LaxQxgrmJnzgP0"",""'TP# look up'!A:C""),3,0),"""")"),"")</f>
        <v/>
      </c>
      <c r="AH7528" s="49" t="str">
        <f t="shared" si="117"/>
        <v/>
      </c>
    </row>
    <row r="7529" spans="8:34" ht="12.75">
      <c r="H7529" s="43"/>
      <c r="AG7529" s="49" t="str">
        <f ca="1">IFERROR(__xludf.DUMMYFUNCTION("IFNA(vlookup(H7529,IMPORTRANGE(""1vUGwO1n0QQGx9kKbO0_M5gmuhXZ6-LaxQxgrmJnzgP0"",""'TP# look up'!A:C""),3,0),"""")"),"")</f>
        <v/>
      </c>
      <c r="AH7529" s="49" t="str">
        <f t="shared" si="117"/>
        <v/>
      </c>
    </row>
    <row r="7530" spans="8:34" ht="12.75">
      <c r="H7530" s="43"/>
      <c r="AG7530" s="49" t="str">
        <f ca="1">IFERROR(__xludf.DUMMYFUNCTION("IFNA(vlookup(H7530,IMPORTRANGE(""1vUGwO1n0QQGx9kKbO0_M5gmuhXZ6-LaxQxgrmJnzgP0"",""'TP# look up'!A:C""),3,0),"""")"),"")</f>
        <v/>
      </c>
      <c r="AH7530" s="49" t="str">
        <f t="shared" si="117"/>
        <v/>
      </c>
    </row>
    <row r="7531" spans="8:34" ht="12.75">
      <c r="H7531" s="43"/>
      <c r="AG7531" s="49" t="str">
        <f ca="1">IFERROR(__xludf.DUMMYFUNCTION("IFNA(vlookup(H7531,IMPORTRANGE(""1vUGwO1n0QQGx9kKbO0_M5gmuhXZ6-LaxQxgrmJnzgP0"",""'TP# look up'!A:C""),3,0),"""")"),"")</f>
        <v/>
      </c>
      <c r="AH7531" s="49" t="str">
        <f t="shared" si="117"/>
        <v/>
      </c>
    </row>
    <row r="7532" spans="8:34" ht="12.75">
      <c r="H7532" s="43"/>
      <c r="AG7532" s="49" t="str">
        <f ca="1">IFERROR(__xludf.DUMMYFUNCTION("IFNA(vlookup(H7532,IMPORTRANGE(""1vUGwO1n0QQGx9kKbO0_M5gmuhXZ6-LaxQxgrmJnzgP0"",""'TP# look up'!A:C""),3,0),"""")"),"")</f>
        <v/>
      </c>
      <c r="AH7532" s="49" t="str">
        <f t="shared" si="117"/>
        <v/>
      </c>
    </row>
    <row r="7533" spans="8:34" ht="12.75">
      <c r="H7533" s="43"/>
      <c r="AG7533" s="49" t="str">
        <f ca="1">IFERROR(__xludf.DUMMYFUNCTION("IFNA(vlookup(H7533,IMPORTRANGE(""1vUGwO1n0QQGx9kKbO0_M5gmuhXZ6-LaxQxgrmJnzgP0"",""'TP# look up'!A:C""),3,0),"""")"),"")</f>
        <v/>
      </c>
      <c r="AH7533" s="49" t="str">
        <f t="shared" si="117"/>
        <v/>
      </c>
    </row>
    <row r="7534" spans="8:34" ht="12.75">
      <c r="H7534" s="43"/>
      <c r="AG7534" s="49" t="str">
        <f ca="1">IFERROR(__xludf.DUMMYFUNCTION("IFNA(vlookup(H7534,IMPORTRANGE(""1vUGwO1n0QQGx9kKbO0_M5gmuhXZ6-LaxQxgrmJnzgP0"",""'TP# look up'!A:C""),3,0),"""")"),"")</f>
        <v/>
      </c>
      <c r="AH7534" s="49" t="str">
        <f t="shared" si="117"/>
        <v/>
      </c>
    </row>
    <row r="7535" spans="8:34" ht="12.75">
      <c r="H7535" s="43"/>
      <c r="AG7535" s="49" t="str">
        <f ca="1">IFERROR(__xludf.DUMMYFUNCTION("IFNA(vlookup(H7535,IMPORTRANGE(""1vUGwO1n0QQGx9kKbO0_M5gmuhXZ6-LaxQxgrmJnzgP0"",""'TP# look up'!A:C""),3,0),"""")"),"")</f>
        <v/>
      </c>
      <c r="AH7535" s="49" t="str">
        <f t="shared" si="117"/>
        <v/>
      </c>
    </row>
    <row r="7536" spans="8:34" ht="12.75">
      <c r="H7536" s="43"/>
      <c r="AG7536" s="49" t="str">
        <f ca="1">IFERROR(__xludf.DUMMYFUNCTION("IFNA(vlookup(H7536,IMPORTRANGE(""1vUGwO1n0QQGx9kKbO0_M5gmuhXZ6-LaxQxgrmJnzgP0"",""'TP# look up'!A:C""),3,0),"""")"),"")</f>
        <v/>
      </c>
      <c r="AH7536" s="49" t="str">
        <f t="shared" si="117"/>
        <v/>
      </c>
    </row>
    <row r="7537" spans="8:34" ht="12.75">
      <c r="H7537" s="43"/>
      <c r="AG7537" s="49" t="str">
        <f ca="1">IFERROR(__xludf.DUMMYFUNCTION("IFNA(vlookup(H7537,IMPORTRANGE(""1vUGwO1n0QQGx9kKbO0_M5gmuhXZ6-LaxQxgrmJnzgP0"",""'TP# look up'!A:C""),3,0),"""")"),"")</f>
        <v/>
      </c>
      <c r="AH7537" s="49" t="str">
        <f t="shared" si="117"/>
        <v/>
      </c>
    </row>
    <row r="7538" spans="8:34" ht="12.75">
      <c r="H7538" s="43"/>
      <c r="AG7538" s="49" t="str">
        <f ca="1">IFERROR(__xludf.DUMMYFUNCTION("IFNA(vlookup(H7538,IMPORTRANGE(""1vUGwO1n0QQGx9kKbO0_M5gmuhXZ6-LaxQxgrmJnzgP0"",""'TP# look up'!A:C""),3,0),"""")"),"")</f>
        <v/>
      </c>
      <c r="AH7538" s="49" t="str">
        <f t="shared" si="117"/>
        <v/>
      </c>
    </row>
    <row r="7539" spans="8:34" ht="12.75">
      <c r="H7539" s="43"/>
      <c r="AG7539" s="49" t="str">
        <f ca="1">IFERROR(__xludf.DUMMYFUNCTION("IFNA(vlookup(H7539,IMPORTRANGE(""1vUGwO1n0QQGx9kKbO0_M5gmuhXZ6-LaxQxgrmJnzgP0"",""'TP# look up'!A:C""),3,0),"""")"),"")</f>
        <v/>
      </c>
      <c r="AH7539" s="49" t="str">
        <f t="shared" si="117"/>
        <v/>
      </c>
    </row>
    <row r="7540" spans="8:34" ht="12.75">
      <c r="H7540" s="43"/>
      <c r="AG7540" s="49" t="str">
        <f ca="1">IFERROR(__xludf.DUMMYFUNCTION("IFNA(vlookup(H7540,IMPORTRANGE(""1vUGwO1n0QQGx9kKbO0_M5gmuhXZ6-LaxQxgrmJnzgP0"",""'TP# look up'!A:C""),3,0),"""")"),"")</f>
        <v/>
      </c>
      <c r="AH7540" s="49" t="str">
        <f t="shared" si="117"/>
        <v/>
      </c>
    </row>
    <row r="7541" spans="8:34" ht="12.75">
      <c r="H7541" s="43"/>
      <c r="AG7541" s="49" t="str">
        <f ca="1">IFERROR(__xludf.DUMMYFUNCTION("IFNA(vlookup(H7541,IMPORTRANGE(""1vUGwO1n0QQGx9kKbO0_M5gmuhXZ6-LaxQxgrmJnzgP0"",""'TP# look up'!A:C""),3,0),"""")"),"")</f>
        <v/>
      </c>
      <c r="AH7541" s="49" t="str">
        <f t="shared" si="117"/>
        <v/>
      </c>
    </row>
    <row r="7542" spans="8:34" ht="12.75">
      <c r="H7542" s="43"/>
      <c r="AG7542" s="49" t="str">
        <f ca="1">IFERROR(__xludf.DUMMYFUNCTION("IFNA(vlookup(H7542,IMPORTRANGE(""1vUGwO1n0QQGx9kKbO0_M5gmuhXZ6-LaxQxgrmJnzgP0"",""'TP# look up'!A:C""),3,0),"""")"),"")</f>
        <v/>
      </c>
      <c r="AH7542" s="49" t="str">
        <f t="shared" si="117"/>
        <v/>
      </c>
    </row>
    <row r="7543" spans="8:34" ht="12.75">
      <c r="H7543" s="43"/>
      <c r="AG7543" s="49" t="str">
        <f ca="1">IFERROR(__xludf.DUMMYFUNCTION("IFNA(vlookup(H7543,IMPORTRANGE(""1vUGwO1n0QQGx9kKbO0_M5gmuhXZ6-LaxQxgrmJnzgP0"",""'TP# look up'!A:C""),3,0),"""")"),"")</f>
        <v/>
      </c>
      <c r="AH7543" s="49" t="str">
        <f t="shared" si="117"/>
        <v/>
      </c>
    </row>
    <row r="7544" spans="8:34" ht="12.75">
      <c r="H7544" s="43"/>
      <c r="AG7544" s="49" t="str">
        <f ca="1">IFERROR(__xludf.DUMMYFUNCTION("IFNA(vlookup(H7544,IMPORTRANGE(""1vUGwO1n0QQGx9kKbO0_M5gmuhXZ6-LaxQxgrmJnzgP0"",""'TP# look up'!A:C""),3,0),"""")"),"")</f>
        <v/>
      </c>
      <c r="AH7544" s="49" t="str">
        <f t="shared" si="117"/>
        <v/>
      </c>
    </row>
    <row r="7545" spans="8:34" ht="12.75">
      <c r="H7545" s="43"/>
      <c r="AG7545" s="49" t="str">
        <f ca="1">IFERROR(__xludf.DUMMYFUNCTION("IFNA(vlookup(H7545,IMPORTRANGE(""1vUGwO1n0QQGx9kKbO0_M5gmuhXZ6-LaxQxgrmJnzgP0"",""'TP# look up'!A:C""),3,0),"""")"),"")</f>
        <v/>
      </c>
      <c r="AH7545" s="49" t="str">
        <f t="shared" si="117"/>
        <v/>
      </c>
    </row>
    <row r="7546" spans="8:34" ht="12.75">
      <c r="H7546" s="43"/>
      <c r="AG7546" s="49" t="str">
        <f ca="1">IFERROR(__xludf.DUMMYFUNCTION("IFNA(vlookup(H7546,IMPORTRANGE(""1vUGwO1n0QQGx9kKbO0_M5gmuhXZ6-LaxQxgrmJnzgP0"",""'TP# look up'!A:C""),3,0),"""")"),"")</f>
        <v/>
      </c>
      <c r="AH7546" s="49" t="str">
        <f t="shared" si="117"/>
        <v/>
      </c>
    </row>
    <row r="7547" spans="8:34" ht="12.75">
      <c r="H7547" s="43"/>
      <c r="AG7547" s="49" t="str">
        <f ca="1">IFERROR(__xludf.DUMMYFUNCTION("IFNA(vlookup(H7547,IMPORTRANGE(""1vUGwO1n0QQGx9kKbO0_M5gmuhXZ6-LaxQxgrmJnzgP0"",""'TP# look up'!A:C""),3,0),"""")"),"")</f>
        <v/>
      </c>
      <c r="AH7547" s="49" t="str">
        <f t="shared" si="117"/>
        <v/>
      </c>
    </row>
    <row r="7548" spans="8:34" ht="12.75">
      <c r="H7548" s="43"/>
      <c r="AG7548" s="49" t="str">
        <f ca="1">IFERROR(__xludf.DUMMYFUNCTION("IFNA(vlookup(H7548,IMPORTRANGE(""1vUGwO1n0QQGx9kKbO0_M5gmuhXZ6-LaxQxgrmJnzgP0"",""'TP# look up'!A:C""),3,0),"""")"),"")</f>
        <v/>
      </c>
      <c r="AH7548" s="49" t="str">
        <f t="shared" si="117"/>
        <v/>
      </c>
    </row>
    <row r="7549" spans="8:34" ht="12.75">
      <c r="H7549" s="43"/>
      <c r="AG7549" s="49" t="str">
        <f ca="1">IFERROR(__xludf.DUMMYFUNCTION("IFNA(vlookup(H7549,IMPORTRANGE(""1vUGwO1n0QQGx9kKbO0_M5gmuhXZ6-LaxQxgrmJnzgP0"",""'TP# look up'!A:C""),3,0),"""")"),"")</f>
        <v/>
      </c>
      <c r="AH7549" s="49" t="str">
        <f t="shared" si="117"/>
        <v/>
      </c>
    </row>
    <row r="7550" spans="8:34" ht="12.75">
      <c r="H7550" s="43"/>
      <c r="AG7550" s="49" t="str">
        <f ca="1">IFERROR(__xludf.DUMMYFUNCTION("IFNA(vlookup(H7550,IMPORTRANGE(""1vUGwO1n0QQGx9kKbO0_M5gmuhXZ6-LaxQxgrmJnzgP0"",""'TP# look up'!A:C""),3,0),"""")"),"")</f>
        <v/>
      </c>
      <c r="AH7550" s="49" t="str">
        <f t="shared" si="117"/>
        <v/>
      </c>
    </row>
    <row r="7551" spans="8:34" ht="12.75">
      <c r="H7551" s="43"/>
      <c r="AG7551" s="49" t="str">
        <f ca="1">IFERROR(__xludf.DUMMYFUNCTION("IFNA(vlookup(H7551,IMPORTRANGE(""1vUGwO1n0QQGx9kKbO0_M5gmuhXZ6-LaxQxgrmJnzgP0"",""'TP# look up'!A:C""),3,0),"""")"),"")</f>
        <v/>
      </c>
      <c r="AH7551" s="49" t="str">
        <f t="shared" si="117"/>
        <v/>
      </c>
    </row>
    <row r="7552" spans="8:34" ht="12.75">
      <c r="H7552" s="43"/>
      <c r="AG7552" s="49" t="str">
        <f ca="1">IFERROR(__xludf.DUMMYFUNCTION("IFNA(vlookup(H7552,IMPORTRANGE(""1vUGwO1n0QQGx9kKbO0_M5gmuhXZ6-LaxQxgrmJnzgP0"",""'TP# look up'!A:C""),3,0),"""")"),"")</f>
        <v/>
      </c>
      <c r="AH7552" s="49" t="str">
        <f t="shared" si="117"/>
        <v/>
      </c>
    </row>
    <row r="7553" spans="8:34" ht="12.75">
      <c r="H7553" s="43"/>
      <c r="AG7553" s="49" t="str">
        <f ca="1">IFERROR(__xludf.DUMMYFUNCTION("IFNA(vlookup(H7553,IMPORTRANGE(""1vUGwO1n0QQGx9kKbO0_M5gmuhXZ6-LaxQxgrmJnzgP0"",""'TP# look up'!A:C""),3,0),"""")"),"")</f>
        <v/>
      </c>
      <c r="AH7553" s="49" t="str">
        <f t="shared" si="117"/>
        <v/>
      </c>
    </row>
    <row r="7554" spans="8:34" ht="12.75">
      <c r="H7554" s="43"/>
      <c r="AG7554" s="49" t="str">
        <f ca="1">IFERROR(__xludf.DUMMYFUNCTION("IFNA(vlookup(H7554,IMPORTRANGE(""1vUGwO1n0QQGx9kKbO0_M5gmuhXZ6-LaxQxgrmJnzgP0"",""'TP# look up'!A:C""),3,0),"""")"),"")</f>
        <v/>
      </c>
      <c r="AH7554" s="49" t="str">
        <f t="shared" ref="AH7554:AH7617" si="118">LEFT(J7554,2)</f>
        <v/>
      </c>
    </row>
    <row r="7555" spans="8:34" ht="12.75">
      <c r="H7555" s="43"/>
      <c r="AG7555" s="49" t="str">
        <f ca="1">IFERROR(__xludf.DUMMYFUNCTION("IFNA(vlookup(H7555,IMPORTRANGE(""1vUGwO1n0QQGx9kKbO0_M5gmuhXZ6-LaxQxgrmJnzgP0"",""'TP# look up'!A:C""),3,0),"""")"),"")</f>
        <v/>
      </c>
      <c r="AH7555" s="49" t="str">
        <f t="shared" si="118"/>
        <v/>
      </c>
    </row>
    <row r="7556" spans="8:34" ht="12.75">
      <c r="H7556" s="43"/>
      <c r="AG7556" s="49" t="str">
        <f ca="1">IFERROR(__xludf.DUMMYFUNCTION("IFNA(vlookup(H7556,IMPORTRANGE(""1vUGwO1n0QQGx9kKbO0_M5gmuhXZ6-LaxQxgrmJnzgP0"",""'TP# look up'!A:C""),3,0),"""")"),"")</f>
        <v/>
      </c>
      <c r="AH7556" s="49" t="str">
        <f t="shared" si="118"/>
        <v/>
      </c>
    </row>
    <row r="7557" spans="8:34" ht="12.75">
      <c r="H7557" s="43"/>
      <c r="AG7557" s="49" t="str">
        <f ca="1">IFERROR(__xludf.DUMMYFUNCTION("IFNA(vlookup(H7557,IMPORTRANGE(""1vUGwO1n0QQGx9kKbO0_M5gmuhXZ6-LaxQxgrmJnzgP0"",""'TP# look up'!A:C""),3,0),"""")"),"")</f>
        <v/>
      </c>
      <c r="AH7557" s="49" t="str">
        <f t="shared" si="118"/>
        <v/>
      </c>
    </row>
    <row r="7558" spans="8:34" ht="12.75">
      <c r="H7558" s="43"/>
      <c r="AG7558" s="49" t="str">
        <f ca="1">IFERROR(__xludf.DUMMYFUNCTION("IFNA(vlookup(H7558,IMPORTRANGE(""1vUGwO1n0QQGx9kKbO0_M5gmuhXZ6-LaxQxgrmJnzgP0"",""'TP# look up'!A:C""),3,0),"""")"),"")</f>
        <v/>
      </c>
      <c r="AH7558" s="49" t="str">
        <f t="shared" si="118"/>
        <v/>
      </c>
    </row>
    <row r="7559" spans="8:34" ht="12.75">
      <c r="H7559" s="43"/>
      <c r="AG7559" s="49" t="str">
        <f ca="1">IFERROR(__xludf.DUMMYFUNCTION("IFNA(vlookup(H7559,IMPORTRANGE(""1vUGwO1n0QQGx9kKbO0_M5gmuhXZ6-LaxQxgrmJnzgP0"",""'TP# look up'!A:C""),3,0),"""")"),"")</f>
        <v/>
      </c>
      <c r="AH7559" s="49" t="str">
        <f t="shared" si="118"/>
        <v/>
      </c>
    </row>
    <row r="7560" spans="8:34" ht="12.75">
      <c r="H7560" s="43"/>
      <c r="AG7560" s="49" t="str">
        <f ca="1">IFERROR(__xludf.DUMMYFUNCTION("IFNA(vlookup(H7560,IMPORTRANGE(""1vUGwO1n0QQGx9kKbO0_M5gmuhXZ6-LaxQxgrmJnzgP0"",""'TP# look up'!A:C""),3,0),"""")"),"")</f>
        <v/>
      </c>
      <c r="AH7560" s="49" t="str">
        <f t="shared" si="118"/>
        <v/>
      </c>
    </row>
    <row r="7561" spans="8:34" ht="12.75">
      <c r="H7561" s="43"/>
      <c r="AG7561" s="49" t="str">
        <f ca="1">IFERROR(__xludf.DUMMYFUNCTION("IFNA(vlookup(H7561,IMPORTRANGE(""1vUGwO1n0QQGx9kKbO0_M5gmuhXZ6-LaxQxgrmJnzgP0"",""'TP# look up'!A:C""),3,0),"""")"),"")</f>
        <v/>
      </c>
      <c r="AH7561" s="49" t="str">
        <f t="shared" si="118"/>
        <v/>
      </c>
    </row>
    <row r="7562" spans="8:34" ht="12.75">
      <c r="H7562" s="43"/>
      <c r="AG7562" s="49" t="str">
        <f ca="1">IFERROR(__xludf.DUMMYFUNCTION("IFNA(vlookup(H7562,IMPORTRANGE(""1vUGwO1n0QQGx9kKbO0_M5gmuhXZ6-LaxQxgrmJnzgP0"",""'TP# look up'!A:C""),3,0),"""")"),"")</f>
        <v/>
      </c>
      <c r="AH7562" s="49" t="str">
        <f t="shared" si="118"/>
        <v/>
      </c>
    </row>
    <row r="7563" spans="8:34" ht="12.75">
      <c r="H7563" s="43"/>
      <c r="AG7563" s="49" t="str">
        <f ca="1">IFERROR(__xludf.DUMMYFUNCTION("IFNA(vlookup(H7563,IMPORTRANGE(""1vUGwO1n0QQGx9kKbO0_M5gmuhXZ6-LaxQxgrmJnzgP0"",""'TP# look up'!A:C""),3,0),"""")"),"")</f>
        <v/>
      </c>
      <c r="AH7563" s="49" t="str">
        <f t="shared" si="118"/>
        <v/>
      </c>
    </row>
    <row r="7564" spans="8:34" ht="12.75">
      <c r="H7564" s="43"/>
      <c r="AG7564" s="49" t="str">
        <f ca="1">IFERROR(__xludf.DUMMYFUNCTION("IFNA(vlookup(H7564,IMPORTRANGE(""1vUGwO1n0QQGx9kKbO0_M5gmuhXZ6-LaxQxgrmJnzgP0"",""'TP# look up'!A:C""),3,0),"""")"),"")</f>
        <v/>
      </c>
      <c r="AH7564" s="49" t="str">
        <f t="shared" si="118"/>
        <v/>
      </c>
    </row>
    <row r="7565" spans="8:34" ht="12.75">
      <c r="H7565" s="43"/>
      <c r="AG7565" s="49" t="str">
        <f ca="1">IFERROR(__xludf.DUMMYFUNCTION("IFNA(vlookup(H7565,IMPORTRANGE(""1vUGwO1n0QQGx9kKbO0_M5gmuhXZ6-LaxQxgrmJnzgP0"",""'TP# look up'!A:C""),3,0),"""")"),"")</f>
        <v/>
      </c>
      <c r="AH7565" s="49" t="str">
        <f t="shared" si="118"/>
        <v/>
      </c>
    </row>
    <row r="7566" spans="8:34" ht="12.75">
      <c r="H7566" s="43"/>
      <c r="AG7566" s="49" t="str">
        <f ca="1">IFERROR(__xludf.DUMMYFUNCTION("IFNA(vlookup(H7566,IMPORTRANGE(""1vUGwO1n0QQGx9kKbO0_M5gmuhXZ6-LaxQxgrmJnzgP0"",""'TP# look up'!A:C""),3,0),"""")"),"")</f>
        <v/>
      </c>
      <c r="AH7566" s="49" t="str">
        <f t="shared" si="118"/>
        <v/>
      </c>
    </row>
    <row r="7567" spans="8:34" ht="12.75">
      <c r="H7567" s="43"/>
      <c r="AG7567" s="49" t="str">
        <f ca="1">IFERROR(__xludf.DUMMYFUNCTION("IFNA(vlookup(H7567,IMPORTRANGE(""1vUGwO1n0QQGx9kKbO0_M5gmuhXZ6-LaxQxgrmJnzgP0"",""'TP# look up'!A:C""),3,0),"""")"),"")</f>
        <v/>
      </c>
      <c r="AH7567" s="49" t="str">
        <f t="shared" si="118"/>
        <v/>
      </c>
    </row>
    <row r="7568" spans="8:34" ht="12.75">
      <c r="H7568" s="43"/>
      <c r="AG7568" s="49" t="str">
        <f ca="1">IFERROR(__xludf.DUMMYFUNCTION("IFNA(vlookup(H7568,IMPORTRANGE(""1vUGwO1n0QQGx9kKbO0_M5gmuhXZ6-LaxQxgrmJnzgP0"",""'TP# look up'!A:C""),3,0),"""")"),"")</f>
        <v/>
      </c>
      <c r="AH7568" s="49" t="str">
        <f t="shared" si="118"/>
        <v/>
      </c>
    </row>
    <row r="7569" spans="8:34" ht="12.75">
      <c r="H7569" s="43"/>
      <c r="AG7569" s="49" t="str">
        <f ca="1">IFERROR(__xludf.DUMMYFUNCTION("IFNA(vlookup(H7569,IMPORTRANGE(""1vUGwO1n0QQGx9kKbO0_M5gmuhXZ6-LaxQxgrmJnzgP0"",""'TP# look up'!A:C""),3,0),"""")"),"")</f>
        <v/>
      </c>
      <c r="AH7569" s="49" t="str">
        <f t="shared" si="118"/>
        <v/>
      </c>
    </row>
    <row r="7570" spans="8:34" ht="12.75">
      <c r="H7570" s="43"/>
      <c r="AG7570" s="49" t="str">
        <f ca="1">IFERROR(__xludf.DUMMYFUNCTION("IFNA(vlookup(H7570,IMPORTRANGE(""1vUGwO1n0QQGx9kKbO0_M5gmuhXZ6-LaxQxgrmJnzgP0"",""'TP# look up'!A:C""),3,0),"""")"),"")</f>
        <v/>
      </c>
      <c r="AH7570" s="49" t="str">
        <f t="shared" si="118"/>
        <v/>
      </c>
    </row>
    <row r="7571" spans="8:34" ht="12.75">
      <c r="H7571" s="43"/>
      <c r="AG7571" s="49" t="str">
        <f ca="1">IFERROR(__xludf.DUMMYFUNCTION("IFNA(vlookup(H7571,IMPORTRANGE(""1vUGwO1n0QQGx9kKbO0_M5gmuhXZ6-LaxQxgrmJnzgP0"",""'TP# look up'!A:C""),3,0),"""")"),"")</f>
        <v/>
      </c>
      <c r="AH7571" s="49" t="str">
        <f t="shared" si="118"/>
        <v/>
      </c>
    </row>
    <row r="7572" spans="8:34" ht="12.75">
      <c r="H7572" s="43"/>
      <c r="AG7572" s="49" t="str">
        <f ca="1">IFERROR(__xludf.DUMMYFUNCTION("IFNA(vlookup(H7572,IMPORTRANGE(""1vUGwO1n0QQGx9kKbO0_M5gmuhXZ6-LaxQxgrmJnzgP0"",""'TP# look up'!A:C""),3,0),"""")"),"")</f>
        <v/>
      </c>
      <c r="AH7572" s="49" t="str">
        <f t="shared" si="118"/>
        <v/>
      </c>
    </row>
    <row r="7573" spans="8:34" ht="12.75">
      <c r="H7573" s="43"/>
      <c r="AG7573" s="49" t="str">
        <f ca="1">IFERROR(__xludf.DUMMYFUNCTION("IFNA(vlookup(H7573,IMPORTRANGE(""1vUGwO1n0QQGx9kKbO0_M5gmuhXZ6-LaxQxgrmJnzgP0"",""'TP# look up'!A:C""),3,0),"""")"),"")</f>
        <v/>
      </c>
      <c r="AH7573" s="49" t="str">
        <f t="shared" si="118"/>
        <v/>
      </c>
    </row>
    <row r="7574" spans="8:34" ht="12.75">
      <c r="H7574" s="43"/>
      <c r="AG7574" s="49" t="str">
        <f ca="1">IFERROR(__xludf.DUMMYFUNCTION("IFNA(vlookup(H7574,IMPORTRANGE(""1vUGwO1n0QQGx9kKbO0_M5gmuhXZ6-LaxQxgrmJnzgP0"",""'TP# look up'!A:C""),3,0),"""")"),"")</f>
        <v/>
      </c>
      <c r="AH7574" s="49" t="str">
        <f t="shared" si="118"/>
        <v/>
      </c>
    </row>
    <row r="7575" spans="8:34" ht="12.75">
      <c r="H7575" s="43"/>
      <c r="AG7575" s="49" t="str">
        <f ca="1">IFERROR(__xludf.DUMMYFUNCTION("IFNA(vlookup(H7575,IMPORTRANGE(""1vUGwO1n0QQGx9kKbO0_M5gmuhXZ6-LaxQxgrmJnzgP0"",""'TP# look up'!A:C""),3,0),"""")"),"")</f>
        <v/>
      </c>
      <c r="AH7575" s="49" t="str">
        <f t="shared" si="118"/>
        <v/>
      </c>
    </row>
    <row r="7576" spans="8:34" ht="12.75">
      <c r="H7576" s="43"/>
      <c r="AG7576" s="49" t="str">
        <f ca="1">IFERROR(__xludf.DUMMYFUNCTION("IFNA(vlookup(H7576,IMPORTRANGE(""1vUGwO1n0QQGx9kKbO0_M5gmuhXZ6-LaxQxgrmJnzgP0"",""'TP# look up'!A:C""),3,0),"""")"),"")</f>
        <v/>
      </c>
      <c r="AH7576" s="49" t="str">
        <f t="shared" si="118"/>
        <v/>
      </c>
    </row>
    <row r="7577" spans="8:34" ht="12.75">
      <c r="H7577" s="43"/>
      <c r="AG7577" s="49" t="str">
        <f ca="1">IFERROR(__xludf.DUMMYFUNCTION("IFNA(vlookup(H7577,IMPORTRANGE(""1vUGwO1n0QQGx9kKbO0_M5gmuhXZ6-LaxQxgrmJnzgP0"",""'TP# look up'!A:C""),3,0),"""")"),"")</f>
        <v/>
      </c>
      <c r="AH7577" s="49" t="str">
        <f t="shared" si="118"/>
        <v/>
      </c>
    </row>
    <row r="7578" spans="8:34" ht="12.75">
      <c r="H7578" s="43"/>
      <c r="AG7578" s="49" t="str">
        <f ca="1">IFERROR(__xludf.DUMMYFUNCTION("IFNA(vlookup(H7578,IMPORTRANGE(""1vUGwO1n0QQGx9kKbO0_M5gmuhXZ6-LaxQxgrmJnzgP0"",""'TP# look up'!A:C""),3,0),"""")"),"")</f>
        <v/>
      </c>
      <c r="AH7578" s="49" t="str">
        <f t="shared" si="118"/>
        <v/>
      </c>
    </row>
    <row r="7579" spans="8:34" ht="12.75">
      <c r="H7579" s="43"/>
      <c r="AG7579" s="49" t="str">
        <f ca="1">IFERROR(__xludf.DUMMYFUNCTION("IFNA(vlookup(H7579,IMPORTRANGE(""1vUGwO1n0QQGx9kKbO0_M5gmuhXZ6-LaxQxgrmJnzgP0"",""'TP# look up'!A:C""),3,0),"""")"),"")</f>
        <v/>
      </c>
      <c r="AH7579" s="49" t="str">
        <f t="shared" si="118"/>
        <v/>
      </c>
    </row>
    <row r="7580" spans="8:34" ht="12.75">
      <c r="H7580" s="43"/>
      <c r="AG7580" s="49" t="str">
        <f ca="1">IFERROR(__xludf.DUMMYFUNCTION("IFNA(vlookup(H7580,IMPORTRANGE(""1vUGwO1n0QQGx9kKbO0_M5gmuhXZ6-LaxQxgrmJnzgP0"",""'TP# look up'!A:C""),3,0),"""")"),"")</f>
        <v/>
      </c>
      <c r="AH7580" s="49" t="str">
        <f t="shared" si="118"/>
        <v/>
      </c>
    </row>
    <row r="7581" spans="8:34" ht="12.75">
      <c r="H7581" s="43"/>
      <c r="AG7581" s="49" t="str">
        <f ca="1">IFERROR(__xludf.DUMMYFUNCTION("IFNA(vlookup(H7581,IMPORTRANGE(""1vUGwO1n0QQGx9kKbO0_M5gmuhXZ6-LaxQxgrmJnzgP0"",""'TP# look up'!A:C""),3,0),"""")"),"")</f>
        <v/>
      </c>
      <c r="AH7581" s="49" t="str">
        <f t="shared" si="118"/>
        <v/>
      </c>
    </row>
    <row r="7582" spans="8:34" ht="12.75">
      <c r="H7582" s="43"/>
      <c r="AG7582" s="49" t="str">
        <f ca="1">IFERROR(__xludf.DUMMYFUNCTION("IFNA(vlookup(H7582,IMPORTRANGE(""1vUGwO1n0QQGx9kKbO0_M5gmuhXZ6-LaxQxgrmJnzgP0"",""'TP# look up'!A:C""),3,0),"""")"),"")</f>
        <v/>
      </c>
      <c r="AH7582" s="49" t="str">
        <f t="shared" si="118"/>
        <v/>
      </c>
    </row>
    <row r="7583" spans="8:34" ht="12.75">
      <c r="H7583" s="43"/>
      <c r="AG7583" s="49" t="str">
        <f ca="1">IFERROR(__xludf.DUMMYFUNCTION("IFNA(vlookup(H7583,IMPORTRANGE(""1vUGwO1n0QQGx9kKbO0_M5gmuhXZ6-LaxQxgrmJnzgP0"",""'TP# look up'!A:C""),3,0),"""")"),"")</f>
        <v/>
      </c>
      <c r="AH7583" s="49" t="str">
        <f t="shared" si="118"/>
        <v/>
      </c>
    </row>
    <row r="7584" spans="8:34" ht="12.75">
      <c r="H7584" s="43"/>
      <c r="AG7584" s="49" t="str">
        <f ca="1">IFERROR(__xludf.DUMMYFUNCTION("IFNA(vlookup(H7584,IMPORTRANGE(""1vUGwO1n0QQGx9kKbO0_M5gmuhXZ6-LaxQxgrmJnzgP0"",""'TP# look up'!A:C""),3,0),"""")"),"")</f>
        <v/>
      </c>
      <c r="AH7584" s="49" t="str">
        <f t="shared" si="118"/>
        <v/>
      </c>
    </row>
    <row r="7585" spans="8:34" ht="12.75">
      <c r="H7585" s="43"/>
      <c r="AG7585" s="49" t="str">
        <f ca="1">IFERROR(__xludf.DUMMYFUNCTION("IFNA(vlookup(H7585,IMPORTRANGE(""1vUGwO1n0QQGx9kKbO0_M5gmuhXZ6-LaxQxgrmJnzgP0"",""'TP# look up'!A:C""),3,0),"""")"),"")</f>
        <v/>
      </c>
      <c r="AH7585" s="49" t="str">
        <f t="shared" si="118"/>
        <v/>
      </c>
    </row>
    <row r="7586" spans="8:34" ht="12.75">
      <c r="H7586" s="43"/>
      <c r="AG7586" s="49" t="str">
        <f ca="1">IFERROR(__xludf.DUMMYFUNCTION("IFNA(vlookup(H7586,IMPORTRANGE(""1vUGwO1n0QQGx9kKbO0_M5gmuhXZ6-LaxQxgrmJnzgP0"",""'TP# look up'!A:C""),3,0),"""")"),"")</f>
        <v/>
      </c>
      <c r="AH7586" s="49" t="str">
        <f t="shared" si="118"/>
        <v/>
      </c>
    </row>
    <row r="7587" spans="8:34" ht="12.75">
      <c r="H7587" s="43"/>
      <c r="AG7587" s="49" t="str">
        <f ca="1">IFERROR(__xludf.DUMMYFUNCTION("IFNA(vlookup(H7587,IMPORTRANGE(""1vUGwO1n0QQGx9kKbO0_M5gmuhXZ6-LaxQxgrmJnzgP0"",""'TP# look up'!A:C""),3,0),"""")"),"")</f>
        <v/>
      </c>
      <c r="AH7587" s="49" t="str">
        <f t="shared" si="118"/>
        <v/>
      </c>
    </row>
    <row r="7588" spans="8:34" ht="12.75">
      <c r="H7588" s="43"/>
      <c r="AG7588" s="49" t="str">
        <f ca="1">IFERROR(__xludf.DUMMYFUNCTION("IFNA(vlookup(H7588,IMPORTRANGE(""1vUGwO1n0QQGx9kKbO0_M5gmuhXZ6-LaxQxgrmJnzgP0"",""'TP# look up'!A:C""),3,0),"""")"),"")</f>
        <v/>
      </c>
      <c r="AH7588" s="49" t="str">
        <f t="shared" si="118"/>
        <v/>
      </c>
    </row>
    <row r="7589" spans="8:34" ht="12.75">
      <c r="H7589" s="43"/>
      <c r="AG7589" s="49" t="str">
        <f ca="1">IFERROR(__xludf.DUMMYFUNCTION("IFNA(vlookup(H7589,IMPORTRANGE(""1vUGwO1n0QQGx9kKbO0_M5gmuhXZ6-LaxQxgrmJnzgP0"",""'TP# look up'!A:C""),3,0),"""")"),"")</f>
        <v/>
      </c>
      <c r="AH7589" s="49" t="str">
        <f t="shared" si="118"/>
        <v/>
      </c>
    </row>
    <row r="7590" spans="8:34" ht="12.75">
      <c r="H7590" s="43"/>
      <c r="AG7590" s="49" t="str">
        <f ca="1">IFERROR(__xludf.DUMMYFUNCTION("IFNA(vlookup(H7590,IMPORTRANGE(""1vUGwO1n0QQGx9kKbO0_M5gmuhXZ6-LaxQxgrmJnzgP0"",""'TP# look up'!A:C""),3,0),"""")"),"")</f>
        <v/>
      </c>
      <c r="AH7590" s="49" t="str">
        <f t="shared" si="118"/>
        <v/>
      </c>
    </row>
    <row r="7591" spans="8:34" ht="12.75">
      <c r="H7591" s="43"/>
      <c r="AG7591" s="49" t="str">
        <f ca="1">IFERROR(__xludf.DUMMYFUNCTION("IFNA(vlookup(H7591,IMPORTRANGE(""1vUGwO1n0QQGx9kKbO0_M5gmuhXZ6-LaxQxgrmJnzgP0"",""'TP# look up'!A:C""),3,0),"""")"),"")</f>
        <v/>
      </c>
      <c r="AH7591" s="49" t="str">
        <f t="shared" si="118"/>
        <v/>
      </c>
    </row>
    <row r="7592" spans="8:34" ht="12.75">
      <c r="H7592" s="43"/>
      <c r="AG7592" s="49" t="str">
        <f ca="1">IFERROR(__xludf.DUMMYFUNCTION("IFNA(vlookup(H7592,IMPORTRANGE(""1vUGwO1n0QQGx9kKbO0_M5gmuhXZ6-LaxQxgrmJnzgP0"",""'TP# look up'!A:C""),3,0),"""")"),"")</f>
        <v/>
      </c>
      <c r="AH7592" s="49" t="str">
        <f t="shared" si="118"/>
        <v/>
      </c>
    </row>
    <row r="7593" spans="8:34" ht="12.75">
      <c r="H7593" s="43"/>
      <c r="AG7593" s="49" t="str">
        <f ca="1">IFERROR(__xludf.DUMMYFUNCTION("IFNA(vlookup(H7593,IMPORTRANGE(""1vUGwO1n0QQGx9kKbO0_M5gmuhXZ6-LaxQxgrmJnzgP0"",""'TP# look up'!A:C""),3,0),"""")"),"")</f>
        <v/>
      </c>
      <c r="AH7593" s="49" t="str">
        <f t="shared" si="118"/>
        <v/>
      </c>
    </row>
    <row r="7594" spans="8:34" ht="12.75">
      <c r="H7594" s="43"/>
      <c r="AG7594" s="49" t="str">
        <f ca="1">IFERROR(__xludf.DUMMYFUNCTION("IFNA(vlookup(H7594,IMPORTRANGE(""1vUGwO1n0QQGx9kKbO0_M5gmuhXZ6-LaxQxgrmJnzgP0"",""'TP# look up'!A:C""),3,0),"""")"),"")</f>
        <v/>
      </c>
      <c r="AH7594" s="49" t="str">
        <f t="shared" si="118"/>
        <v/>
      </c>
    </row>
    <row r="7595" spans="8:34" ht="12.75">
      <c r="H7595" s="43"/>
      <c r="AG7595" s="49" t="str">
        <f ca="1">IFERROR(__xludf.DUMMYFUNCTION("IFNA(vlookup(H7595,IMPORTRANGE(""1vUGwO1n0QQGx9kKbO0_M5gmuhXZ6-LaxQxgrmJnzgP0"",""'TP# look up'!A:C""),3,0),"""")"),"")</f>
        <v/>
      </c>
      <c r="AH7595" s="49" t="str">
        <f t="shared" si="118"/>
        <v/>
      </c>
    </row>
    <row r="7596" spans="8:34" ht="12.75">
      <c r="H7596" s="43"/>
      <c r="AG7596" s="49" t="str">
        <f ca="1">IFERROR(__xludf.DUMMYFUNCTION("IFNA(vlookup(H7596,IMPORTRANGE(""1vUGwO1n0QQGx9kKbO0_M5gmuhXZ6-LaxQxgrmJnzgP0"",""'TP# look up'!A:C""),3,0),"""")"),"")</f>
        <v/>
      </c>
      <c r="AH7596" s="49" t="str">
        <f t="shared" si="118"/>
        <v/>
      </c>
    </row>
    <row r="7597" spans="8:34" ht="12.75">
      <c r="H7597" s="43"/>
      <c r="AG7597" s="49" t="str">
        <f ca="1">IFERROR(__xludf.DUMMYFUNCTION("IFNA(vlookup(H7597,IMPORTRANGE(""1vUGwO1n0QQGx9kKbO0_M5gmuhXZ6-LaxQxgrmJnzgP0"",""'TP# look up'!A:C""),3,0),"""")"),"")</f>
        <v/>
      </c>
      <c r="AH7597" s="49" t="str">
        <f t="shared" si="118"/>
        <v/>
      </c>
    </row>
    <row r="7598" spans="8:34" ht="12.75">
      <c r="H7598" s="43"/>
      <c r="AG7598" s="49" t="str">
        <f ca="1">IFERROR(__xludf.DUMMYFUNCTION("IFNA(vlookup(H7598,IMPORTRANGE(""1vUGwO1n0QQGx9kKbO0_M5gmuhXZ6-LaxQxgrmJnzgP0"",""'TP# look up'!A:C""),3,0),"""")"),"")</f>
        <v/>
      </c>
      <c r="AH7598" s="49" t="str">
        <f t="shared" si="118"/>
        <v/>
      </c>
    </row>
    <row r="7599" spans="8:34" ht="12.75">
      <c r="H7599" s="43"/>
      <c r="AG7599" s="49" t="str">
        <f ca="1">IFERROR(__xludf.DUMMYFUNCTION("IFNA(vlookup(H7599,IMPORTRANGE(""1vUGwO1n0QQGx9kKbO0_M5gmuhXZ6-LaxQxgrmJnzgP0"",""'TP# look up'!A:C""),3,0),"""")"),"")</f>
        <v/>
      </c>
      <c r="AH7599" s="49" t="str">
        <f t="shared" si="118"/>
        <v/>
      </c>
    </row>
    <row r="7600" spans="8:34" ht="12.75">
      <c r="H7600" s="43"/>
      <c r="AG7600" s="49" t="str">
        <f ca="1">IFERROR(__xludf.DUMMYFUNCTION("IFNA(vlookup(H7600,IMPORTRANGE(""1vUGwO1n0QQGx9kKbO0_M5gmuhXZ6-LaxQxgrmJnzgP0"",""'TP# look up'!A:C""),3,0),"""")"),"")</f>
        <v/>
      </c>
      <c r="AH7600" s="49" t="str">
        <f t="shared" si="118"/>
        <v/>
      </c>
    </row>
    <row r="7601" spans="8:34" ht="12.75">
      <c r="H7601" s="43"/>
      <c r="AG7601" s="49" t="str">
        <f ca="1">IFERROR(__xludf.DUMMYFUNCTION("IFNA(vlookup(H7601,IMPORTRANGE(""1vUGwO1n0QQGx9kKbO0_M5gmuhXZ6-LaxQxgrmJnzgP0"",""'TP# look up'!A:C""),3,0),"""")"),"")</f>
        <v/>
      </c>
      <c r="AH7601" s="49" t="str">
        <f t="shared" si="118"/>
        <v/>
      </c>
    </row>
    <row r="7602" spans="8:34" ht="12.75">
      <c r="H7602" s="43"/>
      <c r="AG7602" s="49" t="str">
        <f ca="1">IFERROR(__xludf.DUMMYFUNCTION("IFNA(vlookup(H7602,IMPORTRANGE(""1vUGwO1n0QQGx9kKbO0_M5gmuhXZ6-LaxQxgrmJnzgP0"",""'TP# look up'!A:C""),3,0),"""")"),"")</f>
        <v/>
      </c>
      <c r="AH7602" s="49" t="str">
        <f t="shared" si="118"/>
        <v/>
      </c>
    </row>
    <row r="7603" spans="8:34" ht="12.75">
      <c r="H7603" s="43"/>
      <c r="AG7603" s="49" t="str">
        <f ca="1">IFERROR(__xludf.DUMMYFUNCTION("IFNA(vlookup(H7603,IMPORTRANGE(""1vUGwO1n0QQGx9kKbO0_M5gmuhXZ6-LaxQxgrmJnzgP0"",""'TP# look up'!A:C""),3,0),"""")"),"")</f>
        <v/>
      </c>
      <c r="AH7603" s="49" t="str">
        <f t="shared" si="118"/>
        <v/>
      </c>
    </row>
    <row r="7604" spans="8:34" ht="12.75">
      <c r="H7604" s="43"/>
      <c r="AG7604" s="49" t="str">
        <f ca="1">IFERROR(__xludf.DUMMYFUNCTION("IFNA(vlookup(H7604,IMPORTRANGE(""1vUGwO1n0QQGx9kKbO0_M5gmuhXZ6-LaxQxgrmJnzgP0"",""'TP# look up'!A:C""),3,0),"""")"),"")</f>
        <v/>
      </c>
      <c r="AH7604" s="49" t="str">
        <f t="shared" si="118"/>
        <v/>
      </c>
    </row>
    <row r="7605" spans="8:34" ht="12.75">
      <c r="H7605" s="43"/>
      <c r="AG7605" s="49" t="str">
        <f ca="1">IFERROR(__xludf.DUMMYFUNCTION("IFNA(vlookup(H7605,IMPORTRANGE(""1vUGwO1n0QQGx9kKbO0_M5gmuhXZ6-LaxQxgrmJnzgP0"",""'TP# look up'!A:C""),3,0),"""")"),"")</f>
        <v/>
      </c>
      <c r="AH7605" s="49" t="str">
        <f t="shared" si="118"/>
        <v/>
      </c>
    </row>
    <row r="7606" spans="8:34" ht="12.75">
      <c r="H7606" s="43"/>
      <c r="AG7606" s="49" t="str">
        <f ca="1">IFERROR(__xludf.DUMMYFUNCTION("IFNA(vlookup(H7606,IMPORTRANGE(""1vUGwO1n0QQGx9kKbO0_M5gmuhXZ6-LaxQxgrmJnzgP0"",""'TP# look up'!A:C""),3,0),"""")"),"")</f>
        <v/>
      </c>
      <c r="AH7606" s="49" t="str">
        <f t="shared" si="118"/>
        <v/>
      </c>
    </row>
    <row r="7607" spans="8:34" ht="12.75">
      <c r="H7607" s="43"/>
      <c r="AG7607" s="49" t="str">
        <f ca="1">IFERROR(__xludf.DUMMYFUNCTION("IFNA(vlookup(H7607,IMPORTRANGE(""1vUGwO1n0QQGx9kKbO0_M5gmuhXZ6-LaxQxgrmJnzgP0"",""'TP# look up'!A:C""),3,0),"""")"),"")</f>
        <v/>
      </c>
      <c r="AH7607" s="49" t="str">
        <f t="shared" si="118"/>
        <v/>
      </c>
    </row>
    <row r="7608" spans="8:34" ht="12.75">
      <c r="H7608" s="43"/>
      <c r="AG7608" s="49" t="str">
        <f ca="1">IFERROR(__xludf.DUMMYFUNCTION("IFNA(vlookup(H7608,IMPORTRANGE(""1vUGwO1n0QQGx9kKbO0_M5gmuhXZ6-LaxQxgrmJnzgP0"",""'TP# look up'!A:C""),3,0),"""")"),"")</f>
        <v/>
      </c>
      <c r="AH7608" s="49" t="str">
        <f t="shared" si="118"/>
        <v/>
      </c>
    </row>
    <row r="7609" spans="8:34" ht="12.75">
      <c r="H7609" s="43"/>
      <c r="AG7609" s="49" t="str">
        <f ca="1">IFERROR(__xludf.DUMMYFUNCTION("IFNA(vlookup(H7609,IMPORTRANGE(""1vUGwO1n0QQGx9kKbO0_M5gmuhXZ6-LaxQxgrmJnzgP0"",""'TP# look up'!A:C""),3,0),"""")"),"")</f>
        <v/>
      </c>
      <c r="AH7609" s="49" t="str">
        <f t="shared" si="118"/>
        <v/>
      </c>
    </row>
    <row r="7610" spans="8:34" ht="12.75">
      <c r="H7610" s="43"/>
      <c r="AG7610" s="49" t="str">
        <f ca="1">IFERROR(__xludf.DUMMYFUNCTION("IFNA(vlookup(H7610,IMPORTRANGE(""1vUGwO1n0QQGx9kKbO0_M5gmuhXZ6-LaxQxgrmJnzgP0"",""'TP# look up'!A:C""),3,0),"""")"),"")</f>
        <v/>
      </c>
      <c r="AH7610" s="49" t="str">
        <f t="shared" si="118"/>
        <v/>
      </c>
    </row>
    <row r="7611" spans="8:34" ht="12.75">
      <c r="H7611" s="43"/>
      <c r="AG7611" s="49" t="str">
        <f ca="1">IFERROR(__xludf.DUMMYFUNCTION("IFNA(vlookup(H7611,IMPORTRANGE(""1vUGwO1n0QQGx9kKbO0_M5gmuhXZ6-LaxQxgrmJnzgP0"",""'TP# look up'!A:C""),3,0),"""")"),"")</f>
        <v/>
      </c>
      <c r="AH7611" s="49" t="str">
        <f t="shared" si="118"/>
        <v/>
      </c>
    </row>
    <row r="7612" spans="8:34" ht="12.75">
      <c r="H7612" s="43"/>
      <c r="AG7612" s="49" t="str">
        <f ca="1">IFERROR(__xludf.DUMMYFUNCTION("IFNA(vlookup(H7612,IMPORTRANGE(""1vUGwO1n0QQGx9kKbO0_M5gmuhXZ6-LaxQxgrmJnzgP0"",""'TP# look up'!A:C""),3,0),"""")"),"")</f>
        <v/>
      </c>
      <c r="AH7612" s="49" t="str">
        <f t="shared" si="118"/>
        <v/>
      </c>
    </row>
    <row r="7613" spans="8:34" ht="12.75">
      <c r="H7613" s="43"/>
      <c r="AG7613" s="49" t="str">
        <f ca="1">IFERROR(__xludf.DUMMYFUNCTION("IFNA(vlookup(H7613,IMPORTRANGE(""1vUGwO1n0QQGx9kKbO0_M5gmuhXZ6-LaxQxgrmJnzgP0"",""'TP# look up'!A:C""),3,0),"""")"),"")</f>
        <v/>
      </c>
      <c r="AH7613" s="49" t="str">
        <f t="shared" si="118"/>
        <v/>
      </c>
    </row>
    <row r="7614" spans="8:34" ht="12.75">
      <c r="H7614" s="43"/>
      <c r="AG7614" s="49" t="str">
        <f ca="1">IFERROR(__xludf.DUMMYFUNCTION("IFNA(vlookup(H7614,IMPORTRANGE(""1vUGwO1n0QQGx9kKbO0_M5gmuhXZ6-LaxQxgrmJnzgP0"",""'TP# look up'!A:C""),3,0),"""")"),"")</f>
        <v/>
      </c>
      <c r="AH7614" s="49" t="str">
        <f t="shared" si="118"/>
        <v/>
      </c>
    </row>
    <row r="7615" spans="8:34" ht="12.75">
      <c r="H7615" s="43"/>
      <c r="AG7615" s="49" t="str">
        <f ca="1">IFERROR(__xludf.DUMMYFUNCTION("IFNA(vlookup(H7615,IMPORTRANGE(""1vUGwO1n0QQGx9kKbO0_M5gmuhXZ6-LaxQxgrmJnzgP0"",""'TP# look up'!A:C""),3,0),"""")"),"")</f>
        <v/>
      </c>
      <c r="AH7615" s="49" t="str">
        <f t="shared" si="118"/>
        <v/>
      </c>
    </row>
    <row r="7616" spans="8:34" ht="12.75">
      <c r="H7616" s="43"/>
      <c r="AG7616" s="49" t="str">
        <f ca="1">IFERROR(__xludf.DUMMYFUNCTION("IFNA(vlookup(H7616,IMPORTRANGE(""1vUGwO1n0QQGx9kKbO0_M5gmuhXZ6-LaxQxgrmJnzgP0"",""'TP# look up'!A:C""),3,0),"""")"),"")</f>
        <v/>
      </c>
      <c r="AH7616" s="49" t="str">
        <f t="shared" si="118"/>
        <v/>
      </c>
    </row>
    <row r="7617" spans="8:34" ht="12.75">
      <c r="H7617" s="43"/>
      <c r="AG7617" s="49" t="str">
        <f ca="1">IFERROR(__xludf.DUMMYFUNCTION("IFNA(vlookup(H7617,IMPORTRANGE(""1vUGwO1n0QQGx9kKbO0_M5gmuhXZ6-LaxQxgrmJnzgP0"",""'TP# look up'!A:C""),3,0),"""")"),"")</f>
        <v/>
      </c>
      <c r="AH7617" s="49" t="str">
        <f t="shared" si="118"/>
        <v/>
      </c>
    </row>
    <row r="7618" spans="8:34" ht="12.75">
      <c r="H7618" s="43"/>
      <c r="AG7618" s="49" t="str">
        <f ca="1">IFERROR(__xludf.DUMMYFUNCTION("IFNA(vlookup(H7618,IMPORTRANGE(""1vUGwO1n0QQGx9kKbO0_M5gmuhXZ6-LaxQxgrmJnzgP0"",""'TP# look up'!A:C""),3,0),"""")"),"")</f>
        <v/>
      </c>
      <c r="AH7618" s="49" t="str">
        <f t="shared" ref="AH7618:AH7681" si="119">LEFT(J7618,2)</f>
        <v/>
      </c>
    </row>
    <row r="7619" spans="8:34" ht="12.75">
      <c r="H7619" s="43"/>
      <c r="AG7619" s="49" t="str">
        <f ca="1">IFERROR(__xludf.DUMMYFUNCTION("IFNA(vlookup(H7619,IMPORTRANGE(""1vUGwO1n0QQGx9kKbO0_M5gmuhXZ6-LaxQxgrmJnzgP0"",""'TP# look up'!A:C""),3,0),"""")"),"")</f>
        <v/>
      </c>
      <c r="AH7619" s="49" t="str">
        <f t="shared" si="119"/>
        <v/>
      </c>
    </row>
    <row r="7620" spans="8:34" ht="12.75">
      <c r="H7620" s="43"/>
      <c r="AG7620" s="49" t="str">
        <f ca="1">IFERROR(__xludf.DUMMYFUNCTION("IFNA(vlookup(H7620,IMPORTRANGE(""1vUGwO1n0QQGx9kKbO0_M5gmuhXZ6-LaxQxgrmJnzgP0"",""'TP# look up'!A:C""),3,0),"""")"),"")</f>
        <v/>
      </c>
      <c r="AH7620" s="49" t="str">
        <f t="shared" si="119"/>
        <v/>
      </c>
    </row>
    <row r="7621" spans="8:34" ht="12.75">
      <c r="H7621" s="43"/>
      <c r="AG7621" s="49" t="str">
        <f ca="1">IFERROR(__xludf.DUMMYFUNCTION("IFNA(vlookup(H7621,IMPORTRANGE(""1vUGwO1n0QQGx9kKbO0_M5gmuhXZ6-LaxQxgrmJnzgP0"",""'TP# look up'!A:C""),3,0),"""")"),"")</f>
        <v/>
      </c>
      <c r="AH7621" s="49" t="str">
        <f t="shared" si="119"/>
        <v/>
      </c>
    </row>
    <row r="7622" spans="8:34" ht="12.75">
      <c r="H7622" s="43"/>
      <c r="AG7622" s="49" t="str">
        <f ca="1">IFERROR(__xludf.DUMMYFUNCTION("IFNA(vlookup(H7622,IMPORTRANGE(""1vUGwO1n0QQGx9kKbO0_M5gmuhXZ6-LaxQxgrmJnzgP0"",""'TP# look up'!A:C""),3,0),"""")"),"")</f>
        <v/>
      </c>
      <c r="AH7622" s="49" t="str">
        <f t="shared" si="119"/>
        <v/>
      </c>
    </row>
    <row r="7623" spans="8:34" ht="12.75">
      <c r="H7623" s="43"/>
      <c r="AG7623" s="49" t="str">
        <f ca="1">IFERROR(__xludf.DUMMYFUNCTION("IFNA(vlookup(H7623,IMPORTRANGE(""1vUGwO1n0QQGx9kKbO0_M5gmuhXZ6-LaxQxgrmJnzgP0"",""'TP# look up'!A:C""),3,0),"""")"),"")</f>
        <v/>
      </c>
      <c r="AH7623" s="49" t="str">
        <f t="shared" si="119"/>
        <v/>
      </c>
    </row>
    <row r="7624" spans="8:34" ht="12.75">
      <c r="H7624" s="43"/>
      <c r="AG7624" s="49" t="str">
        <f ca="1">IFERROR(__xludf.DUMMYFUNCTION("IFNA(vlookup(H7624,IMPORTRANGE(""1vUGwO1n0QQGx9kKbO0_M5gmuhXZ6-LaxQxgrmJnzgP0"",""'TP# look up'!A:C""),3,0),"""")"),"")</f>
        <v/>
      </c>
      <c r="AH7624" s="49" t="str">
        <f t="shared" si="119"/>
        <v/>
      </c>
    </row>
    <row r="7625" spans="8:34" ht="12.75">
      <c r="H7625" s="43"/>
      <c r="AG7625" s="49" t="str">
        <f ca="1">IFERROR(__xludf.DUMMYFUNCTION("IFNA(vlookup(H7625,IMPORTRANGE(""1vUGwO1n0QQGx9kKbO0_M5gmuhXZ6-LaxQxgrmJnzgP0"",""'TP# look up'!A:C""),3,0),"""")"),"")</f>
        <v/>
      </c>
      <c r="AH7625" s="49" t="str">
        <f t="shared" si="119"/>
        <v/>
      </c>
    </row>
    <row r="7626" spans="8:34" ht="12.75">
      <c r="H7626" s="43"/>
      <c r="AG7626" s="49" t="str">
        <f ca="1">IFERROR(__xludf.DUMMYFUNCTION("IFNA(vlookup(H7626,IMPORTRANGE(""1vUGwO1n0QQGx9kKbO0_M5gmuhXZ6-LaxQxgrmJnzgP0"",""'TP# look up'!A:C""),3,0),"""")"),"")</f>
        <v/>
      </c>
      <c r="AH7626" s="49" t="str">
        <f t="shared" si="119"/>
        <v/>
      </c>
    </row>
    <row r="7627" spans="8:34" ht="12.75">
      <c r="H7627" s="43"/>
      <c r="AG7627" s="49" t="str">
        <f ca="1">IFERROR(__xludf.DUMMYFUNCTION("IFNA(vlookup(H7627,IMPORTRANGE(""1vUGwO1n0QQGx9kKbO0_M5gmuhXZ6-LaxQxgrmJnzgP0"",""'TP# look up'!A:C""),3,0),"""")"),"")</f>
        <v/>
      </c>
      <c r="AH7627" s="49" t="str">
        <f t="shared" si="119"/>
        <v/>
      </c>
    </row>
    <row r="7628" spans="8:34" ht="12.75">
      <c r="H7628" s="43"/>
      <c r="AG7628" s="49" t="str">
        <f ca="1">IFERROR(__xludf.DUMMYFUNCTION("IFNA(vlookup(H7628,IMPORTRANGE(""1vUGwO1n0QQGx9kKbO0_M5gmuhXZ6-LaxQxgrmJnzgP0"",""'TP# look up'!A:C""),3,0),"""")"),"")</f>
        <v/>
      </c>
      <c r="AH7628" s="49" t="str">
        <f t="shared" si="119"/>
        <v/>
      </c>
    </row>
    <row r="7629" spans="8:34" ht="12.75">
      <c r="H7629" s="43"/>
      <c r="AG7629" s="49" t="str">
        <f ca="1">IFERROR(__xludf.DUMMYFUNCTION("IFNA(vlookup(H7629,IMPORTRANGE(""1vUGwO1n0QQGx9kKbO0_M5gmuhXZ6-LaxQxgrmJnzgP0"",""'TP# look up'!A:C""),3,0),"""")"),"")</f>
        <v/>
      </c>
      <c r="AH7629" s="49" t="str">
        <f t="shared" si="119"/>
        <v/>
      </c>
    </row>
    <row r="7630" spans="8:34" ht="12.75">
      <c r="H7630" s="43"/>
      <c r="AG7630" s="49" t="str">
        <f ca="1">IFERROR(__xludf.DUMMYFUNCTION("IFNA(vlookup(H7630,IMPORTRANGE(""1vUGwO1n0QQGx9kKbO0_M5gmuhXZ6-LaxQxgrmJnzgP0"",""'TP# look up'!A:C""),3,0),"""")"),"")</f>
        <v/>
      </c>
      <c r="AH7630" s="49" t="str">
        <f t="shared" si="119"/>
        <v/>
      </c>
    </row>
    <row r="7631" spans="8:34" ht="12.75">
      <c r="H7631" s="43"/>
      <c r="AG7631" s="49" t="str">
        <f ca="1">IFERROR(__xludf.DUMMYFUNCTION("IFNA(vlookup(H7631,IMPORTRANGE(""1vUGwO1n0QQGx9kKbO0_M5gmuhXZ6-LaxQxgrmJnzgP0"",""'TP# look up'!A:C""),3,0),"""")"),"")</f>
        <v/>
      </c>
      <c r="AH7631" s="49" t="str">
        <f t="shared" si="119"/>
        <v/>
      </c>
    </row>
    <row r="7632" spans="8:34" ht="12.75">
      <c r="H7632" s="43"/>
      <c r="AG7632" s="49" t="str">
        <f ca="1">IFERROR(__xludf.DUMMYFUNCTION("IFNA(vlookup(H7632,IMPORTRANGE(""1vUGwO1n0QQGx9kKbO0_M5gmuhXZ6-LaxQxgrmJnzgP0"",""'TP# look up'!A:C""),3,0),"""")"),"")</f>
        <v/>
      </c>
      <c r="AH7632" s="49" t="str">
        <f t="shared" si="119"/>
        <v/>
      </c>
    </row>
    <row r="7633" spans="8:34" ht="12.75">
      <c r="H7633" s="43"/>
      <c r="AG7633" s="49" t="str">
        <f ca="1">IFERROR(__xludf.DUMMYFUNCTION("IFNA(vlookup(H7633,IMPORTRANGE(""1vUGwO1n0QQGx9kKbO0_M5gmuhXZ6-LaxQxgrmJnzgP0"",""'TP# look up'!A:C""),3,0),"""")"),"")</f>
        <v/>
      </c>
      <c r="AH7633" s="49" t="str">
        <f t="shared" si="119"/>
        <v/>
      </c>
    </row>
    <row r="7634" spans="8:34" ht="12.75">
      <c r="H7634" s="43"/>
      <c r="AG7634" s="49" t="str">
        <f ca="1">IFERROR(__xludf.DUMMYFUNCTION("IFNA(vlookup(H7634,IMPORTRANGE(""1vUGwO1n0QQGx9kKbO0_M5gmuhXZ6-LaxQxgrmJnzgP0"",""'TP# look up'!A:C""),3,0),"""")"),"")</f>
        <v/>
      </c>
      <c r="AH7634" s="49" t="str">
        <f t="shared" si="119"/>
        <v/>
      </c>
    </row>
    <row r="7635" spans="8:34" ht="12.75">
      <c r="H7635" s="43"/>
      <c r="AG7635" s="49" t="str">
        <f ca="1">IFERROR(__xludf.DUMMYFUNCTION("IFNA(vlookup(H7635,IMPORTRANGE(""1vUGwO1n0QQGx9kKbO0_M5gmuhXZ6-LaxQxgrmJnzgP0"",""'TP# look up'!A:C""),3,0),"""")"),"")</f>
        <v/>
      </c>
      <c r="AH7635" s="49" t="str">
        <f t="shared" si="119"/>
        <v/>
      </c>
    </row>
    <row r="7636" spans="8:34" ht="12.75">
      <c r="H7636" s="43"/>
      <c r="AG7636" s="49" t="str">
        <f ca="1">IFERROR(__xludf.DUMMYFUNCTION("IFNA(vlookup(H7636,IMPORTRANGE(""1vUGwO1n0QQGx9kKbO0_M5gmuhXZ6-LaxQxgrmJnzgP0"",""'TP# look up'!A:C""),3,0),"""")"),"")</f>
        <v/>
      </c>
      <c r="AH7636" s="49" t="str">
        <f t="shared" si="119"/>
        <v/>
      </c>
    </row>
    <row r="7637" spans="8:34" ht="12.75">
      <c r="H7637" s="43"/>
      <c r="AG7637" s="49" t="str">
        <f ca="1">IFERROR(__xludf.DUMMYFUNCTION("IFNA(vlookup(H7637,IMPORTRANGE(""1vUGwO1n0QQGx9kKbO0_M5gmuhXZ6-LaxQxgrmJnzgP0"",""'TP# look up'!A:C""),3,0),"""")"),"")</f>
        <v/>
      </c>
      <c r="AH7637" s="49" t="str">
        <f t="shared" si="119"/>
        <v/>
      </c>
    </row>
    <row r="7638" spans="8:34" ht="12.75">
      <c r="H7638" s="43"/>
      <c r="AG7638" s="49" t="str">
        <f ca="1">IFERROR(__xludf.DUMMYFUNCTION("IFNA(vlookup(H7638,IMPORTRANGE(""1vUGwO1n0QQGx9kKbO0_M5gmuhXZ6-LaxQxgrmJnzgP0"",""'TP# look up'!A:C""),3,0),"""")"),"")</f>
        <v/>
      </c>
      <c r="AH7638" s="49" t="str">
        <f t="shared" si="119"/>
        <v/>
      </c>
    </row>
    <row r="7639" spans="8:34" ht="12.75">
      <c r="H7639" s="43"/>
      <c r="AG7639" s="49" t="str">
        <f ca="1">IFERROR(__xludf.DUMMYFUNCTION("IFNA(vlookup(H7639,IMPORTRANGE(""1vUGwO1n0QQGx9kKbO0_M5gmuhXZ6-LaxQxgrmJnzgP0"",""'TP# look up'!A:C""),3,0),"""")"),"")</f>
        <v/>
      </c>
      <c r="AH7639" s="49" t="str">
        <f t="shared" si="119"/>
        <v/>
      </c>
    </row>
    <row r="7640" spans="8:34" ht="12.75">
      <c r="H7640" s="43"/>
      <c r="AG7640" s="49" t="str">
        <f ca="1">IFERROR(__xludf.DUMMYFUNCTION("IFNA(vlookup(H7640,IMPORTRANGE(""1vUGwO1n0QQGx9kKbO0_M5gmuhXZ6-LaxQxgrmJnzgP0"",""'TP# look up'!A:C""),3,0),"""")"),"")</f>
        <v/>
      </c>
      <c r="AH7640" s="49" t="str">
        <f t="shared" si="119"/>
        <v/>
      </c>
    </row>
    <row r="7641" spans="8:34" ht="12.75">
      <c r="H7641" s="43"/>
      <c r="AG7641" s="49" t="str">
        <f ca="1">IFERROR(__xludf.DUMMYFUNCTION("IFNA(vlookup(H7641,IMPORTRANGE(""1vUGwO1n0QQGx9kKbO0_M5gmuhXZ6-LaxQxgrmJnzgP0"",""'TP# look up'!A:C""),3,0),"""")"),"")</f>
        <v/>
      </c>
      <c r="AH7641" s="49" t="str">
        <f t="shared" si="119"/>
        <v/>
      </c>
    </row>
    <row r="7642" spans="8:34" ht="12.75">
      <c r="H7642" s="43"/>
      <c r="AG7642" s="49" t="str">
        <f ca="1">IFERROR(__xludf.DUMMYFUNCTION("IFNA(vlookup(H7642,IMPORTRANGE(""1vUGwO1n0QQGx9kKbO0_M5gmuhXZ6-LaxQxgrmJnzgP0"",""'TP# look up'!A:C""),3,0),"""")"),"")</f>
        <v/>
      </c>
      <c r="AH7642" s="49" t="str">
        <f t="shared" si="119"/>
        <v/>
      </c>
    </row>
    <row r="7643" spans="8:34" ht="12.75">
      <c r="H7643" s="43"/>
      <c r="AG7643" s="49" t="str">
        <f ca="1">IFERROR(__xludf.DUMMYFUNCTION("IFNA(vlookup(H7643,IMPORTRANGE(""1vUGwO1n0QQGx9kKbO0_M5gmuhXZ6-LaxQxgrmJnzgP0"",""'TP# look up'!A:C""),3,0),"""")"),"")</f>
        <v/>
      </c>
      <c r="AH7643" s="49" t="str">
        <f t="shared" si="119"/>
        <v/>
      </c>
    </row>
    <row r="7644" spans="8:34" ht="12.75">
      <c r="H7644" s="43"/>
      <c r="AG7644" s="49" t="str">
        <f ca="1">IFERROR(__xludf.DUMMYFUNCTION("IFNA(vlookup(H7644,IMPORTRANGE(""1vUGwO1n0QQGx9kKbO0_M5gmuhXZ6-LaxQxgrmJnzgP0"",""'TP# look up'!A:C""),3,0),"""")"),"")</f>
        <v/>
      </c>
      <c r="AH7644" s="49" t="str">
        <f t="shared" si="119"/>
        <v/>
      </c>
    </row>
    <row r="7645" spans="8:34" ht="12.75">
      <c r="H7645" s="43"/>
      <c r="AG7645" s="49" t="str">
        <f ca="1">IFERROR(__xludf.DUMMYFUNCTION("IFNA(vlookup(H7645,IMPORTRANGE(""1vUGwO1n0QQGx9kKbO0_M5gmuhXZ6-LaxQxgrmJnzgP0"",""'TP# look up'!A:C""),3,0),"""")"),"")</f>
        <v/>
      </c>
      <c r="AH7645" s="49" t="str">
        <f t="shared" si="119"/>
        <v/>
      </c>
    </row>
    <row r="7646" spans="8:34" ht="12.75">
      <c r="H7646" s="43"/>
      <c r="AG7646" s="49" t="str">
        <f ca="1">IFERROR(__xludf.DUMMYFUNCTION("IFNA(vlookup(H7646,IMPORTRANGE(""1vUGwO1n0QQGx9kKbO0_M5gmuhXZ6-LaxQxgrmJnzgP0"",""'TP# look up'!A:C""),3,0),"""")"),"")</f>
        <v/>
      </c>
      <c r="AH7646" s="49" t="str">
        <f t="shared" si="119"/>
        <v/>
      </c>
    </row>
    <row r="7647" spans="8:34" ht="12.75">
      <c r="H7647" s="43"/>
      <c r="AG7647" s="49" t="str">
        <f ca="1">IFERROR(__xludf.DUMMYFUNCTION("IFNA(vlookup(H7647,IMPORTRANGE(""1vUGwO1n0QQGx9kKbO0_M5gmuhXZ6-LaxQxgrmJnzgP0"",""'TP# look up'!A:C""),3,0),"""")"),"")</f>
        <v/>
      </c>
      <c r="AH7647" s="49" t="str">
        <f t="shared" si="119"/>
        <v/>
      </c>
    </row>
    <row r="7648" spans="8:34" ht="12.75">
      <c r="H7648" s="43"/>
      <c r="AG7648" s="49" t="str">
        <f ca="1">IFERROR(__xludf.DUMMYFUNCTION("IFNA(vlookup(H7648,IMPORTRANGE(""1vUGwO1n0QQGx9kKbO0_M5gmuhXZ6-LaxQxgrmJnzgP0"",""'TP# look up'!A:C""),3,0),"""")"),"")</f>
        <v/>
      </c>
      <c r="AH7648" s="49" t="str">
        <f t="shared" si="119"/>
        <v/>
      </c>
    </row>
    <row r="7649" spans="8:34" ht="12.75">
      <c r="H7649" s="43"/>
      <c r="AG7649" s="49" t="str">
        <f ca="1">IFERROR(__xludf.DUMMYFUNCTION("IFNA(vlookup(H7649,IMPORTRANGE(""1vUGwO1n0QQGx9kKbO0_M5gmuhXZ6-LaxQxgrmJnzgP0"",""'TP# look up'!A:C""),3,0),"""")"),"")</f>
        <v/>
      </c>
      <c r="AH7649" s="49" t="str">
        <f t="shared" si="119"/>
        <v/>
      </c>
    </row>
    <row r="7650" spans="8:34" ht="12.75">
      <c r="H7650" s="43"/>
      <c r="AG7650" s="49" t="str">
        <f ca="1">IFERROR(__xludf.DUMMYFUNCTION("IFNA(vlookup(H7650,IMPORTRANGE(""1vUGwO1n0QQGx9kKbO0_M5gmuhXZ6-LaxQxgrmJnzgP0"",""'TP# look up'!A:C""),3,0),"""")"),"")</f>
        <v/>
      </c>
      <c r="AH7650" s="49" t="str">
        <f t="shared" si="119"/>
        <v/>
      </c>
    </row>
    <row r="7651" spans="8:34" ht="12.75">
      <c r="H7651" s="43"/>
      <c r="AG7651" s="49" t="str">
        <f ca="1">IFERROR(__xludf.DUMMYFUNCTION("IFNA(vlookup(H7651,IMPORTRANGE(""1vUGwO1n0QQGx9kKbO0_M5gmuhXZ6-LaxQxgrmJnzgP0"",""'TP# look up'!A:C""),3,0),"""")"),"")</f>
        <v/>
      </c>
      <c r="AH7651" s="49" t="str">
        <f t="shared" si="119"/>
        <v/>
      </c>
    </row>
    <row r="7652" spans="8:34" ht="12.75">
      <c r="H7652" s="43"/>
      <c r="AG7652" s="49" t="str">
        <f ca="1">IFERROR(__xludf.DUMMYFUNCTION("IFNA(vlookup(H7652,IMPORTRANGE(""1vUGwO1n0QQGx9kKbO0_M5gmuhXZ6-LaxQxgrmJnzgP0"",""'TP# look up'!A:C""),3,0),"""")"),"")</f>
        <v/>
      </c>
      <c r="AH7652" s="49" t="str">
        <f t="shared" si="119"/>
        <v/>
      </c>
    </row>
    <row r="7653" spans="8:34" ht="12.75">
      <c r="H7653" s="43"/>
      <c r="AG7653" s="49" t="str">
        <f ca="1">IFERROR(__xludf.DUMMYFUNCTION("IFNA(vlookup(H7653,IMPORTRANGE(""1vUGwO1n0QQGx9kKbO0_M5gmuhXZ6-LaxQxgrmJnzgP0"",""'TP# look up'!A:C""),3,0),"""")"),"")</f>
        <v/>
      </c>
      <c r="AH7653" s="49" t="str">
        <f t="shared" si="119"/>
        <v/>
      </c>
    </row>
    <row r="7654" spans="8:34" ht="12.75">
      <c r="H7654" s="43"/>
      <c r="AG7654" s="49" t="str">
        <f ca="1">IFERROR(__xludf.DUMMYFUNCTION("IFNA(vlookup(H7654,IMPORTRANGE(""1vUGwO1n0QQGx9kKbO0_M5gmuhXZ6-LaxQxgrmJnzgP0"",""'TP# look up'!A:C""),3,0),"""")"),"")</f>
        <v/>
      </c>
      <c r="AH7654" s="49" t="str">
        <f t="shared" si="119"/>
        <v/>
      </c>
    </row>
    <row r="7655" spans="8:34" ht="12.75">
      <c r="H7655" s="43"/>
      <c r="AG7655" s="49" t="str">
        <f ca="1">IFERROR(__xludf.DUMMYFUNCTION("IFNA(vlookup(H7655,IMPORTRANGE(""1vUGwO1n0QQGx9kKbO0_M5gmuhXZ6-LaxQxgrmJnzgP0"",""'TP# look up'!A:C""),3,0),"""")"),"")</f>
        <v/>
      </c>
      <c r="AH7655" s="49" t="str">
        <f t="shared" si="119"/>
        <v/>
      </c>
    </row>
    <row r="7656" spans="8:34" ht="12.75">
      <c r="H7656" s="43"/>
      <c r="AG7656" s="49" t="str">
        <f ca="1">IFERROR(__xludf.DUMMYFUNCTION("IFNA(vlookup(H7656,IMPORTRANGE(""1vUGwO1n0QQGx9kKbO0_M5gmuhXZ6-LaxQxgrmJnzgP0"",""'TP# look up'!A:C""),3,0),"""")"),"")</f>
        <v/>
      </c>
      <c r="AH7656" s="49" t="str">
        <f t="shared" si="119"/>
        <v/>
      </c>
    </row>
    <row r="7657" spans="8:34" ht="12.75">
      <c r="H7657" s="43"/>
      <c r="AG7657" s="49" t="str">
        <f ca="1">IFERROR(__xludf.DUMMYFUNCTION("IFNA(vlookup(H7657,IMPORTRANGE(""1vUGwO1n0QQGx9kKbO0_M5gmuhXZ6-LaxQxgrmJnzgP0"",""'TP# look up'!A:C""),3,0),"""")"),"")</f>
        <v/>
      </c>
      <c r="AH7657" s="49" t="str">
        <f t="shared" si="119"/>
        <v/>
      </c>
    </row>
    <row r="7658" spans="8:34" ht="12.75">
      <c r="H7658" s="43"/>
      <c r="AG7658" s="49" t="str">
        <f ca="1">IFERROR(__xludf.DUMMYFUNCTION("IFNA(vlookup(H7658,IMPORTRANGE(""1vUGwO1n0QQGx9kKbO0_M5gmuhXZ6-LaxQxgrmJnzgP0"",""'TP# look up'!A:C""),3,0),"""")"),"")</f>
        <v/>
      </c>
      <c r="AH7658" s="49" t="str">
        <f t="shared" si="119"/>
        <v/>
      </c>
    </row>
    <row r="7659" spans="8:34" ht="12.75">
      <c r="H7659" s="43"/>
      <c r="AG7659" s="49" t="str">
        <f ca="1">IFERROR(__xludf.DUMMYFUNCTION("IFNA(vlookup(H7659,IMPORTRANGE(""1vUGwO1n0QQGx9kKbO0_M5gmuhXZ6-LaxQxgrmJnzgP0"",""'TP# look up'!A:C""),3,0),"""")"),"")</f>
        <v/>
      </c>
      <c r="AH7659" s="49" t="str">
        <f t="shared" si="119"/>
        <v/>
      </c>
    </row>
    <row r="7660" spans="8:34" ht="12.75">
      <c r="H7660" s="43"/>
      <c r="AG7660" s="49" t="str">
        <f ca="1">IFERROR(__xludf.DUMMYFUNCTION("IFNA(vlookup(H7660,IMPORTRANGE(""1vUGwO1n0QQGx9kKbO0_M5gmuhXZ6-LaxQxgrmJnzgP0"",""'TP# look up'!A:C""),3,0),"""")"),"")</f>
        <v/>
      </c>
      <c r="AH7660" s="49" t="str">
        <f t="shared" si="119"/>
        <v/>
      </c>
    </row>
    <row r="7661" spans="8:34" ht="12.75">
      <c r="H7661" s="43"/>
      <c r="AG7661" s="49" t="str">
        <f ca="1">IFERROR(__xludf.DUMMYFUNCTION("IFNA(vlookup(H7661,IMPORTRANGE(""1vUGwO1n0QQGx9kKbO0_M5gmuhXZ6-LaxQxgrmJnzgP0"",""'TP# look up'!A:C""),3,0),"""")"),"")</f>
        <v/>
      </c>
      <c r="AH7661" s="49" t="str">
        <f t="shared" si="119"/>
        <v/>
      </c>
    </row>
    <row r="7662" spans="8:34" ht="12.75">
      <c r="H7662" s="43"/>
      <c r="AG7662" s="49" t="str">
        <f ca="1">IFERROR(__xludf.DUMMYFUNCTION("IFNA(vlookup(H7662,IMPORTRANGE(""1vUGwO1n0QQGx9kKbO0_M5gmuhXZ6-LaxQxgrmJnzgP0"",""'TP# look up'!A:C""),3,0),"""")"),"")</f>
        <v/>
      </c>
      <c r="AH7662" s="49" t="str">
        <f t="shared" si="119"/>
        <v/>
      </c>
    </row>
    <row r="7663" spans="8:34" ht="12.75">
      <c r="H7663" s="43"/>
      <c r="AG7663" s="49" t="str">
        <f ca="1">IFERROR(__xludf.DUMMYFUNCTION("IFNA(vlookup(H7663,IMPORTRANGE(""1vUGwO1n0QQGx9kKbO0_M5gmuhXZ6-LaxQxgrmJnzgP0"",""'TP# look up'!A:C""),3,0),"""")"),"")</f>
        <v/>
      </c>
      <c r="AH7663" s="49" t="str">
        <f t="shared" si="119"/>
        <v/>
      </c>
    </row>
    <row r="7664" spans="8:34" ht="12.75">
      <c r="H7664" s="43"/>
      <c r="AG7664" s="49" t="str">
        <f ca="1">IFERROR(__xludf.DUMMYFUNCTION("IFNA(vlookup(H7664,IMPORTRANGE(""1vUGwO1n0QQGx9kKbO0_M5gmuhXZ6-LaxQxgrmJnzgP0"",""'TP# look up'!A:C""),3,0),"""")"),"")</f>
        <v/>
      </c>
      <c r="AH7664" s="49" t="str">
        <f t="shared" si="119"/>
        <v/>
      </c>
    </row>
    <row r="7665" spans="8:34" ht="12.75">
      <c r="H7665" s="43"/>
      <c r="AG7665" s="49" t="str">
        <f ca="1">IFERROR(__xludf.DUMMYFUNCTION("IFNA(vlookup(H7665,IMPORTRANGE(""1vUGwO1n0QQGx9kKbO0_M5gmuhXZ6-LaxQxgrmJnzgP0"",""'TP# look up'!A:C""),3,0),"""")"),"")</f>
        <v/>
      </c>
      <c r="AH7665" s="49" t="str">
        <f t="shared" si="119"/>
        <v/>
      </c>
    </row>
    <row r="7666" spans="8:34" ht="12.75">
      <c r="H7666" s="43"/>
      <c r="AG7666" s="49" t="str">
        <f ca="1">IFERROR(__xludf.DUMMYFUNCTION("IFNA(vlookup(H7666,IMPORTRANGE(""1vUGwO1n0QQGx9kKbO0_M5gmuhXZ6-LaxQxgrmJnzgP0"",""'TP# look up'!A:C""),3,0),"""")"),"")</f>
        <v/>
      </c>
      <c r="AH7666" s="49" t="str">
        <f t="shared" si="119"/>
        <v/>
      </c>
    </row>
    <row r="7667" spans="8:34" ht="12.75">
      <c r="H7667" s="43"/>
      <c r="AG7667" s="49" t="str">
        <f ca="1">IFERROR(__xludf.DUMMYFUNCTION("IFNA(vlookup(H7667,IMPORTRANGE(""1vUGwO1n0QQGx9kKbO0_M5gmuhXZ6-LaxQxgrmJnzgP0"",""'TP# look up'!A:C""),3,0),"""")"),"")</f>
        <v/>
      </c>
      <c r="AH7667" s="49" t="str">
        <f t="shared" si="119"/>
        <v/>
      </c>
    </row>
    <row r="7668" spans="8:34" ht="12.75">
      <c r="H7668" s="43"/>
      <c r="AG7668" s="49" t="str">
        <f ca="1">IFERROR(__xludf.DUMMYFUNCTION("IFNA(vlookup(H7668,IMPORTRANGE(""1vUGwO1n0QQGx9kKbO0_M5gmuhXZ6-LaxQxgrmJnzgP0"",""'TP# look up'!A:C""),3,0),"""")"),"")</f>
        <v/>
      </c>
      <c r="AH7668" s="49" t="str">
        <f t="shared" si="119"/>
        <v/>
      </c>
    </row>
    <row r="7669" spans="8:34" ht="12.75">
      <c r="H7669" s="43"/>
      <c r="AG7669" s="49" t="str">
        <f ca="1">IFERROR(__xludf.DUMMYFUNCTION("IFNA(vlookup(H7669,IMPORTRANGE(""1vUGwO1n0QQGx9kKbO0_M5gmuhXZ6-LaxQxgrmJnzgP0"",""'TP# look up'!A:C""),3,0),"""")"),"")</f>
        <v/>
      </c>
      <c r="AH7669" s="49" t="str">
        <f t="shared" si="119"/>
        <v/>
      </c>
    </row>
    <row r="7670" spans="8:34" ht="12.75">
      <c r="H7670" s="43"/>
      <c r="AG7670" s="49" t="str">
        <f ca="1">IFERROR(__xludf.DUMMYFUNCTION("IFNA(vlookup(H7670,IMPORTRANGE(""1vUGwO1n0QQGx9kKbO0_M5gmuhXZ6-LaxQxgrmJnzgP0"",""'TP# look up'!A:C""),3,0),"""")"),"")</f>
        <v/>
      </c>
      <c r="AH7670" s="49" t="str">
        <f t="shared" si="119"/>
        <v/>
      </c>
    </row>
    <row r="7671" spans="8:34" ht="12.75">
      <c r="H7671" s="43"/>
      <c r="AG7671" s="49" t="str">
        <f ca="1">IFERROR(__xludf.DUMMYFUNCTION("IFNA(vlookup(H7671,IMPORTRANGE(""1vUGwO1n0QQGx9kKbO0_M5gmuhXZ6-LaxQxgrmJnzgP0"",""'TP# look up'!A:C""),3,0),"""")"),"")</f>
        <v/>
      </c>
      <c r="AH7671" s="49" t="str">
        <f t="shared" si="119"/>
        <v/>
      </c>
    </row>
    <row r="7672" spans="8:34" ht="12.75">
      <c r="H7672" s="43"/>
      <c r="AG7672" s="49" t="str">
        <f ca="1">IFERROR(__xludf.DUMMYFUNCTION("IFNA(vlookup(H7672,IMPORTRANGE(""1vUGwO1n0QQGx9kKbO0_M5gmuhXZ6-LaxQxgrmJnzgP0"",""'TP# look up'!A:C""),3,0),"""")"),"")</f>
        <v/>
      </c>
      <c r="AH7672" s="49" t="str">
        <f t="shared" si="119"/>
        <v/>
      </c>
    </row>
    <row r="7673" spans="8:34" ht="12.75">
      <c r="H7673" s="43"/>
      <c r="AG7673" s="49" t="str">
        <f ca="1">IFERROR(__xludf.DUMMYFUNCTION("IFNA(vlookup(H7673,IMPORTRANGE(""1vUGwO1n0QQGx9kKbO0_M5gmuhXZ6-LaxQxgrmJnzgP0"",""'TP# look up'!A:C""),3,0),"""")"),"")</f>
        <v/>
      </c>
      <c r="AH7673" s="49" t="str">
        <f t="shared" si="119"/>
        <v/>
      </c>
    </row>
    <row r="7674" spans="8:34" ht="12.75">
      <c r="H7674" s="43"/>
      <c r="AG7674" s="49" t="str">
        <f ca="1">IFERROR(__xludf.DUMMYFUNCTION("IFNA(vlookup(H7674,IMPORTRANGE(""1vUGwO1n0QQGx9kKbO0_M5gmuhXZ6-LaxQxgrmJnzgP0"",""'TP# look up'!A:C""),3,0),"""")"),"")</f>
        <v/>
      </c>
      <c r="AH7674" s="49" t="str">
        <f t="shared" si="119"/>
        <v/>
      </c>
    </row>
    <row r="7675" spans="8:34" ht="12.75">
      <c r="H7675" s="43"/>
      <c r="AG7675" s="49" t="str">
        <f ca="1">IFERROR(__xludf.DUMMYFUNCTION("IFNA(vlookup(H7675,IMPORTRANGE(""1vUGwO1n0QQGx9kKbO0_M5gmuhXZ6-LaxQxgrmJnzgP0"",""'TP# look up'!A:C""),3,0),"""")"),"")</f>
        <v/>
      </c>
      <c r="AH7675" s="49" t="str">
        <f t="shared" si="119"/>
        <v/>
      </c>
    </row>
    <row r="7676" spans="8:34" ht="12.75">
      <c r="H7676" s="43"/>
      <c r="AG7676" s="49" t="str">
        <f ca="1">IFERROR(__xludf.DUMMYFUNCTION("IFNA(vlookup(H7676,IMPORTRANGE(""1vUGwO1n0QQGx9kKbO0_M5gmuhXZ6-LaxQxgrmJnzgP0"",""'TP# look up'!A:C""),3,0),"""")"),"")</f>
        <v/>
      </c>
      <c r="AH7676" s="49" t="str">
        <f t="shared" si="119"/>
        <v/>
      </c>
    </row>
    <row r="7677" spans="8:34" ht="12.75">
      <c r="H7677" s="43"/>
      <c r="AG7677" s="49" t="str">
        <f ca="1">IFERROR(__xludf.DUMMYFUNCTION("IFNA(vlookup(H7677,IMPORTRANGE(""1vUGwO1n0QQGx9kKbO0_M5gmuhXZ6-LaxQxgrmJnzgP0"",""'TP# look up'!A:C""),3,0),"""")"),"")</f>
        <v/>
      </c>
      <c r="AH7677" s="49" t="str">
        <f t="shared" si="119"/>
        <v/>
      </c>
    </row>
    <row r="7678" spans="8:34" ht="12.75">
      <c r="H7678" s="43"/>
      <c r="AG7678" s="49" t="str">
        <f ca="1">IFERROR(__xludf.DUMMYFUNCTION("IFNA(vlookup(H7678,IMPORTRANGE(""1vUGwO1n0QQGx9kKbO0_M5gmuhXZ6-LaxQxgrmJnzgP0"",""'TP# look up'!A:C""),3,0),"""")"),"")</f>
        <v/>
      </c>
      <c r="AH7678" s="49" t="str">
        <f t="shared" si="119"/>
        <v/>
      </c>
    </row>
    <row r="7679" spans="8:34" ht="12.75">
      <c r="H7679" s="43"/>
      <c r="AG7679" s="49" t="str">
        <f ca="1">IFERROR(__xludf.DUMMYFUNCTION("IFNA(vlookup(H7679,IMPORTRANGE(""1vUGwO1n0QQGx9kKbO0_M5gmuhXZ6-LaxQxgrmJnzgP0"",""'TP# look up'!A:C""),3,0),"""")"),"")</f>
        <v/>
      </c>
      <c r="AH7679" s="49" t="str">
        <f t="shared" si="119"/>
        <v/>
      </c>
    </row>
    <row r="7680" spans="8:34" ht="12.75">
      <c r="H7680" s="43"/>
      <c r="AG7680" s="49" t="str">
        <f ca="1">IFERROR(__xludf.DUMMYFUNCTION("IFNA(vlookup(H7680,IMPORTRANGE(""1vUGwO1n0QQGx9kKbO0_M5gmuhXZ6-LaxQxgrmJnzgP0"",""'TP# look up'!A:C""),3,0),"""")"),"")</f>
        <v/>
      </c>
      <c r="AH7680" s="49" t="str">
        <f t="shared" si="119"/>
        <v/>
      </c>
    </row>
    <row r="7681" spans="8:34" ht="12.75">
      <c r="H7681" s="43"/>
      <c r="AG7681" s="49" t="str">
        <f ca="1">IFERROR(__xludf.DUMMYFUNCTION("IFNA(vlookup(H7681,IMPORTRANGE(""1vUGwO1n0QQGx9kKbO0_M5gmuhXZ6-LaxQxgrmJnzgP0"",""'TP# look up'!A:C""),3,0),"""")"),"")</f>
        <v/>
      </c>
      <c r="AH7681" s="49" t="str">
        <f t="shared" si="119"/>
        <v/>
      </c>
    </row>
    <row r="7682" spans="8:34" ht="12.75">
      <c r="H7682" s="43"/>
      <c r="AG7682" s="49" t="str">
        <f ca="1">IFERROR(__xludf.DUMMYFUNCTION("IFNA(vlookup(H7682,IMPORTRANGE(""1vUGwO1n0QQGx9kKbO0_M5gmuhXZ6-LaxQxgrmJnzgP0"",""'TP# look up'!A:C""),3,0),"""")"),"")</f>
        <v/>
      </c>
      <c r="AH7682" s="49" t="str">
        <f t="shared" ref="AH7682:AH7745" si="120">LEFT(J7682,2)</f>
        <v/>
      </c>
    </row>
    <row r="7683" spans="8:34" ht="12.75">
      <c r="H7683" s="43"/>
      <c r="AG7683" s="49" t="str">
        <f ca="1">IFERROR(__xludf.DUMMYFUNCTION("IFNA(vlookup(H7683,IMPORTRANGE(""1vUGwO1n0QQGx9kKbO0_M5gmuhXZ6-LaxQxgrmJnzgP0"",""'TP# look up'!A:C""),3,0),"""")"),"")</f>
        <v/>
      </c>
      <c r="AH7683" s="49" t="str">
        <f t="shared" si="120"/>
        <v/>
      </c>
    </row>
    <row r="7684" spans="8:34" ht="12.75">
      <c r="H7684" s="43"/>
      <c r="AG7684" s="49" t="str">
        <f ca="1">IFERROR(__xludf.DUMMYFUNCTION("IFNA(vlookup(H7684,IMPORTRANGE(""1vUGwO1n0QQGx9kKbO0_M5gmuhXZ6-LaxQxgrmJnzgP0"",""'TP# look up'!A:C""),3,0),"""")"),"")</f>
        <v/>
      </c>
      <c r="AH7684" s="49" t="str">
        <f t="shared" si="120"/>
        <v/>
      </c>
    </row>
    <row r="7685" spans="8:34" ht="12.75">
      <c r="H7685" s="43"/>
      <c r="AG7685" s="49" t="str">
        <f ca="1">IFERROR(__xludf.DUMMYFUNCTION("IFNA(vlookup(H7685,IMPORTRANGE(""1vUGwO1n0QQGx9kKbO0_M5gmuhXZ6-LaxQxgrmJnzgP0"",""'TP# look up'!A:C""),3,0),"""")"),"")</f>
        <v/>
      </c>
      <c r="AH7685" s="49" t="str">
        <f t="shared" si="120"/>
        <v/>
      </c>
    </row>
    <row r="7686" spans="8:34" ht="12.75">
      <c r="H7686" s="43"/>
      <c r="AG7686" s="49" t="str">
        <f ca="1">IFERROR(__xludf.DUMMYFUNCTION("IFNA(vlookup(H7686,IMPORTRANGE(""1vUGwO1n0QQGx9kKbO0_M5gmuhXZ6-LaxQxgrmJnzgP0"",""'TP# look up'!A:C""),3,0),"""")"),"")</f>
        <v/>
      </c>
      <c r="AH7686" s="49" t="str">
        <f t="shared" si="120"/>
        <v/>
      </c>
    </row>
    <row r="7687" spans="8:34" ht="12.75">
      <c r="H7687" s="43"/>
      <c r="AG7687" s="49" t="str">
        <f ca="1">IFERROR(__xludf.DUMMYFUNCTION("IFNA(vlookup(H7687,IMPORTRANGE(""1vUGwO1n0QQGx9kKbO0_M5gmuhXZ6-LaxQxgrmJnzgP0"",""'TP# look up'!A:C""),3,0),"""")"),"")</f>
        <v/>
      </c>
      <c r="AH7687" s="49" t="str">
        <f t="shared" si="120"/>
        <v/>
      </c>
    </row>
    <row r="7688" spans="8:34" ht="12.75">
      <c r="H7688" s="43"/>
      <c r="AG7688" s="49" t="str">
        <f ca="1">IFERROR(__xludf.DUMMYFUNCTION("IFNA(vlookup(H7688,IMPORTRANGE(""1vUGwO1n0QQGx9kKbO0_M5gmuhXZ6-LaxQxgrmJnzgP0"",""'TP# look up'!A:C""),3,0),"""")"),"")</f>
        <v/>
      </c>
      <c r="AH7688" s="49" t="str">
        <f t="shared" si="120"/>
        <v/>
      </c>
    </row>
    <row r="7689" spans="8:34" ht="12.75">
      <c r="H7689" s="43"/>
      <c r="AG7689" s="49" t="str">
        <f ca="1">IFERROR(__xludf.DUMMYFUNCTION("IFNA(vlookup(H7689,IMPORTRANGE(""1vUGwO1n0QQGx9kKbO0_M5gmuhXZ6-LaxQxgrmJnzgP0"",""'TP# look up'!A:C""),3,0),"""")"),"")</f>
        <v/>
      </c>
      <c r="AH7689" s="49" t="str">
        <f t="shared" si="120"/>
        <v/>
      </c>
    </row>
    <row r="7690" spans="8:34" ht="12.75">
      <c r="H7690" s="43"/>
      <c r="AG7690" s="49" t="str">
        <f ca="1">IFERROR(__xludf.DUMMYFUNCTION("IFNA(vlookup(H7690,IMPORTRANGE(""1vUGwO1n0QQGx9kKbO0_M5gmuhXZ6-LaxQxgrmJnzgP0"",""'TP# look up'!A:C""),3,0),"""")"),"")</f>
        <v/>
      </c>
      <c r="AH7690" s="49" t="str">
        <f t="shared" si="120"/>
        <v/>
      </c>
    </row>
    <row r="7691" spans="8:34" ht="12.75">
      <c r="H7691" s="43"/>
      <c r="AG7691" s="49" t="str">
        <f ca="1">IFERROR(__xludf.DUMMYFUNCTION("IFNA(vlookup(H7691,IMPORTRANGE(""1vUGwO1n0QQGx9kKbO0_M5gmuhXZ6-LaxQxgrmJnzgP0"",""'TP# look up'!A:C""),3,0),"""")"),"")</f>
        <v/>
      </c>
      <c r="AH7691" s="49" t="str">
        <f t="shared" si="120"/>
        <v/>
      </c>
    </row>
    <row r="7692" spans="8:34" ht="12.75">
      <c r="H7692" s="43"/>
      <c r="AG7692" s="49" t="str">
        <f ca="1">IFERROR(__xludf.DUMMYFUNCTION("IFNA(vlookup(H7692,IMPORTRANGE(""1vUGwO1n0QQGx9kKbO0_M5gmuhXZ6-LaxQxgrmJnzgP0"",""'TP# look up'!A:C""),3,0),"""")"),"")</f>
        <v/>
      </c>
      <c r="AH7692" s="49" t="str">
        <f t="shared" si="120"/>
        <v/>
      </c>
    </row>
    <row r="7693" spans="8:34" ht="12.75">
      <c r="H7693" s="43"/>
      <c r="AG7693" s="49" t="str">
        <f ca="1">IFERROR(__xludf.DUMMYFUNCTION("IFNA(vlookup(H7693,IMPORTRANGE(""1vUGwO1n0QQGx9kKbO0_M5gmuhXZ6-LaxQxgrmJnzgP0"",""'TP# look up'!A:C""),3,0),"""")"),"")</f>
        <v/>
      </c>
      <c r="AH7693" s="49" t="str">
        <f t="shared" si="120"/>
        <v/>
      </c>
    </row>
    <row r="7694" spans="8:34" ht="12.75">
      <c r="H7694" s="43"/>
      <c r="AG7694" s="49" t="str">
        <f ca="1">IFERROR(__xludf.DUMMYFUNCTION("IFNA(vlookup(H7694,IMPORTRANGE(""1vUGwO1n0QQGx9kKbO0_M5gmuhXZ6-LaxQxgrmJnzgP0"",""'TP# look up'!A:C""),3,0),"""")"),"")</f>
        <v/>
      </c>
      <c r="AH7694" s="49" t="str">
        <f t="shared" si="120"/>
        <v/>
      </c>
    </row>
    <row r="7695" spans="8:34" ht="12.75">
      <c r="H7695" s="43"/>
      <c r="AG7695" s="49" t="str">
        <f ca="1">IFERROR(__xludf.DUMMYFUNCTION("IFNA(vlookup(H7695,IMPORTRANGE(""1vUGwO1n0QQGx9kKbO0_M5gmuhXZ6-LaxQxgrmJnzgP0"",""'TP# look up'!A:C""),3,0),"""")"),"")</f>
        <v/>
      </c>
      <c r="AH7695" s="49" t="str">
        <f t="shared" si="120"/>
        <v/>
      </c>
    </row>
    <row r="7696" spans="8:34" ht="12.75">
      <c r="H7696" s="43"/>
      <c r="AG7696" s="49" t="str">
        <f ca="1">IFERROR(__xludf.DUMMYFUNCTION("IFNA(vlookup(H7696,IMPORTRANGE(""1vUGwO1n0QQGx9kKbO0_M5gmuhXZ6-LaxQxgrmJnzgP0"",""'TP# look up'!A:C""),3,0),"""")"),"")</f>
        <v/>
      </c>
      <c r="AH7696" s="49" t="str">
        <f t="shared" si="120"/>
        <v/>
      </c>
    </row>
    <row r="7697" spans="8:34" ht="12.75">
      <c r="H7697" s="43"/>
      <c r="AG7697" s="49" t="str">
        <f ca="1">IFERROR(__xludf.DUMMYFUNCTION("IFNA(vlookup(H7697,IMPORTRANGE(""1vUGwO1n0QQGx9kKbO0_M5gmuhXZ6-LaxQxgrmJnzgP0"",""'TP# look up'!A:C""),3,0),"""")"),"")</f>
        <v/>
      </c>
      <c r="AH7697" s="49" t="str">
        <f t="shared" si="120"/>
        <v/>
      </c>
    </row>
    <row r="7698" spans="8:34" ht="12.75">
      <c r="H7698" s="43"/>
      <c r="AG7698" s="49" t="str">
        <f ca="1">IFERROR(__xludf.DUMMYFUNCTION("IFNA(vlookup(H7698,IMPORTRANGE(""1vUGwO1n0QQGx9kKbO0_M5gmuhXZ6-LaxQxgrmJnzgP0"",""'TP# look up'!A:C""),3,0),"""")"),"")</f>
        <v/>
      </c>
      <c r="AH7698" s="49" t="str">
        <f t="shared" si="120"/>
        <v/>
      </c>
    </row>
    <row r="7699" spans="8:34" ht="12.75">
      <c r="H7699" s="43"/>
      <c r="AG7699" s="49" t="str">
        <f ca="1">IFERROR(__xludf.DUMMYFUNCTION("IFNA(vlookup(H7699,IMPORTRANGE(""1vUGwO1n0QQGx9kKbO0_M5gmuhXZ6-LaxQxgrmJnzgP0"",""'TP# look up'!A:C""),3,0),"""")"),"")</f>
        <v/>
      </c>
      <c r="AH7699" s="49" t="str">
        <f t="shared" si="120"/>
        <v/>
      </c>
    </row>
    <row r="7700" spans="8:34" ht="12.75">
      <c r="H7700" s="43"/>
      <c r="AG7700" s="49" t="str">
        <f ca="1">IFERROR(__xludf.DUMMYFUNCTION("IFNA(vlookup(H7700,IMPORTRANGE(""1vUGwO1n0QQGx9kKbO0_M5gmuhXZ6-LaxQxgrmJnzgP0"",""'TP# look up'!A:C""),3,0),"""")"),"")</f>
        <v/>
      </c>
      <c r="AH7700" s="49" t="str">
        <f t="shared" si="120"/>
        <v/>
      </c>
    </row>
    <row r="7701" spans="8:34" ht="12.75">
      <c r="H7701" s="43"/>
      <c r="AG7701" s="49" t="str">
        <f ca="1">IFERROR(__xludf.DUMMYFUNCTION("IFNA(vlookup(H7701,IMPORTRANGE(""1vUGwO1n0QQGx9kKbO0_M5gmuhXZ6-LaxQxgrmJnzgP0"",""'TP# look up'!A:C""),3,0),"""")"),"")</f>
        <v/>
      </c>
      <c r="AH7701" s="49" t="str">
        <f t="shared" si="120"/>
        <v/>
      </c>
    </row>
    <row r="7702" spans="8:34" ht="12.75">
      <c r="H7702" s="43"/>
      <c r="AG7702" s="49" t="str">
        <f ca="1">IFERROR(__xludf.DUMMYFUNCTION("IFNA(vlookup(H7702,IMPORTRANGE(""1vUGwO1n0QQGx9kKbO0_M5gmuhXZ6-LaxQxgrmJnzgP0"",""'TP# look up'!A:C""),3,0),"""")"),"")</f>
        <v/>
      </c>
      <c r="AH7702" s="49" t="str">
        <f t="shared" si="120"/>
        <v/>
      </c>
    </row>
    <row r="7703" spans="8:34" ht="12.75">
      <c r="H7703" s="43"/>
      <c r="AG7703" s="49" t="str">
        <f ca="1">IFERROR(__xludf.DUMMYFUNCTION("IFNA(vlookup(H7703,IMPORTRANGE(""1vUGwO1n0QQGx9kKbO0_M5gmuhXZ6-LaxQxgrmJnzgP0"",""'TP# look up'!A:C""),3,0),"""")"),"")</f>
        <v/>
      </c>
      <c r="AH7703" s="49" t="str">
        <f t="shared" si="120"/>
        <v/>
      </c>
    </row>
    <row r="7704" spans="8:34" ht="12.75">
      <c r="H7704" s="43"/>
      <c r="AG7704" s="49" t="str">
        <f ca="1">IFERROR(__xludf.DUMMYFUNCTION("IFNA(vlookup(H7704,IMPORTRANGE(""1vUGwO1n0QQGx9kKbO0_M5gmuhXZ6-LaxQxgrmJnzgP0"",""'TP# look up'!A:C""),3,0),"""")"),"")</f>
        <v/>
      </c>
      <c r="AH7704" s="49" t="str">
        <f t="shared" si="120"/>
        <v/>
      </c>
    </row>
    <row r="7705" spans="8:34" ht="12.75">
      <c r="H7705" s="43"/>
      <c r="AG7705" s="49" t="str">
        <f ca="1">IFERROR(__xludf.DUMMYFUNCTION("IFNA(vlookup(H7705,IMPORTRANGE(""1vUGwO1n0QQGx9kKbO0_M5gmuhXZ6-LaxQxgrmJnzgP0"",""'TP# look up'!A:C""),3,0),"""")"),"")</f>
        <v/>
      </c>
      <c r="AH7705" s="49" t="str">
        <f t="shared" si="120"/>
        <v/>
      </c>
    </row>
    <row r="7706" spans="8:34" ht="12.75">
      <c r="H7706" s="43"/>
      <c r="AG7706" s="49" t="str">
        <f ca="1">IFERROR(__xludf.DUMMYFUNCTION("IFNA(vlookup(H7706,IMPORTRANGE(""1vUGwO1n0QQGx9kKbO0_M5gmuhXZ6-LaxQxgrmJnzgP0"",""'TP# look up'!A:C""),3,0),"""")"),"")</f>
        <v/>
      </c>
      <c r="AH7706" s="49" t="str">
        <f t="shared" si="120"/>
        <v/>
      </c>
    </row>
    <row r="7707" spans="8:34" ht="12.75">
      <c r="H7707" s="43"/>
      <c r="AG7707" s="49" t="str">
        <f ca="1">IFERROR(__xludf.DUMMYFUNCTION("IFNA(vlookup(H7707,IMPORTRANGE(""1vUGwO1n0QQGx9kKbO0_M5gmuhXZ6-LaxQxgrmJnzgP0"",""'TP# look up'!A:C""),3,0),"""")"),"")</f>
        <v/>
      </c>
      <c r="AH7707" s="49" t="str">
        <f t="shared" si="120"/>
        <v/>
      </c>
    </row>
    <row r="7708" spans="8:34" ht="12.75">
      <c r="H7708" s="43"/>
      <c r="AG7708" s="49" t="str">
        <f ca="1">IFERROR(__xludf.DUMMYFUNCTION("IFNA(vlookup(H7708,IMPORTRANGE(""1vUGwO1n0QQGx9kKbO0_M5gmuhXZ6-LaxQxgrmJnzgP0"",""'TP# look up'!A:C""),3,0),"""")"),"")</f>
        <v/>
      </c>
      <c r="AH7708" s="49" t="str">
        <f t="shared" si="120"/>
        <v/>
      </c>
    </row>
    <row r="7709" spans="8:34" ht="12.75">
      <c r="H7709" s="43"/>
      <c r="AG7709" s="49" t="str">
        <f ca="1">IFERROR(__xludf.DUMMYFUNCTION("IFNA(vlookup(H7709,IMPORTRANGE(""1vUGwO1n0QQGx9kKbO0_M5gmuhXZ6-LaxQxgrmJnzgP0"",""'TP# look up'!A:C""),3,0),"""")"),"")</f>
        <v/>
      </c>
      <c r="AH7709" s="49" t="str">
        <f t="shared" si="120"/>
        <v/>
      </c>
    </row>
    <row r="7710" spans="8:34" ht="12.75">
      <c r="H7710" s="43"/>
      <c r="AG7710" s="49" t="str">
        <f ca="1">IFERROR(__xludf.DUMMYFUNCTION("IFNA(vlookup(H7710,IMPORTRANGE(""1vUGwO1n0QQGx9kKbO0_M5gmuhXZ6-LaxQxgrmJnzgP0"",""'TP# look up'!A:C""),3,0),"""")"),"")</f>
        <v/>
      </c>
      <c r="AH7710" s="49" t="str">
        <f t="shared" si="120"/>
        <v/>
      </c>
    </row>
    <row r="7711" spans="8:34" ht="12.75">
      <c r="H7711" s="43"/>
      <c r="AG7711" s="49" t="str">
        <f ca="1">IFERROR(__xludf.DUMMYFUNCTION("IFNA(vlookup(H7711,IMPORTRANGE(""1vUGwO1n0QQGx9kKbO0_M5gmuhXZ6-LaxQxgrmJnzgP0"",""'TP# look up'!A:C""),3,0),"""")"),"")</f>
        <v/>
      </c>
      <c r="AH7711" s="49" t="str">
        <f t="shared" si="120"/>
        <v/>
      </c>
    </row>
    <row r="7712" spans="8:34" ht="12.75">
      <c r="H7712" s="43"/>
      <c r="AG7712" s="49" t="str">
        <f ca="1">IFERROR(__xludf.DUMMYFUNCTION("IFNA(vlookup(H7712,IMPORTRANGE(""1vUGwO1n0QQGx9kKbO0_M5gmuhXZ6-LaxQxgrmJnzgP0"",""'TP# look up'!A:C""),3,0),"""")"),"")</f>
        <v/>
      </c>
      <c r="AH7712" s="49" t="str">
        <f t="shared" si="120"/>
        <v/>
      </c>
    </row>
    <row r="7713" spans="8:34" ht="12.75">
      <c r="H7713" s="43"/>
      <c r="AG7713" s="49" t="str">
        <f ca="1">IFERROR(__xludf.DUMMYFUNCTION("IFNA(vlookup(H7713,IMPORTRANGE(""1vUGwO1n0QQGx9kKbO0_M5gmuhXZ6-LaxQxgrmJnzgP0"",""'TP# look up'!A:C""),3,0),"""")"),"")</f>
        <v/>
      </c>
      <c r="AH7713" s="49" t="str">
        <f t="shared" si="120"/>
        <v/>
      </c>
    </row>
    <row r="7714" spans="8:34" ht="12.75">
      <c r="H7714" s="43"/>
      <c r="AG7714" s="49" t="str">
        <f ca="1">IFERROR(__xludf.DUMMYFUNCTION("IFNA(vlookup(H7714,IMPORTRANGE(""1vUGwO1n0QQGx9kKbO0_M5gmuhXZ6-LaxQxgrmJnzgP0"",""'TP# look up'!A:C""),3,0),"""")"),"")</f>
        <v/>
      </c>
      <c r="AH7714" s="49" t="str">
        <f t="shared" si="120"/>
        <v/>
      </c>
    </row>
    <row r="7715" spans="8:34" ht="12.75">
      <c r="H7715" s="43"/>
      <c r="AG7715" s="49" t="str">
        <f ca="1">IFERROR(__xludf.DUMMYFUNCTION("IFNA(vlookup(H7715,IMPORTRANGE(""1vUGwO1n0QQGx9kKbO0_M5gmuhXZ6-LaxQxgrmJnzgP0"",""'TP# look up'!A:C""),3,0),"""")"),"")</f>
        <v/>
      </c>
      <c r="AH7715" s="49" t="str">
        <f t="shared" si="120"/>
        <v/>
      </c>
    </row>
    <row r="7716" spans="8:34" ht="12.75">
      <c r="H7716" s="43"/>
      <c r="AG7716" s="49" t="str">
        <f ca="1">IFERROR(__xludf.DUMMYFUNCTION("IFNA(vlookup(H7716,IMPORTRANGE(""1vUGwO1n0QQGx9kKbO0_M5gmuhXZ6-LaxQxgrmJnzgP0"",""'TP# look up'!A:C""),3,0),"""")"),"")</f>
        <v/>
      </c>
      <c r="AH7716" s="49" t="str">
        <f t="shared" si="120"/>
        <v/>
      </c>
    </row>
    <row r="7717" spans="8:34" ht="12.75">
      <c r="H7717" s="43"/>
      <c r="AG7717" s="49" t="str">
        <f ca="1">IFERROR(__xludf.DUMMYFUNCTION("IFNA(vlookup(H7717,IMPORTRANGE(""1vUGwO1n0QQGx9kKbO0_M5gmuhXZ6-LaxQxgrmJnzgP0"",""'TP# look up'!A:C""),3,0),"""")"),"")</f>
        <v/>
      </c>
      <c r="AH7717" s="49" t="str">
        <f t="shared" si="120"/>
        <v/>
      </c>
    </row>
    <row r="7718" spans="8:34" ht="12.75">
      <c r="H7718" s="43"/>
      <c r="AG7718" s="49" t="str">
        <f ca="1">IFERROR(__xludf.DUMMYFUNCTION("IFNA(vlookup(H7718,IMPORTRANGE(""1vUGwO1n0QQGx9kKbO0_M5gmuhXZ6-LaxQxgrmJnzgP0"",""'TP# look up'!A:C""),3,0),"""")"),"")</f>
        <v/>
      </c>
      <c r="AH7718" s="49" t="str">
        <f t="shared" si="120"/>
        <v/>
      </c>
    </row>
    <row r="7719" spans="8:34" ht="12.75">
      <c r="H7719" s="43"/>
      <c r="AG7719" s="49" t="str">
        <f ca="1">IFERROR(__xludf.DUMMYFUNCTION("IFNA(vlookup(H7719,IMPORTRANGE(""1vUGwO1n0QQGx9kKbO0_M5gmuhXZ6-LaxQxgrmJnzgP0"",""'TP# look up'!A:C""),3,0),"""")"),"")</f>
        <v/>
      </c>
      <c r="AH7719" s="49" t="str">
        <f t="shared" si="120"/>
        <v/>
      </c>
    </row>
    <row r="7720" spans="8:34" ht="12.75">
      <c r="H7720" s="43"/>
      <c r="AG7720" s="49" t="str">
        <f ca="1">IFERROR(__xludf.DUMMYFUNCTION("IFNA(vlookup(H7720,IMPORTRANGE(""1vUGwO1n0QQGx9kKbO0_M5gmuhXZ6-LaxQxgrmJnzgP0"",""'TP# look up'!A:C""),3,0),"""")"),"")</f>
        <v/>
      </c>
      <c r="AH7720" s="49" t="str">
        <f t="shared" si="120"/>
        <v/>
      </c>
    </row>
    <row r="7721" spans="8:34" ht="12.75">
      <c r="H7721" s="43"/>
      <c r="AG7721" s="49" t="str">
        <f ca="1">IFERROR(__xludf.DUMMYFUNCTION("IFNA(vlookup(H7721,IMPORTRANGE(""1vUGwO1n0QQGx9kKbO0_M5gmuhXZ6-LaxQxgrmJnzgP0"",""'TP# look up'!A:C""),3,0),"""")"),"")</f>
        <v/>
      </c>
      <c r="AH7721" s="49" t="str">
        <f t="shared" si="120"/>
        <v/>
      </c>
    </row>
    <row r="7722" spans="8:34" ht="12.75">
      <c r="H7722" s="43"/>
      <c r="AG7722" s="49" t="str">
        <f ca="1">IFERROR(__xludf.DUMMYFUNCTION("IFNA(vlookup(H7722,IMPORTRANGE(""1vUGwO1n0QQGx9kKbO0_M5gmuhXZ6-LaxQxgrmJnzgP0"",""'TP# look up'!A:C""),3,0),"""")"),"")</f>
        <v/>
      </c>
      <c r="AH7722" s="49" t="str">
        <f t="shared" si="120"/>
        <v/>
      </c>
    </row>
    <row r="7723" spans="8:34" ht="12.75">
      <c r="H7723" s="43"/>
      <c r="AG7723" s="49" t="str">
        <f ca="1">IFERROR(__xludf.DUMMYFUNCTION("IFNA(vlookup(H7723,IMPORTRANGE(""1vUGwO1n0QQGx9kKbO0_M5gmuhXZ6-LaxQxgrmJnzgP0"",""'TP# look up'!A:C""),3,0),"""")"),"")</f>
        <v/>
      </c>
      <c r="AH7723" s="49" t="str">
        <f t="shared" si="120"/>
        <v/>
      </c>
    </row>
    <row r="7724" spans="8:34" ht="12.75">
      <c r="H7724" s="43"/>
      <c r="AG7724" s="49" t="str">
        <f ca="1">IFERROR(__xludf.DUMMYFUNCTION("IFNA(vlookup(H7724,IMPORTRANGE(""1vUGwO1n0QQGx9kKbO0_M5gmuhXZ6-LaxQxgrmJnzgP0"",""'TP# look up'!A:C""),3,0),"""")"),"")</f>
        <v/>
      </c>
      <c r="AH7724" s="49" t="str">
        <f t="shared" si="120"/>
        <v/>
      </c>
    </row>
    <row r="7725" spans="8:34" ht="12.75">
      <c r="H7725" s="43"/>
      <c r="AG7725" s="49" t="str">
        <f ca="1">IFERROR(__xludf.DUMMYFUNCTION("IFNA(vlookup(H7725,IMPORTRANGE(""1vUGwO1n0QQGx9kKbO0_M5gmuhXZ6-LaxQxgrmJnzgP0"",""'TP# look up'!A:C""),3,0),"""")"),"")</f>
        <v/>
      </c>
      <c r="AH7725" s="49" t="str">
        <f t="shared" si="120"/>
        <v/>
      </c>
    </row>
    <row r="7726" spans="8:34" ht="12.75">
      <c r="H7726" s="43"/>
      <c r="AG7726" s="49" t="str">
        <f ca="1">IFERROR(__xludf.DUMMYFUNCTION("IFNA(vlookup(H7726,IMPORTRANGE(""1vUGwO1n0QQGx9kKbO0_M5gmuhXZ6-LaxQxgrmJnzgP0"",""'TP# look up'!A:C""),3,0),"""")"),"")</f>
        <v/>
      </c>
      <c r="AH7726" s="49" t="str">
        <f t="shared" si="120"/>
        <v/>
      </c>
    </row>
    <row r="7727" spans="8:34" ht="12.75">
      <c r="H7727" s="43"/>
      <c r="AG7727" s="49" t="str">
        <f ca="1">IFERROR(__xludf.DUMMYFUNCTION("IFNA(vlookup(H7727,IMPORTRANGE(""1vUGwO1n0QQGx9kKbO0_M5gmuhXZ6-LaxQxgrmJnzgP0"",""'TP# look up'!A:C""),3,0),"""")"),"")</f>
        <v/>
      </c>
      <c r="AH7727" s="49" t="str">
        <f t="shared" si="120"/>
        <v/>
      </c>
    </row>
    <row r="7728" spans="8:34" ht="12.75">
      <c r="H7728" s="43"/>
      <c r="AG7728" s="49" t="str">
        <f ca="1">IFERROR(__xludf.DUMMYFUNCTION("IFNA(vlookup(H7728,IMPORTRANGE(""1vUGwO1n0QQGx9kKbO0_M5gmuhXZ6-LaxQxgrmJnzgP0"",""'TP# look up'!A:C""),3,0),"""")"),"")</f>
        <v/>
      </c>
      <c r="AH7728" s="49" t="str">
        <f t="shared" si="120"/>
        <v/>
      </c>
    </row>
    <row r="7729" spans="8:34" ht="12.75">
      <c r="H7729" s="43"/>
      <c r="AG7729" s="49" t="str">
        <f ca="1">IFERROR(__xludf.DUMMYFUNCTION("IFNA(vlookup(H7729,IMPORTRANGE(""1vUGwO1n0QQGx9kKbO0_M5gmuhXZ6-LaxQxgrmJnzgP0"",""'TP# look up'!A:C""),3,0),"""")"),"")</f>
        <v/>
      </c>
      <c r="AH7729" s="49" t="str">
        <f t="shared" si="120"/>
        <v/>
      </c>
    </row>
    <row r="7730" spans="8:34" ht="12.75">
      <c r="H7730" s="43"/>
      <c r="AG7730" s="49" t="str">
        <f ca="1">IFERROR(__xludf.DUMMYFUNCTION("IFNA(vlookup(H7730,IMPORTRANGE(""1vUGwO1n0QQGx9kKbO0_M5gmuhXZ6-LaxQxgrmJnzgP0"",""'TP# look up'!A:C""),3,0),"""")"),"")</f>
        <v/>
      </c>
      <c r="AH7730" s="49" t="str">
        <f t="shared" si="120"/>
        <v/>
      </c>
    </row>
    <row r="7731" spans="8:34" ht="12.75">
      <c r="H7731" s="43"/>
      <c r="AG7731" s="49" t="str">
        <f ca="1">IFERROR(__xludf.DUMMYFUNCTION("IFNA(vlookup(H7731,IMPORTRANGE(""1vUGwO1n0QQGx9kKbO0_M5gmuhXZ6-LaxQxgrmJnzgP0"",""'TP# look up'!A:C""),3,0),"""")"),"")</f>
        <v/>
      </c>
      <c r="AH7731" s="49" t="str">
        <f t="shared" si="120"/>
        <v/>
      </c>
    </row>
    <row r="7732" spans="8:34" ht="12.75">
      <c r="H7732" s="43"/>
      <c r="AG7732" s="49" t="str">
        <f ca="1">IFERROR(__xludf.DUMMYFUNCTION("IFNA(vlookup(H7732,IMPORTRANGE(""1vUGwO1n0QQGx9kKbO0_M5gmuhXZ6-LaxQxgrmJnzgP0"",""'TP# look up'!A:C""),3,0),"""")"),"")</f>
        <v/>
      </c>
      <c r="AH7732" s="49" t="str">
        <f t="shared" si="120"/>
        <v/>
      </c>
    </row>
    <row r="7733" spans="8:34" ht="12.75">
      <c r="H7733" s="43"/>
      <c r="AG7733" s="49" t="str">
        <f ca="1">IFERROR(__xludf.DUMMYFUNCTION("IFNA(vlookup(H7733,IMPORTRANGE(""1vUGwO1n0QQGx9kKbO0_M5gmuhXZ6-LaxQxgrmJnzgP0"",""'TP# look up'!A:C""),3,0),"""")"),"")</f>
        <v/>
      </c>
      <c r="AH7733" s="49" t="str">
        <f t="shared" si="120"/>
        <v/>
      </c>
    </row>
    <row r="7734" spans="8:34" ht="12.75">
      <c r="H7734" s="43"/>
      <c r="AG7734" s="49" t="str">
        <f ca="1">IFERROR(__xludf.DUMMYFUNCTION("IFNA(vlookup(H7734,IMPORTRANGE(""1vUGwO1n0QQGx9kKbO0_M5gmuhXZ6-LaxQxgrmJnzgP0"",""'TP# look up'!A:C""),3,0),"""")"),"")</f>
        <v/>
      </c>
      <c r="AH7734" s="49" t="str">
        <f t="shared" si="120"/>
        <v/>
      </c>
    </row>
    <row r="7735" spans="8:34" ht="12.75">
      <c r="H7735" s="43"/>
      <c r="AG7735" s="49" t="str">
        <f ca="1">IFERROR(__xludf.DUMMYFUNCTION("IFNA(vlookup(H7735,IMPORTRANGE(""1vUGwO1n0QQGx9kKbO0_M5gmuhXZ6-LaxQxgrmJnzgP0"",""'TP# look up'!A:C""),3,0),"""")"),"")</f>
        <v/>
      </c>
      <c r="AH7735" s="49" t="str">
        <f t="shared" si="120"/>
        <v/>
      </c>
    </row>
    <row r="7736" spans="8:34" ht="12.75">
      <c r="H7736" s="43"/>
      <c r="AG7736" s="49" t="str">
        <f ca="1">IFERROR(__xludf.DUMMYFUNCTION("IFNA(vlookup(H7736,IMPORTRANGE(""1vUGwO1n0QQGx9kKbO0_M5gmuhXZ6-LaxQxgrmJnzgP0"",""'TP# look up'!A:C""),3,0),"""")"),"")</f>
        <v/>
      </c>
      <c r="AH7736" s="49" t="str">
        <f t="shared" si="120"/>
        <v/>
      </c>
    </row>
    <row r="7737" spans="8:34" ht="12.75">
      <c r="H7737" s="43"/>
      <c r="AG7737" s="49" t="str">
        <f ca="1">IFERROR(__xludf.DUMMYFUNCTION("IFNA(vlookup(H7737,IMPORTRANGE(""1vUGwO1n0QQGx9kKbO0_M5gmuhXZ6-LaxQxgrmJnzgP0"",""'TP# look up'!A:C""),3,0),"""")"),"")</f>
        <v/>
      </c>
      <c r="AH7737" s="49" t="str">
        <f t="shared" si="120"/>
        <v/>
      </c>
    </row>
    <row r="7738" spans="8:34" ht="12.75">
      <c r="H7738" s="43"/>
      <c r="AG7738" s="49" t="str">
        <f ca="1">IFERROR(__xludf.DUMMYFUNCTION("IFNA(vlookup(H7738,IMPORTRANGE(""1vUGwO1n0QQGx9kKbO0_M5gmuhXZ6-LaxQxgrmJnzgP0"",""'TP# look up'!A:C""),3,0),"""")"),"")</f>
        <v/>
      </c>
      <c r="AH7738" s="49" t="str">
        <f t="shared" si="120"/>
        <v/>
      </c>
    </row>
    <row r="7739" spans="8:34" ht="12.75">
      <c r="H7739" s="43"/>
      <c r="AG7739" s="49" t="str">
        <f ca="1">IFERROR(__xludf.DUMMYFUNCTION("IFNA(vlookup(H7739,IMPORTRANGE(""1vUGwO1n0QQGx9kKbO0_M5gmuhXZ6-LaxQxgrmJnzgP0"",""'TP# look up'!A:C""),3,0),"""")"),"")</f>
        <v/>
      </c>
      <c r="AH7739" s="49" t="str">
        <f t="shared" si="120"/>
        <v/>
      </c>
    </row>
    <row r="7740" spans="8:34" ht="12.75">
      <c r="H7740" s="43"/>
      <c r="AG7740" s="49" t="str">
        <f ca="1">IFERROR(__xludf.DUMMYFUNCTION("IFNA(vlookup(H7740,IMPORTRANGE(""1vUGwO1n0QQGx9kKbO0_M5gmuhXZ6-LaxQxgrmJnzgP0"",""'TP# look up'!A:C""),3,0),"""")"),"")</f>
        <v/>
      </c>
      <c r="AH7740" s="49" t="str">
        <f t="shared" si="120"/>
        <v/>
      </c>
    </row>
    <row r="7741" spans="8:34" ht="12.75">
      <c r="H7741" s="43"/>
      <c r="AG7741" s="49" t="str">
        <f ca="1">IFERROR(__xludf.DUMMYFUNCTION("IFNA(vlookup(H7741,IMPORTRANGE(""1vUGwO1n0QQGx9kKbO0_M5gmuhXZ6-LaxQxgrmJnzgP0"",""'TP# look up'!A:C""),3,0),"""")"),"")</f>
        <v/>
      </c>
      <c r="AH7741" s="49" t="str">
        <f t="shared" si="120"/>
        <v/>
      </c>
    </row>
    <row r="7742" spans="8:34" ht="12.75">
      <c r="H7742" s="43"/>
      <c r="AG7742" s="49" t="str">
        <f ca="1">IFERROR(__xludf.DUMMYFUNCTION("IFNA(vlookup(H7742,IMPORTRANGE(""1vUGwO1n0QQGx9kKbO0_M5gmuhXZ6-LaxQxgrmJnzgP0"",""'TP# look up'!A:C""),3,0),"""")"),"")</f>
        <v/>
      </c>
      <c r="AH7742" s="49" t="str">
        <f t="shared" si="120"/>
        <v/>
      </c>
    </row>
    <row r="7743" spans="8:34" ht="12.75">
      <c r="H7743" s="43"/>
      <c r="AG7743" s="49" t="str">
        <f ca="1">IFERROR(__xludf.DUMMYFUNCTION("IFNA(vlookup(H7743,IMPORTRANGE(""1vUGwO1n0QQGx9kKbO0_M5gmuhXZ6-LaxQxgrmJnzgP0"",""'TP# look up'!A:C""),3,0),"""")"),"")</f>
        <v/>
      </c>
      <c r="AH7743" s="49" t="str">
        <f t="shared" si="120"/>
        <v/>
      </c>
    </row>
    <row r="7744" spans="8:34" ht="12.75">
      <c r="H7744" s="43"/>
      <c r="AG7744" s="49" t="str">
        <f ca="1">IFERROR(__xludf.DUMMYFUNCTION("IFNA(vlookup(H7744,IMPORTRANGE(""1vUGwO1n0QQGx9kKbO0_M5gmuhXZ6-LaxQxgrmJnzgP0"",""'TP# look up'!A:C""),3,0),"""")"),"")</f>
        <v/>
      </c>
      <c r="AH7744" s="49" t="str">
        <f t="shared" si="120"/>
        <v/>
      </c>
    </row>
    <row r="7745" spans="8:34" ht="12.75">
      <c r="H7745" s="43"/>
      <c r="AG7745" s="49" t="str">
        <f ca="1">IFERROR(__xludf.DUMMYFUNCTION("IFNA(vlookup(H7745,IMPORTRANGE(""1vUGwO1n0QQGx9kKbO0_M5gmuhXZ6-LaxQxgrmJnzgP0"",""'TP# look up'!A:C""),3,0),"""")"),"")</f>
        <v/>
      </c>
      <c r="AH7745" s="49" t="str">
        <f t="shared" si="120"/>
        <v/>
      </c>
    </row>
    <row r="7746" spans="8:34" ht="12.75">
      <c r="H7746" s="43"/>
      <c r="AG7746" s="49" t="str">
        <f ca="1">IFERROR(__xludf.DUMMYFUNCTION("IFNA(vlookup(H7746,IMPORTRANGE(""1vUGwO1n0QQGx9kKbO0_M5gmuhXZ6-LaxQxgrmJnzgP0"",""'TP# look up'!A:C""),3,0),"""")"),"")</f>
        <v/>
      </c>
      <c r="AH7746" s="49" t="str">
        <f t="shared" ref="AH7746:AH7809" si="121">LEFT(J7746,2)</f>
        <v/>
      </c>
    </row>
    <row r="7747" spans="8:34" ht="12.75">
      <c r="H7747" s="43"/>
      <c r="AG7747" s="49" t="str">
        <f ca="1">IFERROR(__xludf.DUMMYFUNCTION("IFNA(vlookup(H7747,IMPORTRANGE(""1vUGwO1n0QQGx9kKbO0_M5gmuhXZ6-LaxQxgrmJnzgP0"",""'TP# look up'!A:C""),3,0),"""")"),"")</f>
        <v/>
      </c>
      <c r="AH7747" s="49" t="str">
        <f t="shared" si="121"/>
        <v/>
      </c>
    </row>
    <row r="7748" spans="8:34" ht="12.75">
      <c r="H7748" s="43"/>
      <c r="AG7748" s="49" t="str">
        <f ca="1">IFERROR(__xludf.DUMMYFUNCTION("IFNA(vlookup(H7748,IMPORTRANGE(""1vUGwO1n0QQGx9kKbO0_M5gmuhXZ6-LaxQxgrmJnzgP0"",""'TP# look up'!A:C""),3,0),"""")"),"")</f>
        <v/>
      </c>
      <c r="AH7748" s="49" t="str">
        <f t="shared" si="121"/>
        <v/>
      </c>
    </row>
    <row r="7749" spans="8:34" ht="12.75">
      <c r="H7749" s="43"/>
      <c r="AG7749" s="49" t="str">
        <f ca="1">IFERROR(__xludf.DUMMYFUNCTION("IFNA(vlookup(H7749,IMPORTRANGE(""1vUGwO1n0QQGx9kKbO0_M5gmuhXZ6-LaxQxgrmJnzgP0"",""'TP# look up'!A:C""),3,0),"""")"),"")</f>
        <v/>
      </c>
      <c r="AH7749" s="49" t="str">
        <f t="shared" si="121"/>
        <v/>
      </c>
    </row>
    <row r="7750" spans="8:34" ht="12.75">
      <c r="H7750" s="43"/>
      <c r="AG7750" s="49" t="str">
        <f ca="1">IFERROR(__xludf.DUMMYFUNCTION("IFNA(vlookup(H7750,IMPORTRANGE(""1vUGwO1n0QQGx9kKbO0_M5gmuhXZ6-LaxQxgrmJnzgP0"",""'TP# look up'!A:C""),3,0),"""")"),"")</f>
        <v/>
      </c>
      <c r="AH7750" s="49" t="str">
        <f t="shared" si="121"/>
        <v/>
      </c>
    </row>
    <row r="7751" spans="8:34" ht="12.75">
      <c r="H7751" s="43"/>
      <c r="AG7751" s="49" t="str">
        <f ca="1">IFERROR(__xludf.DUMMYFUNCTION("IFNA(vlookup(H7751,IMPORTRANGE(""1vUGwO1n0QQGx9kKbO0_M5gmuhXZ6-LaxQxgrmJnzgP0"",""'TP# look up'!A:C""),3,0),"""")"),"")</f>
        <v/>
      </c>
      <c r="AH7751" s="49" t="str">
        <f t="shared" si="121"/>
        <v/>
      </c>
    </row>
    <row r="7752" spans="8:34" ht="12.75">
      <c r="H7752" s="43"/>
      <c r="AG7752" s="49" t="str">
        <f ca="1">IFERROR(__xludf.DUMMYFUNCTION("IFNA(vlookup(H7752,IMPORTRANGE(""1vUGwO1n0QQGx9kKbO0_M5gmuhXZ6-LaxQxgrmJnzgP0"",""'TP# look up'!A:C""),3,0),"""")"),"")</f>
        <v/>
      </c>
      <c r="AH7752" s="49" t="str">
        <f t="shared" si="121"/>
        <v/>
      </c>
    </row>
    <row r="7753" spans="8:34" ht="12.75">
      <c r="H7753" s="43"/>
      <c r="AG7753" s="49" t="str">
        <f ca="1">IFERROR(__xludf.DUMMYFUNCTION("IFNA(vlookup(H7753,IMPORTRANGE(""1vUGwO1n0QQGx9kKbO0_M5gmuhXZ6-LaxQxgrmJnzgP0"",""'TP# look up'!A:C""),3,0),"""")"),"")</f>
        <v/>
      </c>
      <c r="AH7753" s="49" t="str">
        <f t="shared" si="121"/>
        <v/>
      </c>
    </row>
    <row r="7754" spans="8:34" ht="12.75">
      <c r="H7754" s="43"/>
      <c r="AG7754" s="49" t="str">
        <f ca="1">IFERROR(__xludf.DUMMYFUNCTION("IFNA(vlookup(H7754,IMPORTRANGE(""1vUGwO1n0QQGx9kKbO0_M5gmuhXZ6-LaxQxgrmJnzgP0"",""'TP# look up'!A:C""),3,0),"""")"),"")</f>
        <v/>
      </c>
      <c r="AH7754" s="49" t="str">
        <f t="shared" si="121"/>
        <v/>
      </c>
    </row>
    <row r="7755" spans="8:34" ht="12.75">
      <c r="H7755" s="43"/>
      <c r="AG7755" s="49" t="str">
        <f ca="1">IFERROR(__xludf.DUMMYFUNCTION("IFNA(vlookup(H7755,IMPORTRANGE(""1vUGwO1n0QQGx9kKbO0_M5gmuhXZ6-LaxQxgrmJnzgP0"",""'TP# look up'!A:C""),3,0),"""")"),"")</f>
        <v/>
      </c>
      <c r="AH7755" s="49" t="str">
        <f t="shared" si="121"/>
        <v/>
      </c>
    </row>
    <row r="7756" spans="8:34" ht="12.75">
      <c r="H7756" s="43"/>
      <c r="AG7756" s="49" t="str">
        <f ca="1">IFERROR(__xludf.DUMMYFUNCTION("IFNA(vlookup(H7756,IMPORTRANGE(""1vUGwO1n0QQGx9kKbO0_M5gmuhXZ6-LaxQxgrmJnzgP0"",""'TP# look up'!A:C""),3,0),"""")"),"")</f>
        <v/>
      </c>
      <c r="AH7756" s="49" t="str">
        <f t="shared" si="121"/>
        <v/>
      </c>
    </row>
    <row r="7757" spans="8:34" ht="12.75">
      <c r="H7757" s="43"/>
      <c r="AG7757" s="49" t="str">
        <f ca="1">IFERROR(__xludf.DUMMYFUNCTION("IFNA(vlookup(H7757,IMPORTRANGE(""1vUGwO1n0QQGx9kKbO0_M5gmuhXZ6-LaxQxgrmJnzgP0"",""'TP# look up'!A:C""),3,0),"""")"),"")</f>
        <v/>
      </c>
      <c r="AH7757" s="49" t="str">
        <f t="shared" si="121"/>
        <v/>
      </c>
    </row>
    <row r="7758" spans="8:34" ht="12.75">
      <c r="H7758" s="43"/>
      <c r="AG7758" s="49" t="str">
        <f ca="1">IFERROR(__xludf.DUMMYFUNCTION("IFNA(vlookup(H7758,IMPORTRANGE(""1vUGwO1n0QQGx9kKbO0_M5gmuhXZ6-LaxQxgrmJnzgP0"",""'TP# look up'!A:C""),3,0),"""")"),"")</f>
        <v/>
      </c>
      <c r="AH7758" s="49" t="str">
        <f t="shared" si="121"/>
        <v/>
      </c>
    </row>
    <row r="7759" spans="8:34" ht="12.75">
      <c r="H7759" s="43"/>
      <c r="AG7759" s="49" t="str">
        <f ca="1">IFERROR(__xludf.DUMMYFUNCTION("IFNA(vlookup(H7759,IMPORTRANGE(""1vUGwO1n0QQGx9kKbO0_M5gmuhXZ6-LaxQxgrmJnzgP0"",""'TP# look up'!A:C""),3,0),"""")"),"")</f>
        <v/>
      </c>
      <c r="AH7759" s="49" t="str">
        <f t="shared" si="121"/>
        <v/>
      </c>
    </row>
    <row r="7760" spans="8:34" ht="12.75">
      <c r="H7760" s="43"/>
      <c r="AG7760" s="49" t="str">
        <f ca="1">IFERROR(__xludf.DUMMYFUNCTION("IFNA(vlookup(H7760,IMPORTRANGE(""1vUGwO1n0QQGx9kKbO0_M5gmuhXZ6-LaxQxgrmJnzgP0"",""'TP# look up'!A:C""),3,0),"""")"),"")</f>
        <v/>
      </c>
      <c r="AH7760" s="49" t="str">
        <f t="shared" si="121"/>
        <v/>
      </c>
    </row>
    <row r="7761" spans="8:34" ht="12.75">
      <c r="H7761" s="43"/>
      <c r="AG7761" s="49" t="str">
        <f ca="1">IFERROR(__xludf.DUMMYFUNCTION("IFNA(vlookup(H7761,IMPORTRANGE(""1vUGwO1n0QQGx9kKbO0_M5gmuhXZ6-LaxQxgrmJnzgP0"",""'TP# look up'!A:C""),3,0),"""")"),"")</f>
        <v/>
      </c>
      <c r="AH7761" s="49" t="str">
        <f t="shared" si="121"/>
        <v/>
      </c>
    </row>
    <row r="7762" spans="8:34" ht="12.75">
      <c r="H7762" s="43"/>
      <c r="AG7762" s="49" t="str">
        <f ca="1">IFERROR(__xludf.DUMMYFUNCTION("IFNA(vlookup(H7762,IMPORTRANGE(""1vUGwO1n0QQGx9kKbO0_M5gmuhXZ6-LaxQxgrmJnzgP0"",""'TP# look up'!A:C""),3,0),"""")"),"")</f>
        <v/>
      </c>
      <c r="AH7762" s="49" t="str">
        <f t="shared" si="121"/>
        <v/>
      </c>
    </row>
    <row r="7763" spans="8:34" ht="12.75">
      <c r="H7763" s="43"/>
      <c r="AG7763" s="49" t="str">
        <f ca="1">IFERROR(__xludf.DUMMYFUNCTION("IFNA(vlookup(H7763,IMPORTRANGE(""1vUGwO1n0QQGx9kKbO0_M5gmuhXZ6-LaxQxgrmJnzgP0"",""'TP# look up'!A:C""),3,0),"""")"),"")</f>
        <v/>
      </c>
      <c r="AH7763" s="49" t="str">
        <f t="shared" si="121"/>
        <v/>
      </c>
    </row>
    <row r="7764" spans="8:34" ht="12.75">
      <c r="H7764" s="43"/>
      <c r="AG7764" s="49" t="str">
        <f ca="1">IFERROR(__xludf.DUMMYFUNCTION("IFNA(vlookup(H7764,IMPORTRANGE(""1vUGwO1n0QQGx9kKbO0_M5gmuhXZ6-LaxQxgrmJnzgP0"",""'TP# look up'!A:C""),3,0),"""")"),"")</f>
        <v/>
      </c>
      <c r="AH7764" s="49" t="str">
        <f t="shared" si="121"/>
        <v/>
      </c>
    </row>
    <row r="7765" spans="8:34" ht="12.75">
      <c r="H7765" s="43"/>
      <c r="AG7765" s="49" t="str">
        <f ca="1">IFERROR(__xludf.DUMMYFUNCTION("IFNA(vlookup(H7765,IMPORTRANGE(""1vUGwO1n0QQGx9kKbO0_M5gmuhXZ6-LaxQxgrmJnzgP0"",""'TP# look up'!A:C""),3,0),"""")"),"")</f>
        <v/>
      </c>
      <c r="AH7765" s="49" t="str">
        <f t="shared" si="121"/>
        <v/>
      </c>
    </row>
    <row r="7766" spans="8:34" ht="12.75">
      <c r="H7766" s="43"/>
      <c r="AG7766" s="49" t="str">
        <f ca="1">IFERROR(__xludf.DUMMYFUNCTION("IFNA(vlookup(H7766,IMPORTRANGE(""1vUGwO1n0QQGx9kKbO0_M5gmuhXZ6-LaxQxgrmJnzgP0"",""'TP# look up'!A:C""),3,0),"""")"),"")</f>
        <v/>
      </c>
      <c r="AH7766" s="49" t="str">
        <f t="shared" si="121"/>
        <v/>
      </c>
    </row>
    <row r="7767" spans="8:34" ht="12.75">
      <c r="H7767" s="43"/>
      <c r="AG7767" s="49" t="str">
        <f ca="1">IFERROR(__xludf.DUMMYFUNCTION("IFNA(vlookup(H7767,IMPORTRANGE(""1vUGwO1n0QQGx9kKbO0_M5gmuhXZ6-LaxQxgrmJnzgP0"",""'TP# look up'!A:C""),3,0),"""")"),"")</f>
        <v/>
      </c>
      <c r="AH7767" s="49" t="str">
        <f t="shared" si="121"/>
        <v/>
      </c>
    </row>
    <row r="7768" spans="8:34" ht="12.75">
      <c r="H7768" s="43"/>
      <c r="AG7768" s="49" t="str">
        <f ca="1">IFERROR(__xludf.DUMMYFUNCTION("IFNA(vlookup(H7768,IMPORTRANGE(""1vUGwO1n0QQGx9kKbO0_M5gmuhXZ6-LaxQxgrmJnzgP0"",""'TP# look up'!A:C""),3,0),"""")"),"")</f>
        <v/>
      </c>
      <c r="AH7768" s="49" t="str">
        <f t="shared" si="121"/>
        <v/>
      </c>
    </row>
    <row r="7769" spans="8:34" ht="12.75">
      <c r="H7769" s="43"/>
      <c r="AG7769" s="49" t="str">
        <f ca="1">IFERROR(__xludf.DUMMYFUNCTION("IFNA(vlookup(H7769,IMPORTRANGE(""1vUGwO1n0QQGx9kKbO0_M5gmuhXZ6-LaxQxgrmJnzgP0"",""'TP# look up'!A:C""),3,0),"""")"),"")</f>
        <v/>
      </c>
      <c r="AH7769" s="49" t="str">
        <f t="shared" si="121"/>
        <v/>
      </c>
    </row>
    <row r="7770" spans="8:34" ht="12.75">
      <c r="H7770" s="43"/>
      <c r="AG7770" s="49" t="str">
        <f ca="1">IFERROR(__xludf.DUMMYFUNCTION("IFNA(vlookup(H7770,IMPORTRANGE(""1vUGwO1n0QQGx9kKbO0_M5gmuhXZ6-LaxQxgrmJnzgP0"",""'TP# look up'!A:C""),3,0),"""")"),"")</f>
        <v/>
      </c>
      <c r="AH7770" s="49" t="str">
        <f t="shared" si="121"/>
        <v/>
      </c>
    </row>
    <row r="7771" spans="8:34" ht="12.75">
      <c r="H7771" s="43"/>
      <c r="AG7771" s="49" t="str">
        <f ca="1">IFERROR(__xludf.DUMMYFUNCTION("IFNA(vlookup(H7771,IMPORTRANGE(""1vUGwO1n0QQGx9kKbO0_M5gmuhXZ6-LaxQxgrmJnzgP0"",""'TP# look up'!A:C""),3,0),"""")"),"")</f>
        <v/>
      </c>
      <c r="AH7771" s="49" t="str">
        <f t="shared" si="121"/>
        <v/>
      </c>
    </row>
    <row r="7772" spans="8:34" ht="12.75">
      <c r="H7772" s="43"/>
      <c r="AG7772" s="49" t="str">
        <f ca="1">IFERROR(__xludf.DUMMYFUNCTION("IFNA(vlookup(H7772,IMPORTRANGE(""1vUGwO1n0QQGx9kKbO0_M5gmuhXZ6-LaxQxgrmJnzgP0"",""'TP# look up'!A:C""),3,0),"""")"),"")</f>
        <v/>
      </c>
      <c r="AH7772" s="49" t="str">
        <f t="shared" si="121"/>
        <v/>
      </c>
    </row>
    <row r="7773" spans="8:34" ht="12.75">
      <c r="H7773" s="43"/>
      <c r="AG7773" s="49" t="str">
        <f ca="1">IFERROR(__xludf.DUMMYFUNCTION("IFNA(vlookup(H7773,IMPORTRANGE(""1vUGwO1n0QQGx9kKbO0_M5gmuhXZ6-LaxQxgrmJnzgP0"",""'TP# look up'!A:C""),3,0),"""")"),"")</f>
        <v/>
      </c>
      <c r="AH7773" s="49" t="str">
        <f t="shared" si="121"/>
        <v/>
      </c>
    </row>
    <row r="7774" spans="8:34" ht="12.75">
      <c r="H7774" s="43"/>
      <c r="AG7774" s="49" t="str">
        <f ca="1">IFERROR(__xludf.DUMMYFUNCTION("IFNA(vlookup(H7774,IMPORTRANGE(""1vUGwO1n0QQGx9kKbO0_M5gmuhXZ6-LaxQxgrmJnzgP0"",""'TP# look up'!A:C""),3,0),"""")"),"")</f>
        <v/>
      </c>
      <c r="AH7774" s="49" t="str">
        <f t="shared" si="121"/>
        <v/>
      </c>
    </row>
    <row r="7775" spans="8:34" ht="12.75">
      <c r="H7775" s="43"/>
      <c r="AG7775" s="49" t="str">
        <f ca="1">IFERROR(__xludf.DUMMYFUNCTION("IFNA(vlookup(H7775,IMPORTRANGE(""1vUGwO1n0QQGx9kKbO0_M5gmuhXZ6-LaxQxgrmJnzgP0"",""'TP# look up'!A:C""),3,0),"""")"),"")</f>
        <v/>
      </c>
      <c r="AH7775" s="49" t="str">
        <f t="shared" si="121"/>
        <v/>
      </c>
    </row>
    <row r="7776" spans="8:34" ht="12.75">
      <c r="H7776" s="43"/>
      <c r="AG7776" s="49" t="str">
        <f ca="1">IFERROR(__xludf.DUMMYFUNCTION("IFNA(vlookup(H7776,IMPORTRANGE(""1vUGwO1n0QQGx9kKbO0_M5gmuhXZ6-LaxQxgrmJnzgP0"",""'TP# look up'!A:C""),3,0),"""")"),"")</f>
        <v/>
      </c>
      <c r="AH7776" s="49" t="str">
        <f t="shared" si="121"/>
        <v/>
      </c>
    </row>
    <row r="7777" spans="8:34" ht="12.75">
      <c r="H7777" s="43"/>
      <c r="AG7777" s="49" t="str">
        <f ca="1">IFERROR(__xludf.DUMMYFUNCTION("IFNA(vlookup(H7777,IMPORTRANGE(""1vUGwO1n0QQGx9kKbO0_M5gmuhXZ6-LaxQxgrmJnzgP0"",""'TP# look up'!A:C""),3,0),"""")"),"")</f>
        <v/>
      </c>
      <c r="AH7777" s="49" t="str">
        <f t="shared" si="121"/>
        <v/>
      </c>
    </row>
    <row r="7778" spans="8:34" ht="12.75">
      <c r="H7778" s="43"/>
      <c r="AG7778" s="49" t="str">
        <f ca="1">IFERROR(__xludf.DUMMYFUNCTION("IFNA(vlookup(H7778,IMPORTRANGE(""1vUGwO1n0QQGx9kKbO0_M5gmuhXZ6-LaxQxgrmJnzgP0"",""'TP# look up'!A:C""),3,0),"""")"),"")</f>
        <v/>
      </c>
      <c r="AH7778" s="49" t="str">
        <f t="shared" si="121"/>
        <v/>
      </c>
    </row>
    <row r="7779" spans="8:34" ht="12.75">
      <c r="H7779" s="43"/>
      <c r="AG7779" s="49" t="str">
        <f ca="1">IFERROR(__xludf.DUMMYFUNCTION("IFNA(vlookup(H7779,IMPORTRANGE(""1vUGwO1n0QQGx9kKbO0_M5gmuhXZ6-LaxQxgrmJnzgP0"",""'TP# look up'!A:C""),3,0),"""")"),"")</f>
        <v/>
      </c>
      <c r="AH7779" s="49" t="str">
        <f t="shared" si="121"/>
        <v/>
      </c>
    </row>
    <row r="7780" spans="8:34" ht="12.75">
      <c r="H7780" s="43"/>
      <c r="AG7780" s="49" t="str">
        <f ca="1">IFERROR(__xludf.DUMMYFUNCTION("IFNA(vlookup(H7780,IMPORTRANGE(""1vUGwO1n0QQGx9kKbO0_M5gmuhXZ6-LaxQxgrmJnzgP0"",""'TP# look up'!A:C""),3,0),"""")"),"")</f>
        <v/>
      </c>
      <c r="AH7780" s="49" t="str">
        <f t="shared" si="121"/>
        <v/>
      </c>
    </row>
    <row r="7781" spans="8:34" ht="12.75">
      <c r="H7781" s="43"/>
      <c r="AG7781" s="49" t="str">
        <f ca="1">IFERROR(__xludf.DUMMYFUNCTION("IFNA(vlookup(H7781,IMPORTRANGE(""1vUGwO1n0QQGx9kKbO0_M5gmuhXZ6-LaxQxgrmJnzgP0"",""'TP# look up'!A:C""),3,0),"""")"),"")</f>
        <v/>
      </c>
      <c r="AH7781" s="49" t="str">
        <f t="shared" si="121"/>
        <v/>
      </c>
    </row>
    <row r="7782" spans="8:34" ht="12.75">
      <c r="H7782" s="43"/>
      <c r="AG7782" s="49" t="str">
        <f ca="1">IFERROR(__xludf.DUMMYFUNCTION("IFNA(vlookup(H7782,IMPORTRANGE(""1vUGwO1n0QQGx9kKbO0_M5gmuhXZ6-LaxQxgrmJnzgP0"",""'TP# look up'!A:C""),3,0),"""")"),"")</f>
        <v/>
      </c>
      <c r="AH7782" s="49" t="str">
        <f t="shared" si="121"/>
        <v/>
      </c>
    </row>
    <row r="7783" spans="8:34" ht="12.75">
      <c r="H7783" s="43"/>
      <c r="AG7783" s="49" t="str">
        <f ca="1">IFERROR(__xludf.DUMMYFUNCTION("IFNA(vlookup(H7783,IMPORTRANGE(""1vUGwO1n0QQGx9kKbO0_M5gmuhXZ6-LaxQxgrmJnzgP0"",""'TP# look up'!A:C""),3,0),"""")"),"")</f>
        <v/>
      </c>
      <c r="AH7783" s="49" t="str">
        <f t="shared" si="121"/>
        <v/>
      </c>
    </row>
    <row r="7784" spans="8:34" ht="12.75">
      <c r="H7784" s="43"/>
      <c r="AG7784" s="49" t="str">
        <f ca="1">IFERROR(__xludf.DUMMYFUNCTION("IFNA(vlookup(H7784,IMPORTRANGE(""1vUGwO1n0QQGx9kKbO0_M5gmuhXZ6-LaxQxgrmJnzgP0"",""'TP# look up'!A:C""),3,0),"""")"),"")</f>
        <v/>
      </c>
      <c r="AH7784" s="49" t="str">
        <f t="shared" si="121"/>
        <v/>
      </c>
    </row>
    <row r="7785" spans="8:34" ht="12.75">
      <c r="H7785" s="43"/>
      <c r="AG7785" s="49" t="str">
        <f ca="1">IFERROR(__xludf.DUMMYFUNCTION("IFNA(vlookup(H7785,IMPORTRANGE(""1vUGwO1n0QQGx9kKbO0_M5gmuhXZ6-LaxQxgrmJnzgP0"",""'TP# look up'!A:C""),3,0),"""")"),"")</f>
        <v/>
      </c>
      <c r="AH7785" s="49" t="str">
        <f t="shared" si="121"/>
        <v/>
      </c>
    </row>
    <row r="7786" spans="8:34" ht="12.75">
      <c r="H7786" s="43"/>
      <c r="AG7786" s="49" t="str">
        <f ca="1">IFERROR(__xludf.DUMMYFUNCTION("IFNA(vlookup(H7786,IMPORTRANGE(""1vUGwO1n0QQGx9kKbO0_M5gmuhXZ6-LaxQxgrmJnzgP0"",""'TP# look up'!A:C""),3,0),"""")"),"")</f>
        <v/>
      </c>
      <c r="AH7786" s="49" t="str">
        <f t="shared" si="121"/>
        <v/>
      </c>
    </row>
    <row r="7787" spans="8:34" ht="12.75">
      <c r="H7787" s="43"/>
      <c r="AG7787" s="49" t="str">
        <f ca="1">IFERROR(__xludf.DUMMYFUNCTION("IFNA(vlookup(H7787,IMPORTRANGE(""1vUGwO1n0QQGx9kKbO0_M5gmuhXZ6-LaxQxgrmJnzgP0"",""'TP# look up'!A:C""),3,0),"""")"),"")</f>
        <v/>
      </c>
      <c r="AH7787" s="49" t="str">
        <f t="shared" si="121"/>
        <v/>
      </c>
    </row>
    <row r="7788" spans="8:34" ht="12.75">
      <c r="H7788" s="43"/>
      <c r="AG7788" s="49" t="str">
        <f ca="1">IFERROR(__xludf.DUMMYFUNCTION("IFNA(vlookup(H7788,IMPORTRANGE(""1vUGwO1n0QQGx9kKbO0_M5gmuhXZ6-LaxQxgrmJnzgP0"",""'TP# look up'!A:C""),3,0),"""")"),"")</f>
        <v/>
      </c>
      <c r="AH7788" s="49" t="str">
        <f t="shared" si="121"/>
        <v/>
      </c>
    </row>
    <row r="7789" spans="8:34" ht="12.75">
      <c r="H7789" s="43"/>
      <c r="AG7789" s="49" t="str">
        <f ca="1">IFERROR(__xludf.DUMMYFUNCTION("IFNA(vlookup(H7789,IMPORTRANGE(""1vUGwO1n0QQGx9kKbO0_M5gmuhXZ6-LaxQxgrmJnzgP0"",""'TP# look up'!A:C""),3,0),"""")"),"")</f>
        <v/>
      </c>
      <c r="AH7789" s="49" t="str">
        <f t="shared" si="121"/>
        <v/>
      </c>
    </row>
    <row r="7790" spans="8:34" ht="12.75">
      <c r="H7790" s="43"/>
      <c r="AG7790" s="49" t="str">
        <f ca="1">IFERROR(__xludf.DUMMYFUNCTION("IFNA(vlookup(H7790,IMPORTRANGE(""1vUGwO1n0QQGx9kKbO0_M5gmuhXZ6-LaxQxgrmJnzgP0"",""'TP# look up'!A:C""),3,0),"""")"),"")</f>
        <v/>
      </c>
      <c r="AH7790" s="49" t="str">
        <f t="shared" si="121"/>
        <v/>
      </c>
    </row>
    <row r="7791" spans="8:34" ht="12.75">
      <c r="H7791" s="43"/>
      <c r="AG7791" s="49" t="str">
        <f ca="1">IFERROR(__xludf.DUMMYFUNCTION("IFNA(vlookup(H7791,IMPORTRANGE(""1vUGwO1n0QQGx9kKbO0_M5gmuhXZ6-LaxQxgrmJnzgP0"",""'TP# look up'!A:C""),3,0),"""")"),"")</f>
        <v/>
      </c>
      <c r="AH7791" s="49" t="str">
        <f t="shared" si="121"/>
        <v/>
      </c>
    </row>
    <row r="7792" spans="8:34" ht="12.75">
      <c r="H7792" s="43"/>
      <c r="AG7792" s="49" t="str">
        <f ca="1">IFERROR(__xludf.DUMMYFUNCTION("IFNA(vlookup(H7792,IMPORTRANGE(""1vUGwO1n0QQGx9kKbO0_M5gmuhXZ6-LaxQxgrmJnzgP0"",""'TP# look up'!A:C""),3,0),"""")"),"")</f>
        <v/>
      </c>
      <c r="AH7792" s="49" t="str">
        <f t="shared" si="121"/>
        <v/>
      </c>
    </row>
    <row r="7793" spans="8:34" ht="12.75">
      <c r="H7793" s="43"/>
      <c r="AG7793" s="49" t="str">
        <f ca="1">IFERROR(__xludf.DUMMYFUNCTION("IFNA(vlookup(H7793,IMPORTRANGE(""1vUGwO1n0QQGx9kKbO0_M5gmuhXZ6-LaxQxgrmJnzgP0"",""'TP# look up'!A:C""),3,0),"""")"),"")</f>
        <v/>
      </c>
      <c r="AH7793" s="49" t="str">
        <f t="shared" si="121"/>
        <v/>
      </c>
    </row>
    <row r="7794" spans="8:34" ht="12.75">
      <c r="H7794" s="43"/>
      <c r="AG7794" s="49" t="str">
        <f ca="1">IFERROR(__xludf.DUMMYFUNCTION("IFNA(vlookup(H7794,IMPORTRANGE(""1vUGwO1n0QQGx9kKbO0_M5gmuhXZ6-LaxQxgrmJnzgP0"",""'TP# look up'!A:C""),3,0),"""")"),"")</f>
        <v/>
      </c>
      <c r="AH7794" s="49" t="str">
        <f t="shared" si="121"/>
        <v/>
      </c>
    </row>
    <row r="7795" spans="8:34" ht="12.75">
      <c r="H7795" s="43"/>
      <c r="AG7795" s="49" t="str">
        <f ca="1">IFERROR(__xludf.DUMMYFUNCTION("IFNA(vlookup(H7795,IMPORTRANGE(""1vUGwO1n0QQGx9kKbO0_M5gmuhXZ6-LaxQxgrmJnzgP0"",""'TP# look up'!A:C""),3,0),"""")"),"")</f>
        <v/>
      </c>
      <c r="AH7795" s="49" t="str">
        <f t="shared" si="121"/>
        <v/>
      </c>
    </row>
    <row r="7796" spans="8:34" ht="12.75">
      <c r="H7796" s="43"/>
      <c r="AG7796" s="49" t="str">
        <f ca="1">IFERROR(__xludf.DUMMYFUNCTION("IFNA(vlookup(H7796,IMPORTRANGE(""1vUGwO1n0QQGx9kKbO0_M5gmuhXZ6-LaxQxgrmJnzgP0"",""'TP# look up'!A:C""),3,0),"""")"),"")</f>
        <v/>
      </c>
      <c r="AH7796" s="49" t="str">
        <f t="shared" si="121"/>
        <v/>
      </c>
    </row>
    <row r="7797" spans="8:34" ht="12.75">
      <c r="H7797" s="43"/>
      <c r="AG7797" s="49" t="str">
        <f ca="1">IFERROR(__xludf.DUMMYFUNCTION("IFNA(vlookup(H7797,IMPORTRANGE(""1vUGwO1n0QQGx9kKbO0_M5gmuhXZ6-LaxQxgrmJnzgP0"",""'TP# look up'!A:C""),3,0),"""")"),"")</f>
        <v/>
      </c>
      <c r="AH7797" s="49" t="str">
        <f t="shared" si="121"/>
        <v/>
      </c>
    </row>
    <row r="7798" spans="8:34" ht="12.75">
      <c r="H7798" s="43"/>
      <c r="AG7798" s="49" t="str">
        <f ca="1">IFERROR(__xludf.DUMMYFUNCTION("IFNA(vlookup(H7798,IMPORTRANGE(""1vUGwO1n0QQGx9kKbO0_M5gmuhXZ6-LaxQxgrmJnzgP0"",""'TP# look up'!A:C""),3,0),"""")"),"")</f>
        <v/>
      </c>
      <c r="AH7798" s="49" t="str">
        <f t="shared" si="121"/>
        <v/>
      </c>
    </row>
    <row r="7799" spans="8:34" ht="12.75">
      <c r="H7799" s="43"/>
      <c r="AG7799" s="49" t="str">
        <f ca="1">IFERROR(__xludf.DUMMYFUNCTION("IFNA(vlookup(H7799,IMPORTRANGE(""1vUGwO1n0QQGx9kKbO0_M5gmuhXZ6-LaxQxgrmJnzgP0"",""'TP# look up'!A:C""),3,0),"""")"),"")</f>
        <v/>
      </c>
      <c r="AH7799" s="49" t="str">
        <f t="shared" si="121"/>
        <v/>
      </c>
    </row>
    <row r="7800" spans="8:34" ht="12.75">
      <c r="H7800" s="43"/>
      <c r="AG7800" s="49" t="str">
        <f ca="1">IFERROR(__xludf.DUMMYFUNCTION("IFNA(vlookup(H7800,IMPORTRANGE(""1vUGwO1n0QQGx9kKbO0_M5gmuhXZ6-LaxQxgrmJnzgP0"",""'TP# look up'!A:C""),3,0),"""")"),"")</f>
        <v/>
      </c>
      <c r="AH7800" s="49" t="str">
        <f t="shared" si="121"/>
        <v/>
      </c>
    </row>
    <row r="7801" spans="8:34" ht="12.75">
      <c r="H7801" s="43"/>
      <c r="AG7801" s="49" t="str">
        <f ca="1">IFERROR(__xludf.DUMMYFUNCTION("IFNA(vlookup(H7801,IMPORTRANGE(""1vUGwO1n0QQGx9kKbO0_M5gmuhXZ6-LaxQxgrmJnzgP0"",""'TP# look up'!A:C""),3,0),"""")"),"")</f>
        <v/>
      </c>
      <c r="AH7801" s="49" t="str">
        <f t="shared" si="121"/>
        <v/>
      </c>
    </row>
    <row r="7802" spans="8:34" ht="12.75">
      <c r="H7802" s="43"/>
      <c r="AG7802" s="49" t="str">
        <f ca="1">IFERROR(__xludf.DUMMYFUNCTION("IFNA(vlookup(H7802,IMPORTRANGE(""1vUGwO1n0QQGx9kKbO0_M5gmuhXZ6-LaxQxgrmJnzgP0"",""'TP# look up'!A:C""),3,0),"""")"),"")</f>
        <v/>
      </c>
      <c r="AH7802" s="49" t="str">
        <f t="shared" si="121"/>
        <v/>
      </c>
    </row>
    <row r="7803" spans="8:34" ht="12.75">
      <c r="H7803" s="43"/>
      <c r="AG7803" s="49" t="str">
        <f ca="1">IFERROR(__xludf.DUMMYFUNCTION("IFNA(vlookup(H7803,IMPORTRANGE(""1vUGwO1n0QQGx9kKbO0_M5gmuhXZ6-LaxQxgrmJnzgP0"",""'TP# look up'!A:C""),3,0),"""")"),"")</f>
        <v/>
      </c>
      <c r="AH7803" s="49" t="str">
        <f t="shared" si="121"/>
        <v/>
      </c>
    </row>
    <row r="7804" spans="8:34" ht="12.75">
      <c r="H7804" s="43"/>
      <c r="AG7804" s="49" t="str">
        <f ca="1">IFERROR(__xludf.DUMMYFUNCTION("IFNA(vlookup(H7804,IMPORTRANGE(""1vUGwO1n0QQGx9kKbO0_M5gmuhXZ6-LaxQxgrmJnzgP0"",""'TP# look up'!A:C""),3,0),"""")"),"")</f>
        <v/>
      </c>
      <c r="AH7804" s="49" t="str">
        <f t="shared" si="121"/>
        <v/>
      </c>
    </row>
    <row r="7805" spans="8:34" ht="12.75">
      <c r="H7805" s="43"/>
      <c r="AG7805" s="49" t="str">
        <f ca="1">IFERROR(__xludf.DUMMYFUNCTION("IFNA(vlookup(H7805,IMPORTRANGE(""1vUGwO1n0QQGx9kKbO0_M5gmuhXZ6-LaxQxgrmJnzgP0"",""'TP# look up'!A:C""),3,0),"""")"),"")</f>
        <v/>
      </c>
      <c r="AH7805" s="49" t="str">
        <f t="shared" si="121"/>
        <v/>
      </c>
    </row>
    <row r="7806" spans="8:34" ht="12.75">
      <c r="H7806" s="43"/>
      <c r="AG7806" s="49" t="str">
        <f ca="1">IFERROR(__xludf.DUMMYFUNCTION("IFNA(vlookup(H7806,IMPORTRANGE(""1vUGwO1n0QQGx9kKbO0_M5gmuhXZ6-LaxQxgrmJnzgP0"",""'TP# look up'!A:C""),3,0),"""")"),"")</f>
        <v/>
      </c>
      <c r="AH7806" s="49" t="str">
        <f t="shared" si="121"/>
        <v/>
      </c>
    </row>
    <row r="7807" spans="8:34" ht="12.75">
      <c r="H7807" s="43"/>
      <c r="AG7807" s="49" t="str">
        <f ca="1">IFERROR(__xludf.DUMMYFUNCTION("IFNA(vlookup(H7807,IMPORTRANGE(""1vUGwO1n0QQGx9kKbO0_M5gmuhXZ6-LaxQxgrmJnzgP0"",""'TP# look up'!A:C""),3,0),"""")"),"")</f>
        <v/>
      </c>
      <c r="AH7807" s="49" t="str">
        <f t="shared" si="121"/>
        <v/>
      </c>
    </row>
    <row r="7808" spans="8:34" ht="12.75">
      <c r="H7808" s="43"/>
      <c r="AG7808" s="49" t="str">
        <f ca="1">IFERROR(__xludf.DUMMYFUNCTION("IFNA(vlookup(H7808,IMPORTRANGE(""1vUGwO1n0QQGx9kKbO0_M5gmuhXZ6-LaxQxgrmJnzgP0"",""'TP# look up'!A:C""),3,0),"""")"),"")</f>
        <v/>
      </c>
      <c r="AH7808" s="49" t="str">
        <f t="shared" si="121"/>
        <v/>
      </c>
    </row>
    <row r="7809" spans="8:34" ht="12.75">
      <c r="H7809" s="43"/>
      <c r="AG7809" s="49" t="str">
        <f ca="1">IFERROR(__xludf.DUMMYFUNCTION("IFNA(vlookup(H7809,IMPORTRANGE(""1vUGwO1n0QQGx9kKbO0_M5gmuhXZ6-LaxQxgrmJnzgP0"",""'TP# look up'!A:C""),3,0),"""")"),"")</f>
        <v/>
      </c>
      <c r="AH7809" s="49" t="str">
        <f t="shared" si="121"/>
        <v/>
      </c>
    </row>
    <row r="7810" spans="8:34" ht="12.75">
      <c r="H7810" s="43"/>
      <c r="AG7810" s="49" t="str">
        <f ca="1">IFERROR(__xludf.DUMMYFUNCTION("IFNA(vlookup(H7810,IMPORTRANGE(""1vUGwO1n0QQGx9kKbO0_M5gmuhXZ6-LaxQxgrmJnzgP0"",""'TP# look up'!A:C""),3,0),"""")"),"")</f>
        <v/>
      </c>
      <c r="AH7810" s="49" t="str">
        <f t="shared" ref="AH7810:AH7873" si="122">LEFT(J7810,2)</f>
        <v/>
      </c>
    </row>
    <row r="7811" spans="8:34" ht="12.75">
      <c r="H7811" s="43"/>
      <c r="AG7811" s="49" t="str">
        <f ca="1">IFERROR(__xludf.DUMMYFUNCTION("IFNA(vlookup(H7811,IMPORTRANGE(""1vUGwO1n0QQGx9kKbO0_M5gmuhXZ6-LaxQxgrmJnzgP0"",""'TP# look up'!A:C""),3,0),"""")"),"")</f>
        <v/>
      </c>
      <c r="AH7811" s="49" t="str">
        <f t="shared" si="122"/>
        <v/>
      </c>
    </row>
    <row r="7812" spans="8:34" ht="12.75">
      <c r="H7812" s="43"/>
      <c r="AG7812" s="49" t="str">
        <f ca="1">IFERROR(__xludf.DUMMYFUNCTION("IFNA(vlookup(H7812,IMPORTRANGE(""1vUGwO1n0QQGx9kKbO0_M5gmuhXZ6-LaxQxgrmJnzgP0"",""'TP# look up'!A:C""),3,0),"""")"),"")</f>
        <v/>
      </c>
      <c r="AH7812" s="49" t="str">
        <f t="shared" si="122"/>
        <v/>
      </c>
    </row>
    <row r="7813" spans="8:34" ht="12.75">
      <c r="H7813" s="43"/>
      <c r="AG7813" s="49" t="str">
        <f ca="1">IFERROR(__xludf.DUMMYFUNCTION("IFNA(vlookup(H7813,IMPORTRANGE(""1vUGwO1n0QQGx9kKbO0_M5gmuhXZ6-LaxQxgrmJnzgP0"",""'TP# look up'!A:C""),3,0),"""")"),"")</f>
        <v/>
      </c>
      <c r="AH7813" s="49" t="str">
        <f t="shared" si="122"/>
        <v/>
      </c>
    </row>
    <row r="7814" spans="8:34" ht="12.75">
      <c r="H7814" s="43"/>
      <c r="AG7814" s="49" t="str">
        <f ca="1">IFERROR(__xludf.DUMMYFUNCTION("IFNA(vlookup(H7814,IMPORTRANGE(""1vUGwO1n0QQGx9kKbO0_M5gmuhXZ6-LaxQxgrmJnzgP0"",""'TP# look up'!A:C""),3,0),"""")"),"")</f>
        <v/>
      </c>
      <c r="AH7814" s="49" t="str">
        <f t="shared" si="122"/>
        <v/>
      </c>
    </row>
    <row r="7815" spans="8:34" ht="12.75">
      <c r="H7815" s="43"/>
      <c r="AG7815" s="49" t="str">
        <f ca="1">IFERROR(__xludf.DUMMYFUNCTION("IFNA(vlookup(H7815,IMPORTRANGE(""1vUGwO1n0QQGx9kKbO0_M5gmuhXZ6-LaxQxgrmJnzgP0"",""'TP# look up'!A:C""),3,0),"""")"),"")</f>
        <v/>
      </c>
      <c r="AH7815" s="49" t="str">
        <f t="shared" si="122"/>
        <v/>
      </c>
    </row>
    <row r="7816" spans="8:34" ht="12.75">
      <c r="H7816" s="43"/>
      <c r="AG7816" s="49" t="str">
        <f ca="1">IFERROR(__xludf.DUMMYFUNCTION("IFNA(vlookup(H7816,IMPORTRANGE(""1vUGwO1n0QQGx9kKbO0_M5gmuhXZ6-LaxQxgrmJnzgP0"",""'TP# look up'!A:C""),3,0),"""")"),"")</f>
        <v/>
      </c>
      <c r="AH7816" s="49" t="str">
        <f t="shared" si="122"/>
        <v/>
      </c>
    </row>
    <row r="7817" spans="8:34" ht="12.75">
      <c r="H7817" s="43"/>
      <c r="AG7817" s="49" t="str">
        <f ca="1">IFERROR(__xludf.DUMMYFUNCTION("IFNA(vlookup(H7817,IMPORTRANGE(""1vUGwO1n0QQGx9kKbO0_M5gmuhXZ6-LaxQxgrmJnzgP0"",""'TP# look up'!A:C""),3,0),"""")"),"")</f>
        <v/>
      </c>
      <c r="AH7817" s="49" t="str">
        <f t="shared" si="122"/>
        <v/>
      </c>
    </row>
    <row r="7818" spans="8:34" ht="12.75">
      <c r="H7818" s="43"/>
      <c r="AG7818" s="49" t="str">
        <f ca="1">IFERROR(__xludf.DUMMYFUNCTION("IFNA(vlookup(H7818,IMPORTRANGE(""1vUGwO1n0QQGx9kKbO0_M5gmuhXZ6-LaxQxgrmJnzgP0"",""'TP# look up'!A:C""),3,0),"""")"),"")</f>
        <v/>
      </c>
      <c r="AH7818" s="49" t="str">
        <f t="shared" si="122"/>
        <v/>
      </c>
    </row>
    <row r="7819" spans="8:34" ht="12.75">
      <c r="H7819" s="43"/>
      <c r="AG7819" s="49" t="str">
        <f ca="1">IFERROR(__xludf.DUMMYFUNCTION("IFNA(vlookup(H7819,IMPORTRANGE(""1vUGwO1n0QQGx9kKbO0_M5gmuhXZ6-LaxQxgrmJnzgP0"",""'TP# look up'!A:C""),3,0),"""")"),"")</f>
        <v/>
      </c>
      <c r="AH7819" s="49" t="str">
        <f t="shared" si="122"/>
        <v/>
      </c>
    </row>
    <row r="7820" spans="8:34" ht="12.75">
      <c r="H7820" s="43"/>
      <c r="AG7820" s="49" t="str">
        <f ca="1">IFERROR(__xludf.DUMMYFUNCTION("IFNA(vlookup(H7820,IMPORTRANGE(""1vUGwO1n0QQGx9kKbO0_M5gmuhXZ6-LaxQxgrmJnzgP0"",""'TP# look up'!A:C""),3,0),"""")"),"")</f>
        <v/>
      </c>
      <c r="AH7820" s="49" t="str">
        <f t="shared" si="122"/>
        <v/>
      </c>
    </row>
    <row r="7821" spans="8:34" ht="12.75">
      <c r="H7821" s="43"/>
      <c r="AG7821" s="49" t="str">
        <f ca="1">IFERROR(__xludf.DUMMYFUNCTION("IFNA(vlookup(H7821,IMPORTRANGE(""1vUGwO1n0QQGx9kKbO0_M5gmuhXZ6-LaxQxgrmJnzgP0"",""'TP# look up'!A:C""),3,0),"""")"),"")</f>
        <v/>
      </c>
      <c r="AH7821" s="49" t="str">
        <f t="shared" si="122"/>
        <v/>
      </c>
    </row>
    <row r="7822" spans="8:34" ht="12.75">
      <c r="H7822" s="43"/>
      <c r="AG7822" s="49" t="str">
        <f ca="1">IFERROR(__xludf.DUMMYFUNCTION("IFNA(vlookup(H7822,IMPORTRANGE(""1vUGwO1n0QQGx9kKbO0_M5gmuhXZ6-LaxQxgrmJnzgP0"",""'TP# look up'!A:C""),3,0),"""")"),"")</f>
        <v/>
      </c>
      <c r="AH7822" s="49" t="str">
        <f t="shared" si="122"/>
        <v/>
      </c>
    </row>
    <row r="7823" spans="8:34" ht="12.75">
      <c r="H7823" s="43"/>
      <c r="AG7823" s="49" t="str">
        <f ca="1">IFERROR(__xludf.DUMMYFUNCTION("IFNA(vlookup(H7823,IMPORTRANGE(""1vUGwO1n0QQGx9kKbO0_M5gmuhXZ6-LaxQxgrmJnzgP0"",""'TP# look up'!A:C""),3,0),"""")"),"")</f>
        <v/>
      </c>
      <c r="AH7823" s="49" t="str">
        <f t="shared" si="122"/>
        <v/>
      </c>
    </row>
    <row r="7824" spans="8:34" ht="12.75">
      <c r="H7824" s="43"/>
      <c r="AG7824" s="49" t="str">
        <f ca="1">IFERROR(__xludf.DUMMYFUNCTION("IFNA(vlookup(H7824,IMPORTRANGE(""1vUGwO1n0QQGx9kKbO0_M5gmuhXZ6-LaxQxgrmJnzgP0"",""'TP# look up'!A:C""),3,0),"""")"),"")</f>
        <v/>
      </c>
      <c r="AH7824" s="49" t="str">
        <f t="shared" si="122"/>
        <v/>
      </c>
    </row>
    <row r="7825" spans="8:34" ht="12.75">
      <c r="H7825" s="43"/>
      <c r="AG7825" s="49" t="str">
        <f ca="1">IFERROR(__xludf.DUMMYFUNCTION("IFNA(vlookup(H7825,IMPORTRANGE(""1vUGwO1n0QQGx9kKbO0_M5gmuhXZ6-LaxQxgrmJnzgP0"",""'TP# look up'!A:C""),3,0),"""")"),"")</f>
        <v/>
      </c>
      <c r="AH7825" s="49" t="str">
        <f t="shared" si="122"/>
        <v/>
      </c>
    </row>
    <row r="7826" spans="8:34" ht="12.75">
      <c r="H7826" s="43"/>
      <c r="AG7826" s="49" t="str">
        <f ca="1">IFERROR(__xludf.DUMMYFUNCTION("IFNA(vlookup(H7826,IMPORTRANGE(""1vUGwO1n0QQGx9kKbO0_M5gmuhXZ6-LaxQxgrmJnzgP0"",""'TP# look up'!A:C""),3,0),"""")"),"")</f>
        <v/>
      </c>
      <c r="AH7826" s="49" t="str">
        <f t="shared" si="122"/>
        <v/>
      </c>
    </row>
    <row r="7827" spans="8:34" ht="12.75">
      <c r="H7827" s="43"/>
      <c r="AG7827" s="49" t="str">
        <f ca="1">IFERROR(__xludf.DUMMYFUNCTION("IFNA(vlookup(H7827,IMPORTRANGE(""1vUGwO1n0QQGx9kKbO0_M5gmuhXZ6-LaxQxgrmJnzgP0"",""'TP# look up'!A:C""),3,0),"""")"),"")</f>
        <v/>
      </c>
      <c r="AH7827" s="49" t="str">
        <f t="shared" si="122"/>
        <v/>
      </c>
    </row>
    <row r="7828" spans="8:34" ht="12.75">
      <c r="H7828" s="43"/>
      <c r="AG7828" s="49" t="str">
        <f ca="1">IFERROR(__xludf.DUMMYFUNCTION("IFNA(vlookup(H7828,IMPORTRANGE(""1vUGwO1n0QQGx9kKbO0_M5gmuhXZ6-LaxQxgrmJnzgP0"",""'TP# look up'!A:C""),3,0),"""")"),"")</f>
        <v/>
      </c>
      <c r="AH7828" s="49" t="str">
        <f t="shared" si="122"/>
        <v/>
      </c>
    </row>
    <row r="7829" spans="8:34" ht="12.75">
      <c r="H7829" s="43"/>
      <c r="AG7829" s="49" t="str">
        <f ca="1">IFERROR(__xludf.DUMMYFUNCTION("IFNA(vlookup(H7829,IMPORTRANGE(""1vUGwO1n0QQGx9kKbO0_M5gmuhXZ6-LaxQxgrmJnzgP0"",""'TP# look up'!A:C""),3,0),"""")"),"")</f>
        <v/>
      </c>
      <c r="AH7829" s="49" t="str">
        <f t="shared" si="122"/>
        <v/>
      </c>
    </row>
    <row r="7830" spans="8:34" ht="12.75">
      <c r="H7830" s="43"/>
      <c r="AG7830" s="49" t="str">
        <f ca="1">IFERROR(__xludf.DUMMYFUNCTION("IFNA(vlookup(H7830,IMPORTRANGE(""1vUGwO1n0QQGx9kKbO0_M5gmuhXZ6-LaxQxgrmJnzgP0"",""'TP# look up'!A:C""),3,0),"""")"),"")</f>
        <v/>
      </c>
      <c r="AH7830" s="49" t="str">
        <f t="shared" si="122"/>
        <v/>
      </c>
    </row>
    <row r="7831" spans="8:34" ht="12.75">
      <c r="H7831" s="43"/>
      <c r="AG7831" s="49" t="str">
        <f ca="1">IFERROR(__xludf.DUMMYFUNCTION("IFNA(vlookup(H7831,IMPORTRANGE(""1vUGwO1n0QQGx9kKbO0_M5gmuhXZ6-LaxQxgrmJnzgP0"",""'TP# look up'!A:C""),3,0),"""")"),"")</f>
        <v/>
      </c>
      <c r="AH7831" s="49" t="str">
        <f t="shared" si="122"/>
        <v/>
      </c>
    </row>
    <row r="7832" spans="8:34" ht="12.75">
      <c r="H7832" s="43"/>
      <c r="AG7832" s="49" t="str">
        <f ca="1">IFERROR(__xludf.DUMMYFUNCTION("IFNA(vlookup(H7832,IMPORTRANGE(""1vUGwO1n0QQGx9kKbO0_M5gmuhXZ6-LaxQxgrmJnzgP0"",""'TP# look up'!A:C""),3,0),"""")"),"")</f>
        <v/>
      </c>
      <c r="AH7832" s="49" t="str">
        <f t="shared" si="122"/>
        <v/>
      </c>
    </row>
    <row r="7833" spans="8:34" ht="12.75">
      <c r="H7833" s="43"/>
      <c r="AG7833" s="49" t="str">
        <f ca="1">IFERROR(__xludf.DUMMYFUNCTION("IFNA(vlookup(H7833,IMPORTRANGE(""1vUGwO1n0QQGx9kKbO0_M5gmuhXZ6-LaxQxgrmJnzgP0"",""'TP# look up'!A:C""),3,0),"""")"),"")</f>
        <v/>
      </c>
      <c r="AH7833" s="49" t="str">
        <f t="shared" si="122"/>
        <v/>
      </c>
    </row>
    <row r="7834" spans="8:34" ht="12.75">
      <c r="H7834" s="43"/>
      <c r="AG7834" s="49" t="str">
        <f ca="1">IFERROR(__xludf.DUMMYFUNCTION("IFNA(vlookup(H7834,IMPORTRANGE(""1vUGwO1n0QQGx9kKbO0_M5gmuhXZ6-LaxQxgrmJnzgP0"",""'TP# look up'!A:C""),3,0),"""")"),"")</f>
        <v/>
      </c>
      <c r="AH7834" s="49" t="str">
        <f t="shared" si="122"/>
        <v/>
      </c>
    </row>
    <row r="7835" spans="8:34" ht="12.75">
      <c r="H7835" s="43"/>
      <c r="AG7835" s="49" t="str">
        <f ca="1">IFERROR(__xludf.DUMMYFUNCTION("IFNA(vlookup(H7835,IMPORTRANGE(""1vUGwO1n0QQGx9kKbO0_M5gmuhXZ6-LaxQxgrmJnzgP0"",""'TP# look up'!A:C""),3,0),"""")"),"")</f>
        <v/>
      </c>
      <c r="AH7835" s="49" t="str">
        <f t="shared" si="122"/>
        <v/>
      </c>
    </row>
    <row r="7836" spans="8:34" ht="12.75">
      <c r="H7836" s="43"/>
      <c r="AG7836" s="49" t="str">
        <f ca="1">IFERROR(__xludf.DUMMYFUNCTION("IFNA(vlookup(H7836,IMPORTRANGE(""1vUGwO1n0QQGx9kKbO0_M5gmuhXZ6-LaxQxgrmJnzgP0"",""'TP# look up'!A:C""),3,0),"""")"),"")</f>
        <v/>
      </c>
      <c r="AH7836" s="49" t="str">
        <f t="shared" si="122"/>
        <v/>
      </c>
    </row>
    <row r="7837" spans="8:34" ht="12.75">
      <c r="H7837" s="43"/>
      <c r="AG7837" s="49" t="str">
        <f ca="1">IFERROR(__xludf.DUMMYFUNCTION("IFNA(vlookup(H7837,IMPORTRANGE(""1vUGwO1n0QQGx9kKbO0_M5gmuhXZ6-LaxQxgrmJnzgP0"",""'TP# look up'!A:C""),3,0),"""")"),"")</f>
        <v/>
      </c>
      <c r="AH7837" s="49" t="str">
        <f t="shared" si="122"/>
        <v/>
      </c>
    </row>
    <row r="7838" spans="8:34" ht="12.75">
      <c r="H7838" s="43"/>
      <c r="AG7838" s="49" t="str">
        <f ca="1">IFERROR(__xludf.DUMMYFUNCTION("IFNA(vlookup(H7838,IMPORTRANGE(""1vUGwO1n0QQGx9kKbO0_M5gmuhXZ6-LaxQxgrmJnzgP0"",""'TP# look up'!A:C""),3,0),"""")"),"")</f>
        <v/>
      </c>
      <c r="AH7838" s="49" t="str">
        <f t="shared" si="122"/>
        <v/>
      </c>
    </row>
    <row r="7839" spans="8:34" ht="12.75">
      <c r="H7839" s="43"/>
      <c r="AG7839" s="49" t="str">
        <f ca="1">IFERROR(__xludf.DUMMYFUNCTION("IFNA(vlookup(H7839,IMPORTRANGE(""1vUGwO1n0QQGx9kKbO0_M5gmuhXZ6-LaxQxgrmJnzgP0"",""'TP# look up'!A:C""),3,0),"""")"),"")</f>
        <v/>
      </c>
      <c r="AH7839" s="49" t="str">
        <f t="shared" si="122"/>
        <v/>
      </c>
    </row>
    <row r="7840" spans="8:34" ht="12.75">
      <c r="H7840" s="43"/>
      <c r="AG7840" s="49" t="str">
        <f ca="1">IFERROR(__xludf.DUMMYFUNCTION("IFNA(vlookup(H7840,IMPORTRANGE(""1vUGwO1n0QQGx9kKbO0_M5gmuhXZ6-LaxQxgrmJnzgP0"",""'TP# look up'!A:C""),3,0),"""")"),"")</f>
        <v/>
      </c>
      <c r="AH7840" s="49" t="str">
        <f t="shared" si="122"/>
        <v/>
      </c>
    </row>
    <row r="7841" spans="8:34" ht="12.75">
      <c r="H7841" s="43"/>
      <c r="AG7841" s="49" t="str">
        <f ca="1">IFERROR(__xludf.DUMMYFUNCTION("IFNA(vlookup(H7841,IMPORTRANGE(""1vUGwO1n0QQGx9kKbO0_M5gmuhXZ6-LaxQxgrmJnzgP0"",""'TP# look up'!A:C""),3,0),"""")"),"")</f>
        <v/>
      </c>
      <c r="AH7841" s="49" t="str">
        <f t="shared" si="122"/>
        <v/>
      </c>
    </row>
    <row r="7842" spans="8:34" ht="12.75">
      <c r="H7842" s="43"/>
      <c r="AG7842" s="49" t="str">
        <f ca="1">IFERROR(__xludf.DUMMYFUNCTION("IFNA(vlookup(H7842,IMPORTRANGE(""1vUGwO1n0QQGx9kKbO0_M5gmuhXZ6-LaxQxgrmJnzgP0"",""'TP# look up'!A:C""),3,0),"""")"),"")</f>
        <v/>
      </c>
      <c r="AH7842" s="49" t="str">
        <f t="shared" si="122"/>
        <v/>
      </c>
    </row>
    <row r="7843" spans="8:34" ht="12.75">
      <c r="H7843" s="43"/>
      <c r="AG7843" s="49" t="str">
        <f ca="1">IFERROR(__xludf.DUMMYFUNCTION("IFNA(vlookup(H7843,IMPORTRANGE(""1vUGwO1n0QQGx9kKbO0_M5gmuhXZ6-LaxQxgrmJnzgP0"",""'TP# look up'!A:C""),3,0),"""")"),"")</f>
        <v/>
      </c>
      <c r="AH7843" s="49" t="str">
        <f t="shared" si="122"/>
        <v/>
      </c>
    </row>
    <row r="7844" spans="8:34" ht="12.75">
      <c r="H7844" s="43"/>
      <c r="AG7844" s="49" t="str">
        <f ca="1">IFERROR(__xludf.DUMMYFUNCTION("IFNA(vlookup(H7844,IMPORTRANGE(""1vUGwO1n0QQGx9kKbO0_M5gmuhXZ6-LaxQxgrmJnzgP0"",""'TP# look up'!A:C""),3,0),"""")"),"")</f>
        <v/>
      </c>
      <c r="AH7844" s="49" t="str">
        <f t="shared" si="122"/>
        <v/>
      </c>
    </row>
    <row r="7845" spans="8:34" ht="12.75">
      <c r="H7845" s="43"/>
      <c r="AG7845" s="49" t="str">
        <f ca="1">IFERROR(__xludf.DUMMYFUNCTION("IFNA(vlookup(H7845,IMPORTRANGE(""1vUGwO1n0QQGx9kKbO0_M5gmuhXZ6-LaxQxgrmJnzgP0"",""'TP# look up'!A:C""),3,0),"""")"),"")</f>
        <v/>
      </c>
      <c r="AH7845" s="49" t="str">
        <f t="shared" si="122"/>
        <v/>
      </c>
    </row>
    <row r="7846" spans="8:34" ht="12.75">
      <c r="H7846" s="43"/>
      <c r="AG7846" s="49" t="str">
        <f ca="1">IFERROR(__xludf.DUMMYFUNCTION("IFNA(vlookup(H7846,IMPORTRANGE(""1vUGwO1n0QQGx9kKbO0_M5gmuhXZ6-LaxQxgrmJnzgP0"",""'TP# look up'!A:C""),3,0),"""")"),"")</f>
        <v/>
      </c>
      <c r="AH7846" s="49" t="str">
        <f t="shared" si="122"/>
        <v/>
      </c>
    </row>
    <row r="7847" spans="8:34" ht="12.75">
      <c r="H7847" s="43"/>
      <c r="AG7847" s="49" t="str">
        <f ca="1">IFERROR(__xludf.DUMMYFUNCTION("IFNA(vlookup(H7847,IMPORTRANGE(""1vUGwO1n0QQGx9kKbO0_M5gmuhXZ6-LaxQxgrmJnzgP0"",""'TP# look up'!A:C""),3,0),"""")"),"")</f>
        <v/>
      </c>
      <c r="AH7847" s="49" t="str">
        <f t="shared" si="122"/>
        <v/>
      </c>
    </row>
    <row r="7848" spans="8:34" ht="12.75">
      <c r="H7848" s="43"/>
      <c r="AG7848" s="49" t="str">
        <f ca="1">IFERROR(__xludf.DUMMYFUNCTION("IFNA(vlookup(H7848,IMPORTRANGE(""1vUGwO1n0QQGx9kKbO0_M5gmuhXZ6-LaxQxgrmJnzgP0"",""'TP# look up'!A:C""),3,0),"""")"),"")</f>
        <v/>
      </c>
      <c r="AH7848" s="49" t="str">
        <f t="shared" si="122"/>
        <v/>
      </c>
    </row>
    <row r="7849" spans="8:34" ht="12.75">
      <c r="H7849" s="43"/>
      <c r="AG7849" s="49" t="str">
        <f ca="1">IFERROR(__xludf.DUMMYFUNCTION("IFNA(vlookup(H7849,IMPORTRANGE(""1vUGwO1n0QQGx9kKbO0_M5gmuhXZ6-LaxQxgrmJnzgP0"",""'TP# look up'!A:C""),3,0),"""")"),"")</f>
        <v/>
      </c>
      <c r="AH7849" s="49" t="str">
        <f t="shared" si="122"/>
        <v/>
      </c>
    </row>
    <row r="7850" spans="8:34" ht="12.75">
      <c r="H7850" s="43"/>
      <c r="AG7850" s="49" t="str">
        <f ca="1">IFERROR(__xludf.DUMMYFUNCTION("IFNA(vlookup(H7850,IMPORTRANGE(""1vUGwO1n0QQGx9kKbO0_M5gmuhXZ6-LaxQxgrmJnzgP0"",""'TP# look up'!A:C""),3,0),"""")"),"")</f>
        <v/>
      </c>
      <c r="AH7850" s="49" t="str">
        <f t="shared" si="122"/>
        <v/>
      </c>
    </row>
    <row r="7851" spans="8:34" ht="12.75">
      <c r="H7851" s="43"/>
      <c r="AG7851" s="49" t="str">
        <f ca="1">IFERROR(__xludf.DUMMYFUNCTION("IFNA(vlookup(H7851,IMPORTRANGE(""1vUGwO1n0QQGx9kKbO0_M5gmuhXZ6-LaxQxgrmJnzgP0"",""'TP# look up'!A:C""),3,0),"""")"),"")</f>
        <v/>
      </c>
      <c r="AH7851" s="49" t="str">
        <f t="shared" si="122"/>
        <v/>
      </c>
    </row>
    <row r="7852" spans="8:34" ht="12.75">
      <c r="H7852" s="43"/>
      <c r="AG7852" s="49" t="str">
        <f ca="1">IFERROR(__xludf.DUMMYFUNCTION("IFNA(vlookup(H7852,IMPORTRANGE(""1vUGwO1n0QQGx9kKbO0_M5gmuhXZ6-LaxQxgrmJnzgP0"",""'TP# look up'!A:C""),3,0),"""")"),"")</f>
        <v/>
      </c>
      <c r="AH7852" s="49" t="str">
        <f t="shared" si="122"/>
        <v/>
      </c>
    </row>
    <row r="7853" spans="8:34" ht="12.75">
      <c r="H7853" s="43"/>
      <c r="AG7853" s="49" t="str">
        <f ca="1">IFERROR(__xludf.DUMMYFUNCTION("IFNA(vlookup(H7853,IMPORTRANGE(""1vUGwO1n0QQGx9kKbO0_M5gmuhXZ6-LaxQxgrmJnzgP0"",""'TP# look up'!A:C""),3,0),"""")"),"")</f>
        <v/>
      </c>
      <c r="AH7853" s="49" t="str">
        <f t="shared" si="122"/>
        <v/>
      </c>
    </row>
    <row r="7854" spans="8:34" ht="12.75">
      <c r="H7854" s="43"/>
      <c r="AG7854" s="49" t="str">
        <f ca="1">IFERROR(__xludf.DUMMYFUNCTION("IFNA(vlookup(H7854,IMPORTRANGE(""1vUGwO1n0QQGx9kKbO0_M5gmuhXZ6-LaxQxgrmJnzgP0"",""'TP# look up'!A:C""),3,0),"""")"),"")</f>
        <v/>
      </c>
      <c r="AH7854" s="49" t="str">
        <f t="shared" si="122"/>
        <v/>
      </c>
    </row>
    <row r="7855" spans="8:34" ht="12.75">
      <c r="H7855" s="43"/>
      <c r="AG7855" s="49" t="str">
        <f ca="1">IFERROR(__xludf.DUMMYFUNCTION("IFNA(vlookup(H7855,IMPORTRANGE(""1vUGwO1n0QQGx9kKbO0_M5gmuhXZ6-LaxQxgrmJnzgP0"",""'TP# look up'!A:C""),3,0),"""")"),"")</f>
        <v/>
      </c>
      <c r="AH7855" s="49" t="str">
        <f t="shared" si="122"/>
        <v/>
      </c>
    </row>
    <row r="7856" spans="8:34" ht="12.75">
      <c r="H7856" s="43"/>
      <c r="AG7856" s="49" t="str">
        <f ca="1">IFERROR(__xludf.DUMMYFUNCTION("IFNA(vlookup(H7856,IMPORTRANGE(""1vUGwO1n0QQGx9kKbO0_M5gmuhXZ6-LaxQxgrmJnzgP0"",""'TP# look up'!A:C""),3,0),"""")"),"")</f>
        <v/>
      </c>
      <c r="AH7856" s="49" t="str">
        <f t="shared" si="122"/>
        <v/>
      </c>
    </row>
    <row r="7857" spans="8:34" ht="12.75">
      <c r="H7857" s="43"/>
      <c r="AG7857" s="49" t="str">
        <f ca="1">IFERROR(__xludf.DUMMYFUNCTION("IFNA(vlookup(H7857,IMPORTRANGE(""1vUGwO1n0QQGx9kKbO0_M5gmuhXZ6-LaxQxgrmJnzgP0"",""'TP# look up'!A:C""),3,0),"""")"),"")</f>
        <v/>
      </c>
      <c r="AH7857" s="49" t="str">
        <f t="shared" si="122"/>
        <v/>
      </c>
    </row>
    <row r="7858" spans="8:34" ht="12.75">
      <c r="H7858" s="43"/>
      <c r="AG7858" s="49" t="str">
        <f ca="1">IFERROR(__xludf.DUMMYFUNCTION("IFNA(vlookup(H7858,IMPORTRANGE(""1vUGwO1n0QQGx9kKbO0_M5gmuhXZ6-LaxQxgrmJnzgP0"",""'TP# look up'!A:C""),3,0),"""")"),"")</f>
        <v/>
      </c>
      <c r="AH7858" s="49" t="str">
        <f t="shared" si="122"/>
        <v/>
      </c>
    </row>
    <row r="7859" spans="8:34" ht="12.75">
      <c r="H7859" s="43"/>
      <c r="AG7859" s="49" t="str">
        <f ca="1">IFERROR(__xludf.DUMMYFUNCTION("IFNA(vlookup(H7859,IMPORTRANGE(""1vUGwO1n0QQGx9kKbO0_M5gmuhXZ6-LaxQxgrmJnzgP0"",""'TP# look up'!A:C""),3,0),"""")"),"")</f>
        <v/>
      </c>
      <c r="AH7859" s="49" t="str">
        <f t="shared" si="122"/>
        <v/>
      </c>
    </row>
    <row r="7860" spans="8:34" ht="12.75">
      <c r="H7860" s="43"/>
      <c r="AG7860" s="49" t="str">
        <f ca="1">IFERROR(__xludf.DUMMYFUNCTION("IFNA(vlookup(H7860,IMPORTRANGE(""1vUGwO1n0QQGx9kKbO0_M5gmuhXZ6-LaxQxgrmJnzgP0"",""'TP# look up'!A:C""),3,0),"""")"),"")</f>
        <v/>
      </c>
      <c r="AH7860" s="49" t="str">
        <f t="shared" si="122"/>
        <v/>
      </c>
    </row>
    <row r="7861" spans="8:34" ht="12.75">
      <c r="H7861" s="43"/>
      <c r="AG7861" s="49" t="str">
        <f ca="1">IFERROR(__xludf.DUMMYFUNCTION("IFNA(vlookup(H7861,IMPORTRANGE(""1vUGwO1n0QQGx9kKbO0_M5gmuhXZ6-LaxQxgrmJnzgP0"",""'TP# look up'!A:C""),3,0),"""")"),"")</f>
        <v/>
      </c>
      <c r="AH7861" s="49" t="str">
        <f t="shared" si="122"/>
        <v/>
      </c>
    </row>
    <row r="7862" spans="8:34" ht="12.75">
      <c r="H7862" s="43"/>
      <c r="AG7862" s="49" t="str">
        <f ca="1">IFERROR(__xludf.DUMMYFUNCTION("IFNA(vlookup(H7862,IMPORTRANGE(""1vUGwO1n0QQGx9kKbO0_M5gmuhXZ6-LaxQxgrmJnzgP0"",""'TP# look up'!A:C""),3,0),"""")"),"")</f>
        <v/>
      </c>
      <c r="AH7862" s="49" t="str">
        <f t="shared" si="122"/>
        <v/>
      </c>
    </row>
    <row r="7863" spans="8:34" ht="12.75">
      <c r="H7863" s="43"/>
      <c r="AG7863" s="49" t="str">
        <f ca="1">IFERROR(__xludf.DUMMYFUNCTION("IFNA(vlookup(H7863,IMPORTRANGE(""1vUGwO1n0QQGx9kKbO0_M5gmuhXZ6-LaxQxgrmJnzgP0"",""'TP# look up'!A:C""),3,0),"""")"),"")</f>
        <v/>
      </c>
      <c r="AH7863" s="49" t="str">
        <f t="shared" si="122"/>
        <v/>
      </c>
    </row>
    <row r="7864" spans="8:34" ht="12.75">
      <c r="H7864" s="43"/>
      <c r="AG7864" s="49" t="str">
        <f ca="1">IFERROR(__xludf.DUMMYFUNCTION("IFNA(vlookup(H7864,IMPORTRANGE(""1vUGwO1n0QQGx9kKbO0_M5gmuhXZ6-LaxQxgrmJnzgP0"",""'TP# look up'!A:C""),3,0),"""")"),"")</f>
        <v/>
      </c>
      <c r="AH7864" s="49" t="str">
        <f t="shared" si="122"/>
        <v/>
      </c>
    </row>
    <row r="7865" spans="8:34" ht="12.75">
      <c r="H7865" s="43"/>
      <c r="AG7865" s="49" t="str">
        <f ca="1">IFERROR(__xludf.DUMMYFUNCTION("IFNA(vlookup(H7865,IMPORTRANGE(""1vUGwO1n0QQGx9kKbO0_M5gmuhXZ6-LaxQxgrmJnzgP0"",""'TP# look up'!A:C""),3,0),"""")"),"")</f>
        <v/>
      </c>
      <c r="AH7865" s="49" t="str">
        <f t="shared" si="122"/>
        <v/>
      </c>
    </row>
    <row r="7866" spans="8:34" ht="12.75">
      <c r="H7866" s="43"/>
      <c r="AG7866" s="49" t="str">
        <f ca="1">IFERROR(__xludf.DUMMYFUNCTION("IFNA(vlookup(H7866,IMPORTRANGE(""1vUGwO1n0QQGx9kKbO0_M5gmuhXZ6-LaxQxgrmJnzgP0"",""'TP# look up'!A:C""),3,0),"""")"),"")</f>
        <v/>
      </c>
      <c r="AH7866" s="49" t="str">
        <f t="shared" si="122"/>
        <v/>
      </c>
    </row>
    <row r="7867" spans="8:34" ht="12.75">
      <c r="H7867" s="43"/>
      <c r="AG7867" s="49" t="str">
        <f ca="1">IFERROR(__xludf.DUMMYFUNCTION("IFNA(vlookup(H7867,IMPORTRANGE(""1vUGwO1n0QQGx9kKbO0_M5gmuhXZ6-LaxQxgrmJnzgP0"",""'TP# look up'!A:C""),3,0),"""")"),"")</f>
        <v/>
      </c>
      <c r="AH7867" s="49" t="str">
        <f t="shared" si="122"/>
        <v/>
      </c>
    </row>
    <row r="7868" spans="8:34" ht="12.75">
      <c r="H7868" s="43"/>
      <c r="AG7868" s="49" t="str">
        <f ca="1">IFERROR(__xludf.DUMMYFUNCTION("IFNA(vlookup(H7868,IMPORTRANGE(""1vUGwO1n0QQGx9kKbO0_M5gmuhXZ6-LaxQxgrmJnzgP0"",""'TP# look up'!A:C""),3,0),"""")"),"")</f>
        <v/>
      </c>
      <c r="AH7868" s="49" t="str">
        <f t="shared" si="122"/>
        <v/>
      </c>
    </row>
    <row r="7869" spans="8:34" ht="12.75">
      <c r="H7869" s="43"/>
      <c r="AG7869" s="49" t="str">
        <f ca="1">IFERROR(__xludf.DUMMYFUNCTION("IFNA(vlookup(H7869,IMPORTRANGE(""1vUGwO1n0QQGx9kKbO0_M5gmuhXZ6-LaxQxgrmJnzgP0"",""'TP# look up'!A:C""),3,0),"""")"),"")</f>
        <v/>
      </c>
      <c r="AH7869" s="49" t="str">
        <f t="shared" si="122"/>
        <v/>
      </c>
    </row>
    <row r="7870" spans="8:34" ht="12.75">
      <c r="H7870" s="43"/>
      <c r="AG7870" s="49" t="str">
        <f ca="1">IFERROR(__xludf.DUMMYFUNCTION("IFNA(vlookup(H7870,IMPORTRANGE(""1vUGwO1n0QQGx9kKbO0_M5gmuhXZ6-LaxQxgrmJnzgP0"",""'TP# look up'!A:C""),3,0),"""")"),"")</f>
        <v/>
      </c>
      <c r="AH7870" s="49" t="str">
        <f t="shared" si="122"/>
        <v/>
      </c>
    </row>
    <row r="7871" spans="8:34" ht="12.75">
      <c r="H7871" s="43"/>
      <c r="AG7871" s="49" t="str">
        <f ca="1">IFERROR(__xludf.DUMMYFUNCTION("IFNA(vlookup(H7871,IMPORTRANGE(""1vUGwO1n0QQGx9kKbO0_M5gmuhXZ6-LaxQxgrmJnzgP0"",""'TP# look up'!A:C""),3,0),"""")"),"")</f>
        <v/>
      </c>
      <c r="AH7871" s="49" t="str">
        <f t="shared" si="122"/>
        <v/>
      </c>
    </row>
    <row r="7872" spans="8:34" ht="12.75">
      <c r="H7872" s="43"/>
      <c r="AG7872" s="49" t="str">
        <f ca="1">IFERROR(__xludf.DUMMYFUNCTION("IFNA(vlookup(H7872,IMPORTRANGE(""1vUGwO1n0QQGx9kKbO0_M5gmuhXZ6-LaxQxgrmJnzgP0"",""'TP# look up'!A:C""),3,0),"""")"),"")</f>
        <v/>
      </c>
      <c r="AH7872" s="49" t="str">
        <f t="shared" si="122"/>
        <v/>
      </c>
    </row>
    <row r="7873" spans="8:34" ht="12.75">
      <c r="H7873" s="43"/>
      <c r="AG7873" s="49" t="str">
        <f ca="1">IFERROR(__xludf.DUMMYFUNCTION("IFNA(vlookup(H7873,IMPORTRANGE(""1vUGwO1n0QQGx9kKbO0_M5gmuhXZ6-LaxQxgrmJnzgP0"",""'TP# look up'!A:C""),3,0),"""")"),"")</f>
        <v/>
      </c>
      <c r="AH7873" s="49" t="str">
        <f t="shared" si="122"/>
        <v/>
      </c>
    </row>
    <row r="7874" spans="8:34" ht="12.75">
      <c r="H7874" s="43"/>
      <c r="AG7874" s="49" t="str">
        <f ca="1">IFERROR(__xludf.DUMMYFUNCTION("IFNA(vlookup(H7874,IMPORTRANGE(""1vUGwO1n0QQGx9kKbO0_M5gmuhXZ6-LaxQxgrmJnzgP0"",""'TP# look up'!A:C""),3,0),"""")"),"")</f>
        <v/>
      </c>
      <c r="AH7874" s="49" t="str">
        <f t="shared" ref="AH7874:AH7937" si="123">LEFT(J7874,2)</f>
        <v/>
      </c>
    </row>
    <row r="7875" spans="8:34" ht="12.75">
      <c r="H7875" s="43"/>
      <c r="AG7875" s="49" t="str">
        <f ca="1">IFERROR(__xludf.DUMMYFUNCTION("IFNA(vlookup(H7875,IMPORTRANGE(""1vUGwO1n0QQGx9kKbO0_M5gmuhXZ6-LaxQxgrmJnzgP0"",""'TP# look up'!A:C""),3,0),"""")"),"")</f>
        <v/>
      </c>
      <c r="AH7875" s="49" t="str">
        <f t="shared" si="123"/>
        <v/>
      </c>
    </row>
    <row r="7876" spans="8:34" ht="12.75">
      <c r="H7876" s="43"/>
      <c r="AG7876" s="49" t="str">
        <f ca="1">IFERROR(__xludf.DUMMYFUNCTION("IFNA(vlookup(H7876,IMPORTRANGE(""1vUGwO1n0QQGx9kKbO0_M5gmuhXZ6-LaxQxgrmJnzgP0"",""'TP# look up'!A:C""),3,0),"""")"),"")</f>
        <v/>
      </c>
      <c r="AH7876" s="49" t="str">
        <f t="shared" si="123"/>
        <v/>
      </c>
    </row>
    <row r="7877" spans="8:34" ht="12.75">
      <c r="H7877" s="43"/>
      <c r="AG7877" s="49" t="str">
        <f ca="1">IFERROR(__xludf.DUMMYFUNCTION("IFNA(vlookup(H7877,IMPORTRANGE(""1vUGwO1n0QQGx9kKbO0_M5gmuhXZ6-LaxQxgrmJnzgP0"",""'TP# look up'!A:C""),3,0),"""")"),"")</f>
        <v/>
      </c>
      <c r="AH7877" s="49" t="str">
        <f t="shared" si="123"/>
        <v/>
      </c>
    </row>
    <row r="7878" spans="8:34" ht="12.75">
      <c r="H7878" s="43"/>
      <c r="AG7878" s="49" t="str">
        <f ca="1">IFERROR(__xludf.DUMMYFUNCTION("IFNA(vlookup(H7878,IMPORTRANGE(""1vUGwO1n0QQGx9kKbO0_M5gmuhXZ6-LaxQxgrmJnzgP0"",""'TP# look up'!A:C""),3,0),"""")"),"")</f>
        <v/>
      </c>
      <c r="AH7878" s="49" t="str">
        <f t="shared" si="123"/>
        <v/>
      </c>
    </row>
    <row r="7879" spans="8:34" ht="12.75">
      <c r="H7879" s="43"/>
      <c r="AG7879" s="49" t="str">
        <f ca="1">IFERROR(__xludf.DUMMYFUNCTION("IFNA(vlookup(H7879,IMPORTRANGE(""1vUGwO1n0QQGx9kKbO0_M5gmuhXZ6-LaxQxgrmJnzgP0"",""'TP# look up'!A:C""),3,0),"""")"),"")</f>
        <v/>
      </c>
      <c r="AH7879" s="49" t="str">
        <f t="shared" si="123"/>
        <v/>
      </c>
    </row>
    <row r="7880" spans="8:34" ht="12.75">
      <c r="H7880" s="43"/>
      <c r="AG7880" s="49" t="str">
        <f ca="1">IFERROR(__xludf.DUMMYFUNCTION("IFNA(vlookup(H7880,IMPORTRANGE(""1vUGwO1n0QQGx9kKbO0_M5gmuhXZ6-LaxQxgrmJnzgP0"",""'TP# look up'!A:C""),3,0),"""")"),"")</f>
        <v/>
      </c>
      <c r="AH7880" s="49" t="str">
        <f t="shared" si="123"/>
        <v/>
      </c>
    </row>
    <row r="7881" spans="8:34" ht="12.75">
      <c r="H7881" s="43"/>
      <c r="AG7881" s="49" t="str">
        <f ca="1">IFERROR(__xludf.DUMMYFUNCTION("IFNA(vlookup(H7881,IMPORTRANGE(""1vUGwO1n0QQGx9kKbO0_M5gmuhXZ6-LaxQxgrmJnzgP0"",""'TP# look up'!A:C""),3,0),"""")"),"")</f>
        <v/>
      </c>
      <c r="AH7881" s="49" t="str">
        <f t="shared" si="123"/>
        <v/>
      </c>
    </row>
    <row r="7882" spans="8:34" ht="12.75">
      <c r="H7882" s="43"/>
      <c r="AG7882" s="49" t="str">
        <f ca="1">IFERROR(__xludf.DUMMYFUNCTION("IFNA(vlookup(H7882,IMPORTRANGE(""1vUGwO1n0QQGx9kKbO0_M5gmuhXZ6-LaxQxgrmJnzgP0"",""'TP# look up'!A:C""),3,0),"""")"),"")</f>
        <v/>
      </c>
      <c r="AH7882" s="49" t="str">
        <f t="shared" si="123"/>
        <v/>
      </c>
    </row>
    <row r="7883" spans="8:34" ht="12.75">
      <c r="H7883" s="43"/>
      <c r="AG7883" s="49" t="str">
        <f ca="1">IFERROR(__xludf.DUMMYFUNCTION("IFNA(vlookup(H7883,IMPORTRANGE(""1vUGwO1n0QQGx9kKbO0_M5gmuhXZ6-LaxQxgrmJnzgP0"",""'TP# look up'!A:C""),3,0),"""")"),"")</f>
        <v/>
      </c>
      <c r="AH7883" s="49" t="str">
        <f t="shared" si="123"/>
        <v/>
      </c>
    </row>
    <row r="7884" spans="8:34" ht="12.75">
      <c r="H7884" s="43"/>
      <c r="AG7884" s="49" t="str">
        <f ca="1">IFERROR(__xludf.DUMMYFUNCTION("IFNA(vlookup(H7884,IMPORTRANGE(""1vUGwO1n0QQGx9kKbO0_M5gmuhXZ6-LaxQxgrmJnzgP0"",""'TP# look up'!A:C""),3,0),"""")"),"")</f>
        <v/>
      </c>
      <c r="AH7884" s="49" t="str">
        <f t="shared" si="123"/>
        <v/>
      </c>
    </row>
    <row r="7885" spans="8:34" ht="12.75">
      <c r="H7885" s="43"/>
      <c r="AG7885" s="49" t="str">
        <f ca="1">IFERROR(__xludf.DUMMYFUNCTION("IFNA(vlookup(H7885,IMPORTRANGE(""1vUGwO1n0QQGx9kKbO0_M5gmuhXZ6-LaxQxgrmJnzgP0"",""'TP# look up'!A:C""),3,0),"""")"),"")</f>
        <v/>
      </c>
      <c r="AH7885" s="49" t="str">
        <f t="shared" si="123"/>
        <v/>
      </c>
    </row>
    <row r="7886" spans="8:34" ht="12.75">
      <c r="H7886" s="43"/>
      <c r="AG7886" s="49" t="str">
        <f ca="1">IFERROR(__xludf.DUMMYFUNCTION("IFNA(vlookup(H7886,IMPORTRANGE(""1vUGwO1n0QQGx9kKbO0_M5gmuhXZ6-LaxQxgrmJnzgP0"",""'TP# look up'!A:C""),3,0),"""")"),"")</f>
        <v/>
      </c>
      <c r="AH7886" s="49" t="str">
        <f t="shared" si="123"/>
        <v/>
      </c>
    </row>
    <row r="7887" spans="8:34" ht="12.75">
      <c r="H7887" s="43"/>
      <c r="AG7887" s="49" t="str">
        <f ca="1">IFERROR(__xludf.DUMMYFUNCTION("IFNA(vlookup(H7887,IMPORTRANGE(""1vUGwO1n0QQGx9kKbO0_M5gmuhXZ6-LaxQxgrmJnzgP0"",""'TP# look up'!A:C""),3,0),"""")"),"")</f>
        <v/>
      </c>
      <c r="AH7887" s="49" t="str">
        <f t="shared" si="123"/>
        <v/>
      </c>
    </row>
    <row r="7888" spans="8:34" ht="12.75">
      <c r="H7888" s="43"/>
      <c r="AG7888" s="49" t="str">
        <f ca="1">IFERROR(__xludf.DUMMYFUNCTION("IFNA(vlookup(H7888,IMPORTRANGE(""1vUGwO1n0QQGx9kKbO0_M5gmuhXZ6-LaxQxgrmJnzgP0"",""'TP# look up'!A:C""),3,0),"""")"),"")</f>
        <v/>
      </c>
      <c r="AH7888" s="49" t="str">
        <f t="shared" si="123"/>
        <v/>
      </c>
    </row>
    <row r="7889" spans="8:34" ht="12.75">
      <c r="H7889" s="43"/>
      <c r="AG7889" s="49" t="str">
        <f ca="1">IFERROR(__xludf.DUMMYFUNCTION("IFNA(vlookup(H7889,IMPORTRANGE(""1vUGwO1n0QQGx9kKbO0_M5gmuhXZ6-LaxQxgrmJnzgP0"",""'TP# look up'!A:C""),3,0),"""")"),"")</f>
        <v/>
      </c>
      <c r="AH7889" s="49" t="str">
        <f t="shared" si="123"/>
        <v/>
      </c>
    </row>
    <row r="7890" spans="8:34" ht="12.75">
      <c r="H7890" s="43"/>
      <c r="AG7890" s="49" t="str">
        <f ca="1">IFERROR(__xludf.DUMMYFUNCTION("IFNA(vlookup(H7890,IMPORTRANGE(""1vUGwO1n0QQGx9kKbO0_M5gmuhXZ6-LaxQxgrmJnzgP0"",""'TP# look up'!A:C""),3,0),"""")"),"")</f>
        <v/>
      </c>
      <c r="AH7890" s="49" t="str">
        <f t="shared" si="123"/>
        <v/>
      </c>
    </row>
    <row r="7891" spans="8:34" ht="12.75">
      <c r="H7891" s="43"/>
      <c r="AG7891" s="49" t="str">
        <f ca="1">IFERROR(__xludf.DUMMYFUNCTION("IFNA(vlookup(H7891,IMPORTRANGE(""1vUGwO1n0QQGx9kKbO0_M5gmuhXZ6-LaxQxgrmJnzgP0"",""'TP# look up'!A:C""),3,0),"""")"),"")</f>
        <v/>
      </c>
      <c r="AH7891" s="49" t="str">
        <f t="shared" si="123"/>
        <v/>
      </c>
    </row>
    <row r="7892" spans="8:34" ht="12.75">
      <c r="H7892" s="43"/>
      <c r="AG7892" s="49" t="str">
        <f ca="1">IFERROR(__xludf.DUMMYFUNCTION("IFNA(vlookup(H7892,IMPORTRANGE(""1vUGwO1n0QQGx9kKbO0_M5gmuhXZ6-LaxQxgrmJnzgP0"",""'TP# look up'!A:C""),3,0),"""")"),"")</f>
        <v/>
      </c>
      <c r="AH7892" s="49" t="str">
        <f t="shared" si="123"/>
        <v/>
      </c>
    </row>
    <row r="7893" spans="8:34" ht="12.75">
      <c r="H7893" s="43"/>
      <c r="AG7893" s="49" t="str">
        <f ca="1">IFERROR(__xludf.DUMMYFUNCTION("IFNA(vlookup(H7893,IMPORTRANGE(""1vUGwO1n0QQGx9kKbO0_M5gmuhXZ6-LaxQxgrmJnzgP0"",""'TP# look up'!A:C""),3,0),"""")"),"")</f>
        <v/>
      </c>
      <c r="AH7893" s="49" t="str">
        <f t="shared" si="123"/>
        <v/>
      </c>
    </row>
    <row r="7894" spans="8:34" ht="12.75">
      <c r="H7894" s="43"/>
      <c r="AG7894" s="49" t="str">
        <f ca="1">IFERROR(__xludf.DUMMYFUNCTION("IFNA(vlookup(H7894,IMPORTRANGE(""1vUGwO1n0QQGx9kKbO0_M5gmuhXZ6-LaxQxgrmJnzgP0"",""'TP# look up'!A:C""),3,0),"""")"),"")</f>
        <v/>
      </c>
      <c r="AH7894" s="49" t="str">
        <f t="shared" si="123"/>
        <v/>
      </c>
    </row>
    <row r="7895" spans="8:34" ht="12.75">
      <c r="H7895" s="43"/>
      <c r="AG7895" s="49" t="str">
        <f ca="1">IFERROR(__xludf.DUMMYFUNCTION("IFNA(vlookup(H7895,IMPORTRANGE(""1vUGwO1n0QQGx9kKbO0_M5gmuhXZ6-LaxQxgrmJnzgP0"",""'TP# look up'!A:C""),3,0),"""")"),"")</f>
        <v/>
      </c>
      <c r="AH7895" s="49" t="str">
        <f t="shared" si="123"/>
        <v/>
      </c>
    </row>
    <row r="7896" spans="8:34" ht="12.75">
      <c r="H7896" s="43"/>
      <c r="AG7896" s="49" t="str">
        <f ca="1">IFERROR(__xludf.DUMMYFUNCTION("IFNA(vlookup(H7896,IMPORTRANGE(""1vUGwO1n0QQGx9kKbO0_M5gmuhXZ6-LaxQxgrmJnzgP0"",""'TP# look up'!A:C""),3,0),"""")"),"")</f>
        <v/>
      </c>
      <c r="AH7896" s="49" t="str">
        <f t="shared" si="123"/>
        <v/>
      </c>
    </row>
    <row r="7897" spans="8:34" ht="12.75">
      <c r="H7897" s="43"/>
      <c r="AG7897" s="49" t="str">
        <f ca="1">IFERROR(__xludf.DUMMYFUNCTION("IFNA(vlookup(H7897,IMPORTRANGE(""1vUGwO1n0QQGx9kKbO0_M5gmuhXZ6-LaxQxgrmJnzgP0"",""'TP# look up'!A:C""),3,0),"""")"),"")</f>
        <v/>
      </c>
      <c r="AH7897" s="49" t="str">
        <f t="shared" si="123"/>
        <v/>
      </c>
    </row>
    <row r="7898" spans="8:34" ht="12.75">
      <c r="H7898" s="43"/>
      <c r="AG7898" s="49" t="str">
        <f ca="1">IFERROR(__xludf.DUMMYFUNCTION("IFNA(vlookup(H7898,IMPORTRANGE(""1vUGwO1n0QQGx9kKbO0_M5gmuhXZ6-LaxQxgrmJnzgP0"",""'TP# look up'!A:C""),3,0),"""")"),"")</f>
        <v/>
      </c>
      <c r="AH7898" s="49" t="str">
        <f t="shared" si="123"/>
        <v/>
      </c>
    </row>
    <row r="7899" spans="8:34" ht="12.75">
      <c r="H7899" s="43"/>
      <c r="AG7899" s="49" t="str">
        <f ca="1">IFERROR(__xludf.DUMMYFUNCTION("IFNA(vlookup(H7899,IMPORTRANGE(""1vUGwO1n0QQGx9kKbO0_M5gmuhXZ6-LaxQxgrmJnzgP0"",""'TP# look up'!A:C""),3,0),"""")"),"")</f>
        <v/>
      </c>
      <c r="AH7899" s="49" t="str">
        <f t="shared" si="123"/>
        <v/>
      </c>
    </row>
    <row r="7900" spans="8:34" ht="12.75">
      <c r="H7900" s="43"/>
      <c r="AG7900" s="49" t="str">
        <f ca="1">IFERROR(__xludf.DUMMYFUNCTION("IFNA(vlookup(H7900,IMPORTRANGE(""1vUGwO1n0QQGx9kKbO0_M5gmuhXZ6-LaxQxgrmJnzgP0"",""'TP# look up'!A:C""),3,0),"""")"),"")</f>
        <v/>
      </c>
      <c r="AH7900" s="49" t="str">
        <f t="shared" si="123"/>
        <v/>
      </c>
    </row>
    <row r="7901" spans="8:34" ht="12.75">
      <c r="H7901" s="43"/>
      <c r="AG7901" s="49" t="str">
        <f ca="1">IFERROR(__xludf.DUMMYFUNCTION("IFNA(vlookup(H7901,IMPORTRANGE(""1vUGwO1n0QQGx9kKbO0_M5gmuhXZ6-LaxQxgrmJnzgP0"",""'TP# look up'!A:C""),3,0),"""")"),"")</f>
        <v/>
      </c>
      <c r="AH7901" s="49" t="str">
        <f t="shared" si="123"/>
        <v/>
      </c>
    </row>
    <row r="7902" spans="8:34" ht="12.75">
      <c r="H7902" s="43"/>
      <c r="AG7902" s="49" t="str">
        <f ca="1">IFERROR(__xludf.DUMMYFUNCTION("IFNA(vlookup(H7902,IMPORTRANGE(""1vUGwO1n0QQGx9kKbO0_M5gmuhXZ6-LaxQxgrmJnzgP0"",""'TP# look up'!A:C""),3,0),"""")"),"")</f>
        <v/>
      </c>
      <c r="AH7902" s="49" t="str">
        <f t="shared" si="123"/>
        <v/>
      </c>
    </row>
    <row r="7903" spans="8:34" ht="12.75">
      <c r="H7903" s="43"/>
      <c r="AG7903" s="49" t="str">
        <f ca="1">IFERROR(__xludf.DUMMYFUNCTION("IFNA(vlookup(H7903,IMPORTRANGE(""1vUGwO1n0QQGx9kKbO0_M5gmuhXZ6-LaxQxgrmJnzgP0"",""'TP# look up'!A:C""),3,0),"""")"),"")</f>
        <v/>
      </c>
      <c r="AH7903" s="49" t="str">
        <f t="shared" si="123"/>
        <v/>
      </c>
    </row>
    <row r="7904" spans="8:34" ht="12.75">
      <c r="H7904" s="43"/>
      <c r="AG7904" s="49" t="str">
        <f ca="1">IFERROR(__xludf.DUMMYFUNCTION("IFNA(vlookup(H7904,IMPORTRANGE(""1vUGwO1n0QQGx9kKbO0_M5gmuhXZ6-LaxQxgrmJnzgP0"",""'TP# look up'!A:C""),3,0),"""")"),"")</f>
        <v/>
      </c>
      <c r="AH7904" s="49" t="str">
        <f t="shared" si="123"/>
        <v/>
      </c>
    </row>
    <row r="7905" spans="8:34" ht="12.75">
      <c r="H7905" s="43"/>
      <c r="AG7905" s="49" t="str">
        <f ca="1">IFERROR(__xludf.DUMMYFUNCTION("IFNA(vlookup(H7905,IMPORTRANGE(""1vUGwO1n0QQGx9kKbO0_M5gmuhXZ6-LaxQxgrmJnzgP0"",""'TP# look up'!A:C""),3,0),"""")"),"")</f>
        <v/>
      </c>
      <c r="AH7905" s="49" t="str">
        <f t="shared" si="123"/>
        <v/>
      </c>
    </row>
    <row r="7906" spans="8:34" ht="12.75">
      <c r="H7906" s="43"/>
      <c r="AG7906" s="49" t="str">
        <f ca="1">IFERROR(__xludf.DUMMYFUNCTION("IFNA(vlookup(H7906,IMPORTRANGE(""1vUGwO1n0QQGx9kKbO0_M5gmuhXZ6-LaxQxgrmJnzgP0"",""'TP# look up'!A:C""),3,0),"""")"),"")</f>
        <v/>
      </c>
      <c r="AH7906" s="49" t="str">
        <f t="shared" si="123"/>
        <v/>
      </c>
    </row>
    <row r="7907" spans="8:34" ht="12.75">
      <c r="H7907" s="43"/>
      <c r="AG7907" s="49" t="str">
        <f ca="1">IFERROR(__xludf.DUMMYFUNCTION("IFNA(vlookup(H7907,IMPORTRANGE(""1vUGwO1n0QQGx9kKbO0_M5gmuhXZ6-LaxQxgrmJnzgP0"",""'TP# look up'!A:C""),3,0),"""")"),"")</f>
        <v/>
      </c>
      <c r="AH7907" s="49" t="str">
        <f t="shared" si="123"/>
        <v/>
      </c>
    </row>
    <row r="7908" spans="8:34" ht="12.75">
      <c r="H7908" s="43"/>
      <c r="AG7908" s="49" t="str">
        <f ca="1">IFERROR(__xludf.DUMMYFUNCTION("IFNA(vlookup(H7908,IMPORTRANGE(""1vUGwO1n0QQGx9kKbO0_M5gmuhXZ6-LaxQxgrmJnzgP0"",""'TP# look up'!A:C""),3,0),"""")"),"")</f>
        <v/>
      </c>
      <c r="AH7908" s="49" t="str">
        <f t="shared" si="123"/>
        <v/>
      </c>
    </row>
    <row r="7909" spans="8:34" ht="12.75">
      <c r="H7909" s="43"/>
      <c r="AG7909" s="49" t="str">
        <f ca="1">IFERROR(__xludf.DUMMYFUNCTION("IFNA(vlookup(H7909,IMPORTRANGE(""1vUGwO1n0QQGx9kKbO0_M5gmuhXZ6-LaxQxgrmJnzgP0"",""'TP# look up'!A:C""),3,0),"""")"),"")</f>
        <v/>
      </c>
      <c r="AH7909" s="49" t="str">
        <f t="shared" si="123"/>
        <v/>
      </c>
    </row>
    <row r="7910" spans="8:34" ht="12.75">
      <c r="H7910" s="43"/>
      <c r="AG7910" s="49" t="str">
        <f ca="1">IFERROR(__xludf.DUMMYFUNCTION("IFNA(vlookup(H7910,IMPORTRANGE(""1vUGwO1n0QQGx9kKbO0_M5gmuhXZ6-LaxQxgrmJnzgP0"",""'TP# look up'!A:C""),3,0),"""")"),"")</f>
        <v/>
      </c>
      <c r="AH7910" s="49" t="str">
        <f t="shared" si="123"/>
        <v/>
      </c>
    </row>
    <row r="7911" spans="8:34" ht="12.75">
      <c r="H7911" s="43"/>
      <c r="AG7911" s="49" t="str">
        <f ca="1">IFERROR(__xludf.DUMMYFUNCTION("IFNA(vlookup(H7911,IMPORTRANGE(""1vUGwO1n0QQGx9kKbO0_M5gmuhXZ6-LaxQxgrmJnzgP0"",""'TP# look up'!A:C""),3,0),"""")"),"")</f>
        <v/>
      </c>
      <c r="AH7911" s="49" t="str">
        <f t="shared" si="123"/>
        <v/>
      </c>
    </row>
    <row r="7912" spans="8:34" ht="12.75">
      <c r="H7912" s="43"/>
      <c r="AG7912" s="49" t="str">
        <f ca="1">IFERROR(__xludf.DUMMYFUNCTION("IFNA(vlookup(H7912,IMPORTRANGE(""1vUGwO1n0QQGx9kKbO0_M5gmuhXZ6-LaxQxgrmJnzgP0"",""'TP# look up'!A:C""),3,0),"""")"),"")</f>
        <v/>
      </c>
      <c r="AH7912" s="49" t="str">
        <f t="shared" si="123"/>
        <v/>
      </c>
    </row>
    <row r="7913" spans="8:34" ht="12.75">
      <c r="H7913" s="43"/>
      <c r="AG7913" s="49" t="str">
        <f ca="1">IFERROR(__xludf.DUMMYFUNCTION("IFNA(vlookup(H7913,IMPORTRANGE(""1vUGwO1n0QQGx9kKbO0_M5gmuhXZ6-LaxQxgrmJnzgP0"",""'TP# look up'!A:C""),3,0),"""")"),"")</f>
        <v/>
      </c>
      <c r="AH7913" s="49" t="str">
        <f t="shared" si="123"/>
        <v/>
      </c>
    </row>
    <row r="7914" spans="8:34" ht="12.75">
      <c r="H7914" s="43"/>
      <c r="AG7914" s="49" t="str">
        <f ca="1">IFERROR(__xludf.DUMMYFUNCTION("IFNA(vlookup(H7914,IMPORTRANGE(""1vUGwO1n0QQGx9kKbO0_M5gmuhXZ6-LaxQxgrmJnzgP0"",""'TP# look up'!A:C""),3,0),"""")"),"")</f>
        <v/>
      </c>
      <c r="AH7914" s="49" t="str">
        <f t="shared" si="123"/>
        <v/>
      </c>
    </row>
    <row r="7915" spans="8:34" ht="12.75">
      <c r="H7915" s="43"/>
      <c r="AG7915" s="49" t="str">
        <f ca="1">IFERROR(__xludf.DUMMYFUNCTION("IFNA(vlookup(H7915,IMPORTRANGE(""1vUGwO1n0QQGx9kKbO0_M5gmuhXZ6-LaxQxgrmJnzgP0"",""'TP# look up'!A:C""),3,0),"""")"),"")</f>
        <v/>
      </c>
      <c r="AH7915" s="49" t="str">
        <f t="shared" si="123"/>
        <v/>
      </c>
    </row>
    <row r="7916" spans="8:34" ht="12.75">
      <c r="H7916" s="43"/>
      <c r="AG7916" s="49" t="str">
        <f ca="1">IFERROR(__xludf.DUMMYFUNCTION("IFNA(vlookup(H7916,IMPORTRANGE(""1vUGwO1n0QQGx9kKbO0_M5gmuhXZ6-LaxQxgrmJnzgP0"",""'TP# look up'!A:C""),3,0),"""")"),"")</f>
        <v/>
      </c>
      <c r="AH7916" s="49" t="str">
        <f t="shared" si="123"/>
        <v/>
      </c>
    </row>
    <row r="7917" spans="8:34" ht="12.75">
      <c r="H7917" s="43"/>
      <c r="AG7917" s="49" t="str">
        <f ca="1">IFERROR(__xludf.DUMMYFUNCTION("IFNA(vlookup(H7917,IMPORTRANGE(""1vUGwO1n0QQGx9kKbO0_M5gmuhXZ6-LaxQxgrmJnzgP0"",""'TP# look up'!A:C""),3,0),"""")"),"")</f>
        <v/>
      </c>
      <c r="AH7917" s="49" t="str">
        <f t="shared" si="123"/>
        <v/>
      </c>
    </row>
    <row r="7918" spans="8:34" ht="12.75">
      <c r="H7918" s="43"/>
      <c r="AG7918" s="49" t="str">
        <f ca="1">IFERROR(__xludf.DUMMYFUNCTION("IFNA(vlookup(H7918,IMPORTRANGE(""1vUGwO1n0QQGx9kKbO0_M5gmuhXZ6-LaxQxgrmJnzgP0"",""'TP# look up'!A:C""),3,0),"""")"),"")</f>
        <v/>
      </c>
      <c r="AH7918" s="49" t="str">
        <f t="shared" si="123"/>
        <v/>
      </c>
    </row>
    <row r="7919" spans="8:34" ht="12.75">
      <c r="H7919" s="43"/>
      <c r="AG7919" s="49" t="str">
        <f ca="1">IFERROR(__xludf.DUMMYFUNCTION("IFNA(vlookup(H7919,IMPORTRANGE(""1vUGwO1n0QQGx9kKbO0_M5gmuhXZ6-LaxQxgrmJnzgP0"",""'TP# look up'!A:C""),3,0),"""")"),"")</f>
        <v/>
      </c>
      <c r="AH7919" s="49" t="str">
        <f t="shared" si="123"/>
        <v/>
      </c>
    </row>
    <row r="7920" spans="8:34" ht="12.75">
      <c r="H7920" s="43"/>
      <c r="AG7920" s="49" t="str">
        <f ca="1">IFERROR(__xludf.DUMMYFUNCTION("IFNA(vlookup(H7920,IMPORTRANGE(""1vUGwO1n0QQGx9kKbO0_M5gmuhXZ6-LaxQxgrmJnzgP0"",""'TP# look up'!A:C""),3,0),"""")"),"")</f>
        <v/>
      </c>
      <c r="AH7920" s="49" t="str">
        <f t="shared" si="123"/>
        <v/>
      </c>
    </row>
    <row r="7921" spans="8:34" ht="12.75">
      <c r="H7921" s="43"/>
      <c r="AG7921" s="49" t="str">
        <f ca="1">IFERROR(__xludf.DUMMYFUNCTION("IFNA(vlookup(H7921,IMPORTRANGE(""1vUGwO1n0QQGx9kKbO0_M5gmuhXZ6-LaxQxgrmJnzgP0"",""'TP# look up'!A:C""),3,0),"""")"),"")</f>
        <v/>
      </c>
      <c r="AH7921" s="49" t="str">
        <f t="shared" si="123"/>
        <v/>
      </c>
    </row>
    <row r="7922" spans="8:34" ht="12.75">
      <c r="H7922" s="43"/>
      <c r="AG7922" s="49" t="str">
        <f ca="1">IFERROR(__xludf.DUMMYFUNCTION("IFNA(vlookup(H7922,IMPORTRANGE(""1vUGwO1n0QQGx9kKbO0_M5gmuhXZ6-LaxQxgrmJnzgP0"",""'TP# look up'!A:C""),3,0),"""")"),"")</f>
        <v/>
      </c>
      <c r="AH7922" s="49" t="str">
        <f t="shared" si="123"/>
        <v/>
      </c>
    </row>
    <row r="7923" spans="8:34" ht="12.75">
      <c r="H7923" s="43"/>
      <c r="AG7923" s="49" t="str">
        <f ca="1">IFERROR(__xludf.DUMMYFUNCTION("IFNA(vlookup(H7923,IMPORTRANGE(""1vUGwO1n0QQGx9kKbO0_M5gmuhXZ6-LaxQxgrmJnzgP0"",""'TP# look up'!A:C""),3,0),"""")"),"")</f>
        <v/>
      </c>
      <c r="AH7923" s="49" t="str">
        <f t="shared" si="123"/>
        <v/>
      </c>
    </row>
    <row r="7924" spans="8:34" ht="12.75">
      <c r="H7924" s="43"/>
      <c r="AG7924" s="49" t="str">
        <f ca="1">IFERROR(__xludf.DUMMYFUNCTION("IFNA(vlookup(H7924,IMPORTRANGE(""1vUGwO1n0QQGx9kKbO0_M5gmuhXZ6-LaxQxgrmJnzgP0"",""'TP# look up'!A:C""),3,0),"""")"),"")</f>
        <v/>
      </c>
      <c r="AH7924" s="49" t="str">
        <f t="shared" si="123"/>
        <v/>
      </c>
    </row>
    <row r="7925" spans="8:34" ht="12.75">
      <c r="H7925" s="43"/>
      <c r="AG7925" s="49" t="str">
        <f ca="1">IFERROR(__xludf.DUMMYFUNCTION("IFNA(vlookup(H7925,IMPORTRANGE(""1vUGwO1n0QQGx9kKbO0_M5gmuhXZ6-LaxQxgrmJnzgP0"",""'TP# look up'!A:C""),3,0),"""")"),"")</f>
        <v/>
      </c>
      <c r="AH7925" s="49" t="str">
        <f t="shared" si="123"/>
        <v/>
      </c>
    </row>
    <row r="7926" spans="8:34" ht="12.75">
      <c r="H7926" s="43"/>
      <c r="AG7926" s="49" t="str">
        <f ca="1">IFERROR(__xludf.DUMMYFUNCTION("IFNA(vlookup(H7926,IMPORTRANGE(""1vUGwO1n0QQGx9kKbO0_M5gmuhXZ6-LaxQxgrmJnzgP0"",""'TP# look up'!A:C""),3,0),"""")"),"")</f>
        <v/>
      </c>
      <c r="AH7926" s="49" t="str">
        <f t="shared" si="123"/>
        <v/>
      </c>
    </row>
    <row r="7927" spans="8:34" ht="12.75">
      <c r="H7927" s="43"/>
      <c r="AG7927" s="49" t="str">
        <f ca="1">IFERROR(__xludf.DUMMYFUNCTION("IFNA(vlookup(H7927,IMPORTRANGE(""1vUGwO1n0QQGx9kKbO0_M5gmuhXZ6-LaxQxgrmJnzgP0"",""'TP# look up'!A:C""),3,0),"""")"),"")</f>
        <v/>
      </c>
      <c r="AH7927" s="49" t="str">
        <f t="shared" si="123"/>
        <v/>
      </c>
    </row>
    <row r="7928" spans="8:34" ht="12.75">
      <c r="H7928" s="43"/>
      <c r="AG7928" s="49" t="str">
        <f ca="1">IFERROR(__xludf.DUMMYFUNCTION("IFNA(vlookup(H7928,IMPORTRANGE(""1vUGwO1n0QQGx9kKbO0_M5gmuhXZ6-LaxQxgrmJnzgP0"",""'TP# look up'!A:C""),3,0),"""")"),"")</f>
        <v/>
      </c>
      <c r="AH7928" s="49" t="str">
        <f t="shared" si="123"/>
        <v/>
      </c>
    </row>
    <row r="7929" spans="8:34" ht="12.75">
      <c r="H7929" s="43"/>
      <c r="AG7929" s="49" t="str">
        <f ca="1">IFERROR(__xludf.DUMMYFUNCTION("IFNA(vlookup(H7929,IMPORTRANGE(""1vUGwO1n0QQGx9kKbO0_M5gmuhXZ6-LaxQxgrmJnzgP0"",""'TP# look up'!A:C""),3,0),"""")"),"")</f>
        <v/>
      </c>
      <c r="AH7929" s="49" t="str">
        <f t="shared" si="123"/>
        <v/>
      </c>
    </row>
    <row r="7930" spans="8:34" ht="12.75">
      <c r="H7930" s="43"/>
      <c r="AG7930" s="49" t="str">
        <f ca="1">IFERROR(__xludf.DUMMYFUNCTION("IFNA(vlookup(H7930,IMPORTRANGE(""1vUGwO1n0QQGx9kKbO0_M5gmuhXZ6-LaxQxgrmJnzgP0"",""'TP# look up'!A:C""),3,0),"""")"),"")</f>
        <v/>
      </c>
      <c r="AH7930" s="49" t="str">
        <f t="shared" si="123"/>
        <v/>
      </c>
    </row>
    <row r="7931" spans="8:34" ht="12.75">
      <c r="H7931" s="43"/>
      <c r="AG7931" s="49" t="str">
        <f ca="1">IFERROR(__xludf.DUMMYFUNCTION("IFNA(vlookup(H7931,IMPORTRANGE(""1vUGwO1n0QQGx9kKbO0_M5gmuhXZ6-LaxQxgrmJnzgP0"",""'TP# look up'!A:C""),3,0),"""")"),"")</f>
        <v/>
      </c>
      <c r="AH7931" s="49" t="str">
        <f t="shared" si="123"/>
        <v/>
      </c>
    </row>
    <row r="7932" spans="8:34" ht="12.75">
      <c r="H7932" s="43"/>
      <c r="AG7932" s="49" t="str">
        <f ca="1">IFERROR(__xludf.DUMMYFUNCTION("IFNA(vlookup(H7932,IMPORTRANGE(""1vUGwO1n0QQGx9kKbO0_M5gmuhXZ6-LaxQxgrmJnzgP0"",""'TP# look up'!A:C""),3,0),"""")"),"")</f>
        <v/>
      </c>
      <c r="AH7932" s="49" t="str">
        <f t="shared" si="123"/>
        <v/>
      </c>
    </row>
    <row r="7933" spans="8:34" ht="12.75">
      <c r="H7933" s="43"/>
      <c r="AG7933" s="49" t="str">
        <f ca="1">IFERROR(__xludf.DUMMYFUNCTION("IFNA(vlookup(H7933,IMPORTRANGE(""1vUGwO1n0QQGx9kKbO0_M5gmuhXZ6-LaxQxgrmJnzgP0"",""'TP# look up'!A:C""),3,0),"""")"),"")</f>
        <v/>
      </c>
      <c r="AH7933" s="49" t="str">
        <f t="shared" si="123"/>
        <v/>
      </c>
    </row>
    <row r="7934" spans="8:34" ht="12.75">
      <c r="H7934" s="43"/>
      <c r="AG7934" s="49" t="str">
        <f ca="1">IFERROR(__xludf.DUMMYFUNCTION("IFNA(vlookup(H7934,IMPORTRANGE(""1vUGwO1n0QQGx9kKbO0_M5gmuhXZ6-LaxQxgrmJnzgP0"",""'TP# look up'!A:C""),3,0),"""")"),"")</f>
        <v/>
      </c>
      <c r="AH7934" s="49" t="str">
        <f t="shared" si="123"/>
        <v/>
      </c>
    </row>
    <row r="7935" spans="8:34" ht="12.75">
      <c r="H7935" s="43"/>
      <c r="AG7935" s="49" t="str">
        <f ca="1">IFERROR(__xludf.DUMMYFUNCTION("IFNA(vlookup(H7935,IMPORTRANGE(""1vUGwO1n0QQGx9kKbO0_M5gmuhXZ6-LaxQxgrmJnzgP0"",""'TP# look up'!A:C""),3,0),"""")"),"")</f>
        <v/>
      </c>
      <c r="AH7935" s="49" t="str">
        <f t="shared" si="123"/>
        <v/>
      </c>
    </row>
    <row r="7936" spans="8:34" ht="12.75">
      <c r="H7936" s="43"/>
      <c r="AG7936" s="49" t="str">
        <f ca="1">IFERROR(__xludf.DUMMYFUNCTION("IFNA(vlookup(H7936,IMPORTRANGE(""1vUGwO1n0QQGx9kKbO0_M5gmuhXZ6-LaxQxgrmJnzgP0"",""'TP# look up'!A:C""),3,0),"""")"),"")</f>
        <v/>
      </c>
      <c r="AH7936" s="49" t="str">
        <f t="shared" si="123"/>
        <v/>
      </c>
    </row>
    <row r="7937" spans="8:34" ht="12.75">
      <c r="H7937" s="43"/>
      <c r="AG7937" s="49" t="str">
        <f ca="1">IFERROR(__xludf.DUMMYFUNCTION("IFNA(vlookup(H7937,IMPORTRANGE(""1vUGwO1n0QQGx9kKbO0_M5gmuhXZ6-LaxQxgrmJnzgP0"",""'TP# look up'!A:C""),3,0),"""")"),"")</f>
        <v/>
      </c>
      <c r="AH7937" s="49" t="str">
        <f t="shared" si="123"/>
        <v/>
      </c>
    </row>
    <row r="7938" spans="8:34" ht="12.75">
      <c r="H7938" s="43"/>
      <c r="AG7938" s="49" t="str">
        <f ca="1">IFERROR(__xludf.DUMMYFUNCTION("IFNA(vlookup(H7938,IMPORTRANGE(""1vUGwO1n0QQGx9kKbO0_M5gmuhXZ6-LaxQxgrmJnzgP0"",""'TP# look up'!A:C""),3,0),"""")"),"")</f>
        <v/>
      </c>
      <c r="AH7938" s="49" t="str">
        <f t="shared" ref="AH7938:AH8001" si="124">LEFT(J7938,2)</f>
        <v/>
      </c>
    </row>
    <row r="7939" spans="8:34" ht="12.75">
      <c r="H7939" s="43"/>
      <c r="AG7939" s="49" t="str">
        <f ca="1">IFERROR(__xludf.DUMMYFUNCTION("IFNA(vlookup(H7939,IMPORTRANGE(""1vUGwO1n0QQGx9kKbO0_M5gmuhXZ6-LaxQxgrmJnzgP0"",""'TP# look up'!A:C""),3,0),"""")"),"")</f>
        <v/>
      </c>
      <c r="AH7939" s="49" t="str">
        <f t="shared" si="124"/>
        <v/>
      </c>
    </row>
    <row r="7940" spans="8:34" ht="12.75">
      <c r="H7940" s="43"/>
      <c r="AG7940" s="49" t="str">
        <f ca="1">IFERROR(__xludf.DUMMYFUNCTION("IFNA(vlookup(H7940,IMPORTRANGE(""1vUGwO1n0QQGx9kKbO0_M5gmuhXZ6-LaxQxgrmJnzgP0"",""'TP# look up'!A:C""),3,0),"""")"),"")</f>
        <v/>
      </c>
      <c r="AH7940" s="49" t="str">
        <f t="shared" si="124"/>
        <v/>
      </c>
    </row>
    <row r="7941" spans="8:34" ht="12.75">
      <c r="H7941" s="43"/>
      <c r="AG7941" s="49" t="str">
        <f ca="1">IFERROR(__xludf.DUMMYFUNCTION("IFNA(vlookup(H7941,IMPORTRANGE(""1vUGwO1n0QQGx9kKbO0_M5gmuhXZ6-LaxQxgrmJnzgP0"",""'TP# look up'!A:C""),3,0),"""")"),"")</f>
        <v/>
      </c>
      <c r="AH7941" s="49" t="str">
        <f t="shared" si="124"/>
        <v/>
      </c>
    </row>
    <row r="7942" spans="8:34" ht="12.75">
      <c r="H7942" s="43"/>
      <c r="AG7942" s="49" t="str">
        <f ca="1">IFERROR(__xludf.DUMMYFUNCTION("IFNA(vlookup(H7942,IMPORTRANGE(""1vUGwO1n0QQGx9kKbO0_M5gmuhXZ6-LaxQxgrmJnzgP0"",""'TP# look up'!A:C""),3,0),"""")"),"")</f>
        <v/>
      </c>
      <c r="AH7942" s="49" t="str">
        <f t="shared" si="124"/>
        <v/>
      </c>
    </row>
    <row r="7943" spans="8:34" ht="12.75">
      <c r="H7943" s="43"/>
      <c r="AG7943" s="49" t="str">
        <f ca="1">IFERROR(__xludf.DUMMYFUNCTION("IFNA(vlookup(H7943,IMPORTRANGE(""1vUGwO1n0QQGx9kKbO0_M5gmuhXZ6-LaxQxgrmJnzgP0"",""'TP# look up'!A:C""),3,0),"""")"),"")</f>
        <v/>
      </c>
      <c r="AH7943" s="49" t="str">
        <f t="shared" si="124"/>
        <v/>
      </c>
    </row>
    <row r="7944" spans="8:34" ht="12.75">
      <c r="H7944" s="43"/>
      <c r="AG7944" s="49" t="str">
        <f ca="1">IFERROR(__xludf.DUMMYFUNCTION("IFNA(vlookup(H7944,IMPORTRANGE(""1vUGwO1n0QQGx9kKbO0_M5gmuhXZ6-LaxQxgrmJnzgP0"",""'TP# look up'!A:C""),3,0),"""")"),"")</f>
        <v/>
      </c>
      <c r="AH7944" s="49" t="str">
        <f t="shared" si="124"/>
        <v/>
      </c>
    </row>
    <row r="7945" spans="8:34" ht="12.75">
      <c r="H7945" s="43"/>
      <c r="AG7945" s="49" t="str">
        <f ca="1">IFERROR(__xludf.DUMMYFUNCTION("IFNA(vlookup(H7945,IMPORTRANGE(""1vUGwO1n0QQGx9kKbO0_M5gmuhXZ6-LaxQxgrmJnzgP0"",""'TP# look up'!A:C""),3,0),"""")"),"")</f>
        <v/>
      </c>
      <c r="AH7945" s="49" t="str">
        <f t="shared" si="124"/>
        <v/>
      </c>
    </row>
    <row r="7946" spans="8:34" ht="12.75">
      <c r="H7946" s="43"/>
      <c r="AG7946" s="49" t="str">
        <f ca="1">IFERROR(__xludf.DUMMYFUNCTION("IFNA(vlookup(H7946,IMPORTRANGE(""1vUGwO1n0QQGx9kKbO0_M5gmuhXZ6-LaxQxgrmJnzgP0"",""'TP# look up'!A:C""),3,0),"""")"),"")</f>
        <v/>
      </c>
      <c r="AH7946" s="49" t="str">
        <f t="shared" si="124"/>
        <v/>
      </c>
    </row>
    <row r="7947" spans="8:34" ht="12.75">
      <c r="H7947" s="43"/>
      <c r="AG7947" s="49" t="str">
        <f ca="1">IFERROR(__xludf.DUMMYFUNCTION("IFNA(vlookup(H7947,IMPORTRANGE(""1vUGwO1n0QQGx9kKbO0_M5gmuhXZ6-LaxQxgrmJnzgP0"",""'TP# look up'!A:C""),3,0),"""")"),"")</f>
        <v/>
      </c>
      <c r="AH7947" s="49" t="str">
        <f t="shared" si="124"/>
        <v/>
      </c>
    </row>
    <row r="7948" spans="8:34" ht="12.75">
      <c r="H7948" s="43"/>
      <c r="AG7948" s="49" t="str">
        <f ca="1">IFERROR(__xludf.DUMMYFUNCTION("IFNA(vlookup(H7948,IMPORTRANGE(""1vUGwO1n0QQGx9kKbO0_M5gmuhXZ6-LaxQxgrmJnzgP0"",""'TP# look up'!A:C""),3,0),"""")"),"")</f>
        <v/>
      </c>
      <c r="AH7948" s="49" t="str">
        <f t="shared" si="124"/>
        <v/>
      </c>
    </row>
    <row r="7949" spans="8:34" ht="12.75">
      <c r="H7949" s="43"/>
      <c r="AG7949" s="49" t="str">
        <f ca="1">IFERROR(__xludf.DUMMYFUNCTION("IFNA(vlookup(H7949,IMPORTRANGE(""1vUGwO1n0QQGx9kKbO0_M5gmuhXZ6-LaxQxgrmJnzgP0"",""'TP# look up'!A:C""),3,0),"""")"),"")</f>
        <v/>
      </c>
      <c r="AH7949" s="49" t="str">
        <f t="shared" si="124"/>
        <v/>
      </c>
    </row>
    <row r="7950" spans="8:34" ht="12.75">
      <c r="H7950" s="43"/>
      <c r="AG7950" s="49" t="str">
        <f ca="1">IFERROR(__xludf.DUMMYFUNCTION("IFNA(vlookup(H7950,IMPORTRANGE(""1vUGwO1n0QQGx9kKbO0_M5gmuhXZ6-LaxQxgrmJnzgP0"",""'TP# look up'!A:C""),3,0),"""")"),"")</f>
        <v/>
      </c>
      <c r="AH7950" s="49" t="str">
        <f t="shared" si="124"/>
        <v/>
      </c>
    </row>
    <row r="7951" spans="8:34" ht="12.75">
      <c r="H7951" s="43"/>
      <c r="AG7951" s="49" t="str">
        <f ca="1">IFERROR(__xludf.DUMMYFUNCTION("IFNA(vlookup(H7951,IMPORTRANGE(""1vUGwO1n0QQGx9kKbO0_M5gmuhXZ6-LaxQxgrmJnzgP0"",""'TP# look up'!A:C""),3,0),"""")"),"")</f>
        <v/>
      </c>
      <c r="AH7951" s="49" t="str">
        <f t="shared" si="124"/>
        <v/>
      </c>
    </row>
    <row r="7952" spans="8:34" ht="12.75">
      <c r="H7952" s="43"/>
      <c r="AG7952" s="49" t="str">
        <f ca="1">IFERROR(__xludf.DUMMYFUNCTION("IFNA(vlookup(H7952,IMPORTRANGE(""1vUGwO1n0QQGx9kKbO0_M5gmuhXZ6-LaxQxgrmJnzgP0"",""'TP# look up'!A:C""),3,0),"""")"),"")</f>
        <v/>
      </c>
      <c r="AH7952" s="49" t="str">
        <f t="shared" si="124"/>
        <v/>
      </c>
    </row>
    <row r="7953" spans="8:34" ht="12.75">
      <c r="H7953" s="43"/>
      <c r="AG7953" s="49" t="str">
        <f ca="1">IFERROR(__xludf.DUMMYFUNCTION("IFNA(vlookup(H7953,IMPORTRANGE(""1vUGwO1n0QQGx9kKbO0_M5gmuhXZ6-LaxQxgrmJnzgP0"",""'TP# look up'!A:C""),3,0),"""")"),"")</f>
        <v/>
      </c>
      <c r="AH7953" s="49" t="str">
        <f t="shared" si="124"/>
        <v/>
      </c>
    </row>
    <row r="7954" spans="8:34" ht="12.75">
      <c r="H7954" s="43"/>
      <c r="AG7954" s="49" t="str">
        <f ca="1">IFERROR(__xludf.DUMMYFUNCTION("IFNA(vlookup(H7954,IMPORTRANGE(""1vUGwO1n0QQGx9kKbO0_M5gmuhXZ6-LaxQxgrmJnzgP0"",""'TP# look up'!A:C""),3,0),"""")"),"")</f>
        <v/>
      </c>
      <c r="AH7954" s="49" t="str">
        <f t="shared" si="124"/>
        <v/>
      </c>
    </row>
    <row r="7955" spans="8:34" ht="12.75">
      <c r="H7955" s="43"/>
      <c r="AG7955" s="49" t="str">
        <f ca="1">IFERROR(__xludf.DUMMYFUNCTION("IFNA(vlookup(H7955,IMPORTRANGE(""1vUGwO1n0QQGx9kKbO0_M5gmuhXZ6-LaxQxgrmJnzgP0"",""'TP# look up'!A:C""),3,0),"""")"),"")</f>
        <v/>
      </c>
      <c r="AH7955" s="49" t="str">
        <f t="shared" si="124"/>
        <v/>
      </c>
    </row>
    <row r="7956" spans="8:34" ht="12.75">
      <c r="H7956" s="43"/>
      <c r="AG7956" s="49" t="str">
        <f ca="1">IFERROR(__xludf.DUMMYFUNCTION("IFNA(vlookup(H7956,IMPORTRANGE(""1vUGwO1n0QQGx9kKbO0_M5gmuhXZ6-LaxQxgrmJnzgP0"",""'TP# look up'!A:C""),3,0),"""")"),"")</f>
        <v/>
      </c>
      <c r="AH7956" s="49" t="str">
        <f t="shared" si="124"/>
        <v/>
      </c>
    </row>
    <row r="7957" spans="8:34" ht="12.75">
      <c r="H7957" s="43"/>
      <c r="AG7957" s="49" t="str">
        <f ca="1">IFERROR(__xludf.DUMMYFUNCTION("IFNA(vlookup(H7957,IMPORTRANGE(""1vUGwO1n0QQGx9kKbO0_M5gmuhXZ6-LaxQxgrmJnzgP0"",""'TP# look up'!A:C""),3,0),"""")"),"")</f>
        <v/>
      </c>
      <c r="AH7957" s="49" t="str">
        <f t="shared" si="124"/>
        <v/>
      </c>
    </row>
    <row r="7958" spans="8:34" ht="12.75">
      <c r="H7958" s="43"/>
      <c r="AG7958" s="49" t="str">
        <f ca="1">IFERROR(__xludf.DUMMYFUNCTION("IFNA(vlookup(H7958,IMPORTRANGE(""1vUGwO1n0QQGx9kKbO0_M5gmuhXZ6-LaxQxgrmJnzgP0"",""'TP# look up'!A:C""),3,0),"""")"),"")</f>
        <v/>
      </c>
      <c r="AH7958" s="49" t="str">
        <f t="shared" si="124"/>
        <v/>
      </c>
    </row>
    <row r="7959" spans="8:34" ht="12.75">
      <c r="H7959" s="43"/>
      <c r="AG7959" s="49" t="str">
        <f ca="1">IFERROR(__xludf.DUMMYFUNCTION("IFNA(vlookup(H7959,IMPORTRANGE(""1vUGwO1n0QQGx9kKbO0_M5gmuhXZ6-LaxQxgrmJnzgP0"",""'TP# look up'!A:C""),3,0),"""")"),"")</f>
        <v/>
      </c>
      <c r="AH7959" s="49" t="str">
        <f t="shared" si="124"/>
        <v/>
      </c>
    </row>
    <row r="7960" spans="8:34" ht="12.75">
      <c r="H7960" s="43"/>
      <c r="AG7960" s="49" t="str">
        <f ca="1">IFERROR(__xludf.DUMMYFUNCTION("IFNA(vlookup(H7960,IMPORTRANGE(""1vUGwO1n0QQGx9kKbO0_M5gmuhXZ6-LaxQxgrmJnzgP0"",""'TP# look up'!A:C""),3,0),"""")"),"")</f>
        <v/>
      </c>
      <c r="AH7960" s="49" t="str">
        <f t="shared" si="124"/>
        <v/>
      </c>
    </row>
    <row r="7961" spans="8:34" ht="12.75">
      <c r="H7961" s="43"/>
      <c r="AG7961" s="49" t="str">
        <f ca="1">IFERROR(__xludf.DUMMYFUNCTION("IFNA(vlookup(H7961,IMPORTRANGE(""1vUGwO1n0QQGx9kKbO0_M5gmuhXZ6-LaxQxgrmJnzgP0"",""'TP# look up'!A:C""),3,0),"""")"),"")</f>
        <v/>
      </c>
      <c r="AH7961" s="49" t="str">
        <f t="shared" si="124"/>
        <v/>
      </c>
    </row>
    <row r="7962" spans="8:34" ht="12.75">
      <c r="H7962" s="43"/>
      <c r="AG7962" s="49" t="str">
        <f ca="1">IFERROR(__xludf.DUMMYFUNCTION("IFNA(vlookup(H7962,IMPORTRANGE(""1vUGwO1n0QQGx9kKbO0_M5gmuhXZ6-LaxQxgrmJnzgP0"",""'TP# look up'!A:C""),3,0),"""")"),"")</f>
        <v/>
      </c>
      <c r="AH7962" s="49" t="str">
        <f t="shared" si="124"/>
        <v/>
      </c>
    </row>
    <row r="7963" spans="8:34" ht="12.75">
      <c r="H7963" s="43"/>
      <c r="AG7963" s="49" t="str">
        <f ca="1">IFERROR(__xludf.DUMMYFUNCTION("IFNA(vlookup(H7963,IMPORTRANGE(""1vUGwO1n0QQGx9kKbO0_M5gmuhXZ6-LaxQxgrmJnzgP0"",""'TP# look up'!A:C""),3,0),"""")"),"")</f>
        <v/>
      </c>
      <c r="AH7963" s="49" t="str">
        <f t="shared" si="124"/>
        <v/>
      </c>
    </row>
    <row r="7964" spans="8:34" ht="12.75">
      <c r="H7964" s="43"/>
      <c r="AG7964" s="49" t="str">
        <f ca="1">IFERROR(__xludf.DUMMYFUNCTION("IFNA(vlookup(H7964,IMPORTRANGE(""1vUGwO1n0QQGx9kKbO0_M5gmuhXZ6-LaxQxgrmJnzgP0"",""'TP# look up'!A:C""),3,0),"""")"),"")</f>
        <v/>
      </c>
      <c r="AH7964" s="49" t="str">
        <f t="shared" si="124"/>
        <v/>
      </c>
    </row>
    <row r="7965" spans="8:34" ht="12.75">
      <c r="H7965" s="43"/>
      <c r="AG7965" s="49" t="str">
        <f ca="1">IFERROR(__xludf.DUMMYFUNCTION("IFNA(vlookup(H7965,IMPORTRANGE(""1vUGwO1n0QQGx9kKbO0_M5gmuhXZ6-LaxQxgrmJnzgP0"",""'TP# look up'!A:C""),3,0),"""")"),"")</f>
        <v/>
      </c>
      <c r="AH7965" s="49" t="str">
        <f t="shared" si="124"/>
        <v/>
      </c>
    </row>
    <row r="7966" spans="8:34" ht="12.75">
      <c r="H7966" s="43"/>
      <c r="AG7966" s="49" t="str">
        <f ca="1">IFERROR(__xludf.DUMMYFUNCTION("IFNA(vlookup(H7966,IMPORTRANGE(""1vUGwO1n0QQGx9kKbO0_M5gmuhXZ6-LaxQxgrmJnzgP0"",""'TP# look up'!A:C""),3,0),"""")"),"")</f>
        <v/>
      </c>
      <c r="AH7966" s="49" t="str">
        <f t="shared" si="124"/>
        <v/>
      </c>
    </row>
    <row r="7967" spans="8:34" ht="12.75">
      <c r="H7967" s="43"/>
      <c r="AG7967" s="49" t="str">
        <f ca="1">IFERROR(__xludf.DUMMYFUNCTION("IFNA(vlookup(H7967,IMPORTRANGE(""1vUGwO1n0QQGx9kKbO0_M5gmuhXZ6-LaxQxgrmJnzgP0"",""'TP# look up'!A:C""),3,0),"""")"),"")</f>
        <v/>
      </c>
      <c r="AH7967" s="49" t="str">
        <f t="shared" si="124"/>
        <v/>
      </c>
    </row>
    <row r="7968" spans="8:34" ht="12.75">
      <c r="H7968" s="43"/>
      <c r="AG7968" s="49" t="str">
        <f ca="1">IFERROR(__xludf.DUMMYFUNCTION("IFNA(vlookup(H7968,IMPORTRANGE(""1vUGwO1n0QQGx9kKbO0_M5gmuhXZ6-LaxQxgrmJnzgP0"",""'TP# look up'!A:C""),3,0),"""")"),"")</f>
        <v/>
      </c>
      <c r="AH7968" s="49" t="str">
        <f t="shared" si="124"/>
        <v/>
      </c>
    </row>
    <row r="7969" spans="8:34" ht="12.75">
      <c r="H7969" s="43"/>
      <c r="AG7969" s="49" t="str">
        <f ca="1">IFERROR(__xludf.DUMMYFUNCTION("IFNA(vlookup(H7969,IMPORTRANGE(""1vUGwO1n0QQGx9kKbO0_M5gmuhXZ6-LaxQxgrmJnzgP0"",""'TP# look up'!A:C""),3,0),"""")"),"")</f>
        <v/>
      </c>
      <c r="AH7969" s="49" t="str">
        <f t="shared" si="124"/>
        <v/>
      </c>
    </row>
    <row r="7970" spans="8:34" ht="12.75">
      <c r="H7970" s="43"/>
      <c r="AG7970" s="49" t="str">
        <f ca="1">IFERROR(__xludf.DUMMYFUNCTION("IFNA(vlookup(H7970,IMPORTRANGE(""1vUGwO1n0QQGx9kKbO0_M5gmuhXZ6-LaxQxgrmJnzgP0"",""'TP# look up'!A:C""),3,0),"""")"),"")</f>
        <v/>
      </c>
      <c r="AH7970" s="49" t="str">
        <f t="shared" si="124"/>
        <v/>
      </c>
    </row>
    <row r="7971" spans="8:34" ht="12.75">
      <c r="H7971" s="43"/>
      <c r="AG7971" s="49" t="str">
        <f ca="1">IFERROR(__xludf.DUMMYFUNCTION("IFNA(vlookup(H7971,IMPORTRANGE(""1vUGwO1n0QQGx9kKbO0_M5gmuhXZ6-LaxQxgrmJnzgP0"",""'TP# look up'!A:C""),3,0),"""")"),"")</f>
        <v/>
      </c>
      <c r="AH7971" s="49" t="str">
        <f t="shared" si="124"/>
        <v/>
      </c>
    </row>
    <row r="7972" spans="8:34" ht="12.75">
      <c r="H7972" s="43"/>
      <c r="AG7972" s="49" t="str">
        <f ca="1">IFERROR(__xludf.DUMMYFUNCTION("IFNA(vlookup(H7972,IMPORTRANGE(""1vUGwO1n0QQGx9kKbO0_M5gmuhXZ6-LaxQxgrmJnzgP0"",""'TP# look up'!A:C""),3,0),"""")"),"")</f>
        <v/>
      </c>
      <c r="AH7972" s="49" t="str">
        <f t="shared" si="124"/>
        <v/>
      </c>
    </row>
    <row r="7973" spans="8:34" ht="12.75">
      <c r="H7973" s="43"/>
      <c r="AG7973" s="49" t="str">
        <f ca="1">IFERROR(__xludf.DUMMYFUNCTION("IFNA(vlookup(H7973,IMPORTRANGE(""1vUGwO1n0QQGx9kKbO0_M5gmuhXZ6-LaxQxgrmJnzgP0"",""'TP# look up'!A:C""),3,0),"""")"),"")</f>
        <v/>
      </c>
      <c r="AH7973" s="49" t="str">
        <f t="shared" si="124"/>
        <v/>
      </c>
    </row>
    <row r="7974" spans="8:34" ht="12.75">
      <c r="H7974" s="43"/>
      <c r="AG7974" s="49" t="str">
        <f ca="1">IFERROR(__xludf.DUMMYFUNCTION("IFNA(vlookup(H7974,IMPORTRANGE(""1vUGwO1n0QQGx9kKbO0_M5gmuhXZ6-LaxQxgrmJnzgP0"",""'TP# look up'!A:C""),3,0),"""")"),"")</f>
        <v/>
      </c>
      <c r="AH7974" s="49" t="str">
        <f t="shared" si="124"/>
        <v/>
      </c>
    </row>
    <row r="7975" spans="8:34" ht="12.75">
      <c r="H7975" s="43"/>
      <c r="AG7975" s="49" t="str">
        <f ca="1">IFERROR(__xludf.DUMMYFUNCTION("IFNA(vlookup(H7975,IMPORTRANGE(""1vUGwO1n0QQGx9kKbO0_M5gmuhXZ6-LaxQxgrmJnzgP0"",""'TP# look up'!A:C""),3,0),"""")"),"")</f>
        <v/>
      </c>
      <c r="AH7975" s="49" t="str">
        <f t="shared" si="124"/>
        <v/>
      </c>
    </row>
    <row r="7976" spans="8:34" ht="12.75">
      <c r="H7976" s="43"/>
      <c r="AG7976" s="49" t="str">
        <f ca="1">IFERROR(__xludf.DUMMYFUNCTION("IFNA(vlookup(H7976,IMPORTRANGE(""1vUGwO1n0QQGx9kKbO0_M5gmuhXZ6-LaxQxgrmJnzgP0"",""'TP# look up'!A:C""),3,0),"""")"),"")</f>
        <v/>
      </c>
      <c r="AH7976" s="49" t="str">
        <f t="shared" si="124"/>
        <v/>
      </c>
    </row>
    <row r="7977" spans="8:34" ht="12.75">
      <c r="H7977" s="43"/>
      <c r="AG7977" s="49" t="str">
        <f ca="1">IFERROR(__xludf.DUMMYFUNCTION("IFNA(vlookup(H7977,IMPORTRANGE(""1vUGwO1n0QQGx9kKbO0_M5gmuhXZ6-LaxQxgrmJnzgP0"",""'TP# look up'!A:C""),3,0),"""")"),"")</f>
        <v/>
      </c>
      <c r="AH7977" s="49" t="str">
        <f t="shared" si="124"/>
        <v/>
      </c>
    </row>
    <row r="7978" spans="8:34" ht="12.75">
      <c r="H7978" s="43"/>
      <c r="AG7978" s="49" t="str">
        <f ca="1">IFERROR(__xludf.DUMMYFUNCTION("IFNA(vlookup(H7978,IMPORTRANGE(""1vUGwO1n0QQGx9kKbO0_M5gmuhXZ6-LaxQxgrmJnzgP0"",""'TP# look up'!A:C""),3,0),"""")"),"")</f>
        <v/>
      </c>
      <c r="AH7978" s="49" t="str">
        <f t="shared" si="124"/>
        <v/>
      </c>
    </row>
    <row r="7979" spans="8:34" ht="12.75">
      <c r="H7979" s="43"/>
      <c r="AG7979" s="49" t="str">
        <f ca="1">IFERROR(__xludf.DUMMYFUNCTION("IFNA(vlookup(H7979,IMPORTRANGE(""1vUGwO1n0QQGx9kKbO0_M5gmuhXZ6-LaxQxgrmJnzgP0"",""'TP# look up'!A:C""),3,0),"""")"),"")</f>
        <v/>
      </c>
      <c r="AH7979" s="49" t="str">
        <f t="shared" si="124"/>
        <v/>
      </c>
    </row>
    <row r="7980" spans="8:34" ht="12.75">
      <c r="H7980" s="43"/>
      <c r="AG7980" s="49" t="str">
        <f ca="1">IFERROR(__xludf.DUMMYFUNCTION("IFNA(vlookup(H7980,IMPORTRANGE(""1vUGwO1n0QQGx9kKbO0_M5gmuhXZ6-LaxQxgrmJnzgP0"",""'TP# look up'!A:C""),3,0),"""")"),"")</f>
        <v/>
      </c>
      <c r="AH7980" s="49" t="str">
        <f t="shared" si="124"/>
        <v/>
      </c>
    </row>
    <row r="7981" spans="8:34" ht="12.75">
      <c r="H7981" s="43"/>
      <c r="AG7981" s="49" t="str">
        <f ca="1">IFERROR(__xludf.DUMMYFUNCTION("IFNA(vlookup(H7981,IMPORTRANGE(""1vUGwO1n0QQGx9kKbO0_M5gmuhXZ6-LaxQxgrmJnzgP0"",""'TP# look up'!A:C""),3,0),"""")"),"")</f>
        <v/>
      </c>
      <c r="AH7981" s="49" t="str">
        <f t="shared" si="124"/>
        <v/>
      </c>
    </row>
    <row r="7982" spans="8:34" ht="12.75">
      <c r="H7982" s="43"/>
      <c r="AG7982" s="49" t="str">
        <f ca="1">IFERROR(__xludf.DUMMYFUNCTION("IFNA(vlookup(H7982,IMPORTRANGE(""1vUGwO1n0QQGx9kKbO0_M5gmuhXZ6-LaxQxgrmJnzgP0"",""'TP# look up'!A:C""),3,0),"""")"),"")</f>
        <v/>
      </c>
      <c r="AH7982" s="49" t="str">
        <f t="shared" si="124"/>
        <v/>
      </c>
    </row>
    <row r="7983" spans="8:34" ht="12.75">
      <c r="H7983" s="43"/>
      <c r="AG7983" s="49" t="str">
        <f ca="1">IFERROR(__xludf.DUMMYFUNCTION("IFNA(vlookup(H7983,IMPORTRANGE(""1vUGwO1n0QQGx9kKbO0_M5gmuhXZ6-LaxQxgrmJnzgP0"",""'TP# look up'!A:C""),3,0),"""")"),"")</f>
        <v/>
      </c>
      <c r="AH7983" s="49" t="str">
        <f t="shared" si="124"/>
        <v/>
      </c>
    </row>
    <row r="7984" spans="8:34" ht="12.75">
      <c r="H7984" s="43"/>
      <c r="AG7984" s="49" t="str">
        <f ca="1">IFERROR(__xludf.DUMMYFUNCTION("IFNA(vlookup(H7984,IMPORTRANGE(""1vUGwO1n0QQGx9kKbO0_M5gmuhXZ6-LaxQxgrmJnzgP0"",""'TP# look up'!A:C""),3,0),"""")"),"")</f>
        <v/>
      </c>
      <c r="AH7984" s="49" t="str">
        <f t="shared" si="124"/>
        <v/>
      </c>
    </row>
    <row r="7985" spans="8:34" ht="12.75">
      <c r="H7985" s="43"/>
      <c r="AG7985" s="49" t="str">
        <f ca="1">IFERROR(__xludf.DUMMYFUNCTION("IFNA(vlookup(H7985,IMPORTRANGE(""1vUGwO1n0QQGx9kKbO0_M5gmuhXZ6-LaxQxgrmJnzgP0"",""'TP# look up'!A:C""),3,0),"""")"),"")</f>
        <v/>
      </c>
      <c r="AH7985" s="49" t="str">
        <f t="shared" si="124"/>
        <v/>
      </c>
    </row>
    <row r="7986" spans="8:34" ht="12.75">
      <c r="H7986" s="43"/>
      <c r="AG7986" s="49" t="str">
        <f ca="1">IFERROR(__xludf.DUMMYFUNCTION("IFNA(vlookup(H7986,IMPORTRANGE(""1vUGwO1n0QQGx9kKbO0_M5gmuhXZ6-LaxQxgrmJnzgP0"",""'TP# look up'!A:C""),3,0),"""")"),"")</f>
        <v/>
      </c>
      <c r="AH7986" s="49" t="str">
        <f t="shared" si="124"/>
        <v/>
      </c>
    </row>
    <row r="7987" spans="8:34" ht="12.75">
      <c r="H7987" s="43"/>
      <c r="AG7987" s="49" t="str">
        <f ca="1">IFERROR(__xludf.DUMMYFUNCTION("IFNA(vlookup(H7987,IMPORTRANGE(""1vUGwO1n0QQGx9kKbO0_M5gmuhXZ6-LaxQxgrmJnzgP0"",""'TP# look up'!A:C""),3,0),"""")"),"")</f>
        <v/>
      </c>
      <c r="AH7987" s="49" t="str">
        <f t="shared" si="124"/>
        <v/>
      </c>
    </row>
    <row r="7988" spans="8:34" ht="12.75">
      <c r="H7988" s="43"/>
      <c r="AG7988" s="49" t="str">
        <f ca="1">IFERROR(__xludf.DUMMYFUNCTION("IFNA(vlookup(H7988,IMPORTRANGE(""1vUGwO1n0QQGx9kKbO0_M5gmuhXZ6-LaxQxgrmJnzgP0"",""'TP# look up'!A:C""),3,0),"""")"),"")</f>
        <v/>
      </c>
      <c r="AH7988" s="49" t="str">
        <f t="shared" si="124"/>
        <v/>
      </c>
    </row>
    <row r="7989" spans="8:34" ht="12.75">
      <c r="H7989" s="43"/>
      <c r="AG7989" s="49" t="str">
        <f ca="1">IFERROR(__xludf.DUMMYFUNCTION("IFNA(vlookup(H7989,IMPORTRANGE(""1vUGwO1n0QQGx9kKbO0_M5gmuhXZ6-LaxQxgrmJnzgP0"",""'TP# look up'!A:C""),3,0),"""")"),"")</f>
        <v/>
      </c>
      <c r="AH7989" s="49" t="str">
        <f t="shared" si="124"/>
        <v/>
      </c>
    </row>
    <row r="7990" spans="8:34" ht="12.75">
      <c r="H7990" s="43"/>
      <c r="AG7990" s="49" t="str">
        <f ca="1">IFERROR(__xludf.DUMMYFUNCTION("IFNA(vlookup(H7990,IMPORTRANGE(""1vUGwO1n0QQGx9kKbO0_M5gmuhXZ6-LaxQxgrmJnzgP0"",""'TP# look up'!A:C""),3,0),"""")"),"")</f>
        <v/>
      </c>
      <c r="AH7990" s="49" t="str">
        <f t="shared" si="124"/>
        <v/>
      </c>
    </row>
    <row r="7991" spans="8:34" ht="12.75">
      <c r="H7991" s="43"/>
      <c r="AG7991" s="49" t="str">
        <f ca="1">IFERROR(__xludf.DUMMYFUNCTION("IFNA(vlookup(H7991,IMPORTRANGE(""1vUGwO1n0QQGx9kKbO0_M5gmuhXZ6-LaxQxgrmJnzgP0"",""'TP# look up'!A:C""),3,0),"""")"),"")</f>
        <v/>
      </c>
      <c r="AH7991" s="49" t="str">
        <f t="shared" si="124"/>
        <v/>
      </c>
    </row>
    <row r="7992" spans="8:34" ht="12.75">
      <c r="H7992" s="43"/>
      <c r="AG7992" s="49" t="str">
        <f ca="1">IFERROR(__xludf.DUMMYFUNCTION("IFNA(vlookup(H7992,IMPORTRANGE(""1vUGwO1n0QQGx9kKbO0_M5gmuhXZ6-LaxQxgrmJnzgP0"",""'TP# look up'!A:C""),3,0),"""")"),"")</f>
        <v/>
      </c>
      <c r="AH7992" s="49" t="str">
        <f t="shared" si="124"/>
        <v/>
      </c>
    </row>
    <row r="7993" spans="8:34" ht="12.75">
      <c r="H7993" s="43"/>
      <c r="AG7993" s="49" t="str">
        <f ca="1">IFERROR(__xludf.DUMMYFUNCTION("IFNA(vlookup(H7993,IMPORTRANGE(""1vUGwO1n0QQGx9kKbO0_M5gmuhXZ6-LaxQxgrmJnzgP0"",""'TP# look up'!A:C""),3,0),"""")"),"")</f>
        <v/>
      </c>
      <c r="AH7993" s="49" t="str">
        <f t="shared" si="124"/>
        <v/>
      </c>
    </row>
    <row r="7994" spans="8:34" ht="12.75">
      <c r="H7994" s="43"/>
      <c r="AG7994" s="49" t="str">
        <f ca="1">IFERROR(__xludf.DUMMYFUNCTION("IFNA(vlookup(H7994,IMPORTRANGE(""1vUGwO1n0QQGx9kKbO0_M5gmuhXZ6-LaxQxgrmJnzgP0"",""'TP# look up'!A:C""),3,0),"""")"),"")</f>
        <v/>
      </c>
      <c r="AH7994" s="49" t="str">
        <f t="shared" si="124"/>
        <v/>
      </c>
    </row>
    <row r="7995" spans="8:34" ht="12.75">
      <c r="H7995" s="43"/>
      <c r="AG7995" s="49" t="str">
        <f ca="1">IFERROR(__xludf.DUMMYFUNCTION("IFNA(vlookup(H7995,IMPORTRANGE(""1vUGwO1n0QQGx9kKbO0_M5gmuhXZ6-LaxQxgrmJnzgP0"",""'TP# look up'!A:C""),3,0),"""")"),"")</f>
        <v/>
      </c>
      <c r="AH7995" s="49" t="str">
        <f t="shared" si="124"/>
        <v/>
      </c>
    </row>
    <row r="7996" spans="8:34" ht="12.75">
      <c r="H7996" s="43"/>
      <c r="AG7996" s="49" t="str">
        <f ca="1">IFERROR(__xludf.DUMMYFUNCTION("IFNA(vlookup(H7996,IMPORTRANGE(""1vUGwO1n0QQGx9kKbO0_M5gmuhXZ6-LaxQxgrmJnzgP0"",""'TP# look up'!A:C""),3,0),"""")"),"")</f>
        <v/>
      </c>
      <c r="AH7996" s="49" t="str">
        <f t="shared" si="124"/>
        <v/>
      </c>
    </row>
    <row r="7997" spans="8:34" ht="12.75">
      <c r="H7997" s="43"/>
      <c r="AG7997" s="49" t="str">
        <f ca="1">IFERROR(__xludf.DUMMYFUNCTION("IFNA(vlookup(H7997,IMPORTRANGE(""1vUGwO1n0QQGx9kKbO0_M5gmuhXZ6-LaxQxgrmJnzgP0"",""'TP# look up'!A:C""),3,0),"""")"),"")</f>
        <v/>
      </c>
      <c r="AH7997" s="49" t="str">
        <f t="shared" si="124"/>
        <v/>
      </c>
    </row>
    <row r="7998" spans="8:34" ht="12.75">
      <c r="H7998" s="43"/>
      <c r="AG7998" s="49" t="str">
        <f ca="1">IFERROR(__xludf.DUMMYFUNCTION("IFNA(vlookup(H7998,IMPORTRANGE(""1vUGwO1n0QQGx9kKbO0_M5gmuhXZ6-LaxQxgrmJnzgP0"",""'TP# look up'!A:C""),3,0),"""")"),"")</f>
        <v/>
      </c>
      <c r="AH7998" s="49" t="str">
        <f t="shared" si="124"/>
        <v/>
      </c>
    </row>
    <row r="7999" spans="8:34" ht="12.75">
      <c r="H7999" s="43"/>
      <c r="AG7999" s="49" t="str">
        <f ca="1">IFERROR(__xludf.DUMMYFUNCTION("IFNA(vlookup(H7999,IMPORTRANGE(""1vUGwO1n0QQGx9kKbO0_M5gmuhXZ6-LaxQxgrmJnzgP0"",""'TP# look up'!A:C""),3,0),"""")"),"")</f>
        <v/>
      </c>
      <c r="AH7999" s="49" t="str">
        <f t="shared" si="124"/>
        <v/>
      </c>
    </row>
    <row r="8000" spans="8:34" ht="12.75">
      <c r="H8000" s="43"/>
      <c r="AG8000" s="49" t="str">
        <f ca="1">IFERROR(__xludf.DUMMYFUNCTION("IFNA(vlookup(H8000,IMPORTRANGE(""1vUGwO1n0QQGx9kKbO0_M5gmuhXZ6-LaxQxgrmJnzgP0"",""'TP# look up'!A:C""),3,0),"""")"),"")</f>
        <v/>
      </c>
      <c r="AH8000" s="49" t="str">
        <f t="shared" si="124"/>
        <v/>
      </c>
    </row>
    <row r="8001" spans="8:34" ht="12.75">
      <c r="H8001" s="43"/>
      <c r="AG8001" s="49" t="str">
        <f ca="1">IFERROR(__xludf.DUMMYFUNCTION("IFNA(vlookup(H8001,IMPORTRANGE(""1vUGwO1n0QQGx9kKbO0_M5gmuhXZ6-LaxQxgrmJnzgP0"",""'TP# look up'!A:C""),3,0),"""")"),"")</f>
        <v/>
      </c>
      <c r="AH8001" s="49" t="str">
        <f t="shared" si="124"/>
        <v/>
      </c>
    </row>
    <row r="8002" spans="8:34" ht="12.75">
      <c r="H8002" s="43"/>
      <c r="AG8002" s="49" t="str">
        <f ca="1">IFERROR(__xludf.DUMMYFUNCTION("IFNA(vlookup(H8002,IMPORTRANGE(""1vUGwO1n0QQGx9kKbO0_M5gmuhXZ6-LaxQxgrmJnzgP0"",""'TP# look up'!A:C""),3,0),"""")"),"")</f>
        <v/>
      </c>
      <c r="AH8002" s="49" t="str">
        <f t="shared" ref="AH8002:AH8065" si="125">LEFT(J8002,2)</f>
        <v/>
      </c>
    </row>
    <row r="8003" spans="8:34" ht="12.75">
      <c r="H8003" s="43"/>
      <c r="AG8003" s="49" t="str">
        <f ca="1">IFERROR(__xludf.DUMMYFUNCTION("IFNA(vlookup(H8003,IMPORTRANGE(""1vUGwO1n0QQGx9kKbO0_M5gmuhXZ6-LaxQxgrmJnzgP0"",""'TP# look up'!A:C""),3,0),"""")"),"")</f>
        <v/>
      </c>
      <c r="AH8003" s="49" t="str">
        <f t="shared" si="125"/>
        <v/>
      </c>
    </row>
    <row r="8004" spans="8:34" ht="12.75">
      <c r="H8004" s="43"/>
      <c r="AG8004" s="49" t="str">
        <f ca="1">IFERROR(__xludf.DUMMYFUNCTION("IFNA(vlookup(H8004,IMPORTRANGE(""1vUGwO1n0QQGx9kKbO0_M5gmuhXZ6-LaxQxgrmJnzgP0"",""'TP# look up'!A:C""),3,0),"""")"),"")</f>
        <v/>
      </c>
      <c r="AH8004" s="49" t="str">
        <f t="shared" si="125"/>
        <v/>
      </c>
    </row>
    <row r="8005" spans="8:34" ht="12.75">
      <c r="H8005" s="43"/>
      <c r="AG8005" s="49" t="str">
        <f ca="1">IFERROR(__xludf.DUMMYFUNCTION("IFNA(vlookup(H8005,IMPORTRANGE(""1vUGwO1n0QQGx9kKbO0_M5gmuhXZ6-LaxQxgrmJnzgP0"",""'TP# look up'!A:C""),3,0),"""")"),"")</f>
        <v/>
      </c>
      <c r="AH8005" s="49" t="str">
        <f t="shared" si="125"/>
        <v/>
      </c>
    </row>
    <row r="8006" spans="8:34" ht="12.75">
      <c r="H8006" s="43"/>
      <c r="AG8006" s="49" t="str">
        <f ca="1">IFERROR(__xludf.DUMMYFUNCTION("IFNA(vlookup(H8006,IMPORTRANGE(""1vUGwO1n0QQGx9kKbO0_M5gmuhXZ6-LaxQxgrmJnzgP0"",""'TP# look up'!A:C""),3,0),"""")"),"")</f>
        <v/>
      </c>
      <c r="AH8006" s="49" t="str">
        <f t="shared" si="125"/>
        <v/>
      </c>
    </row>
    <row r="8007" spans="8:34" ht="12.75">
      <c r="H8007" s="43"/>
      <c r="AG8007" s="49" t="str">
        <f ca="1">IFERROR(__xludf.DUMMYFUNCTION("IFNA(vlookup(H8007,IMPORTRANGE(""1vUGwO1n0QQGx9kKbO0_M5gmuhXZ6-LaxQxgrmJnzgP0"",""'TP# look up'!A:C""),3,0),"""")"),"")</f>
        <v/>
      </c>
      <c r="AH8007" s="49" t="str">
        <f t="shared" si="125"/>
        <v/>
      </c>
    </row>
    <row r="8008" spans="8:34" ht="12.75">
      <c r="H8008" s="43"/>
      <c r="AG8008" s="49" t="str">
        <f ca="1">IFERROR(__xludf.DUMMYFUNCTION("IFNA(vlookup(H8008,IMPORTRANGE(""1vUGwO1n0QQGx9kKbO0_M5gmuhXZ6-LaxQxgrmJnzgP0"",""'TP# look up'!A:C""),3,0),"""")"),"")</f>
        <v/>
      </c>
      <c r="AH8008" s="49" t="str">
        <f t="shared" si="125"/>
        <v/>
      </c>
    </row>
    <row r="8009" spans="8:34" ht="12.75">
      <c r="H8009" s="43"/>
      <c r="AG8009" s="49" t="str">
        <f ca="1">IFERROR(__xludf.DUMMYFUNCTION("IFNA(vlookup(H8009,IMPORTRANGE(""1vUGwO1n0QQGx9kKbO0_M5gmuhXZ6-LaxQxgrmJnzgP0"",""'TP# look up'!A:C""),3,0),"""")"),"")</f>
        <v/>
      </c>
      <c r="AH8009" s="49" t="str">
        <f t="shared" si="125"/>
        <v/>
      </c>
    </row>
    <row r="8010" spans="8:34" ht="12.75">
      <c r="H8010" s="43"/>
      <c r="AG8010" s="49" t="str">
        <f ca="1">IFERROR(__xludf.DUMMYFUNCTION("IFNA(vlookup(H8010,IMPORTRANGE(""1vUGwO1n0QQGx9kKbO0_M5gmuhXZ6-LaxQxgrmJnzgP0"",""'TP# look up'!A:C""),3,0),"""")"),"")</f>
        <v/>
      </c>
      <c r="AH8010" s="49" t="str">
        <f t="shared" si="125"/>
        <v/>
      </c>
    </row>
    <row r="8011" spans="8:34" ht="12.75">
      <c r="H8011" s="43"/>
      <c r="AG8011" s="49" t="str">
        <f ca="1">IFERROR(__xludf.DUMMYFUNCTION("IFNA(vlookup(H8011,IMPORTRANGE(""1vUGwO1n0QQGx9kKbO0_M5gmuhXZ6-LaxQxgrmJnzgP0"",""'TP# look up'!A:C""),3,0),"""")"),"")</f>
        <v/>
      </c>
      <c r="AH8011" s="49" t="str">
        <f t="shared" si="125"/>
        <v/>
      </c>
    </row>
    <row r="8012" spans="8:34" ht="12.75">
      <c r="H8012" s="43"/>
      <c r="AG8012" s="49" t="str">
        <f ca="1">IFERROR(__xludf.DUMMYFUNCTION("IFNA(vlookup(H8012,IMPORTRANGE(""1vUGwO1n0QQGx9kKbO0_M5gmuhXZ6-LaxQxgrmJnzgP0"",""'TP# look up'!A:C""),3,0),"""")"),"")</f>
        <v/>
      </c>
      <c r="AH8012" s="49" t="str">
        <f t="shared" si="125"/>
        <v/>
      </c>
    </row>
    <row r="8013" spans="8:34" ht="12.75">
      <c r="H8013" s="43"/>
      <c r="AG8013" s="49" t="str">
        <f ca="1">IFERROR(__xludf.DUMMYFUNCTION("IFNA(vlookup(H8013,IMPORTRANGE(""1vUGwO1n0QQGx9kKbO0_M5gmuhXZ6-LaxQxgrmJnzgP0"",""'TP# look up'!A:C""),3,0),"""")"),"")</f>
        <v/>
      </c>
      <c r="AH8013" s="49" t="str">
        <f t="shared" si="125"/>
        <v/>
      </c>
    </row>
    <row r="8014" spans="8:34" ht="12.75">
      <c r="H8014" s="43"/>
      <c r="AG8014" s="49" t="str">
        <f ca="1">IFERROR(__xludf.DUMMYFUNCTION("IFNA(vlookup(H8014,IMPORTRANGE(""1vUGwO1n0QQGx9kKbO0_M5gmuhXZ6-LaxQxgrmJnzgP0"",""'TP# look up'!A:C""),3,0),"""")"),"")</f>
        <v/>
      </c>
      <c r="AH8014" s="49" t="str">
        <f t="shared" si="125"/>
        <v/>
      </c>
    </row>
    <row r="8015" spans="8:34" ht="12.75">
      <c r="H8015" s="43"/>
      <c r="AG8015" s="49" t="str">
        <f ca="1">IFERROR(__xludf.DUMMYFUNCTION("IFNA(vlookup(H8015,IMPORTRANGE(""1vUGwO1n0QQGx9kKbO0_M5gmuhXZ6-LaxQxgrmJnzgP0"",""'TP# look up'!A:C""),3,0),"""")"),"")</f>
        <v/>
      </c>
      <c r="AH8015" s="49" t="str">
        <f t="shared" si="125"/>
        <v/>
      </c>
    </row>
    <row r="8016" spans="8:34" ht="12.75">
      <c r="H8016" s="43"/>
      <c r="AG8016" s="49" t="str">
        <f ca="1">IFERROR(__xludf.DUMMYFUNCTION("IFNA(vlookup(H8016,IMPORTRANGE(""1vUGwO1n0QQGx9kKbO0_M5gmuhXZ6-LaxQxgrmJnzgP0"",""'TP# look up'!A:C""),3,0),"""")"),"")</f>
        <v/>
      </c>
      <c r="AH8016" s="49" t="str">
        <f t="shared" si="125"/>
        <v/>
      </c>
    </row>
    <row r="8017" spans="8:34" ht="12.75">
      <c r="H8017" s="43"/>
      <c r="AG8017" s="49" t="str">
        <f ca="1">IFERROR(__xludf.DUMMYFUNCTION("IFNA(vlookup(H8017,IMPORTRANGE(""1vUGwO1n0QQGx9kKbO0_M5gmuhXZ6-LaxQxgrmJnzgP0"",""'TP# look up'!A:C""),3,0),"""")"),"")</f>
        <v/>
      </c>
      <c r="AH8017" s="49" t="str">
        <f t="shared" si="125"/>
        <v/>
      </c>
    </row>
    <row r="8018" spans="8:34" ht="12.75">
      <c r="H8018" s="43"/>
      <c r="AG8018" s="49" t="str">
        <f ca="1">IFERROR(__xludf.DUMMYFUNCTION("IFNA(vlookup(H8018,IMPORTRANGE(""1vUGwO1n0QQGx9kKbO0_M5gmuhXZ6-LaxQxgrmJnzgP0"",""'TP# look up'!A:C""),3,0),"""")"),"")</f>
        <v/>
      </c>
      <c r="AH8018" s="49" t="str">
        <f t="shared" si="125"/>
        <v/>
      </c>
    </row>
    <row r="8019" spans="8:34" ht="12.75">
      <c r="H8019" s="43"/>
      <c r="AG8019" s="49" t="str">
        <f ca="1">IFERROR(__xludf.DUMMYFUNCTION("IFNA(vlookup(H8019,IMPORTRANGE(""1vUGwO1n0QQGx9kKbO0_M5gmuhXZ6-LaxQxgrmJnzgP0"",""'TP# look up'!A:C""),3,0),"""")"),"")</f>
        <v/>
      </c>
      <c r="AH8019" s="49" t="str">
        <f t="shared" si="125"/>
        <v/>
      </c>
    </row>
    <row r="8020" spans="8:34" ht="12.75">
      <c r="H8020" s="43"/>
      <c r="AG8020" s="49" t="str">
        <f ca="1">IFERROR(__xludf.DUMMYFUNCTION("IFNA(vlookup(H8020,IMPORTRANGE(""1vUGwO1n0QQGx9kKbO0_M5gmuhXZ6-LaxQxgrmJnzgP0"",""'TP# look up'!A:C""),3,0),"""")"),"")</f>
        <v/>
      </c>
      <c r="AH8020" s="49" t="str">
        <f t="shared" si="125"/>
        <v/>
      </c>
    </row>
    <row r="8021" spans="8:34" ht="12.75">
      <c r="H8021" s="43"/>
      <c r="AG8021" s="49" t="str">
        <f ca="1">IFERROR(__xludf.DUMMYFUNCTION("IFNA(vlookup(H8021,IMPORTRANGE(""1vUGwO1n0QQGx9kKbO0_M5gmuhXZ6-LaxQxgrmJnzgP0"",""'TP# look up'!A:C""),3,0),"""")"),"")</f>
        <v/>
      </c>
      <c r="AH8021" s="49" t="str">
        <f t="shared" si="125"/>
        <v/>
      </c>
    </row>
    <row r="8022" spans="8:34" ht="12.75">
      <c r="H8022" s="43"/>
      <c r="AG8022" s="49" t="str">
        <f ca="1">IFERROR(__xludf.DUMMYFUNCTION("IFNA(vlookup(H8022,IMPORTRANGE(""1vUGwO1n0QQGx9kKbO0_M5gmuhXZ6-LaxQxgrmJnzgP0"",""'TP# look up'!A:C""),3,0),"""")"),"")</f>
        <v/>
      </c>
      <c r="AH8022" s="49" t="str">
        <f t="shared" si="125"/>
        <v/>
      </c>
    </row>
    <row r="8023" spans="8:34" ht="12.75">
      <c r="H8023" s="43"/>
      <c r="AG8023" s="49" t="str">
        <f ca="1">IFERROR(__xludf.DUMMYFUNCTION("IFNA(vlookup(H8023,IMPORTRANGE(""1vUGwO1n0QQGx9kKbO0_M5gmuhXZ6-LaxQxgrmJnzgP0"",""'TP# look up'!A:C""),3,0),"""")"),"")</f>
        <v/>
      </c>
      <c r="AH8023" s="49" t="str">
        <f t="shared" si="125"/>
        <v/>
      </c>
    </row>
    <row r="8024" spans="8:34" ht="12.75">
      <c r="H8024" s="43"/>
      <c r="AG8024" s="49" t="str">
        <f ca="1">IFERROR(__xludf.DUMMYFUNCTION("IFNA(vlookup(H8024,IMPORTRANGE(""1vUGwO1n0QQGx9kKbO0_M5gmuhXZ6-LaxQxgrmJnzgP0"",""'TP# look up'!A:C""),3,0),"""")"),"")</f>
        <v/>
      </c>
      <c r="AH8024" s="49" t="str">
        <f t="shared" si="125"/>
        <v/>
      </c>
    </row>
    <row r="8025" spans="8:34" ht="12.75">
      <c r="H8025" s="43"/>
      <c r="AG8025" s="49" t="str">
        <f ca="1">IFERROR(__xludf.DUMMYFUNCTION("IFNA(vlookup(H8025,IMPORTRANGE(""1vUGwO1n0QQGx9kKbO0_M5gmuhXZ6-LaxQxgrmJnzgP0"",""'TP# look up'!A:C""),3,0),"""")"),"")</f>
        <v/>
      </c>
      <c r="AH8025" s="49" t="str">
        <f t="shared" si="125"/>
        <v/>
      </c>
    </row>
    <row r="8026" spans="8:34" ht="12.75">
      <c r="H8026" s="43"/>
      <c r="AG8026" s="49" t="str">
        <f ca="1">IFERROR(__xludf.DUMMYFUNCTION("IFNA(vlookup(H8026,IMPORTRANGE(""1vUGwO1n0QQGx9kKbO0_M5gmuhXZ6-LaxQxgrmJnzgP0"",""'TP# look up'!A:C""),3,0),"""")"),"")</f>
        <v/>
      </c>
      <c r="AH8026" s="49" t="str">
        <f t="shared" si="125"/>
        <v/>
      </c>
    </row>
    <row r="8027" spans="8:34" ht="12.75">
      <c r="H8027" s="43"/>
      <c r="AG8027" s="49" t="str">
        <f ca="1">IFERROR(__xludf.DUMMYFUNCTION("IFNA(vlookup(H8027,IMPORTRANGE(""1vUGwO1n0QQGx9kKbO0_M5gmuhXZ6-LaxQxgrmJnzgP0"",""'TP# look up'!A:C""),3,0),"""")"),"")</f>
        <v/>
      </c>
      <c r="AH8027" s="49" t="str">
        <f t="shared" si="125"/>
        <v/>
      </c>
    </row>
    <row r="8028" spans="8:34" ht="12.75">
      <c r="H8028" s="43"/>
      <c r="AG8028" s="49" t="str">
        <f ca="1">IFERROR(__xludf.DUMMYFUNCTION("IFNA(vlookup(H8028,IMPORTRANGE(""1vUGwO1n0QQGx9kKbO0_M5gmuhXZ6-LaxQxgrmJnzgP0"",""'TP# look up'!A:C""),3,0),"""")"),"")</f>
        <v/>
      </c>
      <c r="AH8028" s="49" t="str">
        <f t="shared" si="125"/>
        <v/>
      </c>
    </row>
    <row r="8029" spans="8:34" ht="12.75">
      <c r="H8029" s="43"/>
      <c r="AG8029" s="49" t="str">
        <f ca="1">IFERROR(__xludf.DUMMYFUNCTION("IFNA(vlookup(H8029,IMPORTRANGE(""1vUGwO1n0QQGx9kKbO0_M5gmuhXZ6-LaxQxgrmJnzgP0"",""'TP# look up'!A:C""),3,0),"""")"),"")</f>
        <v/>
      </c>
      <c r="AH8029" s="49" t="str">
        <f t="shared" si="125"/>
        <v/>
      </c>
    </row>
    <row r="8030" spans="8:34" ht="12.75">
      <c r="H8030" s="43"/>
      <c r="AG8030" s="49" t="str">
        <f ca="1">IFERROR(__xludf.DUMMYFUNCTION("IFNA(vlookup(H8030,IMPORTRANGE(""1vUGwO1n0QQGx9kKbO0_M5gmuhXZ6-LaxQxgrmJnzgP0"",""'TP# look up'!A:C""),3,0),"""")"),"")</f>
        <v/>
      </c>
      <c r="AH8030" s="49" t="str">
        <f t="shared" si="125"/>
        <v/>
      </c>
    </row>
    <row r="8031" spans="8:34" ht="12.75">
      <c r="H8031" s="43"/>
      <c r="AG8031" s="49" t="str">
        <f ca="1">IFERROR(__xludf.DUMMYFUNCTION("IFNA(vlookup(H8031,IMPORTRANGE(""1vUGwO1n0QQGx9kKbO0_M5gmuhXZ6-LaxQxgrmJnzgP0"",""'TP# look up'!A:C""),3,0),"""")"),"")</f>
        <v/>
      </c>
      <c r="AH8031" s="49" t="str">
        <f t="shared" si="125"/>
        <v/>
      </c>
    </row>
    <row r="8032" spans="8:34" ht="12.75">
      <c r="H8032" s="43"/>
      <c r="AG8032" s="49" t="str">
        <f ca="1">IFERROR(__xludf.DUMMYFUNCTION("IFNA(vlookup(H8032,IMPORTRANGE(""1vUGwO1n0QQGx9kKbO0_M5gmuhXZ6-LaxQxgrmJnzgP0"",""'TP# look up'!A:C""),3,0),"""")"),"")</f>
        <v/>
      </c>
      <c r="AH8032" s="49" t="str">
        <f t="shared" si="125"/>
        <v/>
      </c>
    </row>
    <row r="8033" spans="8:34" ht="12.75">
      <c r="H8033" s="43"/>
      <c r="AG8033" s="49" t="str">
        <f ca="1">IFERROR(__xludf.DUMMYFUNCTION("IFNA(vlookup(H8033,IMPORTRANGE(""1vUGwO1n0QQGx9kKbO0_M5gmuhXZ6-LaxQxgrmJnzgP0"",""'TP# look up'!A:C""),3,0),"""")"),"")</f>
        <v/>
      </c>
      <c r="AH8033" s="49" t="str">
        <f t="shared" si="125"/>
        <v/>
      </c>
    </row>
    <row r="8034" spans="8:34" ht="12.75">
      <c r="H8034" s="43"/>
      <c r="AG8034" s="49" t="str">
        <f ca="1">IFERROR(__xludf.DUMMYFUNCTION("IFNA(vlookup(H8034,IMPORTRANGE(""1vUGwO1n0QQGx9kKbO0_M5gmuhXZ6-LaxQxgrmJnzgP0"",""'TP# look up'!A:C""),3,0),"""")"),"")</f>
        <v/>
      </c>
      <c r="AH8034" s="49" t="str">
        <f t="shared" si="125"/>
        <v/>
      </c>
    </row>
    <row r="8035" spans="8:34" ht="12.75">
      <c r="H8035" s="43"/>
      <c r="AG8035" s="49" t="str">
        <f ca="1">IFERROR(__xludf.DUMMYFUNCTION("IFNA(vlookup(H8035,IMPORTRANGE(""1vUGwO1n0QQGx9kKbO0_M5gmuhXZ6-LaxQxgrmJnzgP0"",""'TP# look up'!A:C""),3,0),"""")"),"")</f>
        <v/>
      </c>
      <c r="AH8035" s="49" t="str">
        <f t="shared" si="125"/>
        <v/>
      </c>
    </row>
    <row r="8036" spans="8:34" ht="12.75">
      <c r="H8036" s="43"/>
      <c r="AG8036" s="49" t="str">
        <f ca="1">IFERROR(__xludf.DUMMYFUNCTION("IFNA(vlookup(H8036,IMPORTRANGE(""1vUGwO1n0QQGx9kKbO0_M5gmuhXZ6-LaxQxgrmJnzgP0"",""'TP# look up'!A:C""),3,0),"""")"),"")</f>
        <v/>
      </c>
      <c r="AH8036" s="49" t="str">
        <f t="shared" si="125"/>
        <v/>
      </c>
    </row>
    <row r="8037" spans="8:34" ht="12.75">
      <c r="H8037" s="43"/>
      <c r="AG8037" s="49" t="str">
        <f ca="1">IFERROR(__xludf.DUMMYFUNCTION("IFNA(vlookup(H8037,IMPORTRANGE(""1vUGwO1n0QQGx9kKbO0_M5gmuhXZ6-LaxQxgrmJnzgP0"",""'TP# look up'!A:C""),3,0),"""")"),"")</f>
        <v/>
      </c>
      <c r="AH8037" s="49" t="str">
        <f t="shared" si="125"/>
        <v/>
      </c>
    </row>
    <row r="8038" spans="8:34" ht="12.75">
      <c r="H8038" s="43"/>
      <c r="AG8038" s="49" t="str">
        <f ca="1">IFERROR(__xludf.DUMMYFUNCTION("IFNA(vlookup(H8038,IMPORTRANGE(""1vUGwO1n0QQGx9kKbO0_M5gmuhXZ6-LaxQxgrmJnzgP0"",""'TP# look up'!A:C""),3,0),"""")"),"")</f>
        <v/>
      </c>
      <c r="AH8038" s="49" t="str">
        <f t="shared" si="125"/>
        <v/>
      </c>
    </row>
    <row r="8039" spans="8:34" ht="12.75">
      <c r="H8039" s="43"/>
      <c r="AG8039" s="49" t="str">
        <f ca="1">IFERROR(__xludf.DUMMYFUNCTION("IFNA(vlookup(H8039,IMPORTRANGE(""1vUGwO1n0QQGx9kKbO0_M5gmuhXZ6-LaxQxgrmJnzgP0"",""'TP# look up'!A:C""),3,0),"""")"),"")</f>
        <v/>
      </c>
      <c r="AH8039" s="49" t="str">
        <f t="shared" si="125"/>
        <v/>
      </c>
    </row>
    <row r="8040" spans="8:34" ht="12.75">
      <c r="H8040" s="43"/>
      <c r="AG8040" s="49" t="str">
        <f ca="1">IFERROR(__xludf.DUMMYFUNCTION("IFNA(vlookup(H8040,IMPORTRANGE(""1vUGwO1n0QQGx9kKbO0_M5gmuhXZ6-LaxQxgrmJnzgP0"",""'TP# look up'!A:C""),3,0),"""")"),"")</f>
        <v/>
      </c>
      <c r="AH8040" s="49" t="str">
        <f t="shared" si="125"/>
        <v/>
      </c>
    </row>
    <row r="8041" spans="8:34" ht="12.75">
      <c r="H8041" s="43"/>
      <c r="AG8041" s="49" t="str">
        <f ca="1">IFERROR(__xludf.DUMMYFUNCTION("IFNA(vlookup(H8041,IMPORTRANGE(""1vUGwO1n0QQGx9kKbO0_M5gmuhXZ6-LaxQxgrmJnzgP0"",""'TP# look up'!A:C""),3,0),"""")"),"")</f>
        <v/>
      </c>
      <c r="AH8041" s="49" t="str">
        <f t="shared" si="125"/>
        <v/>
      </c>
    </row>
    <row r="8042" spans="8:34" ht="12.75">
      <c r="H8042" s="43"/>
      <c r="AG8042" s="49" t="str">
        <f ca="1">IFERROR(__xludf.DUMMYFUNCTION("IFNA(vlookup(H8042,IMPORTRANGE(""1vUGwO1n0QQGx9kKbO0_M5gmuhXZ6-LaxQxgrmJnzgP0"",""'TP# look up'!A:C""),3,0),"""")"),"")</f>
        <v/>
      </c>
      <c r="AH8042" s="49" t="str">
        <f t="shared" si="125"/>
        <v/>
      </c>
    </row>
    <row r="8043" spans="8:34" ht="12.75">
      <c r="H8043" s="43"/>
      <c r="AG8043" s="49" t="str">
        <f ca="1">IFERROR(__xludf.DUMMYFUNCTION("IFNA(vlookup(H8043,IMPORTRANGE(""1vUGwO1n0QQGx9kKbO0_M5gmuhXZ6-LaxQxgrmJnzgP0"",""'TP# look up'!A:C""),3,0),"""")"),"")</f>
        <v/>
      </c>
      <c r="AH8043" s="49" t="str">
        <f t="shared" si="125"/>
        <v/>
      </c>
    </row>
    <row r="8044" spans="8:34" ht="12.75">
      <c r="H8044" s="43"/>
      <c r="AG8044" s="49" t="str">
        <f ca="1">IFERROR(__xludf.DUMMYFUNCTION("IFNA(vlookup(H8044,IMPORTRANGE(""1vUGwO1n0QQGx9kKbO0_M5gmuhXZ6-LaxQxgrmJnzgP0"",""'TP# look up'!A:C""),3,0),"""")"),"")</f>
        <v/>
      </c>
      <c r="AH8044" s="49" t="str">
        <f t="shared" si="125"/>
        <v/>
      </c>
    </row>
    <row r="8045" spans="8:34" ht="12.75">
      <c r="H8045" s="43"/>
      <c r="AG8045" s="49" t="str">
        <f ca="1">IFERROR(__xludf.DUMMYFUNCTION("IFNA(vlookup(H8045,IMPORTRANGE(""1vUGwO1n0QQGx9kKbO0_M5gmuhXZ6-LaxQxgrmJnzgP0"",""'TP# look up'!A:C""),3,0),"""")"),"")</f>
        <v/>
      </c>
      <c r="AH8045" s="49" t="str">
        <f t="shared" si="125"/>
        <v/>
      </c>
    </row>
    <row r="8046" spans="8:34" ht="12.75">
      <c r="H8046" s="43"/>
      <c r="AG8046" s="49" t="str">
        <f ca="1">IFERROR(__xludf.DUMMYFUNCTION("IFNA(vlookup(H8046,IMPORTRANGE(""1vUGwO1n0QQGx9kKbO0_M5gmuhXZ6-LaxQxgrmJnzgP0"",""'TP# look up'!A:C""),3,0),"""")"),"")</f>
        <v/>
      </c>
      <c r="AH8046" s="49" t="str">
        <f t="shared" si="125"/>
        <v/>
      </c>
    </row>
    <row r="8047" spans="8:34" ht="12.75">
      <c r="H8047" s="43"/>
      <c r="AG8047" s="49" t="str">
        <f ca="1">IFERROR(__xludf.DUMMYFUNCTION("IFNA(vlookup(H8047,IMPORTRANGE(""1vUGwO1n0QQGx9kKbO0_M5gmuhXZ6-LaxQxgrmJnzgP0"",""'TP# look up'!A:C""),3,0),"""")"),"")</f>
        <v/>
      </c>
      <c r="AH8047" s="49" t="str">
        <f t="shared" si="125"/>
        <v/>
      </c>
    </row>
    <row r="8048" spans="8:34" ht="12.75">
      <c r="H8048" s="43"/>
      <c r="AG8048" s="49" t="str">
        <f ca="1">IFERROR(__xludf.DUMMYFUNCTION("IFNA(vlookup(H8048,IMPORTRANGE(""1vUGwO1n0QQGx9kKbO0_M5gmuhXZ6-LaxQxgrmJnzgP0"",""'TP# look up'!A:C""),3,0),"""")"),"")</f>
        <v/>
      </c>
      <c r="AH8048" s="49" t="str">
        <f t="shared" si="125"/>
        <v/>
      </c>
    </row>
    <row r="8049" spans="8:34" ht="12.75">
      <c r="H8049" s="43"/>
      <c r="AG8049" s="49" t="str">
        <f ca="1">IFERROR(__xludf.DUMMYFUNCTION("IFNA(vlookup(H8049,IMPORTRANGE(""1vUGwO1n0QQGx9kKbO0_M5gmuhXZ6-LaxQxgrmJnzgP0"",""'TP# look up'!A:C""),3,0),"""")"),"")</f>
        <v/>
      </c>
      <c r="AH8049" s="49" t="str">
        <f t="shared" si="125"/>
        <v/>
      </c>
    </row>
    <row r="8050" spans="8:34" ht="12.75">
      <c r="H8050" s="43"/>
      <c r="AG8050" s="49" t="str">
        <f ca="1">IFERROR(__xludf.DUMMYFUNCTION("IFNA(vlookup(H8050,IMPORTRANGE(""1vUGwO1n0QQGx9kKbO0_M5gmuhXZ6-LaxQxgrmJnzgP0"",""'TP# look up'!A:C""),3,0),"""")"),"")</f>
        <v/>
      </c>
      <c r="AH8050" s="49" t="str">
        <f t="shared" si="125"/>
        <v/>
      </c>
    </row>
    <row r="8051" spans="8:34" ht="12.75">
      <c r="H8051" s="43"/>
      <c r="AG8051" s="49" t="str">
        <f ca="1">IFERROR(__xludf.DUMMYFUNCTION("IFNA(vlookup(H8051,IMPORTRANGE(""1vUGwO1n0QQGx9kKbO0_M5gmuhXZ6-LaxQxgrmJnzgP0"",""'TP# look up'!A:C""),3,0),"""")"),"")</f>
        <v/>
      </c>
      <c r="AH8051" s="49" t="str">
        <f t="shared" si="125"/>
        <v/>
      </c>
    </row>
    <row r="8052" spans="8:34" ht="12.75">
      <c r="H8052" s="43"/>
      <c r="AG8052" s="49" t="str">
        <f ca="1">IFERROR(__xludf.DUMMYFUNCTION("IFNA(vlookup(H8052,IMPORTRANGE(""1vUGwO1n0QQGx9kKbO0_M5gmuhXZ6-LaxQxgrmJnzgP0"",""'TP# look up'!A:C""),3,0),"""")"),"")</f>
        <v/>
      </c>
      <c r="AH8052" s="49" t="str">
        <f t="shared" si="125"/>
        <v/>
      </c>
    </row>
    <row r="8053" spans="8:34" ht="12.75">
      <c r="H8053" s="43"/>
      <c r="AG8053" s="49" t="str">
        <f ca="1">IFERROR(__xludf.DUMMYFUNCTION("IFNA(vlookup(H8053,IMPORTRANGE(""1vUGwO1n0QQGx9kKbO0_M5gmuhXZ6-LaxQxgrmJnzgP0"",""'TP# look up'!A:C""),3,0),"""")"),"")</f>
        <v/>
      </c>
      <c r="AH8053" s="49" t="str">
        <f t="shared" si="125"/>
        <v/>
      </c>
    </row>
    <row r="8054" spans="8:34" ht="12.75">
      <c r="H8054" s="43"/>
      <c r="AG8054" s="49" t="str">
        <f ca="1">IFERROR(__xludf.DUMMYFUNCTION("IFNA(vlookup(H8054,IMPORTRANGE(""1vUGwO1n0QQGx9kKbO0_M5gmuhXZ6-LaxQxgrmJnzgP0"",""'TP# look up'!A:C""),3,0),"""")"),"")</f>
        <v/>
      </c>
      <c r="AH8054" s="49" t="str">
        <f t="shared" si="125"/>
        <v/>
      </c>
    </row>
    <row r="8055" spans="8:34" ht="12.75">
      <c r="H8055" s="43"/>
      <c r="AG8055" s="49" t="str">
        <f ca="1">IFERROR(__xludf.DUMMYFUNCTION("IFNA(vlookup(H8055,IMPORTRANGE(""1vUGwO1n0QQGx9kKbO0_M5gmuhXZ6-LaxQxgrmJnzgP0"",""'TP# look up'!A:C""),3,0),"""")"),"")</f>
        <v/>
      </c>
      <c r="AH8055" s="49" t="str">
        <f t="shared" si="125"/>
        <v/>
      </c>
    </row>
    <row r="8056" spans="8:34" ht="12.75">
      <c r="H8056" s="43"/>
      <c r="AG8056" s="49" t="str">
        <f ca="1">IFERROR(__xludf.DUMMYFUNCTION("IFNA(vlookup(H8056,IMPORTRANGE(""1vUGwO1n0QQGx9kKbO0_M5gmuhXZ6-LaxQxgrmJnzgP0"",""'TP# look up'!A:C""),3,0),"""")"),"")</f>
        <v/>
      </c>
      <c r="AH8056" s="49" t="str">
        <f t="shared" si="125"/>
        <v/>
      </c>
    </row>
    <row r="8057" spans="8:34" ht="12.75">
      <c r="H8057" s="43"/>
      <c r="AG8057" s="49" t="str">
        <f ca="1">IFERROR(__xludf.DUMMYFUNCTION("IFNA(vlookup(H8057,IMPORTRANGE(""1vUGwO1n0QQGx9kKbO0_M5gmuhXZ6-LaxQxgrmJnzgP0"",""'TP# look up'!A:C""),3,0),"""")"),"")</f>
        <v/>
      </c>
      <c r="AH8057" s="49" t="str">
        <f t="shared" si="125"/>
        <v/>
      </c>
    </row>
    <row r="8058" spans="8:34" ht="12.75">
      <c r="H8058" s="43"/>
      <c r="AG8058" s="49" t="str">
        <f ca="1">IFERROR(__xludf.DUMMYFUNCTION("IFNA(vlookup(H8058,IMPORTRANGE(""1vUGwO1n0QQGx9kKbO0_M5gmuhXZ6-LaxQxgrmJnzgP0"",""'TP# look up'!A:C""),3,0),"""")"),"")</f>
        <v/>
      </c>
      <c r="AH8058" s="49" t="str">
        <f t="shared" si="125"/>
        <v/>
      </c>
    </row>
    <row r="8059" spans="8:34" ht="12.75">
      <c r="H8059" s="43"/>
      <c r="AG8059" s="49" t="str">
        <f ca="1">IFERROR(__xludf.DUMMYFUNCTION("IFNA(vlookup(H8059,IMPORTRANGE(""1vUGwO1n0QQGx9kKbO0_M5gmuhXZ6-LaxQxgrmJnzgP0"",""'TP# look up'!A:C""),3,0),"""")"),"")</f>
        <v/>
      </c>
      <c r="AH8059" s="49" t="str">
        <f t="shared" si="125"/>
        <v/>
      </c>
    </row>
    <row r="8060" spans="8:34" ht="12.75">
      <c r="H8060" s="43"/>
      <c r="AG8060" s="49" t="str">
        <f ca="1">IFERROR(__xludf.DUMMYFUNCTION("IFNA(vlookup(H8060,IMPORTRANGE(""1vUGwO1n0QQGx9kKbO0_M5gmuhXZ6-LaxQxgrmJnzgP0"",""'TP# look up'!A:C""),3,0),"""")"),"")</f>
        <v/>
      </c>
      <c r="AH8060" s="49" t="str">
        <f t="shared" si="125"/>
        <v/>
      </c>
    </row>
    <row r="8061" spans="8:34" ht="12.75">
      <c r="H8061" s="43"/>
      <c r="AG8061" s="49" t="str">
        <f ca="1">IFERROR(__xludf.DUMMYFUNCTION("IFNA(vlookup(H8061,IMPORTRANGE(""1vUGwO1n0QQGx9kKbO0_M5gmuhXZ6-LaxQxgrmJnzgP0"",""'TP# look up'!A:C""),3,0),"""")"),"")</f>
        <v/>
      </c>
      <c r="AH8061" s="49" t="str">
        <f t="shared" si="125"/>
        <v/>
      </c>
    </row>
    <row r="8062" spans="8:34" ht="12.75">
      <c r="H8062" s="43"/>
      <c r="AG8062" s="49" t="str">
        <f ca="1">IFERROR(__xludf.DUMMYFUNCTION("IFNA(vlookup(H8062,IMPORTRANGE(""1vUGwO1n0QQGx9kKbO0_M5gmuhXZ6-LaxQxgrmJnzgP0"",""'TP# look up'!A:C""),3,0),"""")"),"")</f>
        <v/>
      </c>
      <c r="AH8062" s="49" t="str">
        <f t="shared" si="125"/>
        <v/>
      </c>
    </row>
    <row r="8063" spans="8:34" ht="12.75">
      <c r="H8063" s="43"/>
      <c r="AG8063" s="49" t="str">
        <f ca="1">IFERROR(__xludf.DUMMYFUNCTION("IFNA(vlookup(H8063,IMPORTRANGE(""1vUGwO1n0QQGx9kKbO0_M5gmuhXZ6-LaxQxgrmJnzgP0"",""'TP# look up'!A:C""),3,0),"""")"),"")</f>
        <v/>
      </c>
      <c r="AH8063" s="49" t="str">
        <f t="shared" si="125"/>
        <v/>
      </c>
    </row>
    <row r="8064" spans="8:34" ht="12.75">
      <c r="H8064" s="43"/>
      <c r="AG8064" s="49" t="str">
        <f ca="1">IFERROR(__xludf.DUMMYFUNCTION("IFNA(vlookup(H8064,IMPORTRANGE(""1vUGwO1n0QQGx9kKbO0_M5gmuhXZ6-LaxQxgrmJnzgP0"",""'TP# look up'!A:C""),3,0),"""")"),"")</f>
        <v/>
      </c>
      <c r="AH8064" s="49" t="str">
        <f t="shared" si="125"/>
        <v/>
      </c>
    </row>
    <row r="8065" spans="8:34" ht="12.75">
      <c r="H8065" s="43"/>
      <c r="AG8065" s="49" t="str">
        <f ca="1">IFERROR(__xludf.DUMMYFUNCTION("IFNA(vlookup(H8065,IMPORTRANGE(""1vUGwO1n0QQGx9kKbO0_M5gmuhXZ6-LaxQxgrmJnzgP0"",""'TP# look up'!A:C""),3,0),"""")"),"")</f>
        <v/>
      </c>
      <c r="AH8065" s="49" t="str">
        <f t="shared" si="125"/>
        <v/>
      </c>
    </row>
    <row r="8066" spans="8:34" ht="12.75">
      <c r="H8066" s="43"/>
      <c r="AG8066" s="49" t="str">
        <f ca="1">IFERROR(__xludf.DUMMYFUNCTION("IFNA(vlookup(H8066,IMPORTRANGE(""1vUGwO1n0QQGx9kKbO0_M5gmuhXZ6-LaxQxgrmJnzgP0"",""'TP# look up'!A:C""),3,0),"""")"),"")</f>
        <v/>
      </c>
      <c r="AH8066" s="49" t="str">
        <f t="shared" ref="AH8066:AH8129" si="126">LEFT(J8066,2)</f>
        <v/>
      </c>
    </row>
    <row r="8067" spans="8:34" ht="12.75">
      <c r="H8067" s="43"/>
      <c r="AG8067" s="49" t="str">
        <f ca="1">IFERROR(__xludf.DUMMYFUNCTION("IFNA(vlookup(H8067,IMPORTRANGE(""1vUGwO1n0QQGx9kKbO0_M5gmuhXZ6-LaxQxgrmJnzgP0"",""'TP# look up'!A:C""),3,0),"""")"),"")</f>
        <v/>
      </c>
      <c r="AH8067" s="49" t="str">
        <f t="shared" si="126"/>
        <v/>
      </c>
    </row>
    <row r="8068" spans="8:34" ht="12.75">
      <c r="H8068" s="43"/>
      <c r="AG8068" s="49" t="str">
        <f ca="1">IFERROR(__xludf.DUMMYFUNCTION("IFNA(vlookup(H8068,IMPORTRANGE(""1vUGwO1n0QQGx9kKbO0_M5gmuhXZ6-LaxQxgrmJnzgP0"",""'TP# look up'!A:C""),3,0),"""")"),"")</f>
        <v/>
      </c>
      <c r="AH8068" s="49" t="str">
        <f t="shared" si="126"/>
        <v/>
      </c>
    </row>
    <row r="8069" spans="8:34" ht="12.75">
      <c r="H8069" s="43"/>
      <c r="AG8069" s="49" t="str">
        <f ca="1">IFERROR(__xludf.DUMMYFUNCTION("IFNA(vlookup(H8069,IMPORTRANGE(""1vUGwO1n0QQGx9kKbO0_M5gmuhXZ6-LaxQxgrmJnzgP0"",""'TP# look up'!A:C""),3,0),"""")"),"")</f>
        <v/>
      </c>
      <c r="AH8069" s="49" t="str">
        <f t="shared" si="126"/>
        <v/>
      </c>
    </row>
    <row r="8070" spans="8:34" ht="12.75">
      <c r="H8070" s="43"/>
      <c r="AG8070" s="49" t="str">
        <f ca="1">IFERROR(__xludf.DUMMYFUNCTION("IFNA(vlookup(H8070,IMPORTRANGE(""1vUGwO1n0QQGx9kKbO0_M5gmuhXZ6-LaxQxgrmJnzgP0"",""'TP# look up'!A:C""),3,0),"""")"),"")</f>
        <v/>
      </c>
      <c r="AH8070" s="49" t="str">
        <f t="shared" si="126"/>
        <v/>
      </c>
    </row>
    <row r="8071" spans="8:34" ht="12.75">
      <c r="H8071" s="43"/>
      <c r="AG8071" s="49" t="str">
        <f ca="1">IFERROR(__xludf.DUMMYFUNCTION("IFNA(vlookup(H8071,IMPORTRANGE(""1vUGwO1n0QQGx9kKbO0_M5gmuhXZ6-LaxQxgrmJnzgP0"",""'TP# look up'!A:C""),3,0),"""")"),"")</f>
        <v/>
      </c>
      <c r="AH8071" s="49" t="str">
        <f t="shared" si="126"/>
        <v/>
      </c>
    </row>
    <row r="8072" spans="8:34" ht="12.75">
      <c r="H8072" s="43"/>
      <c r="AG8072" s="49" t="str">
        <f ca="1">IFERROR(__xludf.DUMMYFUNCTION("IFNA(vlookup(H8072,IMPORTRANGE(""1vUGwO1n0QQGx9kKbO0_M5gmuhXZ6-LaxQxgrmJnzgP0"",""'TP# look up'!A:C""),3,0),"""")"),"")</f>
        <v/>
      </c>
      <c r="AH8072" s="49" t="str">
        <f t="shared" si="126"/>
        <v/>
      </c>
    </row>
    <row r="8073" spans="8:34" ht="12.75">
      <c r="H8073" s="43"/>
      <c r="AG8073" s="49" t="str">
        <f ca="1">IFERROR(__xludf.DUMMYFUNCTION("IFNA(vlookup(H8073,IMPORTRANGE(""1vUGwO1n0QQGx9kKbO0_M5gmuhXZ6-LaxQxgrmJnzgP0"",""'TP# look up'!A:C""),3,0),"""")"),"")</f>
        <v/>
      </c>
      <c r="AH8073" s="49" t="str">
        <f t="shared" si="126"/>
        <v/>
      </c>
    </row>
    <row r="8074" spans="8:34" ht="12.75">
      <c r="H8074" s="43"/>
      <c r="AG8074" s="49" t="str">
        <f ca="1">IFERROR(__xludf.DUMMYFUNCTION("IFNA(vlookup(H8074,IMPORTRANGE(""1vUGwO1n0QQGx9kKbO0_M5gmuhXZ6-LaxQxgrmJnzgP0"",""'TP# look up'!A:C""),3,0),"""")"),"")</f>
        <v/>
      </c>
      <c r="AH8074" s="49" t="str">
        <f t="shared" si="126"/>
        <v/>
      </c>
    </row>
    <row r="8075" spans="8:34" ht="12.75">
      <c r="H8075" s="43"/>
      <c r="AG8075" s="49" t="str">
        <f ca="1">IFERROR(__xludf.DUMMYFUNCTION("IFNA(vlookup(H8075,IMPORTRANGE(""1vUGwO1n0QQGx9kKbO0_M5gmuhXZ6-LaxQxgrmJnzgP0"",""'TP# look up'!A:C""),3,0),"""")"),"")</f>
        <v/>
      </c>
      <c r="AH8075" s="49" t="str">
        <f t="shared" si="126"/>
        <v/>
      </c>
    </row>
    <row r="8076" spans="8:34" ht="12.75">
      <c r="H8076" s="43"/>
      <c r="AG8076" s="49" t="str">
        <f ca="1">IFERROR(__xludf.DUMMYFUNCTION("IFNA(vlookup(H8076,IMPORTRANGE(""1vUGwO1n0QQGx9kKbO0_M5gmuhXZ6-LaxQxgrmJnzgP0"",""'TP# look up'!A:C""),3,0),"""")"),"")</f>
        <v/>
      </c>
      <c r="AH8076" s="49" t="str">
        <f t="shared" si="126"/>
        <v/>
      </c>
    </row>
    <row r="8077" spans="8:34" ht="12.75">
      <c r="H8077" s="43"/>
      <c r="AG8077" s="49" t="str">
        <f ca="1">IFERROR(__xludf.DUMMYFUNCTION("IFNA(vlookup(H8077,IMPORTRANGE(""1vUGwO1n0QQGx9kKbO0_M5gmuhXZ6-LaxQxgrmJnzgP0"",""'TP# look up'!A:C""),3,0),"""")"),"")</f>
        <v/>
      </c>
      <c r="AH8077" s="49" t="str">
        <f t="shared" si="126"/>
        <v/>
      </c>
    </row>
    <row r="8078" spans="8:34" ht="12.75">
      <c r="H8078" s="43"/>
      <c r="AG8078" s="49" t="str">
        <f ca="1">IFERROR(__xludf.DUMMYFUNCTION("IFNA(vlookup(H8078,IMPORTRANGE(""1vUGwO1n0QQGx9kKbO0_M5gmuhXZ6-LaxQxgrmJnzgP0"",""'TP# look up'!A:C""),3,0),"""")"),"")</f>
        <v/>
      </c>
      <c r="AH8078" s="49" t="str">
        <f t="shared" si="126"/>
        <v/>
      </c>
    </row>
    <row r="8079" spans="8:34" ht="12.75">
      <c r="H8079" s="43"/>
      <c r="AG8079" s="49" t="str">
        <f ca="1">IFERROR(__xludf.DUMMYFUNCTION("IFNA(vlookup(H8079,IMPORTRANGE(""1vUGwO1n0QQGx9kKbO0_M5gmuhXZ6-LaxQxgrmJnzgP0"",""'TP# look up'!A:C""),3,0),"""")"),"")</f>
        <v/>
      </c>
      <c r="AH8079" s="49" t="str">
        <f t="shared" si="126"/>
        <v/>
      </c>
    </row>
    <row r="8080" spans="8:34" ht="12.75">
      <c r="H8080" s="43"/>
      <c r="AG8080" s="49" t="str">
        <f ca="1">IFERROR(__xludf.DUMMYFUNCTION("IFNA(vlookup(H8080,IMPORTRANGE(""1vUGwO1n0QQGx9kKbO0_M5gmuhXZ6-LaxQxgrmJnzgP0"",""'TP# look up'!A:C""),3,0),"""")"),"")</f>
        <v/>
      </c>
      <c r="AH8080" s="49" t="str">
        <f t="shared" si="126"/>
        <v/>
      </c>
    </row>
    <row r="8081" spans="8:34" ht="12.75">
      <c r="H8081" s="43"/>
      <c r="AG8081" s="49" t="str">
        <f ca="1">IFERROR(__xludf.DUMMYFUNCTION("IFNA(vlookup(H8081,IMPORTRANGE(""1vUGwO1n0QQGx9kKbO0_M5gmuhXZ6-LaxQxgrmJnzgP0"",""'TP# look up'!A:C""),3,0),"""")"),"")</f>
        <v/>
      </c>
      <c r="AH8081" s="49" t="str">
        <f t="shared" si="126"/>
        <v/>
      </c>
    </row>
    <row r="8082" spans="8:34" ht="12.75">
      <c r="H8082" s="43"/>
      <c r="AG8082" s="49" t="str">
        <f ca="1">IFERROR(__xludf.DUMMYFUNCTION("IFNA(vlookup(H8082,IMPORTRANGE(""1vUGwO1n0QQGx9kKbO0_M5gmuhXZ6-LaxQxgrmJnzgP0"",""'TP# look up'!A:C""),3,0),"""")"),"")</f>
        <v/>
      </c>
      <c r="AH8082" s="49" t="str">
        <f t="shared" si="126"/>
        <v/>
      </c>
    </row>
    <row r="8083" spans="8:34" ht="12.75">
      <c r="H8083" s="43"/>
      <c r="AG8083" s="49" t="str">
        <f ca="1">IFERROR(__xludf.DUMMYFUNCTION("IFNA(vlookup(H8083,IMPORTRANGE(""1vUGwO1n0QQGx9kKbO0_M5gmuhXZ6-LaxQxgrmJnzgP0"",""'TP# look up'!A:C""),3,0),"""")"),"")</f>
        <v/>
      </c>
      <c r="AH8083" s="49" t="str">
        <f t="shared" si="126"/>
        <v/>
      </c>
    </row>
    <row r="8084" spans="8:34" ht="12.75">
      <c r="H8084" s="43"/>
      <c r="AG8084" s="49" t="str">
        <f ca="1">IFERROR(__xludf.DUMMYFUNCTION("IFNA(vlookup(H8084,IMPORTRANGE(""1vUGwO1n0QQGx9kKbO0_M5gmuhXZ6-LaxQxgrmJnzgP0"",""'TP# look up'!A:C""),3,0),"""")"),"")</f>
        <v/>
      </c>
      <c r="AH8084" s="49" t="str">
        <f t="shared" si="126"/>
        <v/>
      </c>
    </row>
    <row r="8085" spans="8:34" ht="12.75">
      <c r="H8085" s="43"/>
      <c r="AG8085" s="49" t="str">
        <f ca="1">IFERROR(__xludf.DUMMYFUNCTION("IFNA(vlookup(H8085,IMPORTRANGE(""1vUGwO1n0QQGx9kKbO0_M5gmuhXZ6-LaxQxgrmJnzgP0"",""'TP# look up'!A:C""),3,0),"""")"),"")</f>
        <v/>
      </c>
      <c r="AH8085" s="49" t="str">
        <f t="shared" si="126"/>
        <v/>
      </c>
    </row>
    <row r="8086" spans="8:34" ht="12.75">
      <c r="H8086" s="43"/>
      <c r="AG8086" s="49" t="str">
        <f ca="1">IFERROR(__xludf.DUMMYFUNCTION("IFNA(vlookup(H8086,IMPORTRANGE(""1vUGwO1n0QQGx9kKbO0_M5gmuhXZ6-LaxQxgrmJnzgP0"",""'TP# look up'!A:C""),3,0),"""")"),"")</f>
        <v/>
      </c>
      <c r="AH8086" s="49" t="str">
        <f t="shared" si="126"/>
        <v/>
      </c>
    </row>
    <row r="8087" spans="8:34" ht="12.75">
      <c r="H8087" s="43"/>
      <c r="AG8087" s="49" t="str">
        <f ca="1">IFERROR(__xludf.DUMMYFUNCTION("IFNA(vlookup(H8087,IMPORTRANGE(""1vUGwO1n0QQGx9kKbO0_M5gmuhXZ6-LaxQxgrmJnzgP0"",""'TP# look up'!A:C""),3,0),"""")"),"")</f>
        <v/>
      </c>
      <c r="AH8087" s="49" t="str">
        <f t="shared" si="126"/>
        <v/>
      </c>
    </row>
    <row r="8088" spans="8:34" ht="12.75">
      <c r="H8088" s="43"/>
      <c r="AG8088" s="49" t="str">
        <f ca="1">IFERROR(__xludf.DUMMYFUNCTION("IFNA(vlookup(H8088,IMPORTRANGE(""1vUGwO1n0QQGx9kKbO0_M5gmuhXZ6-LaxQxgrmJnzgP0"",""'TP# look up'!A:C""),3,0),"""")"),"")</f>
        <v/>
      </c>
      <c r="AH8088" s="49" t="str">
        <f t="shared" si="126"/>
        <v/>
      </c>
    </row>
    <row r="8089" spans="8:34" ht="12.75">
      <c r="H8089" s="43"/>
      <c r="AG8089" s="49" t="str">
        <f ca="1">IFERROR(__xludf.DUMMYFUNCTION("IFNA(vlookup(H8089,IMPORTRANGE(""1vUGwO1n0QQGx9kKbO0_M5gmuhXZ6-LaxQxgrmJnzgP0"",""'TP# look up'!A:C""),3,0),"""")"),"")</f>
        <v/>
      </c>
      <c r="AH8089" s="49" t="str">
        <f t="shared" si="126"/>
        <v/>
      </c>
    </row>
    <row r="8090" spans="8:34" ht="12.75">
      <c r="H8090" s="43"/>
      <c r="AG8090" s="49" t="str">
        <f ca="1">IFERROR(__xludf.DUMMYFUNCTION("IFNA(vlookup(H8090,IMPORTRANGE(""1vUGwO1n0QQGx9kKbO0_M5gmuhXZ6-LaxQxgrmJnzgP0"",""'TP# look up'!A:C""),3,0),"""")"),"")</f>
        <v/>
      </c>
      <c r="AH8090" s="49" t="str">
        <f t="shared" si="126"/>
        <v/>
      </c>
    </row>
    <row r="8091" spans="8:34" ht="12.75">
      <c r="H8091" s="43"/>
      <c r="AG8091" s="49" t="str">
        <f ca="1">IFERROR(__xludf.DUMMYFUNCTION("IFNA(vlookup(H8091,IMPORTRANGE(""1vUGwO1n0QQGx9kKbO0_M5gmuhXZ6-LaxQxgrmJnzgP0"",""'TP# look up'!A:C""),3,0),"""")"),"")</f>
        <v/>
      </c>
      <c r="AH8091" s="49" t="str">
        <f t="shared" si="126"/>
        <v/>
      </c>
    </row>
    <row r="8092" spans="8:34" ht="12.75">
      <c r="H8092" s="43"/>
      <c r="AG8092" s="49" t="str">
        <f ca="1">IFERROR(__xludf.DUMMYFUNCTION("IFNA(vlookup(H8092,IMPORTRANGE(""1vUGwO1n0QQGx9kKbO0_M5gmuhXZ6-LaxQxgrmJnzgP0"",""'TP# look up'!A:C""),3,0),"""")"),"")</f>
        <v/>
      </c>
      <c r="AH8092" s="49" t="str">
        <f t="shared" si="126"/>
        <v/>
      </c>
    </row>
    <row r="8093" spans="8:34" ht="12.75">
      <c r="H8093" s="43"/>
      <c r="AG8093" s="49" t="str">
        <f ca="1">IFERROR(__xludf.DUMMYFUNCTION("IFNA(vlookup(H8093,IMPORTRANGE(""1vUGwO1n0QQGx9kKbO0_M5gmuhXZ6-LaxQxgrmJnzgP0"",""'TP# look up'!A:C""),3,0),"""")"),"")</f>
        <v/>
      </c>
      <c r="AH8093" s="49" t="str">
        <f t="shared" si="126"/>
        <v/>
      </c>
    </row>
    <row r="8094" spans="8:34" ht="12.75">
      <c r="H8094" s="43"/>
      <c r="AG8094" s="49" t="str">
        <f ca="1">IFERROR(__xludf.DUMMYFUNCTION("IFNA(vlookup(H8094,IMPORTRANGE(""1vUGwO1n0QQGx9kKbO0_M5gmuhXZ6-LaxQxgrmJnzgP0"",""'TP# look up'!A:C""),3,0),"""")"),"")</f>
        <v/>
      </c>
      <c r="AH8094" s="49" t="str">
        <f t="shared" si="126"/>
        <v/>
      </c>
    </row>
    <row r="8095" spans="8:34" ht="12.75">
      <c r="H8095" s="43"/>
      <c r="AG8095" s="49" t="str">
        <f ca="1">IFERROR(__xludf.DUMMYFUNCTION("IFNA(vlookup(H8095,IMPORTRANGE(""1vUGwO1n0QQGx9kKbO0_M5gmuhXZ6-LaxQxgrmJnzgP0"",""'TP# look up'!A:C""),3,0),"""")"),"")</f>
        <v/>
      </c>
      <c r="AH8095" s="49" t="str">
        <f t="shared" si="126"/>
        <v/>
      </c>
    </row>
    <row r="8096" spans="8:34" ht="12.75">
      <c r="H8096" s="43"/>
      <c r="AG8096" s="49" t="str">
        <f ca="1">IFERROR(__xludf.DUMMYFUNCTION("IFNA(vlookup(H8096,IMPORTRANGE(""1vUGwO1n0QQGx9kKbO0_M5gmuhXZ6-LaxQxgrmJnzgP0"",""'TP# look up'!A:C""),3,0),"""")"),"")</f>
        <v/>
      </c>
      <c r="AH8096" s="49" t="str">
        <f t="shared" si="126"/>
        <v/>
      </c>
    </row>
    <row r="8097" spans="8:34" ht="12.75">
      <c r="H8097" s="43"/>
      <c r="AG8097" s="49" t="str">
        <f ca="1">IFERROR(__xludf.DUMMYFUNCTION("IFNA(vlookup(H8097,IMPORTRANGE(""1vUGwO1n0QQGx9kKbO0_M5gmuhXZ6-LaxQxgrmJnzgP0"",""'TP# look up'!A:C""),3,0),"""")"),"")</f>
        <v/>
      </c>
      <c r="AH8097" s="49" t="str">
        <f t="shared" si="126"/>
        <v/>
      </c>
    </row>
    <row r="8098" spans="8:34" ht="12.75">
      <c r="H8098" s="43"/>
      <c r="AG8098" s="49" t="str">
        <f ca="1">IFERROR(__xludf.DUMMYFUNCTION("IFNA(vlookup(H8098,IMPORTRANGE(""1vUGwO1n0QQGx9kKbO0_M5gmuhXZ6-LaxQxgrmJnzgP0"",""'TP# look up'!A:C""),3,0),"""")"),"")</f>
        <v/>
      </c>
      <c r="AH8098" s="49" t="str">
        <f t="shared" si="126"/>
        <v/>
      </c>
    </row>
    <row r="8099" spans="8:34" ht="12.75">
      <c r="H8099" s="43"/>
      <c r="AG8099" s="49" t="str">
        <f ca="1">IFERROR(__xludf.DUMMYFUNCTION("IFNA(vlookup(H8099,IMPORTRANGE(""1vUGwO1n0QQGx9kKbO0_M5gmuhXZ6-LaxQxgrmJnzgP0"",""'TP# look up'!A:C""),3,0),"""")"),"")</f>
        <v/>
      </c>
      <c r="AH8099" s="49" t="str">
        <f t="shared" si="126"/>
        <v/>
      </c>
    </row>
    <row r="8100" spans="8:34" ht="12.75">
      <c r="H8100" s="43"/>
      <c r="AG8100" s="49" t="str">
        <f ca="1">IFERROR(__xludf.DUMMYFUNCTION("IFNA(vlookup(H8100,IMPORTRANGE(""1vUGwO1n0QQGx9kKbO0_M5gmuhXZ6-LaxQxgrmJnzgP0"",""'TP# look up'!A:C""),3,0),"""")"),"")</f>
        <v/>
      </c>
      <c r="AH8100" s="49" t="str">
        <f t="shared" si="126"/>
        <v/>
      </c>
    </row>
    <row r="8101" spans="8:34" ht="12.75">
      <c r="H8101" s="43"/>
      <c r="AG8101" s="49" t="str">
        <f ca="1">IFERROR(__xludf.DUMMYFUNCTION("IFNA(vlookup(H8101,IMPORTRANGE(""1vUGwO1n0QQGx9kKbO0_M5gmuhXZ6-LaxQxgrmJnzgP0"",""'TP# look up'!A:C""),3,0),"""")"),"")</f>
        <v/>
      </c>
      <c r="AH8101" s="49" t="str">
        <f t="shared" si="126"/>
        <v/>
      </c>
    </row>
    <row r="8102" spans="8:34" ht="12.75">
      <c r="H8102" s="43"/>
      <c r="AG8102" s="49" t="str">
        <f ca="1">IFERROR(__xludf.DUMMYFUNCTION("IFNA(vlookup(H8102,IMPORTRANGE(""1vUGwO1n0QQGx9kKbO0_M5gmuhXZ6-LaxQxgrmJnzgP0"",""'TP# look up'!A:C""),3,0),"""")"),"")</f>
        <v/>
      </c>
      <c r="AH8102" s="49" t="str">
        <f t="shared" si="126"/>
        <v/>
      </c>
    </row>
    <row r="8103" spans="8:34" ht="12.75">
      <c r="H8103" s="43"/>
      <c r="AG8103" s="49" t="str">
        <f ca="1">IFERROR(__xludf.DUMMYFUNCTION("IFNA(vlookup(H8103,IMPORTRANGE(""1vUGwO1n0QQGx9kKbO0_M5gmuhXZ6-LaxQxgrmJnzgP0"",""'TP# look up'!A:C""),3,0),"""")"),"")</f>
        <v/>
      </c>
      <c r="AH8103" s="49" t="str">
        <f t="shared" si="126"/>
        <v/>
      </c>
    </row>
    <row r="8104" spans="8:34" ht="12.75">
      <c r="H8104" s="43"/>
      <c r="AG8104" s="49" t="str">
        <f ca="1">IFERROR(__xludf.DUMMYFUNCTION("IFNA(vlookup(H8104,IMPORTRANGE(""1vUGwO1n0QQGx9kKbO0_M5gmuhXZ6-LaxQxgrmJnzgP0"",""'TP# look up'!A:C""),3,0),"""")"),"")</f>
        <v/>
      </c>
      <c r="AH8104" s="49" t="str">
        <f t="shared" si="126"/>
        <v/>
      </c>
    </row>
    <row r="8105" spans="8:34" ht="12.75">
      <c r="H8105" s="43"/>
      <c r="AG8105" s="49" t="str">
        <f ca="1">IFERROR(__xludf.DUMMYFUNCTION("IFNA(vlookup(H8105,IMPORTRANGE(""1vUGwO1n0QQGx9kKbO0_M5gmuhXZ6-LaxQxgrmJnzgP0"",""'TP# look up'!A:C""),3,0),"""")"),"")</f>
        <v/>
      </c>
      <c r="AH8105" s="49" t="str">
        <f t="shared" si="126"/>
        <v/>
      </c>
    </row>
    <row r="8106" spans="8:34" ht="12.75">
      <c r="H8106" s="43"/>
      <c r="AG8106" s="49" t="str">
        <f ca="1">IFERROR(__xludf.DUMMYFUNCTION("IFNA(vlookup(H8106,IMPORTRANGE(""1vUGwO1n0QQGx9kKbO0_M5gmuhXZ6-LaxQxgrmJnzgP0"",""'TP# look up'!A:C""),3,0),"""")"),"")</f>
        <v/>
      </c>
      <c r="AH8106" s="49" t="str">
        <f t="shared" si="126"/>
        <v/>
      </c>
    </row>
    <row r="8107" spans="8:34" ht="12.75">
      <c r="H8107" s="43"/>
      <c r="AG8107" s="49" t="str">
        <f ca="1">IFERROR(__xludf.DUMMYFUNCTION("IFNA(vlookup(H8107,IMPORTRANGE(""1vUGwO1n0QQGx9kKbO0_M5gmuhXZ6-LaxQxgrmJnzgP0"",""'TP# look up'!A:C""),3,0),"""")"),"")</f>
        <v/>
      </c>
      <c r="AH8107" s="49" t="str">
        <f t="shared" si="126"/>
        <v/>
      </c>
    </row>
    <row r="8108" spans="8:34" ht="12.75">
      <c r="H8108" s="43"/>
      <c r="AG8108" s="49" t="str">
        <f ca="1">IFERROR(__xludf.DUMMYFUNCTION("IFNA(vlookup(H8108,IMPORTRANGE(""1vUGwO1n0QQGx9kKbO0_M5gmuhXZ6-LaxQxgrmJnzgP0"",""'TP# look up'!A:C""),3,0),"""")"),"")</f>
        <v/>
      </c>
      <c r="AH8108" s="49" t="str">
        <f t="shared" si="126"/>
        <v/>
      </c>
    </row>
    <row r="8109" spans="8:34" ht="12.75">
      <c r="H8109" s="43"/>
      <c r="AG8109" s="49" t="str">
        <f ca="1">IFERROR(__xludf.DUMMYFUNCTION("IFNA(vlookup(H8109,IMPORTRANGE(""1vUGwO1n0QQGx9kKbO0_M5gmuhXZ6-LaxQxgrmJnzgP0"",""'TP# look up'!A:C""),3,0),"""")"),"")</f>
        <v/>
      </c>
      <c r="AH8109" s="49" t="str">
        <f t="shared" si="126"/>
        <v/>
      </c>
    </row>
    <row r="8110" spans="8:34" ht="12.75">
      <c r="H8110" s="43"/>
      <c r="AG8110" s="49" t="str">
        <f ca="1">IFERROR(__xludf.DUMMYFUNCTION("IFNA(vlookup(H8110,IMPORTRANGE(""1vUGwO1n0QQGx9kKbO0_M5gmuhXZ6-LaxQxgrmJnzgP0"",""'TP# look up'!A:C""),3,0),"""")"),"")</f>
        <v/>
      </c>
      <c r="AH8110" s="49" t="str">
        <f t="shared" si="126"/>
        <v/>
      </c>
    </row>
    <row r="8111" spans="8:34" ht="12.75">
      <c r="H8111" s="43"/>
      <c r="AG8111" s="49" t="str">
        <f ca="1">IFERROR(__xludf.DUMMYFUNCTION("IFNA(vlookup(H8111,IMPORTRANGE(""1vUGwO1n0QQGx9kKbO0_M5gmuhXZ6-LaxQxgrmJnzgP0"",""'TP# look up'!A:C""),3,0),"""")"),"")</f>
        <v/>
      </c>
      <c r="AH8111" s="49" t="str">
        <f t="shared" si="126"/>
        <v/>
      </c>
    </row>
    <row r="8112" spans="8:34" ht="12.75">
      <c r="H8112" s="43"/>
      <c r="AG8112" s="49" t="str">
        <f ca="1">IFERROR(__xludf.DUMMYFUNCTION("IFNA(vlookup(H8112,IMPORTRANGE(""1vUGwO1n0QQGx9kKbO0_M5gmuhXZ6-LaxQxgrmJnzgP0"",""'TP# look up'!A:C""),3,0),"""")"),"")</f>
        <v/>
      </c>
      <c r="AH8112" s="49" t="str">
        <f t="shared" si="126"/>
        <v/>
      </c>
    </row>
    <row r="8113" spans="8:34" ht="12.75">
      <c r="H8113" s="43"/>
      <c r="AG8113" s="49" t="str">
        <f ca="1">IFERROR(__xludf.DUMMYFUNCTION("IFNA(vlookup(H8113,IMPORTRANGE(""1vUGwO1n0QQGx9kKbO0_M5gmuhXZ6-LaxQxgrmJnzgP0"",""'TP# look up'!A:C""),3,0),"""")"),"")</f>
        <v/>
      </c>
      <c r="AH8113" s="49" t="str">
        <f t="shared" si="126"/>
        <v/>
      </c>
    </row>
    <row r="8114" spans="8:34" ht="12.75">
      <c r="H8114" s="43"/>
      <c r="AG8114" s="49" t="str">
        <f ca="1">IFERROR(__xludf.DUMMYFUNCTION("IFNA(vlookup(H8114,IMPORTRANGE(""1vUGwO1n0QQGx9kKbO0_M5gmuhXZ6-LaxQxgrmJnzgP0"",""'TP# look up'!A:C""),3,0),"""")"),"")</f>
        <v/>
      </c>
      <c r="AH8114" s="49" t="str">
        <f t="shared" si="126"/>
        <v/>
      </c>
    </row>
    <row r="8115" spans="8:34" ht="12.75">
      <c r="H8115" s="43"/>
      <c r="AG8115" s="49" t="str">
        <f ca="1">IFERROR(__xludf.DUMMYFUNCTION("IFNA(vlookup(H8115,IMPORTRANGE(""1vUGwO1n0QQGx9kKbO0_M5gmuhXZ6-LaxQxgrmJnzgP0"",""'TP# look up'!A:C""),3,0),"""")"),"")</f>
        <v/>
      </c>
      <c r="AH8115" s="49" t="str">
        <f t="shared" si="126"/>
        <v/>
      </c>
    </row>
    <row r="8116" spans="8:34" ht="12.75">
      <c r="H8116" s="43"/>
      <c r="AG8116" s="49" t="str">
        <f ca="1">IFERROR(__xludf.DUMMYFUNCTION("IFNA(vlookup(H8116,IMPORTRANGE(""1vUGwO1n0QQGx9kKbO0_M5gmuhXZ6-LaxQxgrmJnzgP0"",""'TP# look up'!A:C""),3,0),"""")"),"")</f>
        <v/>
      </c>
      <c r="AH8116" s="49" t="str">
        <f t="shared" si="126"/>
        <v/>
      </c>
    </row>
    <row r="8117" spans="8:34" ht="12.75">
      <c r="H8117" s="43"/>
      <c r="AG8117" s="49" t="str">
        <f ca="1">IFERROR(__xludf.DUMMYFUNCTION("IFNA(vlookup(H8117,IMPORTRANGE(""1vUGwO1n0QQGx9kKbO0_M5gmuhXZ6-LaxQxgrmJnzgP0"",""'TP# look up'!A:C""),3,0),"""")"),"")</f>
        <v/>
      </c>
      <c r="AH8117" s="49" t="str">
        <f t="shared" si="126"/>
        <v/>
      </c>
    </row>
    <row r="8118" spans="8:34" ht="12.75">
      <c r="H8118" s="43"/>
      <c r="AG8118" s="49" t="str">
        <f ca="1">IFERROR(__xludf.DUMMYFUNCTION("IFNA(vlookup(H8118,IMPORTRANGE(""1vUGwO1n0QQGx9kKbO0_M5gmuhXZ6-LaxQxgrmJnzgP0"",""'TP# look up'!A:C""),3,0),"""")"),"")</f>
        <v/>
      </c>
      <c r="AH8118" s="49" t="str">
        <f t="shared" si="126"/>
        <v/>
      </c>
    </row>
    <row r="8119" spans="8:34" ht="12.75">
      <c r="H8119" s="43"/>
      <c r="AG8119" s="49" t="str">
        <f ca="1">IFERROR(__xludf.DUMMYFUNCTION("IFNA(vlookup(H8119,IMPORTRANGE(""1vUGwO1n0QQGx9kKbO0_M5gmuhXZ6-LaxQxgrmJnzgP0"",""'TP# look up'!A:C""),3,0),"""")"),"")</f>
        <v/>
      </c>
      <c r="AH8119" s="49" t="str">
        <f t="shared" si="126"/>
        <v/>
      </c>
    </row>
    <row r="8120" spans="8:34" ht="12.75">
      <c r="H8120" s="43"/>
      <c r="AG8120" s="49" t="str">
        <f ca="1">IFERROR(__xludf.DUMMYFUNCTION("IFNA(vlookup(H8120,IMPORTRANGE(""1vUGwO1n0QQGx9kKbO0_M5gmuhXZ6-LaxQxgrmJnzgP0"",""'TP# look up'!A:C""),3,0),"""")"),"")</f>
        <v/>
      </c>
      <c r="AH8120" s="49" t="str">
        <f t="shared" si="126"/>
        <v/>
      </c>
    </row>
    <row r="8121" spans="8:34" ht="12.75">
      <c r="H8121" s="43"/>
      <c r="AG8121" s="49" t="str">
        <f ca="1">IFERROR(__xludf.DUMMYFUNCTION("IFNA(vlookup(H8121,IMPORTRANGE(""1vUGwO1n0QQGx9kKbO0_M5gmuhXZ6-LaxQxgrmJnzgP0"",""'TP# look up'!A:C""),3,0),"""")"),"")</f>
        <v/>
      </c>
      <c r="AH8121" s="49" t="str">
        <f t="shared" si="126"/>
        <v/>
      </c>
    </row>
    <row r="8122" spans="8:34" ht="12.75">
      <c r="H8122" s="43"/>
      <c r="AG8122" s="49" t="str">
        <f ca="1">IFERROR(__xludf.DUMMYFUNCTION("IFNA(vlookup(H8122,IMPORTRANGE(""1vUGwO1n0QQGx9kKbO0_M5gmuhXZ6-LaxQxgrmJnzgP0"",""'TP# look up'!A:C""),3,0),"""")"),"")</f>
        <v/>
      </c>
      <c r="AH8122" s="49" t="str">
        <f t="shared" si="126"/>
        <v/>
      </c>
    </row>
    <row r="8123" spans="8:34" ht="12.75">
      <c r="H8123" s="43"/>
      <c r="AG8123" s="49" t="str">
        <f ca="1">IFERROR(__xludf.DUMMYFUNCTION("IFNA(vlookup(H8123,IMPORTRANGE(""1vUGwO1n0QQGx9kKbO0_M5gmuhXZ6-LaxQxgrmJnzgP0"",""'TP# look up'!A:C""),3,0),"""")"),"")</f>
        <v/>
      </c>
      <c r="AH8123" s="49" t="str">
        <f t="shared" si="126"/>
        <v/>
      </c>
    </row>
    <row r="8124" spans="8:34" ht="12.75">
      <c r="H8124" s="43"/>
      <c r="AG8124" s="49" t="str">
        <f ca="1">IFERROR(__xludf.DUMMYFUNCTION("IFNA(vlookup(H8124,IMPORTRANGE(""1vUGwO1n0QQGx9kKbO0_M5gmuhXZ6-LaxQxgrmJnzgP0"",""'TP# look up'!A:C""),3,0),"""")"),"")</f>
        <v/>
      </c>
      <c r="AH8124" s="49" t="str">
        <f t="shared" si="126"/>
        <v/>
      </c>
    </row>
    <row r="8125" spans="8:34" ht="12.75">
      <c r="H8125" s="43"/>
      <c r="AG8125" s="49" t="str">
        <f ca="1">IFERROR(__xludf.DUMMYFUNCTION("IFNA(vlookup(H8125,IMPORTRANGE(""1vUGwO1n0QQGx9kKbO0_M5gmuhXZ6-LaxQxgrmJnzgP0"",""'TP# look up'!A:C""),3,0),"""")"),"")</f>
        <v/>
      </c>
      <c r="AH8125" s="49" t="str">
        <f t="shared" si="126"/>
        <v/>
      </c>
    </row>
    <row r="8126" spans="8:34" ht="12.75">
      <c r="H8126" s="43"/>
      <c r="AG8126" s="49" t="str">
        <f ca="1">IFERROR(__xludf.DUMMYFUNCTION("IFNA(vlookup(H8126,IMPORTRANGE(""1vUGwO1n0QQGx9kKbO0_M5gmuhXZ6-LaxQxgrmJnzgP0"",""'TP# look up'!A:C""),3,0),"""")"),"")</f>
        <v/>
      </c>
      <c r="AH8126" s="49" t="str">
        <f t="shared" si="126"/>
        <v/>
      </c>
    </row>
    <row r="8127" spans="8:34" ht="12.75">
      <c r="H8127" s="43"/>
      <c r="AG8127" s="49" t="str">
        <f ca="1">IFERROR(__xludf.DUMMYFUNCTION("IFNA(vlookup(H8127,IMPORTRANGE(""1vUGwO1n0QQGx9kKbO0_M5gmuhXZ6-LaxQxgrmJnzgP0"",""'TP# look up'!A:C""),3,0),"""")"),"")</f>
        <v/>
      </c>
      <c r="AH8127" s="49" t="str">
        <f t="shared" si="126"/>
        <v/>
      </c>
    </row>
    <row r="8128" spans="8:34" ht="12.75">
      <c r="H8128" s="43"/>
      <c r="AG8128" s="49" t="str">
        <f ca="1">IFERROR(__xludf.DUMMYFUNCTION("IFNA(vlookup(H8128,IMPORTRANGE(""1vUGwO1n0QQGx9kKbO0_M5gmuhXZ6-LaxQxgrmJnzgP0"",""'TP# look up'!A:C""),3,0),"""")"),"")</f>
        <v/>
      </c>
      <c r="AH8128" s="49" t="str">
        <f t="shared" si="126"/>
        <v/>
      </c>
    </row>
    <row r="8129" spans="8:34" ht="12.75">
      <c r="H8129" s="43"/>
      <c r="AG8129" s="49" t="str">
        <f ca="1">IFERROR(__xludf.DUMMYFUNCTION("IFNA(vlookup(H8129,IMPORTRANGE(""1vUGwO1n0QQGx9kKbO0_M5gmuhXZ6-LaxQxgrmJnzgP0"",""'TP# look up'!A:C""),3,0),"""")"),"")</f>
        <v/>
      </c>
      <c r="AH8129" s="49" t="str">
        <f t="shared" si="126"/>
        <v/>
      </c>
    </row>
    <row r="8130" spans="8:34" ht="12.75">
      <c r="H8130" s="43"/>
      <c r="AG8130" s="49" t="str">
        <f ca="1">IFERROR(__xludf.DUMMYFUNCTION("IFNA(vlookup(H8130,IMPORTRANGE(""1vUGwO1n0QQGx9kKbO0_M5gmuhXZ6-LaxQxgrmJnzgP0"",""'TP# look up'!A:C""),3,0),"""")"),"")</f>
        <v/>
      </c>
      <c r="AH8130" s="49" t="str">
        <f t="shared" ref="AH8130:AH8193" si="127">LEFT(J8130,2)</f>
        <v/>
      </c>
    </row>
    <row r="8131" spans="8:34" ht="12.75">
      <c r="H8131" s="43"/>
      <c r="AG8131" s="49" t="str">
        <f ca="1">IFERROR(__xludf.DUMMYFUNCTION("IFNA(vlookup(H8131,IMPORTRANGE(""1vUGwO1n0QQGx9kKbO0_M5gmuhXZ6-LaxQxgrmJnzgP0"",""'TP# look up'!A:C""),3,0),"""")"),"")</f>
        <v/>
      </c>
      <c r="AH8131" s="49" t="str">
        <f t="shared" si="127"/>
        <v/>
      </c>
    </row>
    <row r="8132" spans="8:34" ht="12.75">
      <c r="H8132" s="43"/>
      <c r="AG8132" s="49" t="str">
        <f ca="1">IFERROR(__xludf.DUMMYFUNCTION("IFNA(vlookup(H8132,IMPORTRANGE(""1vUGwO1n0QQGx9kKbO0_M5gmuhXZ6-LaxQxgrmJnzgP0"",""'TP# look up'!A:C""),3,0),"""")"),"")</f>
        <v/>
      </c>
      <c r="AH8132" s="49" t="str">
        <f t="shared" si="127"/>
        <v/>
      </c>
    </row>
    <row r="8133" spans="8:34" ht="12.75">
      <c r="H8133" s="43"/>
      <c r="AG8133" s="49" t="str">
        <f ca="1">IFERROR(__xludf.DUMMYFUNCTION("IFNA(vlookup(H8133,IMPORTRANGE(""1vUGwO1n0QQGx9kKbO0_M5gmuhXZ6-LaxQxgrmJnzgP0"",""'TP# look up'!A:C""),3,0),"""")"),"")</f>
        <v/>
      </c>
      <c r="AH8133" s="49" t="str">
        <f t="shared" si="127"/>
        <v/>
      </c>
    </row>
    <row r="8134" spans="8:34" ht="12.75">
      <c r="H8134" s="43"/>
      <c r="AG8134" s="49" t="str">
        <f ca="1">IFERROR(__xludf.DUMMYFUNCTION("IFNA(vlookup(H8134,IMPORTRANGE(""1vUGwO1n0QQGx9kKbO0_M5gmuhXZ6-LaxQxgrmJnzgP0"",""'TP# look up'!A:C""),3,0),"""")"),"")</f>
        <v/>
      </c>
      <c r="AH8134" s="49" t="str">
        <f t="shared" si="127"/>
        <v/>
      </c>
    </row>
    <row r="8135" spans="8:34" ht="12.75">
      <c r="H8135" s="43"/>
      <c r="AG8135" s="49" t="str">
        <f ca="1">IFERROR(__xludf.DUMMYFUNCTION("IFNA(vlookup(H8135,IMPORTRANGE(""1vUGwO1n0QQGx9kKbO0_M5gmuhXZ6-LaxQxgrmJnzgP0"",""'TP# look up'!A:C""),3,0),"""")"),"")</f>
        <v/>
      </c>
      <c r="AH8135" s="49" t="str">
        <f t="shared" si="127"/>
        <v/>
      </c>
    </row>
    <row r="8136" spans="8:34" ht="12.75">
      <c r="H8136" s="43"/>
      <c r="AG8136" s="49" t="str">
        <f ca="1">IFERROR(__xludf.DUMMYFUNCTION("IFNA(vlookup(H8136,IMPORTRANGE(""1vUGwO1n0QQGx9kKbO0_M5gmuhXZ6-LaxQxgrmJnzgP0"",""'TP# look up'!A:C""),3,0),"""")"),"")</f>
        <v/>
      </c>
      <c r="AH8136" s="49" t="str">
        <f t="shared" si="127"/>
        <v/>
      </c>
    </row>
    <row r="8137" spans="8:34" ht="12.75">
      <c r="H8137" s="43"/>
      <c r="AG8137" s="49" t="str">
        <f ca="1">IFERROR(__xludf.DUMMYFUNCTION("IFNA(vlookup(H8137,IMPORTRANGE(""1vUGwO1n0QQGx9kKbO0_M5gmuhXZ6-LaxQxgrmJnzgP0"",""'TP# look up'!A:C""),3,0),"""")"),"")</f>
        <v/>
      </c>
      <c r="AH8137" s="49" t="str">
        <f t="shared" si="127"/>
        <v/>
      </c>
    </row>
    <row r="8138" spans="8:34" ht="12.75">
      <c r="H8138" s="43"/>
      <c r="AG8138" s="49" t="str">
        <f ca="1">IFERROR(__xludf.DUMMYFUNCTION("IFNA(vlookup(H8138,IMPORTRANGE(""1vUGwO1n0QQGx9kKbO0_M5gmuhXZ6-LaxQxgrmJnzgP0"",""'TP# look up'!A:C""),3,0),"""")"),"")</f>
        <v/>
      </c>
      <c r="AH8138" s="49" t="str">
        <f t="shared" si="127"/>
        <v/>
      </c>
    </row>
    <row r="8139" spans="8:34" ht="12.75">
      <c r="H8139" s="43"/>
      <c r="AG8139" s="49" t="str">
        <f ca="1">IFERROR(__xludf.DUMMYFUNCTION("IFNA(vlookup(H8139,IMPORTRANGE(""1vUGwO1n0QQGx9kKbO0_M5gmuhXZ6-LaxQxgrmJnzgP0"",""'TP# look up'!A:C""),3,0),"""")"),"")</f>
        <v/>
      </c>
      <c r="AH8139" s="49" t="str">
        <f t="shared" si="127"/>
        <v/>
      </c>
    </row>
    <row r="8140" spans="8:34" ht="12.75">
      <c r="H8140" s="43"/>
      <c r="AG8140" s="49" t="str">
        <f ca="1">IFERROR(__xludf.DUMMYFUNCTION("IFNA(vlookup(H8140,IMPORTRANGE(""1vUGwO1n0QQGx9kKbO0_M5gmuhXZ6-LaxQxgrmJnzgP0"",""'TP# look up'!A:C""),3,0),"""")"),"")</f>
        <v/>
      </c>
      <c r="AH8140" s="49" t="str">
        <f t="shared" si="127"/>
        <v/>
      </c>
    </row>
    <row r="8141" spans="8:34" ht="12.75">
      <c r="H8141" s="43"/>
      <c r="AG8141" s="49" t="str">
        <f ca="1">IFERROR(__xludf.DUMMYFUNCTION("IFNA(vlookup(H8141,IMPORTRANGE(""1vUGwO1n0QQGx9kKbO0_M5gmuhXZ6-LaxQxgrmJnzgP0"",""'TP# look up'!A:C""),3,0),"""")"),"")</f>
        <v/>
      </c>
      <c r="AH8141" s="49" t="str">
        <f t="shared" si="127"/>
        <v/>
      </c>
    </row>
    <row r="8142" spans="8:34" ht="12.75">
      <c r="H8142" s="43"/>
      <c r="AG8142" s="49" t="str">
        <f ca="1">IFERROR(__xludf.DUMMYFUNCTION("IFNA(vlookup(H8142,IMPORTRANGE(""1vUGwO1n0QQGx9kKbO0_M5gmuhXZ6-LaxQxgrmJnzgP0"",""'TP# look up'!A:C""),3,0),"""")"),"")</f>
        <v/>
      </c>
      <c r="AH8142" s="49" t="str">
        <f t="shared" si="127"/>
        <v/>
      </c>
    </row>
    <row r="8143" spans="8:34" ht="12.75">
      <c r="H8143" s="43"/>
      <c r="AG8143" s="49" t="str">
        <f ca="1">IFERROR(__xludf.DUMMYFUNCTION("IFNA(vlookup(H8143,IMPORTRANGE(""1vUGwO1n0QQGx9kKbO0_M5gmuhXZ6-LaxQxgrmJnzgP0"",""'TP# look up'!A:C""),3,0),"""")"),"")</f>
        <v/>
      </c>
      <c r="AH8143" s="49" t="str">
        <f t="shared" si="127"/>
        <v/>
      </c>
    </row>
    <row r="8144" spans="8:34" ht="12.75">
      <c r="H8144" s="43"/>
      <c r="AG8144" s="49" t="str">
        <f ca="1">IFERROR(__xludf.DUMMYFUNCTION("IFNA(vlookup(H8144,IMPORTRANGE(""1vUGwO1n0QQGx9kKbO0_M5gmuhXZ6-LaxQxgrmJnzgP0"",""'TP# look up'!A:C""),3,0),"""")"),"")</f>
        <v/>
      </c>
      <c r="AH8144" s="49" t="str">
        <f t="shared" si="127"/>
        <v/>
      </c>
    </row>
    <row r="8145" spans="8:34" ht="12.75">
      <c r="H8145" s="43"/>
      <c r="AG8145" s="49" t="str">
        <f ca="1">IFERROR(__xludf.DUMMYFUNCTION("IFNA(vlookup(H8145,IMPORTRANGE(""1vUGwO1n0QQGx9kKbO0_M5gmuhXZ6-LaxQxgrmJnzgP0"",""'TP# look up'!A:C""),3,0),"""")"),"")</f>
        <v/>
      </c>
      <c r="AH8145" s="49" t="str">
        <f t="shared" si="127"/>
        <v/>
      </c>
    </row>
    <row r="8146" spans="8:34" ht="12.75">
      <c r="H8146" s="43"/>
      <c r="AG8146" s="49" t="str">
        <f ca="1">IFERROR(__xludf.DUMMYFUNCTION("IFNA(vlookup(H8146,IMPORTRANGE(""1vUGwO1n0QQGx9kKbO0_M5gmuhXZ6-LaxQxgrmJnzgP0"",""'TP# look up'!A:C""),3,0),"""")"),"")</f>
        <v/>
      </c>
      <c r="AH8146" s="49" t="str">
        <f t="shared" si="127"/>
        <v/>
      </c>
    </row>
    <row r="8147" spans="8:34" ht="12.75">
      <c r="H8147" s="43"/>
      <c r="AG8147" s="49" t="str">
        <f ca="1">IFERROR(__xludf.DUMMYFUNCTION("IFNA(vlookup(H8147,IMPORTRANGE(""1vUGwO1n0QQGx9kKbO0_M5gmuhXZ6-LaxQxgrmJnzgP0"",""'TP# look up'!A:C""),3,0),"""")"),"")</f>
        <v/>
      </c>
      <c r="AH8147" s="49" t="str">
        <f t="shared" si="127"/>
        <v/>
      </c>
    </row>
    <row r="8148" spans="8:34" ht="12.75">
      <c r="H8148" s="43"/>
      <c r="AG8148" s="49" t="str">
        <f ca="1">IFERROR(__xludf.DUMMYFUNCTION("IFNA(vlookup(H8148,IMPORTRANGE(""1vUGwO1n0QQGx9kKbO0_M5gmuhXZ6-LaxQxgrmJnzgP0"",""'TP# look up'!A:C""),3,0),"""")"),"")</f>
        <v/>
      </c>
      <c r="AH8148" s="49" t="str">
        <f t="shared" si="127"/>
        <v/>
      </c>
    </row>
    <row r="8149" spans="8:34" ht="12.75">
      <c r="H8149" s="43"/>
      <c r="AG8149" s="49" t="str">
        <f ca="1">IFERROR(__xludf.DUMMYFUNCTION("IFNA(vlookup(H8149,IMPORTRANGE(""1vUGwO1n0QQGx9kKbO0_M5gmuhXZ6-LaxQxgrmJnzgP0"",""'TP# look up'!A:C""),3,0),"""")"),"")</f>
        <v/>
      </c>
      <c r="AH8149" s="49" t="str">
        <f t="shared" si="127"/>
        <v/>
      </c>
    </row>
    <row r="8150" spans="8:34" ht="12.75">
      <c r="H8150" s="43"/>
      <c r="AG8150" s="49" t="str">
        <f ca="1">IFERROR(__xludf.DUMMYFUNCTION("IFNA(vlookup(H8150,IMPORTRANGE(""1vUGwO1n0QQGx9kKbO0_M5gmuhXZ6-LaxQxgrmJnzgP0"",""'TP# look up'!A:C""),3,0),"""")"),"")</f>
        <v/>
      </c>
      <c r="AH8150" s="49" t="str">
        <f t="shared" si="127"/>
        <v/>
      </c>
    </row>
    <row r="8151" spans="8:34" ht="12.75">
      <c r="H8151" s="43"/>
      <c r="AG8151" s="49" t="str">
        <f ca="1">IFERROR(__xludf.DUMMYFUNCTION("IFNA(vlookup(H8151,IMPORTRANGE(""1vUGwO1n0QQGx9kKbO0_M5gmuhXZ6-LaxQxgrmJnzgP0"",""'TP# look up'!A:C""),3,0),"""")"),"")</f>
        <v/>
      </c>
      <c r="AH8151" s="49" t="str">
        <f t="shared" si="127"/>
        <v/>
      </c>
    </row>
    <row r="8152" spans="8:34" ht="12.75">
      <c r="H8152" s="43"/>
      <c r="AG8152" s="49" t="str">
        <f ca="1">IFERROR(__xludf.DUMMYFUNCTION("IFNA(vlookup(H8152,IMPORTRANGE(""1vUGwO1n0QQGx9kKbO0_M5gmuhXZ6-LaxQxgrmJnzgP0"",""'TP# look up'!A:C""),3,0),"""")"),"")</f>
        <v/>
      </c>
      <c r="AH8152" s="49" t="str">
        <f t="shared" si="127"/>
        <v/>
      </c>
    </row>
    <row r="8153" spans="8:34" ht="12.75">
      <c r="H8153" s="43"/>
      <c r="AG8153" s="49" t="str">
        <f ca="1">IFERROR(__xludf.DUMMYFUNCTION("IFNA(vlookup(H8153,IMPORTRANGE(""1vUGwO1n0QQGx9kKbO0_M5gmuhXZ6-LaxQxgrmJnzgP0"",""'TP# look up'!A:C""),3,0),"""")"),"")</f>
        <v/>
      </c>
      <c r="AH8153" s="49" t="str">
        <f t="shared" si="127"/>
        <v/>
      </c>
    </row>
    <row r="8154" spans="8:34" ht="12.75">
      <c r="H8154" s="43"/>
      <c r="AG8154" s="49" t="str">
        <f ca="1">IFERROR(__xludf.DUMMYFUNCTION("IFNA(vlookup(H8154,IMPORTRANGE(""1vUGwO1n0QQGx9kKbO0_M5gmuhXZ6-LaxQxgrmJnzgP0"",""'TP# look up'!A:C""),3,0),"""")"),"")</f>
        <v/>
      </c>
      <c r="AH8154" s="49" t="str">
        <f t="shared" si="127"/>
        <v/>
      </c>
    </row>
    <row r="8155" spans="8:34" ht="12.75">
      <c r="H8155" s="43"/>
      <c r="AG8155" s="49" t="str">
        <f ca="1">IFERROR(__xludf.DUMMYFUNCTION("IFNA(vlookup(H8155,IMPORTRANGE(""1vUGwO1n0QQGx9kKbO0_M5gmuhXZ6-LaxQxgrmJnzgP0"",""'TP# look up'!A:C""),3,0),"""")"),"")</f>
        <v/>
      </c>
      <c r="AH8155" s="49" t="str">
        <f t="shared" si="127"/>
        <v/>
      </c>
    </row>
    <row r="8156" spans="8:34" ht="12.75">
      <c r="H8156" s="43"/>
      <c r="AG8156" s="49" t="str">
        <f ca="1">IFERROR(__xludf.DUMMYFUNCTION("IFNA(vlookup(H8156,IMPORTRANGE(""1vUGwO1n0QQGx9kKbO0_M5gmuhXZ6-LaxQxgrmJnzgP0"",""'TP# look up'!A:C""),3,0),"""")"),"")</f>
        <v/>
      </c>
      <c r="AH8156" s="49" t="str">
        <f t="shared" si="127"/>
        <v/>
      </c>
    </row>
    <row r="8157" spans="8:34" ht="12.75">
      <c r="H8157" s="43"/>
      <c r="AG8157" s="49" t="str">
        <f ca="1">IFERROR(__xludf.DUMMYFUNCTION("IFNA(vlookup(H8157,IMPORTRANGE(""1vUGwO1n0QQGx9kKbO0_M5gmuhXZ6-LaxQxgrmJnzgP0"",""'TP# look up'!A:C""),3,0),"""")"),"")</f>
        <v/>
      </c>
      <c r="AH8157" s="49" t="str">
        <f t="shared" si="127"/>
        <v/>
      </c>
    </row>
    <row r="8158" spans="8:34" ht="12.75">
      <c r="H8158" s="43"/>
      <c r="AG8158" s="49" t="str">
        <f ca="1">IFERROR(__xludf.DUMMYFUNCTION("IFNA(vlookup(H8158,IMPORTRANGE(""1vUGwO1n0QQGx9kKbO0_M5gmuhXZ6-LaxQxgrmJnzgP0"",""'TP# look up'!A:C""),3,0),"""")"),"")</f>
        <v/>
      </c>
      <c r="AH8158" s="49" t="str">
        <f t="shared" si="127"/>
        <v/>
      </c>
    </row>
    <row r="8159" spans="8:34" ht="12.75">
      <c r="H8159" s="43"/>
      <c r="AG8159" s="49" t="str">
        <f ca="1">IFERROR(__xludf.DUMMYFUNCTION("IFNA(vlookup(H8159,IMPORTRANGE(""1vUGwO1n0QQGx9kKbO0_M5gmuhXZ6-LaxQxgrmJnzgP0"",""'TP# look up'!A:C""),3,0),"""")"),"")</f>
        <v/>
      </c>
      <c r="AH8159" s="49" t="str">
        <f t="shared" si="127"/>
        <v/>
      </c>
    </row>
    <row r="8160" spans="8:34" ht="12.75">
      <c r="H8160" s="43"/>
      <c r="AG8160" s="49" t="str">
        <f ca="1">IFERROR(__xludf.DUMMYFUNCTION("IFNA(vlookup(H8160,IMPORTRANGE(""1vUGwO1n0QQGx9kKbO0_M5gmuhXZ6-LaxQxgrmJnzgP0"",""'TP# look up'!A:C""),3,0),"""")"),"")</f>
        <v/>
      </c>
      <c r="AH8160" s="49" t="str">
        <f t="shared" si="127"/>
        <v/>
      </c>
    </row>
    <row r="8161" spans="8:34" ht="12.75">
      <c r="H8161" s="43"/>
      <c r="AG8161" s="49" t="str">
        <f ca="1">IFERROR(__xludf.DUMMYFUNCTION("IFNA(vlookup(H8161,IMPORTRANGE(""1vUGwO1n0QQGx9kKbO0_M5gmuhXZ6-LaxQxgrmJnzgP0"",""'TP# look up'!A:C""),3,0),"""")"),"")</f>
        <v/>
      </c>
      <c r="AH8161" s="49" t="str">
        <f t="shared" si="127"/>
        <v/>
      </c>
    </row>
    <row r="8162" spans="8:34" ht="12.75">
      <c r="H8162" s="43"/>
      <c r="AG8162" s="49" t="str">
        <f ca="1">IFERROR(__xludf.DUMMYFUNCTION("IFNA(vlookup(H8162,IMPORTRANGE(""1vUGwO1n0QQGx9kKbO0_M5gmuhXZ6-LaxQxgrmJnzgP0"",""'TP# look up'!A:C""),3,0),"""")"),"")</f>
        <v/>
      </c>
      <c r="AH8162" s="49" t="str">
        <f t="shared" si="127"/>
        <v/>
      </c>
    </row>
    <row r="8163" spans="8:34" ht="12.75">
      <c r="H8163" s="43"/>
      <c r="AG8163" s="49" t="str">
        <f ca="1">IFERROR(__xludf.DUMMYFUNCTION("IFNA(vlookup(H8163,IMPORTRANGE(""1vUGwO1n0QQGx9kKbO0_M5gmuhXZ6-LaxQxgrmJnzgP0"",""'TP# look up'!A:C""),3,0),"""")"),"")</f>
        <v/>
      </c>
      <c r="AH8163" s="49" t="str">
        <f t="shared" si="127"/>
        <v/>
      </c>
    </row>
    <row r="8164" spans="8:34" ht="12.75">
      <c r="H8164" s="43"/>
      <c r="AG8164" s="49" t="str">
        <f ca="1">IFERROR(__xludf.DUMMYFUNCTION("IFNA(vlookup(H8164,IMPORTRANGE(""1vUGwO1n0QQGx9kKbO0_M5gmuhXZ6-LaxQxgrmJnzgP0"",""'TP# look up'!A:C""),3,0),"""")"),"")</f>
        <v/>
      </c>
      <c r="AH8164" s="49" t="str">
        <f t="shared" si="127"/>
        <v/>
      </c>
    </row>
    <row r="8165" spans="8:34" ht="12.75">
      <c r="H8165" s="43"/>
      <c r="AG8165" s="49" t="str">
        <f ca="1">IFERROR(__xludf.DUMMYFUNCTION("IFNA(vlookup(H8165,IMPORTRANGE(""1vUGwO1n0QQGx9kKbO0_M5gmuhXZ6-LaxQxgrmJnzgP0"",""'TP# look up'!A:C""),3,0),"""")"),"")</f>
        <v/>
      </c>
      <c r="AH8165" s="49" t="str">
        <f t="shared" si="127"/>
        <v/>
      </c>
    </row>
    <row r="8166" spans="8:34" ht="12.75">
      <c r="H8166" s="43"/>
      <c r="AG8166" s="49" t="str">
        <f ca="1">IFERROR(__xludf.DUMMYFUNCTION("IFNA(vlookup(H8166,IMPORTRANGE(""1vUGwO1n0QQGx9kKbO0_M5gmuhXZ6-LaxQxgrmJnzgP0"",""'TP# look up'!A:C""),3,0),"""")"),"")</f>
        <v/>
      </c>
      <c r="AH8166" s="49" t="str">
        <f t="shared" si="127"/>
        <v/>
      </c>
    </row>
    <row r="8167" spans="8:34" ht="12.75">
      <c r="H8167" s="43"/>
      <c r="AG8167" s="49" t="str">
        <f ca="1">IFERROR(__xludf.DUMMYFUNCTION("IFNA(vlookup(H8167,IMPORTRANGE(""1vUGwO1n0QQGx9kKbO0_M5gmuhXZ6-LaxQxgrmJnzgP0"",""'TP# look up'!A:C""),3,0),"""")"),"")</f>
        <v/>
      </c>
      <c r="AH8167" s="49" t="str">
        <f t="shared" si="127"/>
        <v/>
      </c>
    </row>
    <row r="8168" spans="8:34" ht="12.75">
      <c r="H8168" s="43"/>
      <c r="AG8168" s="49" t="str">
        <f ca="1">IFERROR(__xludf.DUMMYFUNCTION("IFNA(vlookup(H8168,IMPORTRANGE(""1vUGwO1n0QQGx9kKbO0_M5gmuhXZ6-LaxQxgrmJnzgP0"",""'TP# look up'!A:C""),3,0),"""")"),"")</f>
        <v/>
      </c>
      <c r="AH8168" s="49" t="str">
        <f t="shared" si="127"/>
        <v/>
      </c>
    </row>
    <row r="8169" spans="8:34" ht="12.75">
      <c r="H8169" s="43"/>
      <c r="AG8169" s="49" t="str">
        <f ca="1">IFERROR(__xludf.DUMMYFUNCTION("IFNA(vlookup(H8169,IMPORTRANGE(""1vUGwO1n0QQGx9kKbO0_M5gmuhXZ6-LaxQxgrmJnzgP0"",""'TP# look up'!A:C""),3,0),"""")"),"")</f>
        <v/>
      </c>
      <c r="AH8169" s="49" t="str">
        <f t="shared" si="127"/>
        <v/>
      </c>
    </row>
    <row r="8170" spans="8:34" ht="12.75">
      <c r="H8170" s="43"/>
      <c r="AG8170" s="49" t="str">
        <f ca="1">IFERROR(__xludf.DUMMYFUNCTION("IFNA(vlookup(H8170,IMPORTRANGE(""1vUGwO1n0QQGx9kKbO0_M5gmuhXZ6-LaxQxgrmJnzgP0"",""'TP# look up'!A:C""),3,0),"""")"),"")</f>
        <v/>
      </c>
      <c r="AH8170" s="49" t="str">
        <f t="shared" si="127"/>
        <v/>
      </c>
    </row>
    <row r="8171" spans="8:34" ht="12.75">
      <c r="H8171" s="43"/>
      <c r="AG8171" s="49" t="str">
        <f ca="1">IFERROR(__xludf.DUMMYFUNCTION("IFNA(vlookup(H8171,IMPORTRANGE(""1vUGwO1n0QQGx9kKbO0_M5gmuhXZ6-LaxQxgrmJnzgP0"",""'TP# look up'!A:C""),3,0),"""")"),"")</f>
        <v/>
      </c>
      <c r="AH8171" s="49" t="str">
        <f t="shared" si="127"/>
        <v/>
      </c>
    </row>
    <row r="8172" spans="8:34" ht="12.75">
      <c r="H8172" s="43"/>
      <c r="AG8172" s="49" t="str">
        <f ca="1">IFERROR(__xludf.DUMMYFUNCTION("IFNA(vlookup(H8172,IMPORTRANGE(""1vUGwO1n0QQGx9kKbO0_M5gmuhXZ6-LaxQxgrmJnzgP0"",""'TP# look up'!A:C""),3,0),"""")"),"")</f>
        <v/>
      </c>
      <c r="AH8172" s="49" t="str">
        <f t="shared" si="127"/>
        <v/>
      </c>
    </row>
    <row r="8173" spans="8:34" ht="12.75">
      <c r="H8173" s="43"/>
      <c r="AG8173" s="49" t="str">
        <f ca="1">IFERROR(__xludf.DUMMYFUNCTION("IFNA(vlookup(H8173,IMPORTRANGE(""1vUGwO1n0QQGx9kKbO0_M5gmuhXZ6-LaxQxgrmJnzgP0"",""'TP# look up'!A:C""),3,0),"""")"),"")</f>
        <v/>
      </c>
      <c r="AH8173" s="49" t="str">
        <f t="shared" si="127"/>
        <v/>
      </c>
    </row>
    <row r="8174" spans="8:34" ht="12.75">
      <c r="H8174" s="43"/>
      <c r="AG8174" s="49" t="str">
        <f ca="1">IFERROR(__xludf.DUMMYFUNCTION("IFNA(vlookup(H8174,IMPORTRANGE(""1vUGwO1n0QQGx9kKbO0_M5gmuhXZ6-LaxQxgrmJnzgP0"",""'TP# look up'!A:C""),3,0),"""")"),"")</f>
        <v/>
      </c>
      <c r="AH8174" s="49" t="str">
        <f t="shared" si="127"/>
        <v/>
      </c>
    </row>
    <row r="8175" spans="8:34" ht="12.75">
      <c r="H8175" s="43"/>
      <c r="AG8175" s="49" t="str">
        <f ca="1">IFERROR(__xludf.DUMMYFUNCTION("IFNA(vlookup(H8175,IMPORTRANGE(""1vUGwO1n0QQGx9kKbO0_M5gmuhXZ6-LaxQxgrmJnzgP0"",""'TP# look up'!A:C""),3,0),"""")"),"")</f>
        <v/>
      </c>
      <c r="AH8175" s="49" t="str">
        <f t="shared" si="127"/>
        <v/>
      </c>
    </row>
    <row r="8176" spans="8:34" ht="12.75">
      <c r="H8176" s="43"/>
      <c r="AG8176" s="49" t="str">
        <f ca="1">IFERROR(__xludf.DUMMYFUNCTION("IFNA(vlookup(H8176,IMPORTRANGE(""1vUGwO1n0QQGx9kKbO0_M5gmuhXZ6-LaxQxgrmJnzgP0"",""'TP# look up'!A:C""),3,0),"""")"),"")</f>
        <v/>
      </c>
      <c r="AH8176" s="49" t="str">
        <f t="shared" si="127"/>
        <v/>
      </c>
    </row>
    <row r="8177" spans="8:34" ht="12.75">
      <c r="H8177" s="43"/>
      <c r="AG8177" s="49" t="str">
        <f ca="1">IFERROR(__xludf.DUMMYFUNCTION("IFNA(vlookup(H8177,IMPORTRANGE(""1vUGwO1n0QQGx9kKbO0_M5gmuhXZ6-LaxQxgrmJnzgP0"",""'TP# look up'!A:C""),3,0),"""")"),"")</f>
        <v/>
      </c>
      <c r="AH8177" s="49" t="str">
        <f t="shared" si="127"/>
        <v/>
      </c>
    </row>
    <row r="8178" spans="8:34" ht="12.75">
      <c r="H8178" s="43"/>
      <c r="AG8178" s="49" t="str">
        <f ca="1">IFERROR(__xludf.DUMMYFUNCTION("IFNA(vlookup(H8178,IMPORTRANGE(""1vUGwO1n0QQGx9kKbO0_M5gmuhXZ6-LaxQxgrmJnzgP0"",""'TP# look up'!A:C""),3,0),"""")"),"")</f>
        <v/>
      </c>
      <c r="AH8178" s="49" t="str">
        <f t="shared" si="127"/>
        <v/>
      </c>
    </row>
    <row r="8179" spans="8:34" ht="12.75">
      <c r="H8179" s="43"/>
      <c r="AG8179" s="49" t="str">
        <f ca="1">IFERROR(__xludf.DUMMYFUNCTION("IFNA(vlookup(H8179,IMPORTRANGE(""1vUGwO1n0QQGx9kKbO0_M5gmuhXZ6-LaxQxgrmJnzgP0"",""'TP# look up'!A:C""),3,0),"""")"),"")</f>
        <v/>
      </c>
      <c r="AH8179" s="49" t="str">
        <f t="shared" si="127"/>
        <v/>
      </c>
    </row>
    <row r="8180" spans="8:34" ht="12.75">
      <c r="H8180" s="43"/>
      <c r="AG8180" s="49" t="str">
        <f ca="1">IFERROR(__xludf.DUMMYFUNCTION("IFNA(vlookup(H8180,IMPORTRANGE(""1vUGwO1n0QQGx9kKbO0_M5gmuhXZ6-LaxQxgrmJnzgP0"",""'TP# look up'!A:C""),3,0),"""")"),"")</f>
        <v/>
      </c>
      <c r="AH8180" s="49" t="str">
        <f t="shared" si="127"/>
        <v/>
      </c>
    </row>
    <row r="8181" spans="8:34" ht="12.75">
      <c r="H8181" s="43"/>
      <c r="AG8181" s="49" t="str">
        <f ca="1">IFERROR(__xludf.DUMMYFUNCTION("IFNA(vlookup(H8181,IMPORTRANGE(""1vUGwO1n0QQGx9kKbO0_M5gmuhXZ6-LaxQxgrmJnzgP0"",""'TP# look up'!A:C""),3,0),"""")"),"")</f>
        <v/>
      </c>
      <c r="AH8181" s="49" t="str">
        <f t="shared" si="127"/>
        <v/>
      </c>
    </row>
    <row r="8182" spans="8:34" ht="12.75">
      <c r="H8182" s="43"/>
      <c r="AG8182" s="49" t="str">
        <f ca="1">IFERROR(__xludf.DUMMYFUNCTION("IFNA(vlookup(H8182,IMPORTRANGE(""1vUGwO1n0QQGx9kKbO0_M5gmuhXZ6-LaxQxgrmJnzgP0"",""'TP# look up'!A:C""),3,0),"""")"),"")</f>
        <v/>
      </c>
      <c r="AH8182" s="49" t="str">
        <f t="shared" si="127"/>
        <v/>
      </c>
    </row>
    <row r="8183" spans="8:34" ht="12.75">
      <c r="H8183" s="43"/>
      <c r="AG8183" s="49" t="str">
        <f ca="1">IFERROR(__xludf.DUMMYFUNCTION("IFNA(vlookup(H8183,IMPORTRANGE(""1vUGwO1n0QQGx9kKbO0_M5gmuhXZ6-LaxQxgrmJnzgP0"",""'TP# look up'!A:C""),3,0),"""")"),"")</f>
        <v/>
      </c>
      <c r="AH8183" s="49" t="str">
        <f t="shared" si="127"/>
        <v/>
      </c>
    </row>
    <row r="8184" spans="8:34" ht="12.75">
      <c r="H8184" s="43"/>
      <c r="AG8184" s="49" t="str">
        <f ca="1">IFERROR(__xludf.DUMMYFUNCTION("IFNA(vlookup(H8184,IMPORTRANGE(""1vUGwO1n0QQGx9kKbO0_M5gmuhXZ6-LaxQxgrmJnzgP0"",""'TP# look up'!A:C""),3,0),"""")"),"")</f>
        <v/>
      </c>
      <c r="AH8184" s="49" t="str">
        <f t="shared" si="127"/>
        <v/>
      </c>
    </row>
    <row r="8185" spans="8:34" ht="12.75">
      <c r="H8185" s="43"/>
      <c r="AG8185" s="49" t="str">
        <f ca="1">IFERROR(__xludf.DUMMYFUNCTION("IFNA(vlookup(H8185,IMPORTRANGE(""1vUGwO1n0QQGx9kKbO0_M5gmuhXZ6-LaxQxgrmJnzgP0"",""'TP# look up'!A:C""),3,0),"""")"),"")</f>
        <v/>
      </c>
      <c r="AH8185" s="49" t="str">
        <f t="shared" si="127"/>
        <v/>
      </c>
    </row>
    <row r="8186" spans="8:34" ht="12.75">
      <c r="H8186" s="43"/>
      <c r="AG8186" s="49" t="str">
        <f ca="1">IFERROR(__xludf.DUMMYFUNCTION("IFNA(vlookup(H8186,IMPORTRANGE(""1vUGwO1n0QQGx9kKbO0_M5gmuhXZ6-LaxQxgrmJnzgP0"",""'TP# look up'!A:C""),3,0),"""")"),"")</f>
        <v/>
      </c>
      <c r="AH8186" s="49" t="str">
        <f t="shared" si="127"/>
        <v/>
      </c>
    </row>
    <row r="8187" spans="8:34" ht="12.75">
      <c r="H8187" s="43"/>
      <c r="AG8187" s="49" t="str">
        <f ca="1">IFERROR(__xludf.DUMMYFUNCTION("IFNA(vlookup(H8187,IMPORTRANGE(""1vUGwO1n0QQGx9kKbO0_M5gmuhXZ6-LaxQxgrmJnzgP0"",""'TP# look up'!A:C""),3,0),"""")"),"")</f>
        <v/>
      </c>
      <c r="AH8187" s="49" t="str">
        <f t="shared" si="127"/>
        <v/>
      </c>
    </row>
    <row r="8188" spans="8:34" ht="12.75">
      <c r="H8188" s="43"/>
      <c r="AG8188" s="49" t="str">
        <f ca="1">IFERROR(__xludf.DUMMYFUNCTION("IFNA(vlookup(H8188,IMPORTRANGE(""1vUGwO1n0QQGx9kKbO0_M5gmuhXZ6-LaxQxgrmJnzgP0"",""'TP# look up'!A:C""),3,0),"""")"),"")</f>
        <v/>
      </c>
      <c r="AH8188" s="49" t="str">
        <f t="shared" si="127"/>
        <v/>
      </c>
    </row>
    <row r="8189" spans="8:34" ht="12.75">
      <c r="H8189" s="43"/>
      <c r="AG8189" s="49" t="str">
        <f ca="1">IFERROR(__xludf.DUMMYFUNCTION("IFNA(vlookup(H8189,IMPORTRANGE(""1vUGwO1n0QQGx9kKbO0_M5gmuhXZ6-LaxQxgrmJnzgP0"",""'TP# look up'!A:C""),3,0),"""")"),"")</f>
        <v/>
      </c>
      <c r="AH8189" s="49" t="str">
        <f t="shared" si="127"/>
        <v/>
      </c>
    </row>
    <row r="8190" spans="8:34" ht="12.75">
      <c r="H8190" s="43"/>
      <c r="AG8190" s="49" t="str">
        <f ca="1">IFERROR(__xludf.DUMMYFUNCTION("IFNA(vlookup(H8190,IMPORTRANGE(""1vUGwO1n0QQGx9kKbO0_M5gmuhXZ6-LaxQxgrmJnzgP0"",""'TP# look up'!A:C""),3,0),"""")"),"")</f>
        <v/>
      </c>
      <c r="AH8190" s="49" t="str">
        <f t="shared" si="127"/>
        <v/>
      </c>
    </row>
    <row r="8191" spans="8:34" ht="12.75">
      <c r="H8191" s="43"/>
      <c r="AG8191" s="49" t="str">
        <f ca="1">IFERROR(__xludf.DUMMYFUNCTION("IFNA(vlookup(H8191,IMPORTRANGE(""1vUGwO1n0QQGx9kKbO0_M5gmuhXZ6-LaxQxgrmJnzgP0"",""'TP# look up'!A:C""),3,0),"""")"),"")</f>
        <v/>
      </c>
      <c r="AH8191" s="49" t="str">
        <f t="shared" si="127"/>
        <v/>
      </c>
    </row>
    <row r="8192" spans="8:34" ht="12.75">
      <c r="H8192" s="43"/>
      <c r="AG8192" s="49" t="str">
        <f ca="1">IFERROR(__xludf.DUMMYFUNCTION("IFNA(vlookup(H8192,IMPORTRANGE(""1vUGwO1n0QQGx9kKbO0_M5gmuhXZ6-LaxQxgrmJnzgP0"",""'TP# look up'!A:C""),3,0),"""")"),"")</f>
        <v/>
      </c>
      <c r="AH8192" s="49" t="str">
        <f t="shared" si="127"/>
        <v/>
      </c>
    </row>
    <row r="8193" spans="8:34" ht="12.75">
      <c r="H8193" s="43"/>
      <c r="AG8193" s="49" t="str">
        <f ca="1">IFERROR(__xludf.DUMMYFUNCTION("IFNA(vlookup(H8193,IMPORTRANGE(""1vUGwO1n0QQGx9kKbO0_M5gmuhXZ6-LaxQxgrmJnzgP0"",""'TP# look up'!A:C""),3,0),"""")"),"")</f>
        <v/>
      </c>
      <c r="AH8193" s="49" t="str">
        <f t="shared" si="127"/>
        <v/>
      </c>
    </row>
    <row r="8194" spans="8:34" ht="12.75">
      <c r="H8194" s="43"/>
      <c r="AG8194" s="49" t="str">
        <f ca="1">IFERROR(__xludf.DUMMYFUNCTION("IFNA(vlookup(H8194,IMPORTRANGE(""1vUGwO1n0QQGx9kKbO0_M5gmuhXZ6-LaxQxgrmJnzgP0"",""'TP# look up'!A:C""),3,0),"""")"),"")</f>
        <v/>
      </c>
      <c r="AH8194" s="49" t="str">
        <f t="shared" ref="AH8194:AH8257" si="128">LEFT(J8194,2)</f>
        <v/>
      </c>
    </row>
    <row r="8195" spans="8:34" ht="12.75">
      <c r="H8195" s="43"/>
      <c r="AG8195" s="49" t="str">
        <f ca="1">IFERROR(__xludf.DUMMYFUNCTION("IFNA(vlookup(H8195,IMPORTRANGE(""1vUGwO1n0QQGx9kKbO0_M5gmuhXZ6-LaxQxgrmJnzgP0"",""'TP# look up'!A:C""),3,0),"""")"),"")</f>
        <v/>
      </c>
      <c r="AH8195" s="49" t="str">
        <f t="shared" si="128"/>
        <v/>
      </c>
    </row>
    <row r="8196" spans="8:34" ht="12.75">
      <c r="H8196" s="43"/>
      <c r="AG8196" s="49" t="str">
        <f ca="1">IFERROR(__xludf.DUMMYFUNCTION("IFNA(vlookup(H8196,IMPORTRANGE(""1vUGwO1n0QQGx9kKbO0_M5gmuhXZ6-LaxQxgrmJnzgP0"",""'TP# look up'!A:C""),3,0),"""")"),"")</f>
        <v/>
      </c>
      <c r="AH8196" s="49" t="str">
        <f t="shared" si="128"/>
        <v/>
      </c>
    </row>
    <row r="8197" spans="8:34" ht="12.75">
      <c r="H8197" s="43"/>
      <c r="AG8197" s="49" t="str">
        <f ca="1">IFERROR(__xludf.DUMMYFUNCTION("IFNA(vlookup(H8197,IMPORTRANGE(""1vUGwO1n0QQGx9kKbO0_M5gmuhXZ6-LaxQxgrmJnzgP0"",""'TP# look up'!A:C""),3,0),"""")"),"")</f>
        <v/>
      </c>
      <c r="AH8197" s="49" t="str">
        <f t="shared" si="128"/>
        <v/>
      </c>
    </row>
    <row r="8198" spans="8:34" ht="12.75">
      <c r="H8198" s="43"/>
      <c r="AG8198" s="49" t="str">
        <f ca="1">IFERROR(__xludf.DUMMYFUNCTION("IFNA(vlookup(H8198,IMPORTRANGE(""1vUGwO1n0QQGx9kKbO0_M5gmuhXZ6-LaxQxgrmJnzgP0"",""'TP# look up'!A:C""),3,0),"""")"),"")</f>
        <v/>
      </c>
      <c r="AH8198" s="49" t="str">
        <f t="shared" si="128"/>
        <v/>
      </c>
    </row>
    <row r="8199" spans="8:34" ht="12.75">
      <c r="H8199" s="43"/>
      <c r="AG8199" s="49" t="str">
        <f ca="1">IFERROR(__xludf.DUMMYFUNCTION("IFNA(vlookup(H8199,IMPORTRANGE(""1vUGwO1n0QQGx9kKbO0_M5gmuhXZ6-LaxQxgrmJnzgP0"",""'TP# look up'!A:C""),3,0),"""")"),"")</f>
        <v/>
      </c>
      <c r="AH8199" s="49" t="str">
        <f t="shared" si="128"/>
        <v/>
      </c>
    </row>
    <row r="8200" spans="8:34" ht="12.75">
      <c r="H8200" s="43"/>
      <c r="AG8200" s="49" t="str">
        <f ca="1">IFERROR(__xludf.DUMMYFUNCTION("IFNA(vlookup(H8200,IMPORTRANGE(""1vUGwO1n0QQGx9kKbO0_M5gmuhXZ6-LaxQxgrmJnzgP0"",""'TP# look up'!A:C""),3,0),"""")"),"")</f>
        <v/>
      </c>
      <c r="AH8200" s="49" t="str">
        <f t="shared" si="128"/>
        <v/>
      </c>
    </row>
    <row r="8201" spans="8:34" ht="12.75">
      <c r="H8201" s="43"/>
      <c r="AG8201" s="49" t="str">
        <f ca="1">IFERROR(__xludf.DUMMYFUNCTION("IFNA(vlookup(H8201,IMPORTRANGE(""1vUGwO1n0QQGx9kKbO0_M5gmuhXZ6-LaxQxgrmJnzgP0"",""'TP# look up'!A:C""),3,0),"""")"),"")</f>
        <v/>
      </c>
      <c r="AH8201" s="49" t="str">
        <f t="shared" si="128"/>
        <v/>
      </c>
    </row>
    <row r="8202" spans="8:34" ht="12.75">
      <c r="H8202" s="43"/>
      <c r="AG8202" s="49" t="str">
        <f ca="1">IFERROR(__xludf.DUMMYFUNCTION("IFNA(vlookup(H8202,IMPORTRANGE(""1vUGwO1n0QQGx9kKbO0_M5gmuhXZ6-LaxQxgrmJnzgP0"",""'TP# look up'!A:C""),3,0),"""")"),"")</f>
        <v/>
      </c>
      <c r="AH8202" s="49" t="str">
        <f t="shared" si="128"/>
        <v/>
      </c>
    </row>
    <row r="8203" spans="8:34" ht="12.75">
      <c r="H8203" s="43"/>
      <c r="AG8203" s="49" t="str">
        <f ca="1">IFERROR(__xludf.DUMMYFUNCTION("IFNA(vlookup(H8203,IMPORTRANGE(""1vUGwO1n0QQGx9kKbO0_M5gmuhXZ6-LaxQxgrmJnzgP0"",""'TP# look up'!A:C""),3,0),"""")"),"")</f>
        <v/>
      </c>
      <c r="AH8203" s="49" t="str">
        <f t="shared" si="128"/>
        <v/>
      </c>
    </row>
    <row r="8204" spans="8:34" ht="12.75">
      <c r="H8204" s="43"/>
      <c r="AG8204" s="49" t="str">
        <f ca="1">IFERROR(__xludf.DUMMYFUNCTION("IFNA(vlookup(H8204,IMPORTRANGE(""1vUGwO1n0QQGx9kKbO0_M5gmuhXZ6-LaxQxgrmJnzgP0"",""'TP# look up'!A:C""),3,0),"""")"),"")</f>
        <v/>
      </c>
      <c r="AH8204" s="49" t="str">
        <f t="shared" si="128"/>
        <v/>
      </c>
    </row>
    <row r="8205" spans="8:34" ht="12.75">
      <c r="H8205" s="43"/>
      <c r="AG8205" s="49" t="str">
        <f ca="1">IFERROR(__xludf.DUMMYFUNCTION("IFNA(vlookup(H8205,IMPORTRANGE(""1vUGwO1n0QQGx9kKbO0_M5gmuhXZ6-LaxQxgrmJnzgP0"",""'TP# look up'!A:C""),3,0),"""")"),"")</f>
        <v/>
      </c>
      <c r="AH8205" s="49" t="str">
        <f t="shared" si="128"/>
        <v/>
      </c>
    </row>
    <row r="8206" spans="8:34" ht="12.75">
      <c r="H8206" s="43"/>
      <c r="AG8206" s="49" t="str">
        <f ca="1">IFERROR(__xludf.DUMMYFUNCTION("IFNA(vlookup(H8206,IMPORTRANGE(""1vUGwO1n0QQGx9kKbO0_M5gmuhXZ6-LaxQxgrmJnzgP0"",""'TP# look up'!A:C""),3,0),"""")"),"")</f>
        <v/>
      </c>
      <c r="AH8206" s="49" t="str">
        <f t="shared" si="128"/>
        <v/>
      </c>
    </row>
    <row r="8207" spans="8:34" ht="12.75">
      <c r="H8207" s="43"/>
      <c r="AG8207" s="49" t="str">
        <f ca="1">IFERROR(__xludf.DUMMYFUNCTION("IFNA(vlookup(H8207,IMPORTRANGE(""1vUGwO1n0QQGx9kKbO0_M5gmuhXZ6-LaxQxgrmJnzgP0"",""'TP# look up'!A:C""),3,0),"""")"),"")</f>
        <v/>
      </c>
      <c r="AH8207" s="49" t="str">
        <f t="shared" si="128"/>
        <v/>
      </c>
    </row>
    <row r="8208" spans="8:34" ht="12.75">
      <c r="H8208" s="43"/>
      <c r="AG8208" s="49" t="str">
        <f ca="1">IFERROR(__xludf.DUMMYFUNCTION("IFNA(vlookup(H8208,IMPORTRANGE(""1vUGwO1n0QQGx9kKbO0_M5gmuhXZ6-LaxQxgrmJnzgP0"",""'TP# look up'!A:C""),3,0),"""")"),"")</f>
        <v/>
      </c>
      <c r="AH8208" s="49" t="str">
        <f t="shared" si="128"/>
        <v/>
      </c>
    </row>
    <row r="8209" spans="8:34" ht="12.75">
      <c r="H8209" s="43"/>
      <c r="AG8209" s="49" t="str">
        <f ca="1">IFERROR(__xludf.DUMMYFUNCTION("IFNA(vlookup(H8209,IMPORTRANGE(""1vUGwO1n0QQGx9kKbO0_M5gmuhXZ6-LaxQxgrmJnzgP0"",""'TP# look up'!A:C""),3,0),"""")"),"")</f>
        <v/>
      </c>
      <c r="AH8209" s="49" t="str">
        <f t="shared" si="128"/>
        <v/>
      </c>
    </row>
    <row r="8210" spans="8:34" ht="12.75">
      <c r="H8210" s="43"/>
      <c r="AG8210" s="49" t="str">
        <f ca="1">IFERROR(__xludf.DUMMYFUNCTION("IFNA(vlookup(H8210,IMPORTRANGE(""1vUGwO1n0QQGx9kKbO0_M5gmuhXZ6-LaxQxgrmJnzgP0"",""'TP# look up'!A:C""),3,0),"""")"),"")</f>
        <v/>
      </c>
      <c r="AH8210" s="49" t="str">
        <f t="shared" si="128"/>
        <v/>
      </c>
    </row>
    <row r="8211" spans="8:34" ht="12.75">
      <c r="H8211" s="43"/>
      <c r="AG8211" s="49" t="str">
        <f ca="1">IFERROR(__xludf.DUMMYFUNCTION("IFNA(vlookup(H8211,IMPORTRANGE(""1vUGwO1n0QQGx9kKbO0_M5gmuhXZ6-LaxQxgrmJnzgP0"",""'TP# look up'!A:C""),3,0),"""")"),"")</f>
        <v/>
      </c>
      <c r="AH8211" s="49" t="str">
        <f t="shared" si="128"/>
        <v/>
      </c>
    </row>
    <row r="8212" spans="8:34" ht="12.75">
      <c r="H8212" s="43"/>
      <c r="AG8212" s="49" t="str">
        <f ca="1">IFERROR(__xludf.DUMMYFUNCTION("IFNA(vlookup(H8212,IMPORTRANGE(""1vUGwO1n0QQGx9kKbO0_M5gmuhXZ6-LaxQxgrmJnzgP0"",""'TP# look up'!A:C""),3,0),"""")"),"")</f>
        <v/>
      </c>
      <c r="AH8212" s="49" t="str">
        <f t="shared" si="128"/>
        <v/>
      </c>
    </row>
    <row r="8213" spans="8:34" ht="12.75">
      <c r="H8213" s="43"/>
      <c r="AG8213" s="49" t="str">
        <f ca="1">IFERROR(__xludf.DUMMYFUNCTION("IFNA(vlookup(H8213,IMPORTRANGE(""1vUGwO1n0QQGx9kKbO0_M5gmuhXZ6-LaxQxgrmJnzgP0"",""'TP# look up'!A:C""),3,0),"""")"),"")</f>
        <v/>
      </c>
      <c r="AH8213" s="49" t="str">
        <f t="shared" si="128"/>
        <v/>
      </c>
    </row>
    <row r="8214" spans="8:34" ht="12.75">
      <c r="H8214" s="43"/>
      <c r="AG8214" s="49" t="str">
        <f ca="1">IFERROR(__xludf.DUMMYFUNCTION("IFNA(vlookup(H8214,IMPORTRANGE(""1vUGwO1n0QQGx9kKbO0_M5gmuhXZ6-LaxQxgrmJnzgP0"",""'TP# look up'!A:C""),3,0),"""")"),"")</f>
        <v/>
      </c>
      <c r="AH8214" s="49" t="str">
        <f t="shared" si="128"/>
        <v/>
      </c>
    </row>
    <row r="8215" spans="8:34" ht="12.75">
      <c r="H8215" s="43"/>
      <c r="AG8215" s="49" t="str">
        <f ca="1">IFERROR(__xludf.DUMMYFUNCTION("IFNA(vlookup(H8215,IMPORTRANGE(""1vUGwO1n0QQGx9kKbO0_M5gmuhXZ6-LaxQxgrmJnzgP0"",""'TP# look up'!A:C""),3,0),"""")"),"")</f>
        <v/>
      </c>
      <c r="AH8215" s="49" t="str">
        <f t="shared" si="128"/>
        <v/>
      </c>
    </row>
    <row r="8216" spans="8:34" ht="12.75">
      <c r="H8216" s="43"/>
      <c r="AG8216" s="49" t="str">
        <f ca="1">IFERROR(__xludf.DUMMYFUNCTION("IFNA(vlookup(H8216,IMPORTRANGE(""1vUGwO1n0QQGx9kKbO0_M5gmuhXZ6-LaxQxgrmJnzgP0"",""'TP# look up'!A:C""),3,0),"""")"),"")</f>
        <v/>
      </c>
      <c r="AH8216" s="49" t="str">
        <f t="shared" si="128"/>
        <v/>
      </c>
    </row>
    <row r="8217" spans="8:34" ht="12.75">
      <c r="H8217" s="43"/>
      <c r="AG8217" s="49" t="str">
        <f ca="1">IFERROR(__xludf.DUMMYFUNCTION("IFNA(vlookup(H8217,IMPORTRANGE(""1vUGwO1n0QQGx9kKbO0_M5gmuhXZ6-LaxQxgrmJnzgP0"",""'TP# look up'!A:C""),3,0),"""")"),"")</f>
        <v/>
      </c>
      <c r="AH8217" s="49" t="str">
        <f t="shared" si="128"/>
        <v/>
      </c>
    </row>
    <row r="8218" spans="8:34" ht="12.75">
      <c r="H8218" s="43"/>
      <c r="AG8218" s="49" t="str">
        <f ca="1">IFERROR(__xludf.DUMMYFUNCTION("IFNA(vlookup(H8218,IMPORTRANGE(""1vUGwO1n0QQGx9kKbO0_M5gmuhXZ6-LaxQxgrmJnzgP0"",""'TP# look up'!A:C""),3,0),"""")"),"")</f>
        <v/>
      </c>
      <c r="AH8218" s="49" t="str">
        <f t="shared" si="128"/>
        <v/>
      </c>
    </row>
    <row r="8219" spans="8:34" ht="12.75">
      <c r="H8219" s="43"/>
      <c r="AG8219" s="49" t="str">
        <f ca="1">IFERROR(__xludf.DUMMYFUNCTION("IFNA(vlookup(H8219,IMPORTRANGE(""1vUGwO1n0QQGx9kKbO0_M5gmuhXZ6-LaxQxgrmJnzgP0"",""'TP# look up'!A:C""),3,0),"""")"),"")</f>
        <v/>
      </c>
      <c r="AH8219" s="49" t="str">
        <f t="shared" si="128"/>
        <v/>
      </c>
    </row>
    <row r="8220" spans="8:34" ht="12.75">
      <c r="H8220" s="43"/>
      <c r="AG8220" s="49" t="str">
        <f ca="1">IFERROR(__xludf.DUMMYFUNCTION("IFNA(vlookup(H8220,IMPORTRANGE(""1vUGwO1n0QQGx9kKbO0_M5gmuhXZ6-LaxQxgrmJnzgP0"",""'TP# look up'!A:C""),3,0),"""")"),"")</f>
        <v/>
      </c>
      <c r="AH8220" s="49" t="str">
        <f t="shared" si="128"/>
        <v/>
      </c>
    </row>
    <row r="8221" spans="8:34" ht="12.75">
      <c r="H8221" s="43"/>
      <c r="AG8221" s="49" t="str">
        <f ca="1">IFERROR(__xludf.DUMMYFUNCTION("IFNA(vlookup(H8221,IMPORTRANGE(""1vUGwO1n0QQGx9kKbO0_M5gmuhXZ6-LaxQxgrmJnzgP0"",""'TP# look up'!A:C""),3,0),"""")"),"")</f>
        <v/>
      </c>
      <c r="AH8221" s="49" t="str">
        <f t="shared" si="128"/>
        <v/>
      </c>
    </row>
    <row r="8222" spans="8:34" ht="12.75">
      <c r="H8222" s="43"/>
      <c r="AG8222" s="49" t="str">
        <f ca="1">IFERROR(__xludf.DUMMYFUNCTION("IFNA(vlookup(H8222,IMPORTRANGE(""1vUGwO1n0QQGx9kKbO0_M5gmuhXZ6-LaxQxgrmJnzgP0"",""'TP# look up'!A:C""),3,0),"""")"),"")</f>
        <v/>
      </c>
      <c r="AH8222" s="49" t="str">
        <f t="shared" si="128"/>
        <v/>
      </c>
    </row>
    <row r="8223" spans="8:34" ht="12.75">
      <c r="H8223" s="43"/>
      <c r="AG8223" s="49" t="str">
        <f ca="1">IFERROR(__xludf.DUMMYFUNCTION("IFNA(vlookup(H8223,IMPORTRANGE(""1vUGwO1n0QQGx9kKbO0_M5gmuhXZ6-LaxQxgrmJnzgP0"",""'TP# look up'!A:C""),3,0),"""")"),"")</f>
        <v/>
      </c>
      <c r="AH8223" s="49" t="str">
        <f t="shared" si="128"/>
        <v/>
      </c>
    </row>
    <row r="8224" spans="8:34" ht="12.75">
      <c r="H8224" s="43"/>
      <c r="AG8224" s="49" t="str">
        <f ca="1">IFERROR(__xludf.DUMMYFUNCTION("IFNA(vlookup(H8224,IMPORTRANGE(""1vUGwO1n0QQGx9kKbO0_M5gmuhXZ6-LaxQxgrmJnzgP0"",""'TP# look up'!A:C""),3,0),"""")"),"")</f>
        <v/>
      </c>
      <c r="AH8224" s="49" t="str">
        <f t="shared" si="128"/>
        <v/>
      </c>
    </row>
    <row r="8225" spans="8:34" ht="12.75">
      <c r="H8225" s="43"/>
      <c r="AG8225" s="49" t="str">
        <f ca="1">IFERROR(__xludf.DUMMYFUNCTION("IFNA(vlookup(H8225,IMPORTRANGE(""1vUGwO1n0QQGx9kKbO0_M5gmuhXZ6-LaxQxgrmJnzgP0"",""'TP# look up'!A:C""),3,0),"""")"),"")</f>
        <v/>
      </c>
      <c r="AH8225" s="49" t="str">
        <f t="shared" si="128"/>
        <v/>
      </c>
    </row>
    <row r="8226" spans="8:34" ht="12.75">
      <c r="H8226" s="43"/>
      <c r="AG8226" s="49" t="str">
        <f ca="1">IFERROR(__xludf.DUMMYFUNCTION("IFNA(vlookup(H8226,IMPORTRANGE(""1vUGwO1n0QQGx9kKbO0_M5gmuhXZ6-LaxQxgrmJnzgP0"",""'TP# look up'!A:C""),3,0),"""")"),"")</f>
        <v/>
      </c>
      <c r="AH8226" s="49" t="str">
        <f t="shared" si="128"/>
        <v/>
      </c>
    </row>
    <row r="8227" spans="8:34" ht="12.75">
      <c r="H8227" s="43"/>
      <c r="AG8227" s="49" t="str">
        <f ca="1">IFERROR(__xludf.DUMMYFUNCTION("IFNA(vlookup(H8227,IMPORTRANGE(""1vUGwO1n0QQGx9kKbO0_M5gmuhXZ6-LaxQxgrmJnzgP0"",""'TP# look up'!A:C""),3,0),"""")"),"")</f>
        <v/>
      </c>
      <c r="AH8227" s="49" t="str">
        <f t="shared" si="128"/>
        <v/>
      </c>
    </row>
    <row r="8228" spans="8:34" ht="12.75">
      <c r="H8228" s="43"/>
      <c r="AG8228" s="49" t="str">
        <f ca="1">IFERROR(__xludf.DUMMYFUNCTION("IFNA(vlookup(H8228,IMPORTRANGE(""1vUGwO1n0QQGx9kKbO0_M5gmuhXZ6-LaxQxgrmJnzgP0"",""'TP# look up'!A:C""),3,0),"""")"),"")</f>
        <v/>
      </c>
      <c r="AH8228" s="49" t="str">
        <f t="shared" si="128"/>
        <v/>
      </c>
    </row>
    <row r="8229" spans="8:34" ht="12.75">
      <c r="H8229" s="43"/>
      <c r="AG8229" s="49" t="str">
        <f ca="1">IFERROR(__xludf.DUMMYFUNCTION("IFNA(vlookup(H8229,IMPORTRANGE(""1vUGwO1n0QQGx9kKbO0_M5gmuhXZ6-LaxQxgrmJnzgP0"",""'TP# look up'!A:C""),3,0),"""")"),"")</f>
        <v/>
      </c>
      <c r="AH8229" s="49" t="str">
        <f t="shared" si="128"/>
        <v/>
      </c>
    </row>
    <row r="8230" spans="8:34" ht="12.75">
      <c r="H8230" s="43"/>
      <c r="AG8230" s="49" t="str">
        <f ca="1">IFERROR(__xludf.DUMMYFUNCTION("IFNA(vlookup(H8230,IMPORTRANGE(""1vUGwO1n0QQGx9kKbO0_M5gmuhXZ6-LaxQxgrmJnzgP0"",""'TP# look up'!A:C""),3,0),"""")"),"")</f>
        <v/>
      </c>
      <c r="AH8230" s="49" t="str">
        <f t="shared" si="128"/>
        <v/>
      </c>
    </row>
    <row r="8231" spans="8:34" ht="12.75">
      <c r="H8231" s="43"/>
      <c r="AG8231" s="49" t="str">
        <f ca="1">IFERROR(__xludf.DUMMYFUNCTION("IFNA(vlookup(H8231,IMPORTRANGE(""1vUGwO1n0QQGx9kKbO0_M5gmuhXZ6-LaxQxgrmJnzgP0"",""'TP# look up'!A:C""),3,0),"""")"),"")</f>
        <v/>
      </c>
      <c r="AH8231" s="49" t="str">
        <f t="shared" si="128"/>
        <v/>
      </c>
    </row>
    <row r="8232" spans="8:34" ht="12.75">
      <c r="H8232" s="43"/>
      <c r="AG8232" s="49" t="str">
        <f ca="1">IFERROR(__xludf.DUMMYFUNCTION("IFNA(vlookup(H8232,IMPORTRANGE(""1vUGwO1n0QQGx9kKbO0_M5gmuhXZ6-LaxQxgrmJnzgP0"",""'TP# look up'!A:C""),3,0),"""")"),"")</f>
        <v/>
      </c>
      <c r="AH8232" s="49" t="str">
        <f t="shared" si="128"/>
        <v/>
      </c>
    </row>
    <row r="8233" spans="8:34" ht="12.75">
      <c r="H8233" s="43"/>
      <c r="AG8233" s="49" t="str">
        <f ca="1">IFERROR(__xludf.DUMMYFUNCTION("IFNA(vlookup(H8233,IMPORTRANGE(""1vUGwO1n0QQGx9kKbO0_M5gmuhXZ6-LaxQxgrmJnzgP0"",""'TP# look up'!A:C""),3,0),"""")"),"")</f>
        <v/>
      </c>
      <c r="AH8233" s="49" t="str">
        <f t="shared" si="128"/>
        <v/>
      </c>
    </row>
    <row r="8234" spans="8:34" ht="12.75">
      <c r="H8234" s="43"/>
      <c r="AG8234" s="49" t="str">
        <f ca="1">IFERROR(__xludf.DUMMYFUNCTION("IFNA(vlookup(H8234,IMPORTRANGE(""1vUGwO1n0QQGx9kKbO0_M5gmuhXZ6-LaxQxgrmJnzgP0"",""'TP# look up'!A:C""),3,0),"""")"),"")</f>
        <v/>
      </c>
      <c r="AH8234" s="49" t="str">
        <f t="shared" si="128"/>
        <v/>
      </c>
    </row>
    <row r="8235" spans="8:34" ht="12.75">
      <c r="H8235" s="43"/>
      <c r="AG8235" s="49" t="str">
        <f ca="1">IFERROR(__xludf.DUMMYFUNCTION("IFNA(vlookup(H8235,IMPORTRANGE(""1vUGwO1n0QQGx9kKbO0_M5gmuhXZ6-LaxQxgrmJnzgP0"",""'TP# look up'!A:C""),3,0),"""")"),"")</f>
        <v/>
      </c>
      <c r="AH8235" s="49" t="str">
        <f t="shared" si="128"/>
        <v/>
      </c>
    </row>
    <row r="8236" spans="8:34" ht="12.75">
      <c r="H8236" s="43"/>
      <c r="AG8236" s="49" t="str">
        <f ca="1">IFERROR(__xludf.DUMMYFUNCTION("IFNA(vlookup(H8236,IMPORTRANGE(""1vUGwO1n0QQGx9kKbO0_M5gmuhXZ6-LaxQxgrmJnzgP0"",""'TP# look up'!A:C""),3,0),"""")"),"")</f>
        <v/>
      </c>
      <c r="AH8236" s="49" t="str">
        <f t="shared" si="128"/>
        <v/>
      </c>
    </row>
    <row r="8237" spans="8:34" ht="12.75">
      <c r="H8237" s="43"/>
      <c r="AG8237" s="49" t="str">
        <f ca="1">IFERROR(__xludf.DUMMYFUNCTION("IFNA(vlookup(H8237,IMPORTRANGE(""1vUGwO1n0QQGx9kKbO0_M5gmuhXZ6-LaxQxgrmJnzgP0"",""'TP# look up'!A:C""),3,0),"""")"),"")</f>
        <v/>
      </c>
      <c r="AH8237" s="49" t="str">
        <f t="shared" si="128"/>
        <v/>
      </c>
    </row>
    <row r="8238" spans="8:34" ht="12.75">
      <c r="H8238" s="43"/>
      <c r="AG8238" s="49" t="str">
        <f ca="1">IFERROR(__xludf.DUMMYFUNCTION("IFNA(vlookup(H8238,IMPORTRANGE(""1vUGwO1n0QQGx9kKbO0_M5gmuhXZ6-LaxQxgrmJnzgP0"",""'TP# look up'!A:C""),3,0),"""")"),"")</f>
        <v/>
      </c>
      <c r="AH8238" s="49" t="str">
        <f t="shared" si="128"/>
        <v/>
      </c>
    </row>
    <row r="8239" spans="8:34" ht="12.75">
      <c r="H8239" s="43"/>
      <c r="AG8239" s="49" t="str">
        <f ca="1">IFERROR(__xludf.DUMMYFUNCTION("IFNA(vlookup(H8239,IMPORTRANGE(""1vUGwO1n0QQGx9kKbO0_M5gmuhXZ6-LaxQxgrmJnzgP0"",""'TP# look up'!A:C""),3,0),"""")"),"")</f>
        <v/>
      </c>
      <c r="AH8239" s="49" t="str">
        <f t="shared" si="128"/>
        <v/>
      </c>
    </row>
    <row r="8240" spans="8:34" ht="12.75">
      <c r="H8240" s="43"/>
      <c r="AG8240" s="49" t="str">
        <f ca="1">IFERROR(__xludf.DUMMYFUNCTION("IFNA(vlookup(H8240,IMPORTRANGE(""1vUGwO1n0QQGx9kKbO0_M5gmuhXZ6-LaxQxgrmJnzgP0"",""'TP# look up'!A:C""),3,0),"""")"),"")</f>
        <v/>
      </c>
      <c r="AH8240" s="49" t="str">
        <f t="shared" si="128"/>
        <v/>
      </c>
    </row>
    <row r="8241" spans="8:34" ht="12.75">
      <c r="H8241" s="43"/>
      <c r="AG8241" s="49" t="str">
        <f ca="1">IFERROR(__xludf.DUMMYFUNCTION("IFNA(vlookup(H8241,IMPORTRANGE(""1vUGwO1n0QQGx9kKbO0_M5gmuhXZ6-LaxQxgrmJnzgP0"",""'TP# look up'!A:C""),3,0),"""")"),"")</f>
        <v/>
      </c>
      <c r="AH8241" s="49" t="str">
        <f t="shared" si="128"/>
        <v/>
      </c>
    </row>
    <row r="8242" spans="8:34" ht="12.75">
      <c r="H8242" s="43"/>
      <c r="AG8242" s="49" t="str">
        <f ca="1">IFERROR(__xludf.DUMMYFUNCTION("IFNA(vlookup(H8242,IMPORTRANGE(""1vUGwO1n0QQGx9kKbO0_M5gmuhXZ6-LaxQxgrmJnzgP0"",""'TP# look up'!A:C""),3,0),"""")"),"")</f>
        <v/>
      </c>
      <c r="AH8242" s="49" t="str">
        <f t="shared" si="128"/>
        <v/>
      </c>
    </row>
    <row r="8243" spans="8:34" ht="12.75">
      <c r="H8243" s="43"/>
      <c r="AG8243" s="49" t="str">
        <f ca="1">IFERROR(__xludf.DUMMYFUNCTION("IFNA(vlookup(H8243,IMPORTRANGE(""1vUGwO1n0QQGx9kKbO0_M5gmuhXZ6-LaxQxgrmJnzgP0"",""'TP# look up'!A:C""),3,0),"""")"),"")</f>
        <v/>
      </c>
      <c r="AH8243" s="49" t="str">
        <f t="shared" si="128"/>
        <v/>
      </c>
    </row>
    <row r="8244" spans="8:34" ht="12.75">
      <c r="H8244" s="43"/>
      <c r="AG8244" s="49" t="str">
        <f ca="1">IFERROR(__xludf.DUMMYFUNCTION("IFNA(vlookup(H8244,IMPORTRANGE(""1vUGwO1n0QQGx9kKbO0_M5gmuhXZ6-LaxQxgrmJnzgP0"",""'TP# look up'!A:C""),3,0),"""")"),"")</f>
        <v/>
      </c>
      <c r="AH8244" s="49" t="str">
        <f t="shared" si="128"/>
        <v/>
      </c>
    </row>
    <row r="8245" spans="8:34" ht="12.75">
      <c r="H8245" s="43"/>
      <c r="AG8245" s="49" t="str">
        <f ca="1">IFERROR(__xludf.DUMMYFUNCTION("IFNA(vlookup(H8245,IMPORTRANGE(""1vUGwO1n0QQGx9kKbO0_M5gmuhXZ6-LaxQxgrmJnzgP0"",""'TP# look up'!A:C""),3,0),"""")"),"")</f>
        <v/>
      </c>
      <c r="AH8245" s="49" t="str">
        <f t="shared" si="128"/>
        <v/>
      </c>
    </row>
    <row r="8246" spans="8:34" ht="12.75">
      <c r="H8246" s="43"/>
      <c r="AG8246" s="49" t="str">
        <f ca="1">IFERROR(__xludf.DUMMYFUNCTION("IFNA(vlookup(H8246,IMPORTRANGE(""1vUGwO1n0QQGx9kKbO0_M5gmuhXZ6-LaxQxgrmJnzgP0"",""'TP# look up'!A:C""),3,0),"""")"),"")</f>
        <v/>
      </c>
      <c r="AH8246" s="49" t="str">
        <f t="shared" si="128"/>
        <v/>
      </c>
    </row>
    <row r="8247" spans="8:34" ht="12.75">
      <c r="H8247" s="43"/>
      <c r="AG8247" s="49" t="str">
        <f ca="1">IFERROR(__xludf.DUMMYFUNCTION("IFNA(vlookup(H8247,IMPORTRANGE(""1vUGwO1n0QQGx9kKbO0_M5gmuhXZ6-LaxQxgrmJnzgP0"",""'TP# look up'!A:C""),3,0),"""")"),"")</f>
        <v/>
      </c>
      <c r="AH8247" s="49" t="str">
        <f t="shared" si="128"/>
        <v/>
      </c>
    </row>
    <row r="8248" spans="8:34" ht="12.75">
      <c r="H8248" s="43"/>
      <c r="AG8248" s="49" t="str">
        <f ca="1">IFERROR(__xludf.DUMMYFUNCTION("IFNA(vlookup(H8248,IMPORTRANGE(""1vUGwO1n0QQGx9kKbO0_M5gmuhXZ6-LaxQxgrmJnzgP0"",""'TP# look up'!A:C""),3,0),"""")"),"")</f>
        <v/>
      </c>
      <c r="AH8248" s="49" t="str">
        <f t="shared" si="128"/>
        <v/>
      </c>
    </row>
    <row r="8249" spans="8:34" ht="12.75">
      <c r="H8249" s="43"/>
      <c r="AG8249" s="49" t="str">
        <f ca="1">IFERROR(__xludf.DUMMYFUNCTION("IFNA(vlookup(H8249,IMPORTRANGE(""1vUGwO1n0QQGx9kKbO0_M5gmuhXZ6-LaxQxgrmJnzgP0"",""'TP# look up'!A:C""),3,0),"""")"),"")</f>
        <v/>
      </c>
      <c r="AH8249" s="49" t="str">
        <f t="shared" si="128"/>
        <v/>
      </c>
    </row>
    <row r="8250" spans="8:34" ht="12.75">
      <c r="H8250" s="43"/>
      <c r="AG8250" s="49" t="str">
        <f ca="1">IFERROR(__xludf.DUMMYFUNCTION("IFNA(vlookup(H8250,IMPORTRANGE(""1vUGwO1n0QQGx9kKbO0_M5gmuhXZ6-LaxQxgrmJnzgP0"",""'TP# look up'!A:C""),3,0),"""")"),"")</f>
        <v/>
      </c>
      <c r="AH8250" s="49" t="str">
        <f t="shared" si="128"/>
        <v/>
      </c>
    </row>
    <row r="8251" spans="8:34" ht="12.75">
      <c r="H8251" s="43"/>
      <c r="AG8251" s="49" t="str">
        <f ca="1">IFERROR(__xludf.DUMMYFUNCTION("IFNA(vlookup(H8251,IMPORTRANGE(""1vUGwO1n0QQGx9kKbO0_M5gmuhXZ6-LaxQxgrmJnzgP0"",""'TP# look up'!A:C""),3,0),"""")"),"")</f>
        <v/>
      </c>
      <c r="AH8251" s="49" t="str">
        <f t="shared" si="128"/>
        <v/>
      </c>
    </row>
    <row r="8252" spans="8:34" ht="12.75">
      <c r="H8252" s="43"/>
      <c r="AG8252" s="49" t="str">
        <f ca="1">IFERROR(__xludf.DUMMYFUNCTION("IFNA(vlookup(H8252,IMPORTRANGE(""1vUGwO1n0QQGx9kKbO0_M5gmuhXZ6-LaxQxgrmJnzgP0"",""'TP# look up'!A:C""),3,0),"""")"),"")</f>
        <v/>
      </c>
      <c r="AH8252" s="49" t="str">
        <f t="shared" si="128"/>
        <v/>
      </c>
    </row>
    <row r="8253" spans="8:34" ht="12.75">
      <c r="H8253" s="43"/>
      <c r="AG8253" s="49" t="str">
        <f ca="1">IFERROR(__xludf.DUMMYFUNCTION("IFNA(vlookup(H8253,IMPORTRANGE(""1vUGwO1n0QQGx9kKbO0_M5gmuhXZ6-LaxQxgrmJnzgP0"",""'TP# look up'!A:C""),3,0),"""")"),"")</f>
        <v/>
      </c>
      <c r="AH8253" s="49" t="str">
        <f t="shared" si="128"/>
        <v/>
      </c>
    </row>
    <row r="8254" spans="8:34" ht="12.75">
      <c r="H8254" s="43"/>
      <c r="AG8254" s="49" t="str">
        <f ca="1">IFERROR(__xludf.DUMMYFUNCTION("IFNA(vlookup(H8254,IMPORTRANGE(""1vUGwO1n0QQGx9kKbO0_M5gmuhXZ6-LaxQxgrmJnzgP0"",""'TP# look up'!A:C""),3,0),"""")"),"")</f>
        <v/>
      </c>
      <c r="AH8254" s="49" t="str">
        <f t="shared" si="128"/>
        <v/>
      </c>
    </row>
    <row r="8255" spans="8:34" ht="12.75">
      <c r="H8255" s="43"/>
      <c r="AG8255" s="49" t="str">
        <f ca="1">IFERROR(__xludf.DUMMYFUNCTION("IFNA(vlookup(H8255,IMPORTRANGE(""1vUGwO1n0QQGx9kKbO0_M5gmuhXZ6-LaxQxgrmJnzgP0"",""'TP# look up'!A:C""),3,0),"""")"),"")</f>
        <v/>
      </c>
      <c r="AH8255" s="49" t="str">
        <f t="shared" si="128"/>
        <v/>
      </c>
    </row>
    <row r="8256" spans="8:34" ht="12.75">
      <c r="H8256" s="43"/>
      <c r="AG8256" s="49" t="str">
        <f ca="1">IFERROR(__xludf.DUMMYFUNCTION("IFNA(vlookup(H8256,IMPORTRANGE(""1vUGwO1n0QQGx9kKbO0_M5gmuhXZ6-LaxQxgrmJnzgP0"",""'TP# look up'!A:C""),3,0),"""")"),"")</f>
        <v/>
      </c>
      <c r="AH8256" s="49" t="str">
        <f t="shared" si="128"/>
        <v/>
      </c>
    </row>
    <row r="8257" spans="8:34" ht="12.75">
      <c r="H8257" s="43"/>
      <c r="AG8257" s="49" t="str">
        <f ca="1">IFERROR(__xludf.DUMMYFUNCTION("IFNA(vlookup(H8257,IMPORTRANGE(""1vUGwO1n0QQGx9kKbO0_M5gmuhXZ6-LaxQxgrmJnzgP0"",""'TP# look up'!A:C""),3,0),"""")"),"")</f>
        <v/>
      </c>
      <c r="AH8257" s="49" t="str">
        <f t="shared" si="128"/>
        <v/>
      </c>
    </row>
    <row r="8258" spans="8:34" ht="12.75">
      <c r="H8258" s="43"/>
      <c r="AG8258" s="49" t="str">
        <f ca="1">IFERROR(__xludf.DUMMYFUNCTION("IFNA(vlookup(H8258,IMPORTRANGE(""1vUGwO1n0QQGx9kKbO0_M5gmuhXZ6-LaxQxgrmJnzgP0"",""'TP# look up'!A:C""),3,0),"""")"),"")</f>
        <v/>
      </c>
      <c r="AH8258" s="49" t="str">
        <f t="shared" ref="AH8258:AH8321" si="129">LEFT(J8258,2)</f>
        <v/>
      </c>
    </row>
    <row r="8259" spans="8:34" ht="12.75">
      <c r="H8259" s="43"/>
      <c r="AG8259" s="49" t="str">
        <f ca="1">IFERROR(__xludf.DUMMYFUNCTION("IFNA(vlookup(H8259,IMPORTRANGE(""1vUGwO1n0QQGx9kKbO0_M5gmuhXZ6-LaxQxgrmJnzgP0"",""'TP# look up'!A:C""),3,0),"""")"),"")</f>
        <v/>
      </c>
      <c r="AH8259" s="49" t="str">
        <f t="shared" si="129"/>
        <v/>
      </c>
    </row>
    <row r="8260" spans="8:34" ht="12.75">
      <c r="H8260" s="43"/>
      <c r="AG8260" s="49" t="str">
        <f ca="1">IFERROR(__xludf.DUMMYFUNCTION("IFNA(vlookup(H8260,IMPORTRANGE(""1vUGwO1n0QQGx9kKbO0_M5gmuhXZ6-LaxQxgrmJnzgP0"",""'TP# look up'!A:C""),3,0),"""")"),"")</f>
        <v/>
      </c>
      <c r="AH8260" s="49" t="str">
        <f t="shared" si="129"/>
        <v/>
      </c>
    </row>
    <row r="8261" spans="8:34" ht="12.75">
      <c r="H8261" s="43"/>
      <c r="AG8261" s="49" t="str">
        <f ca="1">IFERROR(__xludf.DUMMYFUNCTION("IFNA(vlookup(H8261,IMPORTRANGE(""1vUGwO1n0QQGx9kKbO0_M5gmuhXZ6-LaxQxgrmJnzgP0"",""'TP# look up'!A:C""),3,0),"""")"),"")</f>
        <v/>
      </c>
      <c r="AH8261" s="49" t="str">
        <f t="shared" si="129"/>
        <v/>
      </c>
    </row>
    <row r="8262" spans="8:34" ht="12.75">
      <c r="H8262" s="43"/>
      <c r="AG8262" s="49" t="str">
        <f ca="1">IFERROR(__xludf.DUMMYFUNCTION("IFNA(vlookup(H8262,IMPORTRANGE(""1vUGwO1n0QQGx9kKbO0_M5gmuhXZ6-LaxQxgrmJnzgP0"",""'TP# look up'!A:C""),3,0),"""")"),"")</f>
        <v/>
      </c>
      <c r="AH8262" s="49" t="str">
        <f t="shared" si="129"/>
        <v/>
      </c>
    </row>
    <row r="8263" spans="8:34" ht="12.75">
      <c r="H8263" s="43"/>
      <c r="AG8263" s="49" t="str">
        <f ca="1">IFERROR(__xludf.DUMMYFUNCTION("IFNA(vlookup(H8263,IMPORTRANGE(""1vUGwO1n0QQGx9kKbO0_M5gmuhXZ6-LaxQxgrmJnzgP0"",""'TP# look up'!A:C""),3,0),"""")"),"")</f>
        <v/>
      </c>
      <c r="AH8263" s="49" t="str">
        <f t="shared" si="129"/>
        <v/>
      </c>
    </row>
    <row r="8264" spans="8:34" ht="12.75">
      <c r="H8264" s="43"/>
      <c r="AG8264" s="49" t="str">
        <f ca="1">IFERROR(__xludf.DUMMYFUNCTION("IFNA(vlookup(H8264,IMPORTRANGE(""1vUGwO1n0QQGx9kKbO0_M5gmuhXZ6-LaxQxgrmJnzgP0"",""'TP# look up'!A:C""),3,0),"""")"),"")</f>
        <v/>
      </c>
      <c r="AH8264" s="49" t="str">
        <f t="shared" si="129"/>
        <v/>
      </c>
    </row>
    <row r="8265" spans="8:34" ht="12.75">
      <c r="H8265" s="43"/>
      <c r="AG8265" s="49" t="str">
        <f ca="1">IFERROR(__xludf.DUMMYFUNCTION("IFNA(vlookup(H8265,IMPORTRANGE(""1vUGwO1n0QQGx9kKbO0_M5gmuhXZ6-LaxQxgrmJnzgP0"",""'TP# look up'!A:C""),3,0),"""")"),"")</f>
        <v/>
      </c>
      <c r="AH8265" s="49" t="str">
        <f t="shared" si="129"/>
        <v/>
      </c>
    </row>
    <row r="8266" spans="8:34" ht="12.75">
      <c r="H8266" s="43"/>
      <c r="AG8266" s="49" t="str">
        <f ca="1">IFERROR(__xludf.DUMMYFUNCTION("IFNA(vlookup(H8266,IMPORTRANGE(""1vUGwO1n0QQGx9kKbO0_M5gmuhXZ6-LaxQxgrmJnzgP0"",""'TP# look up'!A:C""),3,0),"""")"),"")</f>
        <v/>
      </c>
      <c r="AH8266" s="49" t="str">
        <f t="shared" si="129"/>
        <v/>
      </c>
    </row>
    <row r="8267" spans="8:34" ht="12.75">
      <c r="H8267" s="43"/>
      <c r="AG8267" s="49" t="str">
        <f ca="1">IFERROR(__xludf.DUMMYFUNCTION("IFNA(vlookup(H8267,IMPORTRANGE(""1vUGwO1n0QQGx9kKbO0_M5gmuhXZ6-LaxQxgrmJnzgP0"",""'TP# look up'!A:C""),3,0),"""")"),"")</f>
        <v/>
      </c>
      <c r="AH8267" s="49" t="str">
        <f t="shared" si="129"/>
        <v/>
      </c>
    </row>
    <row r="8268" spans="8:34" ht="12.75">
      <c r="H8268" s="43"/>
      <c r="AG8268" s="49" t="str">
        <f ca="1">IFERROR(__xludf.DUMMYFUNCTION("IFNA(vlookup(H8268,IMPORTRANGE(""1vUGwO1n0QQGx9kKbO0_M5gmuhXZ6-LaxQxgrmJnzgP0"",""'TP# look up'!A:C""),3,0),"""")"),"")</f>
        <v/>
      </c>
      <c r="AH8268" s="49" t="str">
        <f t="shared" si="129"/>
        <v/>
      </c>
    </row>
    <row r="8269" spans="8:34" ht="12.75">
      <c r="H8269" s="43"/>
      <c r="AG8269" s="49" t="str">
        <f ca="1">IFERROR(__xludf.DUMMYFUNCTION("IFNA(vlookup(H8269,IMPORTRANGE(""1vUGwO1n0QQGx9kKbO0_M5gmuhXZ6-LaxQxgrmJnzgP0"",""'TP# look up'!A:C""),3,0),"""")"),"")</f>
        <v/>
      </c>
      <c r="AH8269" s="49" t="str">
        <f t="shared" si="129"/>
        <v/>
      </c>
    </row>
    <row r="8270" spans="8:34" ht="12.75">
      <c r="H8270" s="43"/>
      <c r="AG8270" s="49" t="str">
        <f ca="1">IFERROR(__xludf.DUMMYFUNCTION("IFNA(vlookup(H8270,IMPORTRANGE(""1vUGwO1n0QQGx9kKbO0_M5gmuhXZ6-LaxQxgrmJnzgP0"",""'TP# look up'!A:C""),3,0),"""")"),"")</f>
        <v/>
      </c>
      <c r="AH8270" s="49" t="str">
        <f t="shared" si="129"/>
        <v/>
      </c>
    </row>
    <row r="8271" spans="8:34" ht="12.75">
      <c r="H8271" s="43"/>
      <c r="AG8271" s="49" t="str">
        <f ca="1">IFERROR(__xludf.DUMMYFUNCTION("IFNA(vlookup(H8271,IMPORTRANGE(""1vUGwO1n0QQGx9kKbO0_M5gmuhXZ6-LaxQxgrmJnzgP0"",""'TP# look up'!A:C""),3,0),"""")"),"")</f>
        <v/>
      </c>
      <c r="AH8271" s="49" t="str">
        <f t="shared" si="129"/>
        <v/>
      </c>
    </row>
    <row r="8272" spans="8:34" ht="12.75">
      <c r="H8272" s="43"/>
      <c r="AG8272" s="49" t="str">
        <f ca="1">IFERROR(__xludf.DUMMYFUNCTION("IFNA(vlookup(H8272,IMPORTRANGE(""1vUGwO1n0QQGx9kKbO0_M5gmuhXZ6-LaxQxgrmJnzgP0"",""'TP# look up'!A:C""),3,0),"""")"),"")</f>
        <v/>
      </c>
      <c r="AH8272" s="49" t="str">
        <f t="shared" si="129"/>
        <v/>
      </c>
    </row>
    <row r="8273" spans="8:34" ht="12.75">
      <c r="H8273" s="43"/>
      <c r="AG8273" s="49" t="str">
        <f ca="1">IFERROR(__xludf.DUMMYFUNCTION("IFNA(vlookup(H8273,IMPORTRANGE(""1vUGwO1n0QQGx9kKbO0_M5gmuhXZ6-LaxQxgrmJnzgP0"",""'TP# look up'!A:C""),3,0),"""")"),"")</f>
        <v/>
      </c>
      <c r="AH8273" s="49" t="str">
        <f t="shared" si="129"/>
        <v/>
      </c>
    </row>
    <row r="8274" spans="8:34" ht="12.75">
      <c r="H8274" s="43"/>
      <c r="AG8274" s="49" t="str">
        <f ca="1">IFERROR(__xludf.DUMMYFUNCTION("IFNA(vlookup(H8274,IMPORTRANGE(""1vUGwO1n0QQGx9kKbO0_M5gmuhXZ6-LaxQxgrmJnzgP0"",""'TP# look up'!A:C""),3,0),"""")"),"")</f>
        <v/>
      </c>
      <c r="AH8274" s="49" t="str">
        <f t="shared" si="129"/>
        <v/>
      </c>
    </row>
    <row r="8275" spans="8:34" ht="12.75">
      <c r="H8275" s="43"/>
      <c r="AG8275" s="49" t="str">
        <f ca="1">IFERROR(__xludf.DUMMYFUNCTION("IFNA(vlookup(H8275,IMPORTRANGE(""1vUGwO1n0QQGx9kKbO0_M5gmuhXZ6-LaxQxgrmJnzgP0"",""'TP# look up'!A:C""),3,0),"""")"),"")</f>
        <v/>
      </c>
      <c r="AH8275" s="49" t="str">
        <f t="shared" si="129"/>
        <v/>
      </c>
    </row>
    <row r="8276" spans="8:34" ht="12.75">
      <c r="H8276" s="43"/>
      <c r="AG8276" s="49" t="str">
        <f ca="1">IFERROR(__xludf.DUMMYFUNCTION("IFNA(vlookup(H8276,IMPORTRANGE(""1vUGwO1n0QQGx9kKbO0_M5gmuhXZ6-LaxQxgrmJnzgP0"",""'TP# look up'!A:C""),3,0),"""")"),"")</f>
        <v/>
      </c>
      <c r="AH8276" s="49" t="str">
        <f t="shared" si="129"/>
        <v/>
      </c>
    </row>
    <row r="8277" spans="8:34" ht="12.75">
      <c r="H8277" s="43"/>
      <c r="AG8277" s="49" t="str">
        <f ca="1">IFERROR(__xludf.DUMMYFUNCTION("IFNA(vlookup(H8277,IMPORTRANGE(""1vUGwO1n0QQGx9kKbO0_M5gmuhXZ6-LaxQxgrmJnzgP0"",""'TP# look up'!A:C""),3,0),"""")"),"")</f>
        <v/>
      </c>
      <c r="AH8277" s="49" t="str">
        <f t="shared" si="129"/>
        <v/>
      </c>
    </row>
    <row r="8278" spans="8:34" ht="12.75">
      <c r="H8278" s="43"/>
      <c r="AG8278" s="49" t="str">
        <f ca="1">IFERROR(__xludf.DUMMYFUNCTION("IFNA(vlookup(H8278,IMPORTRANGE(""1vUGwO1n0QQGx9kKbO0_M5gmuhXZ6-LaxQxgrmJnzgP0"",""'TP# look up'!A:C""),3,0),"""")"),"")</f>
        <v/>
      </c>
      <c r="AH8278" s="49" t="str">
        <f t="shared" si="129"/>
        <v/>
      </c>
    </row>
    <row r="8279" spans="8:34" ht="12.75">
      <c r="H8279" s="43"/>
      <c r="AG8279" s="49" t="str">
        <f ca="1">IFERROR(__xludf.DUMMYFUNCTION("IFNA(vlookup(H8279,IMPORTRANGE(""1vUGwO1n0QQGx9kKbO0_M5gmuhXZ6-LaxQxgrmJnzgP0"",""'TP# look up'!A:C""),3,0),"""")"),"")</f>
        <v/>
      </c>
      <c r="AH8279" s="49" t="str">
        <f t="shared" si="129"/>
        <v/>
      </c>
    </row>
    <row r="8280" spans="8:34" ht="12.75">
      <c r="H8280" s="43"/>
      <c r="AG8280" s="49" t="str">
        <f ca="1">IFERROR(__xludf.DUMMYFUNCTION("IFNA(vlookup(H8280,IMPORTRANGE(""1vUGwO1n0QQGx9kKbO0_M5gmuhXZ6-LaxQxgrmJnzgP0"",""'TP# look up'!A:C""),3,0),"""")"),"")</f>
        <v/>
      </c>
      <c r="AH8280" s="49" t="str">
        <f t="shared" si="129"/>
        <v/>
      </c>
    </row>
    <row r="8281" spans="8:34" ht="12.75">
      <c r="H8281" s="43"/>
      <c r="AG8281" s="49" t="str">
        <f ca="1">IFERROR(__xludf.DUMMYFUNCTION("IFNA(vlookup(H8281,IMPORTRANGE(""1vUGwO1n0QQGx9kKbO0_M5gmuhXZ6-LaxQxgrmJnzgP0"",""'TP# look up'!A:C""),3,0),"""")"),"")</f>
        <v/>
      </c>
      <c r="AH8281" s="49" t="str">
        <f t="shared" si="129"/>
        <v/>
      </c>
    </row>
    <row r="8282" spans="8:34" ht="12.75">
      <c r="H8282" s="43"/>
      <c r="AG8282" s="49" t="str">
        <f ca="1">IFERROR(__xludf.DUMMYFUNCTION("IFNA(vlookup(H8282,IMPORTRANGE(""1vUGwO1n0QQGx9kKbO0_M5gmuhXZ6-LaxQxgrmJnzgP0"",""'TP# look up'!A:C""),3,0),"""")"),"")</f>
        <v/>
      </c>
      <c r="AH8282" s="49" t="str">
        <f t="shared" si="129"/>
        <v/>
      </c>
    </row>
    <row r="8283" spans="8:34" ht="12.75">
      <c r="H8283" s="43"/>
      <c r="AG8283" s="49" t="str">
        <f ca="1">IFERROR(__xludf.DUMMYFUNCTION("IFNA(vlookup(H8283,IMPORTRANGE(""1vUGwO1n0QQGx9kKbO0_M5gmuhXZ6-LaxQxgrmJnzgP0"",""'TP# look up'!A:C""),3,0),"""")"),"")</f>
        <v/>
      </c>
      <c r="AH8283" s="49" t="str">
        <f t="shared" si="129"/>
        <v/>
      </c>
    </row>
    <row r="8284" spans="8:34" ht="12.75">
      <c r="H8284" s="43"/>
      <c r="AG8284" s="49" t="str">
        <f ca="1">IFERROR(__xludf.DUMMYFUNCTION("IFNA(vlookup(H8284,IMPORTRANGE(""1vUGwO1n0QQGx9kKbO0_M5gmuhXZ6-LaxQxgrmJnzgP0"",""'TP# look up'!A:C""),3,0),"""")"),"")</f>
        <v/>
      </c>
      <c r="AH8284" s="49" t="str">
        <f t="shared" si="129"/>
        <v/>
      </c>
    </row>
    <row r="8285" spans="8:34" ht="12.75">
      <c r="H8285" s="43"/>
      <c r="AG8285" s="49" t="str">
        <f ca="1">IFERROR(__xludf.DUMMYFUNCTION("IFNA(vlookup(H8285,IMPORTRANGE(""1vUGwO1n0QQGx9kKbO0_M5gmuhXZ6-LaxQxgrmJnzgP0"",""'TP# look up'!A:C""),3,0),"""")"),"")</f>
        <v/>
      </c>
      <c r="AH8285" s="49" t="str">
        <f t="shared" si="129"/>
        <v/>
      </c>
    </row>
    <row r="8286" spans="8:34" ht="12.75">
      <c r="H8286" s="43"/>
      <c r="AG8286" s="49" t="str">
        <f ca="1">IFERROR(__xludf.DUMMYFUNCTION("IFNA(vlookup(H8286,IMPORTRANGE(""1vUGwO1n0QQGx9kKbO0_M5gmuhXZ6-LaxQxgrmJnzgP0"",""'TP# look up'!A:C""),3,0),"""")"),"")</f>
        <v/>
      </c>
      <c r="AH8286" s="49" t="str">
        <f t="shared" si="129"/>
        <v/>
      </c>
    </row>
    <row r="8287" spans="8:34" ht="12.75">
      <c r="H8287" s="43"/>
      <c r="AG8287" s="49" t="str">
        <f ca="1">IFERROR(__xludf.DUMMYFUNCTION("IFNA(vlookup(H8287,IMPORTRANGE(""1vUGwO1n0QQGx9kKbO0_M5gmuhXZ6-LaxQxgrmJnzgP0"",""'TP# look up'!A:C""),3,0),"""")"),"")</f>
        <v/>
      </c>
      <c r="AH8287" s="49" t="str">
        <f t="shared" si="129"/>
        <v/>
      </c>
    </row>
    <row r="8288" spans="8:34" ht="12.75">
      <c r="H8288" s="43"/>
      <c r="AG8288" s="49" t="str">
        <f ca="1">IFERROR(__xludf.DUMMYFUNCTION("IFNA(vlookup(H8288,IMPORTRANGE(""1vUGwO1n0QQGx9kKbO0_M5gmuhXZ6-LaxQxgrmJnzgP0"",""'TP# look up'!A:C""),3,0),"""")"),"")</f>
        <v/>
      </c>
      <c r="AH8288" s="49" t="str">
        <f t="shared" si="129"/>
        <v/>
      </c>
    </row>
    <row r="8289" spans="8:34" ht="12.75">
      <c r="H8289" s="43"/>
      <c r="AG8289" s="49" t="str">
        <f ca="1">IFERROR(__xludf.DUMMYFUNCTION("IFNA(vlookup(H8289,IMPORTRANGE(""1vUGwO1n0QQGx9kKbO0_M5gmuhXZ6-LaxQxgrmJnzgP0"",""'TP# look up'!A:C""),3,0),"""")"),"")</f>
        <v/>
      </c>
      <c r="AH8289" s="49" t="str">
        <f t="shared" si="129"/>
        <v/>
      </c>
    </row>
    <row r="8290" spans="8:34" ht="12.75">
      <c r="H8290" s="43"/>
      <c r="AG8290" s="49" t="str">
        <f ca="1">IFERROR(__xludf.DUMMYFUNCTION("IFNA(vlookup(H8290,IMPORTRANGE(""1vUGwO1n0QQGx9kKbO0_M5gmuhXZ6-LaxQxgrmJnzgP0"",""'TP# look up'!A:C""),3,0),"""")"),"")</f>
        <v/>
      </c>
      <c r="AH8290" s="49" t="str">
        <f t="shared" si="129"/>
        <v/>
      </c>
    </row>
    <row r="8291" spans="8:34" ht="12.75">
      <c r="H8291" s="43"/>
      <c r="AG8291" s="49" t="str">
        <f ca="1">IFERROR(__xludf.DUMMYFUNCTION("IFNA(vlookup(H8291,IMPORTRANGE(""1vUGwO1n0QQGx9kKbO0_M5gmuhXZ6-LaxQxgrmJnzgP0"",""'TP# look up'!A:C""),3,0),"""")"),"")</f>
        <v/>
      </c>
      <c r="AH8291" s="49" t="str">
        <f t="shared" si="129"/>
        <v/>
      </c>
    </row>
    <row r="8292" spans="8:34" ht="12.75">
      <c r="H8292" s="43"/>
      <c r="AG8292" s="49" t="str">
        <f ca="1">IFERROR(__xludf.DUMMYFUNCTION("IFNA(vlookup(H8292,IMPORTRANGE(""1vUGwO1n0QQGx9kKbO0_M5gmuhXZ6-LaxQxgrmJnzgP0"",""'TP# look up'!A:C""),3,0),"""")"),"")</f>
        <v/>
      </c>
      <c r="AH8292" s="49" t="str">
        <f t="shared" si="129"/>
        <v/>
      </c>
    </row>
    <row r="8293" spans="8:34" ht="12.75">
      <c r="H8293" s="43"/>
      <c r="AG8293" s="49" t="str">
        <f ca="1">IFERROR(__xludf.DUMMYFUNCTION("IFNA(vlookup(H8293,IMPORTRANGE(""1vUGwO1n0QQGx9kKbO0_M5gmuhXZ6-LaxQxgrmJnzgP0"",""'TP# look up'!A:C""),3,0),"""")"),"")</f>
        <v/>
      </c>
      <c r="AH8293" s="49" t="str">
        <f t="shared" si="129"/>
        <v/>
      </c>
    </row>
    <row r="8294" spans="8:34" ht="12.75">
      <c r="H8294" s="43"/>
      <c r="AG8294" s="49" t="str">
        <f ca="1">IFERROR(__xludf.DUMMYFUNCTION("IFNA(vlookup(H8294,IMPORTRANGE(""1vUGwO1n0QQGx9kKbO0_M5gmuhXZ6-LaxQxgrmJnzgP0"",""'TP# look up'!A:C""),3,0),"""")"),"")</f>
        <v/>
      </c>
      <c r="AH8294" s="49" t="str">
        <f t="shared" si="129"/>
        <v/>
      </c>
    </row>
    <row r="8295" spans="8:34" ht="12.75">
      <c r="H8295" s="43"/>
      <c r="AG8295" s="49" t="str">
        <f ca="1">IFERROR(__xludf.DUMMYFUNCTION("IFNA(vlookup(H8295,IMPORTRANGE(""1vUGwO1n0QQGx9kKbO0_M5gmuhXZ6-LaxQxgrmJnzgP0"",""'TP# look up'!A:C""),3,0),"""")"),"")</f>
        <v/>
      </c>
      <c r="AH8295" s="49" t="str">
        <f t="shared" si="129"/>
        <v/>
      </c>
    </row>
    <row r="8296" spans="8:34" ht="12.75">
      <c r="H8296" s="43"/>
      <c r="AG8296" s="49" t="str">
        <f ca="1">IFERROR(__xludf.DUMMYFUNCTION("IFNA(vlookup(H8296,IMPORTRANGE(""1vUGwO1n0QQGx9kKbO0_M5gmuhXZ6-LaxQxgrmJnzgP0"",""'TP# look up'!A:C""),3,0),"""")"),"")</f>
        <v/>
      </c>
      <c r="AH8296" s="49" t="str">
        <f t="shared" si="129"/>
        <v/>
      </c>
    </row>
    <row r="8297" spans="8:34" ht="12.75">
      <c r="H8297" s="43"/>
      <c r="AG8297" s="49" t="str">
        <f ca="1">IFERROR(__xludf.DUMMYFUNCTION("IFNA(vlookup(H8297,IMPORTRANGE(""1vUGwO1n0QQGx9kKbO0_M5gmuhXZ6-LaxQxgrmJnzgP0"",""'TP# look up'!A:C""),3,0),"""")"),"")</f>
        <v/>
      </c>
      <c r="AH8297" s="49" t="str">
        <f t="shared" si="129"/>
        <v/>
      </c>
    </row>
    <row r="8298" spans="8:34" ht="12.75">
      <c r="H8298" s="43"/>
      <c r="AG8298" s="49" t="str">
        <f ca="1">IFERROR(__xludf.DUMMYFUNCTION("IFNA(vlookup(H8298,IMPORTRANGE(""1vUGwO1n0QQGx9kKbO0_M5gmuhXZ6-LaxQxgrmJnzgP0"",""'TP# look up'!A:C""),3,0),"""")"),"")</f>
        <v/>
      </c>
      <c r="AH8298" s="49" t="str">
        <f t="shared" si="129"/>
        <v/>
      </c>
    </row>
    <row r="8299" spans="8:34" ht="12.75">
      <c r="H8299" s="43"/>
      <c r="AG8299" s="49" t="str">
        <f ca="1">IFERROR(__xludf.DUMMYFUNCTION("IFNA(vlookup(H8299,IMPORTRANGE(""1vUGwO1n0QQGx9kKbO0_M5gmuhXZ6-LaxQxgrmJnzgP0"",""'TP# look up'!A:C""),3,0),"""")"),"")</f>
        <v/>
      </c>
      <c r="AH8299" s="49" t="str">
        <f t="shared" si="129"/>
        <v/>
      </c>
    </row>
    <row r="8300" spans="8:34" ht="12.75">
      <c r="H8300" s="43"/>
      <c r="AG8300" s="49" t="str">
        <f ca="1">IFERROR(__xludf.DUMMYFUNCTION("IFNA(vlookup(H8300,IMPORTRANGE(""1vUGwO1n0QQGx9kKbO0_M5gmuhXZ6-LaxQxgrmJnzgP0"",""'TP# look up'!A:C""),3,0),"""")"),"")</f>
        <v/>
      </c>
      <c r="AH8300" s="49" t="str">
        <f t="shared" si="129"/>
        <v/>
      </c>
    </row>
    <row r="8301" spans="8:34" ht="12.75">
      <c r="H8301" s="43"/>
      <c r="AG8301" s="49" t="str">
        <f ca="1">IFERROR(__xludf.DUMMYFUNCTION("IFNA(vlookup(H8301,IMPORTRANGE(""1vUGwO1n0QQGx9kKbO0_M5gmuhXZ6-LaxQxgrmJnzgP0"",""'TP# look up'!A:C""),3,0),"""")"),"")</f>
        <v/>
      </c>
      <c r="AH8301" s="49" t="str">
        <f t="shared" si="129"/>
        <v/>
      </c>
    </row>
    <row r="8302" spans="8:34" ht="12.75">
      <c r="H8302" s="43"/>
      <c r="AG8302" s="49" t="str">
        <f ca="1">IFERROR(__xludf.DUMMYFUNCTION("IFNA(vlookup(H8302,IMPORTRANGE(""1vUGwO1n0QQGx9kKbO0_M5gmuhXZ6-LaxQxgrmJnzgP0"",""'TP# look up'!A:C""),3,0),"""")"),"")</f>
        <v/>
      </c>
      <c r="AH8302" s="49" t="str">
        <f t="shared" si="129"/>
        <v/>
      </c>
    </row>
    <row r="8303" spans="8:34" ht="12.75">
      <c r="H8303" s="43"/>
      <c r="AG8303" s="49" t="str">
        <f ca="1">IFERROR(__xludf.DUMMYFUNCTION("IFNA(vlookup(H8303,IMPORTRANGE(""1vUGwO1n0QQGx9kKbO0_M5gmuhXZ6-LaxQxgrmJnzgP0"",""'TP# look up'!A:C""),3,0),"""")"),"")</f>
        <v/>
      </c>
      <c r="AH8303" s="49" t="str">
        <f t="shared" si="129"/>
        <v/>
      </c>
    </row>
    <row r="8304" spans="8:34" ht="12.75">
      <c r="H8304" s="43"/>
      <c r="AG8304" s="49" t="str">
        <f ca="1">IFERROR(__xludf.DUMMYFUNCTION("IFNA(vlookup(H8304,IMPORTRANGE(""1vUGwO1n0QQGx9kKbO0_M5gmuhXZ6-LaxQxgrmJnzgP0"",""'TP# look up'!A:C""),3,0),"""")"),"")</f>
        <v/>
      </c>
      <c r="AH8304" s="49" t="str">
        <f t="shared" si="129"/>
        <v/>
      </c>
    </row>
    <row r="8305" spans="8:34" ht="12.75">
      <c r="H8305" s="43"/>
      <c r="AG8305" s="49" t="str">
        <f ca="1">IFERROR(__xludf.DUMMYFUNCTION("IFNA(vlookup(H8305,IMPORTRANGE(""1vUGwO1n0QQGx9kKbO0_M5gmuhXZ6-LaxQxgrmJnzgP0"",""'TP# look up'!A:C""),3,0),"""")"),"")</f>
        <v/>
      </c>
      <c r="AH8305" s="49" t="str">
        <f t="shared" si="129"/>
        <v/>
      </c>
    </row>
    <row r="8306" spans="8:34" ht="12.75">
      <c r="H8306" s="43"/>
      <c r="AG8306" s="49" t="str">
        <f ca="1">IFERROR(__xludf.DUMMYFUNCTION("IFNA(vlookup(H8306,IMPORTRANGE(""1vUGwO1n0QQGx9kKbO0_M5gmuhXZ6-LaxQxgrmJnzgP0"",""'TP# look up'!A:C""),3,0),"""")"),"")</f>
        <v/>
      </c>
      <c r="AH8306" s="49" t="str">
        <f t="shared" si="129"/>
        <v/>
      </c>
    </row>
    <row r="8307" spans="8:34" ht="12.75">
      <c r="H8307" s="43"/>
      <c r="AG8307" s="49" t="str">
        <f ca="1">IFERROR(__xludf.DUMMYFUNCTION("IFNA(vlookup(H8307,IMPORTRANGE(""1vUGwO1n0QQGx9kKbO0_M5gmuhXZ6-LaxQxgrmJnzgP0"",""'TP# look up'!A:C""),3,0),"""")"),"")</f>
        <v/>
      </c>
      <c r="AH8307" s="49" t="str">
        <f t="shared" si="129"/>
        <v/>
      </c>
    </row>
    <row r="8308" spans="8:34" ht="12.75">
      <c r="H8308" s="43"/>
      <c r="AG8308" s="49" t="str">
        <f ca="1">IFERROR(__xludf.DUMMYFUNCTION("IFNA(vlookup(H8308,IMPORTRANGE(""1vUGwO1n0QQGx9kKbO0_M5gmuhXZ6-LaxQxgrmJnzgP0"",""'TP# look up'!A:C""),3,0),"""")"),"")</f>
        <v/>
      </c>
      <c r="AH8308" s="49" t="str">
        <f t="shared" si="129"/>
        <v/>
      </c>
    </row>
    <row r="8309" spans="8:34" ht="12.75">
      <c r="H8309" s="43"/>
      <c r="AG8309" s="49" t="str">
        <f ca="1">IFERROR(__xludf.DUMMYFUNCTION("IFNA(vlookup(H8309,IMPORTRANGE(""1vUGwO1n0QQGx9kKbO0_M5gmuhXZ6-LaxQxgrmJnzgP0"",""'TP# look up'!A:C""),3,0),"""")"),"")</f>
        <v/>
      </c>
      <c r="AH8309" s="49" t="str">
        <f t="shared" si="129"/>
        <v/>
      </c>
    </row>
    <row r="8310" spans="8:34" ht="12.75">
      <c r="H8310" s="43"/>
      <c r="AG8310" s="49" t="str">
        <f ca="1">IFERROR(__xludf.DUMMYFUNCTION("IFNA(vlookup(H8310,IMPORTRANGE(""1vUGwO1n0QQGx9kKbO0_M5gmuhXZ6-LaxQxgrmJnzgP0"",""'TP# look up'!A:C""),3,0),"""")"),"")</f>
        <v/>
      </c>
      <c r="AH8310" s="49" t="str">
        <f t="shared" si="129"/>
        <v/>
      </c>
    </row>
    <row r="8311" spans="8:34" ht="12.75">
      <c r="H8311" s="43"/>
      <c r="AG8311" s="49" t="str">
        <f ca="1">IFERROR(__xludf.DUMMYFUNCTION("IFNA(vlookup(H8311,IMPORTRANGE(""1vUGwO1n0QQGx9kKbO0_M5gmuhXZ6-LaxQxgrmJnzgP0"",""'TP# look up'!A:C""),3,0),"""")"),"")</f>
        <v/>
      </c>
      <c r="AH8311" s="49" t="str">
        <f t="shared" si="129"/>
        <v/>
      </c>
    </row>
    <row r="8312" spans="8:34" ht="12.75">
      <c r="H8312" s="43"/>
      <c r="AG8312" s="49" t="str">
        <f ca="1">IFERROR(__xludf.DUMMYFUNCTION("IFNA(vlookup(H8312,IMPORTRANGE(""1vUGwO1n0QQGx9kKbO0_M5gmuhXZ6-LaxQxgrmJnzgP0"",""'TP# look up'!A:C""),3,0),"""")"),"")</f>
        <v/>
      </c>
      <c r="AH8312" s="49" t="str">
        <f t="shared" si="129"/>
        <v/>
      </c>
    </row>
    <row r="8313" spans="8:34" ht="12.75">
      <c r="H8313" s="43"/>
      <c r="AG8313" s="49" t="str">
        <f ca="1">IFERROR(__xludf.DUMMYFUNCTION("IFNA(vlookup(H8313,IMPORTRANGE(""1vUGwO1n0QQGx9kKbO0_M5gmuhXZ6-LaxQxgrmJnzgP0"",""'TP# look up'!A:C""),3,0),"""")"),"")</f>
        <v/>
      </c>
      <c r="AH8313" s="49" t="str">
        <f t="shared" si="129"/>
        <v/>
      </c>
    </row>
    <row r="8314" spans="8:34" ht="12.75">
      <c r="H8314" s="43"/>
      <c r="AG8314" s="49" t="str">
        <f ca="1">IFERROR(__xludf.DUMMYFUNCTION("IFNA(vlookup(H8314,IMPORTRANGE(""1vUGwO1n0QQGx9kKbO0_M5gmuhXZ6-LaxQxgrmJnzgP0"",""'TP# look up'!A:C""),3,0),"""")"),"")</f>
        <v/>
      </c>
      <c r="AH8314" s="49" t="str">
        <f t="shared" si="129"/>
        <v/>
      </c>
    </row>
    <row r="8315" spans="8:34" ht="12.75">
      <c r="H8315" s="43"/>
      <c r="AG8315" s="49" t="str">
        <f ca="1">IFERROR(__xludf.DUMMYFUNCTION("IFNA(vlookup(H8315,IMPORTRANGE(""1vUGwO1n0QQGx9kKbO0_M5gmuhXZ6-LaxQxgrmJnzgP0"",""'TP# look up'!A:C""),3,0),"""")"),"")</f>
        <v/>
      </c>
      <c r="AH8315" s="49" t="str">
        <f t="shared" si="129"/>
        <v/>
      </c>
    </row>
    <row r="8316" spans="8:34" ht="12.75">
      <c r="H8316" s="43"/>
      <c r="AG8316" s="49" t="str">
        <f ca="1">IFERROR(__xludf.DUMMYFUNCTION("IFNA(vlookup(H8316,IMPORTRANGE(""1vUGwO1n0QQGx9kKbO0_M5gmuhXZ6-LaxQxgrmJnzgP0"",""'TP# look up'!A:C""),3,0),"""")"),"")</f>
        <v/>
      </c>
      <c r="AH8316" s="49" t="str">
        <f t="shared" si="129"/>
        <v/>
      </c>
    </row>
    <row r="8317" spans="8:34" ht="12.75">
      <c r="H8317" s="43"/>
      <c r="AG8317" s="49" t="str">
        <f ca="1">IFERROR(__xludf.DUMMYFUNCTION("IFNA(vlookup(H8317,IMPORTRANGE(""1vUGwO1n0QQGx9kKbO0_M5gmuhXZ6-LaxQxgrmJnzgP0"",""'TP# look up'!A:C""),3,0),"""")"),"")</f>
        <v/>
      </c>
      <c r="AH8317" s="49" t="str">
        <f t="shared" si="129"/>
        <v/>
      </c>
    </row>
    <row r="8318" spans="8:34" ht="12.75">
      <c r="H8318" s="43"/>
      <c r="AG8318" s="49" t="str">
        <f ca="1">IFERROR(__xludf.DUMMYFUNCTION("IFNA(vlookup(H8318,IMPORTRANGE(""1vUGwO1n0QQGx9kKbO0_M5gmuhXZ6-LaxQxgrmJnzgP0"",""'TP# look up'!A:C""),3,0),"""")"),"")</f>
        <v/>
      </c>
      <c r="AH8318" s="49" t="str">
        <f t="shared" si="129"/>
        <v/>
      </c>
    </row>
    <row r="8319" spans="8:34" ht="12.75">
      <c r="H8319" s="43"/>
      <c r="AG8319" s="49" t="str">
        <f ca="1">IFERROR(__xludf.DUMMYFUNCTION("IFNA(vlookup(H8319,IMPORTRANGE(""1vUGwO1n0QQGx9kKbO0_M5gmuhXZ6-LaxQxgrmJnzgP0"",""'TP# look up'!A:C""),3,0),"""")"),"")</f>
        <v/>
      </c>
      <c r="AH8319" s="49" t="str">
        <f t="shared" si="129"/>
        <v/>
      </c>
    </row>
    <row r="8320" spans="8:34" ht="12.75">
      <c r="H8320" s="43"/>
      <c r="AG8320" s="49" t="str">
        <f ca="1">IFERROR(__xludf.DUMMYFUNCTION("IFNA(vlookup(H8320,IMPORTRANGE(""1vUGwO1n0QQGx9kKbO0_M5gmuhXZ6-LaxQxgrmJnzgP0"",""'TP# look up'!A:C""),3,0),"""")"),"")</f>
        <v/>
      </c>
      <c r="AH8320" s="49" t="str">
        <f t="shared" si="129"/>
        <v/>
      </c>
    </row>
    <row r="8321" spans="8:34" ht="12.75">
      <c r="H8321" s="43"/>
      <c r="AG8321" s="49" t="str">
        <f ca="1">IFERROR(__xludf.DUMMYFUNCTION("IFNA(vlookup(H8321,IMPORTRANGE(""1vUGwO1n0QQGx9kKbO0_M5gmuhXZ6-LaxQxgrmJnzgP0"",""'TP# look up'!A:C""),3,0),"""")"),"")</f>
        <v/>
      </c>
      <c r="AH8321" s="49" t="str">
        <f t="shared" si="129"/>
        <v/>
      </c>
    </row>
    <row r="8322" spans="8:34" ht="12.75">
      <c r="H8322" s="43"/>
      <c r="AG8322" s="49" t="str">
        <f ca="1">IFERROR(__xludf.DUMMYFUNCTION("IFNA(vlookup(H8322,IMPORTRANGE(""1vUGwO1n0QQGx9kKbO0_M5gmuhXZ6-LaxQxgrmJnzgP0"",""'TP# look up'!A:C""),3,0),"""")"),"")</f>
        <v/>
      </c>
      <c r="AH8322" s="49" t="str">
        <f t="shared" ref="AH8322:AH8385" si="130">LEFT(J8322,2)</f>
        <v/>
      </c>
    </row>
    <row r="8323" spans="8:34" ht="12.75">
      <c r="H8323" s="43"/>
      <c r="AG8323" s="49" t="str">
        <f ca="1">IFERROR(__xludf.DUMMYFUNCTION("IFNA(vlookup(H8323,IMPORTRANGE(""1vUGwO1n0QQGx9kKbO0_M5gmuhXZ6-LaxQxgrmJnzgP0"",""'TP# look up'!A:C""),3,0),"""")"),"")</f>
        <v/>
      </c>
      <c r="AH8323" s="49" t="str">
        <f t="shared" si="130"/>
        <v/>
      </c>
    </row>
    <row r="8324" spans="8:34" ht="12.75">
      <c r="H8324" s="43"/>
      <c r="AG8324" s="49" t="str">
        <f ca="1">IFERROR(__xludf.DUMMYFUNCTION("IFNA(vlookup(H8324,IMPORTRANGE(""1vUGwO1n0QQGx9kKbO0_M5gmuhXZ6-LaxQxgrmJnzgP0"",""'TP# look up'!A:C""),3,0),"""")"),"")</f>
        <v/>
      </c>
      <c r="AH8324" s="49" t="str">
        <f t="shared" si="130"/>
        <v/>
      </c>
    </row>
    <row r="8325" spans="8:34" ht="12.75">
      <c r="H8325" s="43"/>
      <c r="AG8325" s="49" t="str">
        <f ca="1">IFERROR(__xludf.DUMMYFUNCTION("IFNA(vlookup(H8325,IMPORTRANGE(""1vUGwO1n0QQGx9kKbO0_M5gmuhXZ6-LaxQxgrmJnzgP0"",""'TP# look up'!A:C""),3,0),"""")"),"")</f>
        <v/>
      </c>
      <c r="AH8325" s="49" t="str">
        <f t="shared" si="130"/>
        <v/>
      </c>
    </row>
    <row r="8326" spans="8:34" ht="12.75">
      <c r="H8326" s="43"/>
      <c r="AG8326" s="49" t="str">
        <f ca="1">IFERROR(__xludf.DUMMYFUNCTION("IFNA(vlookup(H8326,IMPORTRANGE(""1vUGwO1n0QQGx9kKbO0_M5gmuhXZ6-LaxQxgrmJnzgP0"",""'TP# look up'!A:C""),3,0),"""")"),"")</f>
        <v/>
      </c>
      <c r="AH8326" s="49" t="str">
        <f t="shared" si="130"/>
        <v/>
      </c>
    </row>
    <row r="8327" spans="8:34" ht="12.75">
      <c r="H8327" s="43"/>
      <c r="AG8327" s="49" t="str">
        <f ca="1">IFERROR(__xludf.DUMMYFUNCTION("IFNA(vlookup(H8327,IMPORTRANGE(""1vUGwO1n0QQGx9kKbO0_M5gmuhXZ6-LaxQxgrmJnzgP0"",""'TP# look up'!A:C""),3,0),"""")"),"")</f>
        <v/>
      </c>
      <c r="AH8327" s="49" t="str">
        <f t="shared" si="130"/>
        <v/>
      </c>
    </row>
    <row r="8328" spans="8:34" ht="12.75">
      <c r="H8328" s="43"/>
      <c r="AG8328" s="49" t="str">
        <f ca="1">IFERROR(__xludf.DUMMYFUNCTION("IFNA(vlookup(H8328,IMPORTRANGE(""1vUGwO1n0QQGx9kKbO0_M5gmuhXZ6-LaxQxgrmJnzgP0"",""'TP# look up'!A:C""),3,0),"""")"),"")</f>
        <v/>
      </c>
      <c r="AH8328" s="49" t="str">
        <f t="shared" si="130"/>
        <v/>
      </c>
    </row>
    <row r="8329" spans="8:34" ht="12.75">
      <c r="H8329" s="43"/>
      <c r="AG8329" s="49" t="str">
        <f ca="1">IFERROR(__xludf.DUMMYFUNCTION("IFNA(vlookup(H8329,IMPORTRANGE(""1vUGwO1n0QQGx9kKbO0_M5gmuhXZ6-LaxQxgrmJnzgP0"",""'TP# look up'!A:C""),3,0),"""")"),"")</f>
        <v/>
      </c>
      <c r="AH8329" s="49" t="str">
        <f t="shared" si="130"/>
        <v/>
      </c>
    </row>
    <row r="8330" spans="8:34" ht="12.75">
      <c r="H8330" s="43"/>
      <c r="AG8330" s="49" t="str">
        <f ca="1">IFERROR(__xludf.DUMMYFUNCTION("IFNA(vlookup(H8330,IMPORTRANGE(""1vUGwO1n0QQGx9kKbO0_M5gmuhXZ6-LaxQxgrmJnzgP0"",""'TP# look up'!A:C""),3,0),"""")"),"")</f>
        <v/>
      </c>
      <c r="AH8330" s="49" t="str">
        <f t="shared" si="130"/>
        <v/>
      </c>
    </row>
    <row r="8331" spans="8:34" ht="12.75">
      <c r="H8331" s="43"/>
      <c r="AG8331" s="49" t="str">
        <f ca="1">IFERROR(__xludf.DUMMYFUNCTION("IFNA(vlookup(H8331,IMPORTRANGE(""1vUGwO1n0QQGx9kKbO0_M5gmuhXZ6-LaxQxgrmJnzgP0"",""'TP# look up'!A:C""),3,0),"""")"),"")</f>
        <v/>
      </c>
      <c r="AH8331" s="49" t="str">
        <f t="shared" si="130"/>
        <v/>
      </c>
    </row>
    <row r="8332" spans="8:34" ht="12.75">
      <c r="H8332" s="43"/>
      <c r="AG8332" s="49" t="str">
        <f ca="1">IFERROR(__xludf.DUMMYFUNCTION("IFNA(vlookup(H8332,IMPORTRANGE(""1vUGwO1n0QQGx9kKbO0_M5gmuhXZ6-LaxQxgrmJnzgP0"",""'TP# look up'!A:C""),3,0),"""")"),"")</f>
        <v/>
      </c>
      <c r="AH8332" s="49" t="str">
        <f t="shared" si="130"/>
        <v/>
      </c>
    </row>
    <row r="8333" spans="8:34" ht="12.75">
      <c r="H8333" s="43"/>
      <c r="AG8333" s="49" t="str">
        <f ca="1">IFERROR(__xludf.DUMMYFUNCTION("IFNA(vlookup(H8333,IMPORTRANGE(""1vUGwO1n0QQGx9kKbO0_M5gmuhXZ6-LaxQxgrmJnzgP0"",""'TP# look up'!A:C""),3,0),"""")"),"")</f>
        <v/>
      </c>
      <c r="AH8333" s="49" t="str">
        <f t="shared" si="130"/>
        <v/>
      </c>
    </row>
    <row r="8334" spans="8:34" ht="12.75">
      <c r="H8334" s="43"/>
      <c r="AG8334" s="49" t="str">
        <f ca="1">IFERROR(__xludf.DUMMYFUNCTION("IFNA(vlookup(H8334,IMPORTRANGE(""1vUGwO1n0QQGx9kKbO0_M5gmuhXZ6-LaxQxgrmJnzgP0"",""'TP# look up'!A:C""),3,0),"""")"),"")</f>
        <v/>
      </c>
      <c r="AH8334" s="49" t="str">
        <f t="shared" si="130"/>
        <v/>
      </c>
    </row>
    <row r="8335" spans="8:34" ht="12.75">
      <c r="H8335" s="43"/>
      <c r="AG8335" s="49" t="str">
        <f ca="1">IFERROR(__xludf.DUMMYFUNCTION("IFNA(vlookup(H8335,IMPORTRANGE(""1vUGwO1n0QQGx9kKbO0_M5gmuhXZ6-LaxQxgrmJnzgP0"",""'TP# look up'!A:C""),3,0),"""")"),"")</f>
        <v/>
      </c>
      <c r="AH8335" s="49" t="str">
        <f t="shared" si="130"/>
        <v/>
      </c>
    </row>
    <row r="8336" spans="8:34" ht="12.75">
      <c r="H8336" s="43"/>
      <c r="AG8336" s="49" t="str">
        <f ca="1">IFERROR(__xludf.DUMMYFUNCTION("IFNA(vlookup(H8336,IMPORTRANGE(""1vUGwO1n0QQGx9kKbO0_M5gmuhXZ6-LaxQxgrmJnzgP0"",""'TP# look up'!A:C""),3,0),"""")"),"")</f>
        <v/>
      </c>
      <c r="AH8336" s="49" t="str">
        <f t="shared" si="130"/>
        <v/>
      </c>
    </row>
    <row r="8337" spans="8:34" ht="12.75">
      <c r="H8337" s="43"/>
      <c r="AG8337" s="49" t="str">
        <f ca="1">IFERROR(__xludf.DUMMYFUNCTION("IFNA(vlookup(H8337,IMPORTRANGE(""1vUGwO1n0QQGx9kKbO0_M5gmuhXZ6-LaxQxgrmJnzgP0"",""'TP# look up'!A:C""),3,0),"""")"),"")</f>
        <v/>
      </c>
      <c r="AH8337" s="49" t="str">
        <f t="shared" si="130"/>
        <v/>
      </c>
    </row>
    <row r="8338" spans="8:34" ht="12.75">
      <c r="H8338" s="43"/>
      <c r="AG8338" s="49" t="str">
        <f ca="1">IFERROR(__xludf.DUMMYFUNCTION("IFNA(vlookup(H8338,IMPORTRANGE(""1vUGwO1n0QQGx9kKbO0_M5gmuhXZ6-LaxQxgrmJnzgP0"",""'TP# look up'!A:C""),3,0),"""")"),"")</f>
        <v/>
      </c>
      <c r="AH8338" s="49" t="str">
        <f t="shared" si="130"/>
        <v/>
      </c>
    </row>
    <row r="8339" spans="8:34" ht="12.75">
      <c r="H8339" s="43"/>
      <c r="AG8339" s="49" t="str">
        <f ca="1">IFERROR(__xludf.DUMMYFUNCTION("IFNA(vlookup(H8339,IMPORTRANGE(""1vUGwO1n0QQGx9kKbO0_M5gmuhXZ6-LaxQxgrmJnzgP0"",""'TP# look up'!A:C""),3,0),"""")"),"")</f>
        <v/>
      </c>
      <c r="AH8339" s="49" t="str">
        <f t="shared" si="130"/>
        <v/>
      </c>
    </row>
    <row r="8340" spans="8:34" ht="12.75">
      <c r="H8340" s="43"/>
      <c r="AG8340" s="49" t="str">
        <f ca="1">IFERROR(__xludf.DUMMYFUNCTION("IFNA(vlookup(H8340,IMPORTRANGE(""1vUGwO1n0QQGx9kKbO0_M5gmuhXZ6-LaxQxgrmJnzgP0"",""'TP# look up'!A:C""),3,0),"""")"),"")</f>
        <v/>
      </c>
      <c r="AH8340" s="49" t="str">
        <f t="shared" si="130"/>
        <v/>
      </c>
    </row>
    <row r="8341" spans="8:34" ht="12.75">
      <c r="H8341" s="43"/>
      <c r="AG8341" s="49" t="str">
        <f ca="1">IFERROR(__xludf.DUMMYFUNCTION("IFNA(vlookup(H8341,IMPORTRANGE(""1vUGwO1n0QQGx9kKbO0_M5gmuhXZ6-LaxQxgrmJnzgP0"",""'TP# look up'!A:C""),3,0),"""")"),"")</f>
        <v/>
      </c>
      <c r="AH8341" s="49" t="str">
        <f t="shared" si="130"/>
        <v/>
      </c>
    </row>
    <row r="8342" spans="8:34" ht="12.75">
      <c r="H8342" s="43"/>
      <c r="AG8342" s="49" t="str">
        <f ca="1">IFERROR(__xludf.DUMMYFUNCTION("IFNA(vlookup(H8342,IMPORTRANGE(""1vUGwO1n0QQGx9kKbO0_M5gmuhXZ6-LaxQxgrmJnzgP0"",""'TP# look up'!A:C""),3,0),"""")"),"")</f>
        <v/>
      </c>
      <c r="AH8342" s="49" t="str">
        <f t="shared" si="130"/>
        <v/>
      </c>
    </row>
    <row r="8343" spans="8:34" ht="12.75">
      <c r="H8343" s="43"/>
      <c r="AG8343" s="49" t="str">
        <f ca="1">IFERROR(__xludf.DUMMYFUNCTION("IFNA(vlookup(H8343,IMPORTRANGE(""1vUGwO1n0QQGx9kKbO0_M5gmuhXZ6-LaxQxgrmJnzgP0"",""'TP# look up'!A:C""),3,0),"""")"),"")</f>
        <v/>
      </c>
      <c r="AH8343" s="49" t="str">
        <f t="shared" si="130"/>
        <v/>
      </c>
    </row>
    <row r="8344" spans="8:34" ht="12.75">
      <c r="H8344" s="43"/>
      <c r="AG8344" s="49" t="str">
        <f ca="1">IFERROR(__xludf.DUMMYFUNCTION("IFNA(vlookup(H8344,IMPORTRANGE(""1vUGwO1n0QQGx9kKbO0_M5gmuhXZ6-LaxQxgrmJnzgP0"",""'TP# look up'!A:C""),3,0),"""")"),"")</f>
        <v/>
      </c>
      <c r="AH8344" s="49" t="str">
        <f t="shared" si="130"/>
        <v/>
      </c>
    </row>
    <row r="8345" spans="8:34" ht="12.75">
      <c r="H8345" s="43"/>
      <c r="AG8345" s="49" t="str">
        <f ca="1">IFERROR(__xludf.DUMMYFUNCTION("IFNA(vlookup(H8345,IMPORTRANGE(""1vUGwO1n0QQGx9kKbO0_M5gmuhXZ6-LaxQxgrmJnzgP0"",""'TP# look up'!A:C""),3,0),"""")"),"")</f>
        <v/>
      </c>
      <c r="AH8345" s="49" t="str">
        <f t="shared" si="130"/>
        <v/>
      </c>
    </row>
    <row r="8346" spans="8:34" ht="12.75">
      <c r="H8346" s="43"/>
      <c r="AG8346" s="49" t="str">
        <f ca="1">IFERROR(__xludf.DUMMYFUNCTION("IFNA(vlookup(H8346,IMPORTRANGE(""1vUGwO1n0QQGx9kKbO0_M5gmuhXZ6-LaxQxgrmJnzgP0"",""'TP# look up'!A:C""),3,0),"""")"),"")</f>
        <v/>
      </c>
      <c r="AH8346" s="49" t="str">
        <f t="shared" si="130"/>
        <v/>
      </c>
    </row>
    <row r="8347" spans="8:34" ht="12.75">
      <c r="H8347" s="43"/>
      <c r="AG8347" s="49" t="str">
        <f ca="1">IFERROR(__xludf.DUMMYFUNCTION("IFNA(vlookup(H8347,IMPORTRANGE(""1vUGwO1n0QQGx9kKbO0_M5gmuhXZ6-LaxQxgrmJnzgP0"",""'TP# look up'!A:C""),3,0),"""")"),"")</f>
        <v/>
      </c>
      <c r="AH8347" s="49" t="str">
        <f t="shared" si="130"/>
        <v/>
      </c>
    </row>
    <row r="8348" spans="8:34" ht="12.75">
      <c r="H8348" s="43"/>
      <c r="AG8348" s="49" t="str">
        <f ca="1">IFERROR(__xludf.DUMMYFUNCTION("IFNA(vlookup(H8348,IMPORTRANGE(""1vUGwO1n0QQGx9kKbO0_M5gmuhXZ6-LaxQxgrmJnzgP0"",""'TP# look up'!A:C""),3,0),"""")"),"")</f>
        <v/>
      </c>
      <c r="AH8348" s="49" t="str">
        <f t="shared" si="130"/>
        <v/>
      </c>
    </row>
    <row r="8349" spans="8:34" ht="12.75">
      <c r="H8349" s="43"/>
      <c r="AG8349" s="49" t="str">
        <f ca="1">IFERROR(__xludf.DUMMYFUNCTION("IFNA(vlookup(H8349,IMPORTRANGE(""1vUGwO1n0QQGx9kKbO0_M5gmuhXZ6-LaxQxgrmJnzgP0"",""'TP# look up'!A:C""),3,0),"""")"),"")</f>
        <v/>
      </c>
      <c r="AH8349" s="49" t="str">
        <f t="shared" si="130"/>
        <v/>
      </c>
    </row>
    <row r="8350" spans="8:34" ht="12.75">
      <c r="H8350" s="43"/>
      <c r="AG8350" s="49" t="str">
        <f ca="1">IFERROR(__xludf.DUMMYFUNCTION("IFNA(vlookup(H8350,IMPORTRANGE(""1vUGwO1n0QQGx9kKbO0_M5gmuhXZ6-LaxQxgrmJnzgP0"",""'TP# look up'!A:C""),3,0),"""")"),"")</f>
        <v/>
      </c>
      <c r="AH8350" s="49" t="str">
        <f t="shared" si="130"/>
        <v/>
      </c>
    </row>
    <row r="8351" spans="8:34" ht="12.75">
      <c r="H8351" s="43"/>
      <c r="AG8351" s="49" t="str">
        <f ca="1">IFERROR(__xludf.DUMMYFUNCTION("IFNA(vlookup(H8351,IMPORTRANGE(""1vUGwO1n0QQGx9kKbO0_M5gmuhXZ6-LaxQxgrmJnzgP0"",""'TP# look up'!A:C""),3,0),"""")"),"")</f>
        <v/>
      </c>
      <c r="AH8351" s="49" t="str">
        <f t="shared" si="130"/>
        <v/>
      </c>
    </row>
    <row r="8352" spans="8:34" ht="12.75">
      <c r="H8352" s="43"/>
      <c r="AG8352" s="49" t="str">
        <f ca="1">IFERROR(__xludf.DUMMYFUNCTION("IFNA(vlookup(H8352,IMPORTRANGE(""1vUGwO1n0QQGx9kKbO0_M5gmuhXZ6-LaxQxgrmJnzgP0"",""'TP# look up'!A:C""),3,0),"""")"),"")</f>
        <v/>
      </c>
      <c r="AH8352" s="49" t="str">
        <f t="shared" si="130"/>
        <v/>
      </c>
    </row>
    <row r="8353" spans="8:34" ht="12.75">
      <c r="H8353" s="43"/>
      <c r="AG8353" s="49" t="str">
        <f ca="1">IFERROR(__xludf.DUMMYFUNCTION("IFNA(vlookup(H8353,IMPORTRANGE(""1vUGwO1n0QQGx9kKbO0_M5gmuhXZ6-LaxQxgrmJnzgP0"",""'TP# look up'!A:C""),3,0),"""")"),"")</f>
        <v/>
      </c>
      <c r="AH8353" s="49" t="str">
        <f t="shared" si="130"/>
        <v/>
      </c>
    </row>
    <row r="8354" spans="8:34" ht="12.75">
      <c r="H8354" s="43"/>
      <c r="AG8354" s="49" t="str">
        <f ca="1">IFERROR(__xludf.DUMMYFUNCTION("IFNA(vlookup(H8354,IMPORTRANGE(""1vUGwO1n0QQGx9kKbO0_M5gmuhXZ6-LaxQxgrmJnzgP0"",""'TP# look up'!A:C""),3,0),"""")"),"")</f>
        <v/>
      </c>
      <c r="AH8354" s="49" t="str">
        <f t="shared" si="130"/>
        <v/>
      </c>
    </row>
    <row r="8355" spans="8:34" ht="12.75">
      <c r="H8355" s="43"/>
      <c r="AG8355" s="49" t="str">
        <f ca="1">IFERROR(__xludf.DUMMYFUNCTION("IFNA(vlookup(H8355,IMPORTRANGE(""1vUGwO1n0QQGx9kKbO0_M5gmuhXZ6-LaxQxgrmJnzgP0"",""'TP# look up'!A:C""),3,0),"""")"),"")</f>
        <v/>
      </c>
      <c r="AH8355" s="49" t="str">
        <f t="shared" si="130"/>
        <v/>
      </c>
    </row>
    <row r="8356" spans="8:34" ht="12.75">
      <c r="H8356" s="43"/>
      <c r="AG8356" s="49" t="str">
        <f ca="1">IFERROR(__xludf.DUMMYFUNCTION("IFNA(vlookup(H8356,IMPORTRANGE(""1vUGwO1n0QQGx9kKbO0_M5gmuhXZ6-LaxQxgrmJnzgP0"",""'TP# look up'!A:C""),3,0),"""")"),"")</f>
        <v/>
      </c>
      <c r="AH8356" s="49" t="str">
        <f t="shared" si="130"/>
        <v/>
      </c>
    </row>
    <row r="8357" spans="8:34" ht="12.75">
      <c r="H8357" s="43"/>
      <c r="AG8357" s="49" t="str">
        <f ca="1">IFERROR(__xludf.DUMMYFUNCTION("IFNA(vlookup(H8357,IMPORTRANGE(""1vUGwO1n0QQGx9kKbO0_M5gmuhXZ6-LaxQxgrmJnzgP0"",""'TP# look up'!A:C""),3,0),"""")"),"")</f>
        <v/>
      </c>
      <c r="AH8357" s="49" t="str">
        <f t="shared" si="130"/>
        <v/>
      </c>
    </row>
    <row r="8358" spans="8:34" ht="12.75">
      <c r="H8358" s="43"/>
      <c r="AG8358" s="49" t="str">
        <f ca="1">IFERROR(__xludf.DUMMYFUNCTION("IFNA(vlookup(H8358,IMPORTRANGE(""1vUGwO1n0QQGx9kKbO0_M5gmuhXZ6-LaxQxgrmJnzgP0"",""'TP# look up'!A:C""),3,0),"""")"),"")</f>
        <v/>
      </c>
      <c r="AH8358" s="49" t="str">
        <f t="shared" si="130"/>
        <v/>
      </c>
    </row>
    <row r="8359" spans="8:34" ht="12.75">
      <c r="H8359" s="43"/>
      <c r="AG8359" s="49" t="str">
        <f ca="1">IFERROR(__xludf.DUMMYFUNCTION("IFNA(vlookup(H8359,IMPORTRANGE(""1vUGwO1n0QQGx9kKbO0_M5gmuhXZ6-LaxQxgrmJnzgP0"",""'TP# look up'!A:C""),3,0),"""")"),"")</f>
        <v/>
      </c>
      <c r="AH8359" s="49" t="str">
        <f t="shared" si="130"/>
        <v/>
      </c>
    </row>
    <row r="8360" spans="8:34" ht="12.75">
      <c r="H8360" s="43"/>
      <c r="AG8360" s="49" t="str">
        <f ca="1">IFERROR(__xludf.DUMMYFUNCTION("IFNA(vlookup(H8360,IMPORTRANGE(""1vUGwO1n0QQGx9kKbO0_M5gmuhXZ6-LaxQxgrmJnzgP0"",""'TP# look up'!A:C""),3,0),"""")"),"")</f>
        <v/>
      </c>
      <c r="AH8360" s="49" t="str">
        <f t="shared" si="130"/>
        <v/>
      </c>
    </row>
    <row r="8361" spans="8:34" ht="12.75">
      <c r="H8361" s="43"/>
      <c r="AG8361" s="49" t="str">
        <f ca="1">IFERROR(__xludf.DUMMYFUNCTION("IFNA(vlookup(H8361,IMPORTRANGE(""1vUGwO1n0QQGx9kKbO0_M5gmuhXZ6-LaxQxgrmJnzgP0"",""'TP# look up'!A:C""),3,0),"""")"),"")</f>
        <v/>
      </c>
      <c r="AH8361" s="49" t="str">
        <f t="shared" si="130"/>
        <v/>
      </c>
    </row>
    <row r="8362" spans="8:34" ht="12.75">
      <c r="H8362" s="43"/>
      <c r="AG8362" s="49" t="str">
        <f ca="1">IFERROR(__xludf.DUMMYFUNCTION("IFNA(vlookup(H8362,IMPORTRANGE(""1vUGwO1n0QQGx9kKbO0_M5gmuhXZ6-LaxQxgrmJnzgP0"",""'TP# look up'!A:C""),3,0),"""")"),"")</f>
        <v/>
      </c>
      <c r="AH8362" s="49" t="str">
        <f t="shared" si="130"/>
        <v/>
      </c>
    </row>
    <row r="8363" spans="8:34" ht="12.75">
      <c r="H8363" s="43"/>
      <c r="AG8363" s="49" t="str">
        <f ca="1">IFERROR(__xludf.DUMMYFUNCTION("IFNA(vlookup(H8363,IMPORTRANGE(""1vUGwO1n0QQGx9kKbO0_M5gmuhXZ6-LaxQxgrmJnzgP0"",""'TP# look up'!A:C""),3,0),"""")"),"")</f>
        <v/>
      </c>
      <c r="AH8363" s="49" t="str">
        <f t="shared" si="130"/>
        <v/>
      </c>
    </row>
    <row r="8364" spans="8:34" ht="12.75">
      <c r="H8364" s="43"/>
      <c r="AG8364" s="49" t="str">
        <f ca="1">IFERROR(__xludf.DUMMYFUNCTION("IFNA(vlookup(H8364,IMPORTRANGE(""1vUGwO1n0QQGx9kKbO0_M5gmuhXZ6-LaxQxgrmJnzgP0"",""'TP# look up'!A:C""),3,0),"""")"),"")</f>
        <v/>
      </c>
      <c r="AH8364" s="49" t="str">
        <f t="shared" si="130"/>
        <v/>
      </c>
    </row>
    <row r="8365" spans="8:34" ht="12.75">
      <c r="H8365" s="43"/>
      <c r="AG8365" s="49" t="str">
        <f ca="1">IFERROR(__xludf.DUMMYFUNCTION("IFNA(vlookup(H8365,IMPORTRANGE(""1vUGwO1n0QQGx9kKbO0_M5gmuhXZ6-LaxQxgrmJnzgP0"",""'TP# look up'!A:C""),3,0),"""")"),"")</f>
        <v/>
      </c>
      <c r="AH8365" s="49" t="str">
        <f t="shared" si="130"/>
        <v/>
      </c>
    </row>
    <row r="8366" spans="8:34" ht="12.75">
      <c r="H8366" s="43"/>
      <c r="AG8366" s="49" t="str">
        <f ca="1">IFERROR(__xludf.DUMMYFUNCTION("IFNA(vlookup(H8366,IMPORTRANGE(""1vUGwO1n0QQGx9kKbO0_M5gmuhXZ6-LaxQxgrmJnzgP0"",""'TP# look up'!A:C""),3,0),"""")"),"")</f>
        <v/>
      </c>
      <c r="AH8366" s="49" t="str">
        <f t="shared" si="130"/>
        <v/>
      </c>
    </row>
    <row r="8367" spans="8:34" ht="12.75">
      <c r="H8367" s="43"/>
      <c r="AG8367" s="49" t="str">
        <f ca="1">IFERROR(__xludf.DUMMYFUNCTION("IFNA(vlookup(H8367,IMPORTRANGE(""1vUGwO1n0QQGx9kKbO0_M5gmuhXZ6-LaxQxgrmJnzgP0"",""'TP# look up'!A:C""),3,0),"""")"),"")</f>
        <v/>
      </c>
      <c r="AH8367" s="49" t="str">
        <f t="shared" si="130"/>
        <v/>
      </c>
    </row>
    <row r="8368" spans="8:34" ht="12.75">
      <c r="H8368" s="43"/>
      <c r="AG8368" s="49" t="str">
        <f ca="1">IFERROR(__xludf.DUMMYFUNCTION("IFNA(vlookup(H8368,IMPORTRANGE(""1vUGwO1n0QQGx9kKbO0_M5gmuhXZ6-LaxQxgrmJnzgP0"",""'TP# look up'!A:C""),3,0),"""")"),"")</f>
        <v/>
      </c>
      <c r="AH8368" s="49" t="str">
        <f t="shared" si="130"/>
        <v/>
      </c>
    </row>
    <row r="8369" spans="8:34" ht="12.75">
      <c r="H8369" s="43"/>
      <c r="AG8369" s="49" t="str">
        <f ca="1">IFERROR(__xludf.DUMMYFUNCTION("IFNA(vlookup(H8369,IMPORTRANGE(""1vUGwO1n0QQGx9kKbO0_M5gmuhXZ6-LaxQxgrmJnzgP0"",""'TP# look up'!A:C""),3,0),"""")"),"")</f>
        <v/>
      </c>
      <c r="AH8369" s="49" t="str">
        <f t="shared" si="130"/>
        <v/>
      </c>
    </row>
    <row r="8370" spans="8:34" ht="12.75">
      <c r="H8370" s="43"/>
      <c r="AG8370" s="49" t="str">
        <f ca="1">IFERROR(__xludf.DUMMYFUNCTION("IFNA(vlookup(H8370,IMPORTRANGE(""1vUGwO1n0QQGx9kKbO0_M5gmuhXZ6-LaxQxgrmJnzgP0"",""'TP# look up'!A:C""),3,0),"""")"),"")</f>
        <v/>
      </c>
      <c r="AH8370" s="49" t="str">
        <f t="shared" si="130"/>
        <v/>
      </c>
    </row>
    <row r="8371" spans="8:34" ht="12.75">
      <c r="H8371" s="43"/>
      <c r="AG8371" s="49" t="str">
        <f ca="1">IFERROR(__xludf.DUMMYFUNCTION("IFNA(vlookup(H8371,IMPORTRANGE(""1vUGwO1n0QQGx9kKbO0_M5gmuhXZ6-LaxQxgrmJnzgP0"",""'TP# look up'!A:C""),3,0),"""")"),"")</f>
        <v/>
      </c>
      <c r="AH8371" s="49" t="str">
        <f t="shared" si="130"/>
        <v/>
      </c>
    </row>
    <row r="8372" spans="8:34" ht="12.75">
      <c r="H8372" s="43"/>
      <c r="AG8372" s="49" t="str">
        <f ca="1">IFERROR(__xludf.DUMMYFUNCTION("IFNA(vlookup(H8372,IMPORTRANGE(""1vUGwO1n0QQGx9kKbO0_M5gmuhXZ6-LaxQxgrmJnzgP0"",""'TP# look up'!A:C""),3,0),"""")"),"")</f>
        <v/>
      </c>
      <c r="AH8372" s="49" t="str">
        <f t="shared" si="130"/>
        <v/>
      </c>
    </row>
    <row r="8373" spans="8:34" ht="12.75">
      <c r="H8373" s="43"/>
      <c r="AG8373" s="49" t="str">
        <f ca="1">IFERROR(__xludf.DUMMYFUNCTION("IFNA(vlookup(H8373,IMPORTRANGE(""1vUGwO1n0QQGx9kKbO0_M5gmuhXZ6-LaxQxgrmJnzgP0"",""'TP# look up'!A:C""),3,0),"""")"),"")</f>
        <v/>
      </c>
      <c r="AH8373" s="49" t="str">
        <f t="shared" si="130"/>
        <v/>
      </c>
    </row>
    <row r="8374" spans="8:34" ht="12.75">
      <c r="H8374" s="43"/>
      <c r="AG8374" s="49" t="str">
        <f ca="1">IFERROR(__xludf.DUMMYFUNCTION("IFNA(vlookup(H8374,IMPORTRANGE(""1vUGwO1n0QQGx9kKbO0_M5gmuhXZ6-LaxQxgrmJnzgP0"",""'TP# look up'!A:C""),3,0),"""")"),"")</f>
        <v/>
      </c>
      <c r="AH8374" s="49" t="str">
        <f t="shared" si="130"/>
        <v/>
      </c>
    </row>
    <row r="8375" spans="8:34" ht="12.75">
      <c r="H8375" s="43"/>
      <c r="AG8375" s="49" t="str">
        <f ca="1">IFERROR(__xludf.DUMMYFUNCTION("IFNA(vlookup(H8375,IMPORTRANGE(""1vUGwO1n0QQGx9kKbO0_M5gmuhXZ6-LaxQxgrmJnzgP0"",""'TP# look up'!A:C""),3,0),"""")"),"")</f>
        <v/>
      </c>
      <c r="AH8375" s="49" t="str">
        <f t="shared" si="130"/>
        <v/>
      </c>
    </row>
    <row r="8376" spans="8:34" ht="12.75">
      <c r="H8376" s="43"/>
      <c r="AG8376" s="49" t="str">
        <f ca="1">IFERROR(__xludf.DUMMYFUNCTION("IFNA(vlookup(H8376,IMPORTRANGE(""1vUGwO1n0QQGx9kKbO0_M5gmuhXZ6-LaxQxgrmJnzgP0"",""'TP# look up'!A:C""),3,0),"""")"),"")</f>
        <v/>
      </c>
      <c r="AH8376" s="49" t="str">
        <f t="shared" si="130"/>
        <v/>
      </c>
    </row>
    <row r="8377" spans="8:34" ht="12.75">
      <c r="H8377" s="43"/>
      <c r="AG8377" s="49" t="str">
        <f ca="1">IFERROR(__xludf.DUMMYFUNCTION("IFNA(vlookup(H8377,IMPORTRANGE(""1vUGwO1n0QQGx9kKbO0_M5gmuhXZ6-LaxQxgrmJnzgP0"",""'TP# look up'!A:C""),3,0),"""")"),"")</f>
        <v/>
      </c>
      <c r="AH8377" s="49" t="str">
        <f t="shared" si="130"/>
        <v/>
      </c>
    </row>
    <row r="8378" spans="8:34" ht="12.75">
      <c r="H8378" s="43"/>
      <c r="AG8378" s="49" t="str">
        <f ca="1">IFERROR(__xludf.DUMMYFUNCTION("IFNA(vlookup(H8378,IMPORTRANGE(""1vUGwO1n0QQGx9kKbO0_M5gmuhXZ6-LaxQxgrmJnzgP0"",""'TP# look up'!A:C""),3,0),"""")"),"")</f>
        <v/>
      </c>
      <c r="AH8378" s="49" t="str">
        <f t="shared" si="130"/>
        <v/>
      </c>
    </row>
    <row r="8379" spans="8:34" ht="12.75">
      <c r="H8379" s="43"/>
      <c r="AG8379" s="49" t="str">
        <f ca="1">IFERROR(__xludf.DUMMYFUNCTION("IFNA(vlookup(H8379,IMPORTRANGE(""1vUGwO1n0QQGx9kKbO0_M5gmuhXZ6-LaxQxgrmJnzgP0"",""'TP# look up'!A:C""),3,0),"""")"),"")</f>
        <v/>
      </c>
      <c r="AH8379" s="49" t="str">
        <f t="shared" si="130"/>
        <v/>
      </c>
    </row>
    <row r="8380" spans="8:34" ht="12.75">
      <c r="H8380" s="43"/>
      <c r="AG8380" s="49" t="str">
        <f ca="1">IFERROR(__xludf.DUMMYFUNCTION("IFNA(vlookup(H8380,IMPORTRANGE(""1vUGwO1n0QQGx9kKbO0_M5gmuhXZ6-LaxQxgrmJnzgP0"",""'TP# look up'!A:C""),3,0),"""")"),"")</f>
        <v/>
      </c>
      <c r="AH8380" s="49" t="str">
        <f t="shared" si="130"/>
        <v/>
      </c>
    </row>
    <row r="8381" spans="8:34" ht="12.75">
      <c r="H8381" s="43"/>
      <c r="AG8381" s="49" t="str">
        <f ca="1">IFERROR(__xludf.DUMMYFUNCTION("IFNA(vlookup(H8381,IMPORTRANGE(""1vUGwO1n0QQGx9kKbO0_M5gmuhXZ6-LaxQxgrmJnzgP0"",""'TP# look up'!A:C""),3,0),"""")"),"")</f>
        <v/>
      </c>
      <c r="AH8381" s="49" t="str">
        <f t="shared" si="130"/>
        <v/>
      </c>
    </row>
    <row r="8382" spans="8:34" ht="12.75">
      <c r="H8382" s="43"/>
      <c r="AG8382" s="49" t="str">
        <f ca="1">IFERROR(__xludf.DUMMYFUNCTION("IFNA(vlookup(H8382,IMPORTRANGE(""1vUGwO1n0QQGx9kKbO0_M5gmuhXZ6-LaxQxgrmJnzgP0"",""'TP# look up'!A:C""),3,0),"""")"),"")</f>
        <v/>
      </c>
      <c r="AH8382" s="49" t="str">
        <f t="shared" si="130"/>
        <v/>
      </c>
    </row>
    <row r="8383" spans="8:34" ht="12.75">
      <c r="H8383" s="43"/>
      <c r="AG8383" s="49" t="str">
        <f ca="1">IFERROR(__xludf.DUMMYFUNCTION("IFNA(vlookup(H8383,IMPORTRANGE(""1vUGwO1n0QQGx9kKbO0_M5gmuhXZ6-LaxQxgrmJnzgP0"",""'TP# look up'!A:C""),3,0),"""")"),"")</f>
        <v/>
      </c>
      <c r="AH8383" s="49" t="str">
        <f t="shared" si="130"/>
        <v/>
      </c>
    </row>
    <row r="8384" spans="8:34" ht="12.75">
      <c r="H8384" s="43"/>
      <c r="AG8384" s="49" t="str">
        <f ca="1">IFERROR(__xludf.DUMMYFUNCTION("IFNA(vlookup(H8384,IMPORTRANGE(""1vUGwO1n0QQGx9kKbO0_M5gmuhXZ6-LaxQxgrmJnzgP0"",""'TP# look up'!A:C""),3,0),"""")"),"")</f>
        <v/>
      </c>
      <c r="AH8384" s="49" t="str">
        <f t="shared" si="130"/>
        <v/>
      </c>
    </row>
    <row r="8385" spans="8:34" ht="12.75">
      <c r="H8385" s="43"/>
      <c r="AG8385" s="49" t="str">
        <f ca="1">IFERROR(__xludf.DUMMYFUNCTION("IFNA(vlookup(H8385,IMPORTRANGE(""1vUGwO1n0QQGx9kKbO0_M5gmuhXZ6-LaxQxgrmJnzgP0"",""'TP# look up'!A:C""),3,0),"""")"),"")</f>
        <v/>
      </c>
      <c r="AH8385" s="49" t="str">
        <f t="shared" si="130"/>
        <v/>
      </c>
    </row>
    <row r="8386" spans="8:34" ht="12.75">
      <c r="H8386" s="43"/>
      <c r="AG8386" s="49" t="str">
        <f ca="1">IFERROR(__xludf.DUMMYFUNCTION("IFNA(vlookup(H8386,IMPORTRANGE(""1vUGwO1n0QQGx9kKbO0_M5gmuhXZ6-LaxQxgrmJnzgP0"",""'TP# look up'!A:C""),3,0),"""")"),"")</f>
        <v/>
      </c>
      <c r="AH8386" s="49" t="str">
        <f t="shared" ref="AH8386:AH8449" si="131">LEFT(J8386,2)</f>
        <v/>
      </c>
    </row>
    <row r="8387" spans="8:34" ht="12.75">
      <c r="H8387" s="43"/>
      <c r="AG8387" s="49" t="str">
        <f ca="1">IFERROR(__xludf.DUMMYFUNCTION("IFNA(vlookup(H8387,IMPORTRANGE(""1vUGwO1n0QQGx9kKbO0_M5gmuhXZ6-LaxQxgrmJnzgP0"",""'TP# look up'!A:C""),3,0),"""")"),"")</f>
        <v/>
      </c>
      <c r="AH8387" s="49" t="str">
        <f t="shared" si="131"/>
        <v/>
      </c>
    </row>
    <row r="8388" spans="8:34" ht="12.75">
      <c r="H8388" s="43"/>
      <c r="AG8388" s="49" t="str">
        <f ca="1">IFERROR(__xludf.DUMMYFUNCTION("IFNA(vlookup(H8388,IMPORTRANGE(""1vUGwO1n0QQGx9kKbO0_M5gmuhXZ6-LaxQxgrmJnzgP0"",""'TP# look up'!A:C""),3,0),"""")"),"")</f>
        <v/>
      </c>
      <c r="AH8388" s="49" t="str">
        <f t="shared" si="131"/>
        <v/>
      </c>
    </row>
    <row r="8389" spans="8:34" ht="12.75">
      <c r="H8389" s="43"/>
      <c r="AG8389" s="49" t="str">
        <f ca="1">IFERROR(__xludf.DUMMYFUNCTION("IFNA(vlookup(H8389,IMPORTRANGE(""1vUGwO1n0QQGx9kKbO0_M5gmuhXZ6-LaxQxgrmJnzgP0"",""'TP# look up'!A:C""),3,0),"""")"),"")</f>
        <v/>
      </c>
      <c r="AH8389" s="49" t="str">
        <f t="shared" si="131"/>
        <v/>
      </c>
    </row>
    <row r="8390" spans="8:34" ht="12.75">
      <c r="H8390" s="43"/>
      <c r="AG8390" s="49" t="str">
        <f ca="1">IFERROR(__xludf.DUMMYFUNCTION("IFNA(vlookup(H8390,IMPORTRANGE(""1vUGwO1n0QQGx9kKbO0_M5gmuhXZ6-LaxQxgrmJnzgP0"",""'TP# look up'!A:C""),3,0),"""")"),"")</f>
        <v/>
      </c>
      <c r="AH8390" s="49" t="str">
        <f t="shared" si="131"/>
        <v/>
      </c>
    </row>
    <row r="8391" spans="8:34" ht="12.75">
      <c r="H8391" s="43"/>
      <c r="AG8391" s="49" t="str">
        <f ca="1">IFERROR(__xludf.DUMMYFUNCTION("IFNA(vlookup(H8391,IMPORTRANGE(""1vUGwO1n0QQGx9kKbO0_M5gmuhXZ6-LaxQxgrmJnzgP0"",""'TP# look up'!A:C""),3,0),"""")"),"")</f>
        <v/>
      </c>
      <c r="AH8391" s="49" t="str">
        <f t="shared" si="131"/>
        <v/>
      </c>
    </row>
    <row r="8392" spans="8:34" ht="12.75">
      <c r="H8392" s="43"/>
      <c r="AG8392" s="49" t="str">
        <f ca="1">IFERROR(__xludf.DUMMYFUNCTION("IFNA(vlookup(H8392,IMPORTRANGE(""1vUGwO1n0QQGx9kKbO0_M5gmuhXZ6-LaxQxgrmJnzgP0"",""'TP# look up'!A:C""),3,0),"""")"),"")</f>
        <v/>
      </c>
      <c r="AH8392" s="49" t="str">
        <f t="shared" si="131"/>
        <v/>
      </c>
    </row>
    <row r="8393" spans="8:34" ht="12.75">
      <c r="H8393" s="43"/>
      <c r="AG8393" s="49" t="str">
        <f ca="1">IFERROR(__xludf.DUMMYFUNCTION("IFNA(vlookup(H8393,IMPORTRANGE(""1vUGwO1n0QQGx9kKbO0_M5gmuhXZ6-LaxQxgrmJnzgP0"",""'TP# look up'!A:C""),3,0),"""")"),"")</f>
        <v/>
      </c>
      <c r="AH8393" s="49" t="str">
        <f t="shared" si="131"/>
        <v/>
      </c>
    </row>
    <row r="8394" spans="8:34" ht="12.75">
      <c r="H8394" s="43"/>
      <c r="AG8394" s="49" t="str">
        <f ca="1">IFERROR(__xludf.DUMMYFUNCTION("IFNA(vlookup(H8394,IMPORTRANGE(""1vUGwO1n0QQGx9kKbO0_M5gmuhXZ6-LaxQxgrmJnzgP0"",""'TP# look up'!A:C""),3,0),"""")"),"")</f>
        <v/>
      </c>
      <c r="AH8394" s="49" t="str">
        <f t="shared" si="131"/>
        <v/>
      </c>
    </row>
    <row r="8395" spans="8:34" ht="12.75">
      <c r="H8395" s="43"/>
      <c r="AG8395" s="49" t="str">
        <f ca="1">IFERROR(__xludf.DUMMYFUNCTION("IFNA(vlookup(H8395,IMPORTRANGE(""1vUGwO1n0QQGx9kKbO0_M5gmuhXZ6-LaxQxgrmJnzgP0"",""'TP# look up'!A:C""),3,0),"""")"),"")</f>
        <v/>
      </c>
      <c r="AH8395" s="49" t="str">
        <f t="shared" si="131"/>
        <v/>
      </c>
    </row>
    <row r="8396" spans="8:34" ht="12.75">
      <c r="H8396" s="43"/>
      <c r="AG8396" s="49" t="str">
        <f ca="1">IFERROR(__xludf.DUMMYFUNCTION("IFNA(vlookup(H8396,IMPORTRANGE(""1vUGwO1n0QQGx9kKbO0_M5gmuhXZ6-LaxQxgrmJnzgP0"",""'TP# look up'!A:C""),3,0),"""")"),"")</f>
        <v/>
      </c>
      <c r="AH8396" s="49" t="str">
        <f t="shared" si="131"/>
        <v/>
      </c>
    </row>
    <row r="8397" spans="8:34" ht="12.75">
      <c r="H8397" s="43"/>
      <c r="AG8397" s="49" t="str">
        <f ca="1">IFERROR(__xludf.DUMMYFUNCTION("IFNA(vlookup(H8397,IMPORTRANGE(""1vUGwO1n0QQGx9kKbO0_M5gmuhXZ6-LaxQxgrmJnzgP0"",""'TP# look up'!A:C""),3,0),"""")"),"")</f>
        <v/>
      </c>
      <c r="AH8397" s="49" t="str">
        <f t="shared" si="131"/>
        <v/>
      </c>
    </row>
    <row r="8398" spans="8:34" ht="12.75">
      <c r="H8398" s="43"/>
      <c r="AG8398" s="49" t="str">
        <f ca="1">IFERROR(__xludf.DUMMYFUNCTION("IFNA(vlookup(H8398,IMPORTRANGE(""1vUGwO1n0QQGx9kKbO0_M5gmuhXZ6-LaxQxgrmJnzgP0"",""'TP# look up'!A:C""),3,0),"""")"),"")</f>
        <v/>
      </c>
      <c r="AH8398" s="49" t="str">
        <f t="shared" si="131"/>
        <v/>
      </c>
    </row>
    <row r="8399" spans="8:34" ht="12.75">
      <c r="H8399" s="43"/>
      <c r="AG8399" s="49" t="str">
        <f ca="1">IFERROR(__xludf.DUMMYFUNCTION("IFNA(vlookup(H8399,IMPORTRANGE(""1vUGwO1n0QQGx9kKbO0_M5gmuhXZ6-LaxQxgrmJnzgP0"",""'TP# look up'!A:C""),3,0),"""")"),"")</f>
        <v/>
      </c>
      <c r="AH8399" s="49" t="str">
        <f t="shared" si="131"/>
        <v/>
      </c>
    </row>
    <row r="8400" spans="8:34" ht="12.75">
      <c r="H8400" s="43"/>
      <c r="AG8400" s="49" t="str">
        <f ca="1">IFERROR(__xludf.DUMMYFUNCTION("IFNA(vlookup(H8400,IMPORTRANGE(""1vUGwO1n0QQGx9kKbO0_M5gmuhXZ6-LaxQxgrmJnzgP0"",""'TP# look up'!A:C""),3,0),"""")"),"")</f>
        <v/>
      </c>
      <c r="AH8400" s="49" t="str">
        <f t="shared" si="131"/>
        <v/>
      </c>
    </row>
    <row r="8401" spans="8:34" ht="12.75">
      <c r="H8401" s="43"/>
      <c r="AG8401" s="49" t="str">
        <f ca="1">IFERROR(__xludf.DUMMYFUNCTION("IFNA(vlookup(H8401,IMPORTRANGE(""1vUGwO1n0QQGx9kKbO0_M5gmuhXZ6-LaxQxgrmJnzgP0"",""'TP# look up'!A:C""),3,0),"""")"),"")</f>
        <v/>
      </c>
      <c r="AH8401" s="49" t="str">
        <f t="shared" si="131"/>
        <v/>
      </c>
    </row>
    <row r="8402" spans="8:34" ht="12.75">
      <c r="H8402" s="43"/>
      <c r="AG8402" s="49" t="str">
        <f ca="1">IFERROR(__xludf.DUMMYFUNCTION("IFNA(vlookup(H8402,IMPORTRANGE(""1vUGwO1n0QQGx9kKbO0_M5gmuhXZ6-LaxQxgrmJnzgP0"",""'TP# look up'!A:C""),3,0),"""")"),"")</f>
        <v/>
      </c>
      <c r="AH8402" s="49" t="str">
        <f t="shared" si="131"/>
        <v/>
      </c>
    </row>
    <row r="8403" spans="8:34" ht="12.75">
      <c r="H8403" s="43"/>
      <c r="AG8403" s="49" t="str">
        <f ca="1">IFERROR(__xludf.DUMMYFUNCTION("IFNA(vlookup(H8403,IMPORTRANGE(""1vUGwO1n0QQGx9kKbO0_M5gmuhXZ6-LaxQxgrmJnzgP0"",""'TP# look up'!A:C""),3,0),"""")"),"")</f>
        <v/>
      </c>
      <c r="AH8403" s="49" t="str">
        <f t="shared" si="131"/>
        <v/>
      </c>
    </row>
    <row r="8404" spans="8:34" ht="12.75">
      <c r="H8404" s="43"/>
      <c r="AG8404" s="49" t="str">
        <f ca="1">IFERROR(__xludf.DUMMYFUNCTION("IFNA(vlookup(H8404,IMPORTRANGE(""1vUGwO1n0QQGx9kKbO0_M5gmuhXZ6-LaxQxgrmJnzgP0"",""'TP# look up'!A:C""),3,0),"""")"),"")</f>
        <v/>
      </c>
      <c r="AH8404" s="49" t="str">
        <f t="shared" si="131"/>
        <v/>
      </c>
    </row>
    <row r="8405" spans="8:34" ht="12.75">
      <c r="H8405" s="43"/>
      <c r="AG8405" s="49" t="str">
        <f ca="1">IFERROR(__xludf.DUMMYFUNCTION("IFNA(vlookup(H8405,IMPORTRANGE(""1vUGwO1n0QQGx9kKbO0_M5gmuhXZ6-LaxQxgrmJnzgP0"",""'TP# look up'!A:C""),3,0),"""")"),"")</f>
        <v/>
      </c>
      <c r="AH8405" s="49" t="str">
        <f t="shared" si="131"/>
        <v/>
      </c>
    </row>
    <row r="8406" spans="8:34" ht="12.75">
      <c r="H8406" s="43"/>
      <c r="AG8406" s="49" t="str">
        <f ca="1">IFERROR(__xludf.DUMMYFUNCTION("IFNA(vlookup(H8406,IMPORTRANGE(""1vUGwO1n0QQGx9kKbO0_M5gmuhXZ6-LaxQxgrmJnzgP0"",""'TP# look up'!A:C""),3,0),"""")"),"")</f>
        <v/>
      </c>
      <c r="AH8406" s="49" t="str">
        <f t="shared" si="131"/>
        <v/>
      </c>
    </row>
    <row r="8407" spans="8:34" ht="12.75">
      <c r="H8407" s="43"/>
      <c r="AG8407" s="49" t="str">
        <f ca="1">IFERROR(__xludf.DUMMYFUNCTION("IFNA(vlookup(H8407,IMPORTRANGE(""1vUGwO1n0QQGx9kKbO0_M5gmuhXZ6-LaxQxgrmJnzgP0"",""'TP# look up'!A:C""),3,0),"""")"),"")</f>
        <v/>
      </c>
      <c r="AH8407" s="49" t="str">
        <f t="shared" si="131"/>
        <v/>
      </c>
    </row>
    <row r="8408" spans="8:34" ht="12.75">
      <c r="H8408" s="43"/>
      <c r="AG8408" s="49" t="str">
        <f ca="1">IFERROR(__xludf.DUMMYFUNCTION("IFNA(vlookup(H8408,IMPORTRANGE(""1vUGwO1n0QQGx9kKbO0_M5gmuhXZ6-LaxQxgrmJnzgP0"",""'TP# look up'!A:C""),3,0),"""")"),"")</f>
        <v/>
      </c>
      <c r="AH8408" s="49" t="str">
        <f t="shared" si="131"/>
        <v/>
      </c>
    </row>
    <row r="8409" spans="8:34" ht="12.75">
      <c r="H8409" s="43"/>
      <c r="AG8409" s="49" t="str">
        <f ca="1">IFERROR(__xludf.DUMMYFUNCTION("IFNA(vlookup(H8409,IMPORTRANGE(""1vUGwO1n0QQGx9kKbO0_M5gmuhXZ6-LaxQxgrmJnzgP0"",""'TP# look up'!A:C""),3,0),"""")"),"")</f>
        <v/>
      </c>
      <c r="AH8409" s="49" t="str">
        <f t="shared" si="131"/>
        <v/>
      </c>
    </row>
    <row r="8410" spans="8:34" ht="12.75">
      <c r="H8410" s="43"/>
      <c r="AG8410" s="49" t="str">
        <f ca="1">IFERROR(__xludf.DUMMYFUNCTION("IFNA(vlookup(H8410,IMPORTRANGE(""1vUGwO1n0QQGx9kKbO0_M5gmuhXZ6-LaxQxgrmJnzgP0"",""'TP# look up'!A:C""),3,0),"""")"),"")</f>
        <v/>
      </c>
      <c r="AH8410" s="49" t="str">
        <f t="shared" si="131"/>
        <v/>
      </c>
    </row>
    <row r="8411" spans="8:34" ht="12.75">
      <c r="H8411" s="43"/>
      <c r="AG8411" s="49" t="str">
        <f ca="1">IFERROR(__xludf.DUMMYFUNCTION("IFNA(vlookup(H8411,IMPORTRANGE(""1vUGwO1n0QQGx9kKbO0_M5gmuhXZ6-LaxQxgrmJnzgP0"",""'TP# look up'!A:C""),3,0),"""")"),"")</f>
        <v/>
      </c>
      <c r="AH8411" s="49" t="str">
        <f t="shared" si="131"/>
        <v/>
      </c>
    </row>
    <row r="8412" spans="8:34" ht="12.75">
      <c r="H8412" s="43"/>
      <c r="AG8412" s="49" t="str">
        <f ca="1">IFERROR(__xludf.DUMMYFUNCTION("IFNA(vlookup(H8412,IMPORTRANGE(""1vUGwO1n0QQGx9kKbO0_M5gmuhXZ6-LaxQxgrmJnzgP0"",""'TP# look up'!A:C""),3,0),"""")"),"")</f>
        <v/>
      </c>
      <c r="AH8412" s="49" t="str">
        <f t="shared" si="131"/>
        <v/>
      </c>
    </row>
    <row r="8413" spans="8:34" ht="12.75">
      <c r="H8413" s="43"/>
      <c r="AG8413" s="49" t="str">
        <f ca="1">IFERROR(__xludf.DUMMYFUNCTION("IFNA(vlookup(H8413,IMPORTRANGE(""1vUGwO1n0QQGx9kKbO0_M5gmuhXZ6-LaxQxgrmJnzgP0"",""'TP# look up'!A:C""),3,0),"""")"),"")</f>
        <v/>
      </c>
      <c r="AH8413" s="49" t="str">
        <f t="shared" si="131"/>
        <v/>
      </c>
    </row>
    <row r="8414" spans="8:34" ht="12.75">
      <c r="H8414" s="43"/>
      <c r="AG8414" s="49" t="str">
        <f ca="1">IFERROR(__xludf.DUMMYFUNCTION("IFNA(vlookup(H8414,IMPORTRANGE(""1vUGwO1n0QQGx9kKbO0_M5gmuhXZ6-LaxQxgrmJnzgP0"",""'TP# look up'!A:C""),3,0),"""")"),"")</f>
        <v/>
      </c>
      <c r="AH8414" s="49" t="str">
        <f t="shared" si="131"/>
        <v/>
      </c>
    </row>
    <row r="8415" spans="8:34" ht="12.75">
      <c r="H8415" s="43"/>
      <c r="AG8415" s="49" t="str">
        <f ca="1">IFERROR(__xludf.DUMMYFUNCTION("IFNA(vlookup(H8415,IMPORTRANGE(""1vUGwO1n0QQGx9kKbO0_M5gmuhXZ6-LaxQxgrmJnzgP0"",""'TP# look up'!A:C""),3,0),"""")"),"")</f>
        <v/>
      </c>
      <c r="AH8415" s="49" t="str">
        <f t="shared" si="131"/>
        <v/>
      </c>
    </row>
    <row r="8416" spans="8:34" ht="12.75">
      <c r="H8416" s="43"/>
      <c r="AG8416" s="49" t="str">
        <f ca="1">IFERROR(__xludf.DUMMYFUNCTION("IFNA(vlookup(H8416,IMPORTRANGE(""1vUGwO1n0QQGx9kKbO0_M5gmuhXZ6-LaxQxgrmJnzgP0"",""'TP# look up'!A:C""),3,0),"""")"),"")</f>
        <v/>
      </c>
      <c r="AH8416" s="49" t="str">
        <f t="shared" si="131"/>
        <v/>
      </c>
    </row>
    <row r="8417" spans="8:34" ht="12.75">
      <c r="H8417" s="43"/>
      <c r="AG8417" s="49" t="str">
        <f ca="1">IFERROR(__xludf.DUMMYFUNCTION("IFNA(vlookup(H8417,IMPORTRANGE(""1vUGwO1n0QQGx9kKbO0_M5gmuhXZ6-LaxQxgrmJnzgP0"",""'TP# look up'!A:C""),3,0),"""")"),"")</f>
        <v/>
      </c>
      <c r="AH8417" s="49" t="str">
        <f t="shared" si="131"/>
        <v/>
      </c>
    </row>
    <row r="8418" spans="8:34" ht="12.75">
      <c r="H8418" s="43"/>
      <c r="AG8418" s="49" t="str">
        <f ca="1">IFERROR(__xludf.DUMMYFUNCTION("IFNA(vlookup(H8418,IMPORTRANGE(""1vUGwO1n0QQGx9kKbO0_M5gmuhXZ6-LaxQxgrmJnzgP0"",""'TP# look up'!A:C""),3,0),"""")"),"")</f>
        <v/>
      </c>
      <c r="AH8418" s="49" t="str">
        <f t="shared" si="131"/>
        <v/>
      </c>
    </row>
    <row r="8419" spans="8:34" ht="12.75">
      <c r="H8419" s="43"/>
      <c r="AG8419" s="49" t="str">
        <f ca="1">IFERROR(__xludf.DUMMYFUNCTION("IFNA(vlookup(H8419,IMPORTRANGE(""1vUGwO1n0QQGx9kKbO0_M5gmuhXZ6-LaxQxgrmJnzgP0"",""'TP# look up'!A:C""),3,0),"""")"),"")</f>
        <v/>
      </c>
      <c r="AH8419" s="49" t="str">
        <f t="shared" si="131"/>
        <v/>
      </c>
    </row>
    <row r="8420" spans="8:34" ht="12.75">
      <c r="H8420" s="43"/>
      <c r="AG8420" s="49" t="str">
        <f ca="1">IFERROR(__xludf.DUMMYFUNCTION("IFNA(vlookup(H8420,IMPORTRANGE(""1vUGwO1n0QQGx9kKbO0_M5gmuhXZ6-LaxQxgrmJnzgP0"",""'TP# look up'!A:C""),3,0),"""")"),"")</f>
        <v/>
      </c>
      <c r="AH8420" s="49" t="str">
        <f t="shared" si="131"/>
        <v/>
      </c>
    </row>
    <row r="8421" spans="8:34" ht="12.75">
      <c r="H8421" s="43"/>
      <c r="AG8421" s="49" t="str">
        <f ca="1">IFERROR(__xludf.DUMMYFUNCTION("IFNA(vlookup(H8421,IMPORTRANGE(""1vUGwO1n0QQGx9kKbO0_M5gmuhXZ6-LaxQxgrmJnzgP0"",""'TP# look up'!A:C""),3,0),"""")"),"")</f>
        <v/>
      </c>
      <c r="AH8421" s="49" t="str">
        <f t="shared" si="131"/>
        <v/>
      </c>
    </row>
    <row r="8422" spans="8:34" ht="12.75">
      <c r="H8422" s="43"/>
      <c r="AG8422" s="49" t="str">
        <f ca="1">IFERROR(__xludf.DUMMYFUNCTION("IFNA(vlookup(H8422,IMPORTRANGE(""1vUGwO1n0QQGx9kKbO0_M5gmuhXZ6-LaxQxgrmJnzgP0"",""'TP# look up'!A:C""),3,0),"""")"),"")</f>
        <v/>
      </c>
      <c r="AH8422" s="49" t="str">
        <f t="shared" si="131"/>
        <v/>
      </c>
    </row>
    <row r="8423" spans="8:34" ht="12.75">
      <c r="H8423" s="43"/>
      <c r="AG8423" s="49" t="str">
        <f ca="1">IFERROR(__xludf.DUMMYFUNCTION("IFNA(vlookup(H8423,IMPORTRANGE(""1vUGwO1n0QQGx9kKbO0_M5gmuhXZ6-LaxQxgrmJnzgP0"",""'TP# look up'!A:C""),3,0),"""")"),"")</f>
        <v/>
      </c>
      <c r="AH8423" s="49" t="str">
        <f t="shared" si="131"/>
        <v/>
      </c>
    </row>
    <row r="8424" spans="8:34" ht="12.75">
      <c r="H8424" s="43"/>
      <c r="AG8424" s="49" t="str">
        <f ca="1">IFERROR(__xludf.DUMMYFUNCTION("IFNA(vlookup(H8424,IMPORTRANGE(""1vUGwO1n0QQGx9kKbO0_M5gmuhXZ6-LaxQxgrmJnzgP0"",""'TP# look up'!A:C""),3,0),"""")"),"")</f>
        <v/>
      </c>
      <c r="AH8424" s="49" t="str">
        <f t="shared" si="131"/>
        <v/>
      </c>
    </row>
    <row r="8425" spans="8:34" ht="12.75">
      <c r="H8425" s="43"/>
      <c r="AG8425" s="49" t="str">
        <f ca="1">IFERROR(__xludf.DUMMYFUNCTION("IFNA(vlookup(H8425,IMPORTRANGE(""1vUGwO1n0QQGx9kKbO0_M5gmuhXZ6-LaxQxgrmJnzgP0"",""'TP# look up'!A:C""),3,0),"""")"),"")</f>
        <v/>
      </c>
      <c r="AH8425" s="49" t="str">
        <f t="shared" si="131"/>
        <v/>
      </c>
    </row>
    <row r="8426" spans="8:34" ht="12.75">
      <c r="H8426" s="43"/>
      <c r="AG8426" s="49" t="str">
        <f ca="1">IFERROR(__xludf.DUMMYFUNCTION("IFNA(vlookup(H8426,IMPORTRANGE(""1vUGwO1n0QQGx9kKbO0_M5gmuhXZ6-LaxQxgrmJnzgP0"",""'TP# look up'!A:C""),3,0),"""")"),"")</f>
        <v/>
      </c>
      <c r="AH8426" s="49" t="str">
        <f t="shared" si="131"/>
        <v/>
      </c>
    </row>
    <row r="8427" spans="8:34" ht="12.75">
      <c r="H8427" s="43"/>
      <c r="AG8427" s="49" t="str">
        <f ca="1">IFERROR(__xludf.DUMMYFUNCTION("IFNA(vlookup(H8427,IMPORTRANGE(""1vUGwO1n0QQGx9kKbO0_M5gmuhXZ6-LaxQxgrmJnzgP0"",""'TP# look up'!A:C""),3,0),"""")"),"")</f>
        <v/>
      </c>
      <c r="AH8427" s="49" t="str">
        <f t="shared" si="131"/>
        <v/>
      </c>
    </row>
    <row r="8428" spans="8:34" ht="12.75">
      <c r="H8428" s="43"/>
      <c r="AG8428" s="49" t="str">
        <f ca="1">IFERROR(__xludf.DUMMYFUNCTION("IFNA(vlookup(H8428,IMPORTRANGE(""1vUGwO1n0QQGx9kKbO0_M5gmuhXZ6-LaxQxgrmJnzgP0"",""'TP# look up'!A:C""),3,0),"""")"),"")</f>
        <v/>
      </c>
      <c r="AH8428" s="49" t="str">
        <f t="shared" si="131"/>
        <v/>
      </c>
    </row>
    <row r="8429" spans="8:34" ht="12.75">
      <c r="H8429" s="43"/>
      <c r="AG8429" s="49" t="str">
        <f ca="1">IFERROR(__xludf.DUMMYFUNCTION("IFNA(vlookup(H8429,IMPORTRANGE(""1vUGwO1n0QQGx9kKbO0_M5gmuhXZ6-LaxQxgrmJnzgP0"",""'TP# look up'!A:C""),3,0),"""")"),"")</f>
        <v/>
      </c>
      <c r="AH8429" s="49" t="str">
        <f t="shared" si="131"/>
        <v/>
      </c>
    </row>
    <row r="8430" spans="8:34" ht="12.75">
      <c r="H8430" s="43"/>
      <c r="AG8430" s="49" t="str">
        <f ca="1">IFERROR(__xludf.DUMMYFUNCTION("IFNA(vlookup(H8430,IMPORTRANGE(""1vUGwO1n0QQGx9kKbO0_M5gmuhXZ6-LaxQxgrmJnzgP0"",""'TP# look up'!A:C""),3,0),"""")"),"")</f>
        <v/>
      </c>
      <c r="AH8430" s="49" t="str">
        <f t="shared" si="131"/>
        <v/>
      </c>
    </row>
    <row r="8431" spans="8:34" ht="12.75">
      <c r="H8431" s="43"/>
      <c r="AG8431" s="49" t="str">
        <f ca="1">IFERROR(__xludf.DUMMYFUNCTION("IFNA(vlookup(H8431,IMPORTRANGE(""1vUGwO1n0QQGx9kKbO0_M5gmuhXZ6-LaxQxgrmJnzgP0"",""'TP# look up'!A:C""),3,0),"""")"),"")</f>
        <v/>
      </c>
      <c r="AH8431" s="49" t="str">
        <f t="shared" si="131"/>
        <v/>
      </c>
    </row>
    <row r="8432" spans="8:34" ht="12.75">
      <c r="H8432" s="43"/>
      <c r="AG8432" s="49" t="str">
        <f ca="1">IFERROR(__xludf.DUMMYFUNCTION("IFNA(vlookup(H8432,IMPORTRANGE(""1vUGwO1n0QQGx9kKbO0_M5gmuhXZ6-LaxQxgrmJnzgP0"",""'TP# look up'!A:C""),3,0),"""")"),"")</f>
        <v/>
      </c>
      <c r="AH8432" s="49" t="str">
        <f t="shared" si="131"/>
        <v/>
      </c>
    </row>
    <row r="8433" spans="8:34" ht="12.75">
      <c r="H8433" s="43"/>
      <c r="AG8433" s="49" t="str">
        <f ca="1">IFERROR(__xludf.DUMMYFUNCTION("IFNA(vlookup(H8433,IMPORTRANGE(""1vUGwO1n0QQGx9kKbO0_M5gmuhXZ6-LaxQxgrmJnzgP0"",""'TP# look up'!A:C""),3,0),"""")"),"")</f>
        <v/>
      </c>
      <c r="AH8433" s="49" t="str">
        <f t="shared" si="131"/>
        <v/>
      </c>
    </row>
    <row r="8434" spans="8:34" ht="12.75">
      <c r="H8434" s="43"/>
      <c r="AG8434" s="49" t="str">
        <f ca="1">IFERROR(__xludf.DUMMYFUNCTION("IFNA(vlookup(H8434,IMPORTRANGE(""1vUGwO1n0QQGx9kKbO0_M5gmuhXZ6-LaxQxgrmJnzgP0"",""'TP# look up'!A:C""),3,0),"""")"),"")</f>
        <v/>
      </c>
      <c r="AH8434" s="49" t="str">
        <f t="shared" si="131"/>
        <v/>
      </c>
    </row>
    <row r="8435" spans="8:34" ht="12.75">
      <c r="H8435" s="43"/>
      <c r="AG8435" s="49" t="str">
        <f ca="1">IFERROR(__xludf.DUMMYFUNCTION("IFNA(vlookup(H8435,IMPORTRANGE(""1vUGwO1n0QQGx9kKbO0_M5gmuhXZ6-LaxQxgrmJnzgP0"",""'TP# look up'!A:C""),3,0),"""")"),"")</f>
        <v/>
      </c>
      <c r="AH8435" s="49" t="str">
        <f t="shared" si="131"/>
        <v/>
      </c>
    </row>
    <row r="8436" spans="8:34" ht="12.75">
      <c r="H8436" s="43"/>
      <c r="AG8436" s="49" t="str">
        <f ca="1">IFERROR(__xludf.DUMMYFUNCTION("IFNA(vlookup(H8436,IMPORTRANGE(""1vUGwO1n0QQGx9kKbO0_M5gmuhXZ6-LaxQxgrmJnzgP0"",""'TP# look up'!A:C""),3,0),"""")"),"")</f>
        <v/>
      </c>
      <c r="AH8436" s="49" t="str">
        <f t="shared" si="131"/>
        <v/>
      </c>
    </row>
    <row r="8437" spans="8:34" ht="12.75">
      <c r="H8437" s="43"/>
      <c r="AG8437" s="49" t="str">
        <f ca="1">IFERROR(__xludf.DUMMYFUNCTION("IFNA(vlookup(H8437,IMPORTRANGE(""1vUGwO1n0QQGx9kKbO0_M5gmuhXZ6-LaxQxgrmJnzgP0"",""'TP# look up'!A:C""),3,0),"""")"),"")</f>
        <v/>
      </c>
      <c r="AH8437" s="49" t="str">
        <f t="shared" si="131"/>
        <v/>
      </c>
    </row>
    <row r="8438" spans="8:34" ht="12.75">
      <c r="H8438" s="43"/>
      <c r="AG8438" s="49" t="str">
        <f ca="1">IFERROR(__xludf.DUMMYFUNCTION("IFNA(vlookup(H8438,IMPORTRANGE(""1vUGwO1n0QQGx9kKbO0_M5gmuhXZ6-LaxQxgrmJnzgP0"",""'TP# look up'!A:C""),3,0),"""")"),"")</f>
        <v/>
      </c>
      <c r="AH8438" s="49" t="str">
        <f t="shared" si="131"/>
        <v/>
      </c>
    </row>
    <row r="8439" spans="8:34" ht="12.75">
      <c r="H8439" s="43"/>
      <c r="AG8439" s="49" t="str">
        <f ca="1">IFERROR(__xludf.DUMMYFUNCTION("IFNA(vlookup(H8439,IMPORTRANGE(""1vUGwO1n0QQGx9kKbO0_M5gmuhXZ6-LaxQxgrmJnzgP0"",""'TP# look up'!A:C""),3,0),"""")"),"")</f>
        <v/>
      </c>
      <c r="AH8439" s="49" t="str">
        <f t="shared" si="131"/>
        <v/>
      </c>
    </row>
    <row r="8440" spans="8:34" ht="12.75">
      <c r="H8440" s="43"/>
      <c r="AG8440" s="49" t="str">
        <f ca="1">IFERROR(__xludf.DUMMYFUNCTION("IFNA(vlookup(H8440,IMPORTRANGE(""1vUGwO1n0QQGx9kKbO0_M5gmuhXZ6-LaxQxgrmJnzgP0"",""'TP# look up'!A:C""),3,0),"""")"),"")</f>
        <v/>
      </c>
      <c r="AH8440" s="49" t="str">
        <f t="shared" si="131"/>
        <v/>
      </c>
    </row>
    <row r="8441" spans="8:34" ht="12.75">
      <c r="H8441" s="43"/>
      <c r="AG8441" s="49" t="str">
        <f ca="1">IFERROR(__xludf.DUMMYFUNCTION("IFNA(vlookup(H8441,IMPORTRANGE(""1vUGwO1n0QQGx9kKbO0_M5gmuhXZ6-LaxQxgrmJnzgP0"",""'TP# look up'!A:C""),3,0),"""")"),"")</f>
        <v/>
      </c>
      <c r="AH8441" s="49" t="str">
        <f t="shared" si="131"/>
        <v/>
      </c>
    </row>
    <row r="8442" spans="8:34" ht="12.75">
      <c r="H8442" s="43"/>
      <c r="AG8442" s="49" t="str">
        <f ca="1">IFERROR(__xludf.DUMMYFUNCTION("IFNA(vlookup(H8442,IMPORTRANGE(""1vUGwO1n0QQGx9kKbO0_M5gmuhXZ6-LaxQxgrmJnzgP0"",""'TP# look up'!A:C""),3,0),"""")"),"")</f>
        <v/>
      </c>
      <c r="AH8442" s="49" t="str">
        <f t="shared" si="131"/>
        <v/>
      </c>
    </row>
    <row r="8443" spans="8:34" ht="12.75">
      <c r="H8443" s="43"/>
      <c r="AG8443" s="49" t="str">
        <f ca="1">IFERROR(__xludf.DUMMYFUNCTION("IFNA(vlookup(H8443,IMPORTRANGE(""1vUGwO1n0QQGx9kKbO0_M5gmuhXZ6-LaxQxgrmJnzgP0"",""'TP# look up'!A:C""),3,0),"""")"),"")</f>
        <v/>
      </c>
      <c r="AH8443" s="49" t="str">
        <f t="shared" si="131"/>
        <v/>
      </c>
    </row>
    <row r="8444" spans="8:34" ht="12.75">
      <c r="H8444" s="43"/>
      <c r="AG8444" s="49" t="str">
        <f ca="1">IFERROR(__xludf.DUMMYFUNCTION("IFNA(vlookup(H8444,IMPORTRANGE(""1vUGwO1n0QQGx9kKbO0_M5gmuhXZ6-LaxQxgrmJnzgP0"",""'TP# look up'!A:C""),3,0),"""")"),"")</f>
        <v/>
      </c>
      <c r="AH8444" s="49" t="str">
        <f t="shared" si="131"/>
        <v/>
      </c>
    </row>
    <row r="8445" spans="8:34" ht="12.75">
      <c r="H8445" s="43"/>
      <c r="AG8445" s="49" t="str">
        <f ca="1">IFERROR(__xludf.DUMMYFUNCTION("IFNA(vlookup(H8445,IMPORTRANGE(""1vUGwO1n0QQGx9kKbO0_M5gmuhXZ6-LaxQxgrmJnzgP0"",""'TP# look up'!A:C""),3,0),"""")"),"")</f>
        <v/>
      </c>
      <c r="AH8445" s="49" t="str">
        <f t="shared" si="131"/>
        <v/>
      </c>
    </row>
    <row r="8446" spans="8:34" ht="12.75">
      <c r="H8446" s="43"/>
      <c r="AG8446" s="49" t="str">
        <f ca="1">IFERROR(__xludf.DUMMYFUNCTION("IFNA(vlookup(H8446,IMPORTRANGE(""1vUGwO1n0QQGx9kKbO0_M5gmuhXZ6-LaxQxgrmJnzgP0"",""'TP# look up'!A:C""),3,0),"""")"),"")</f>
        <v/>
      </c>
      <c r="AH8446" s="49" t="str">
        <f t="shared" si="131"/>
        <v/>
      </c>
    </row>
    <row r="8447" spans="8:34" ht="12.75">
      <c r="H8447" s="43"/>
      <c r="AG8447" s="49" t="str">
        <f ca="1">IFERROR(__xludf.DUMMYFUNCTION("IFNA(vlookup(H8447,IMPORTRANGE(""1vUGwO1n0QQGx9kKbO0_M5gmuhXZ6-LaxQxgrmJnzgP0"",""'TP# look up'!A:C""),3,0),"""")"),"")</f>
        <v/>
      </c>
      <c r="AH8447" s="49" t="str">
        <f t="shared" si="131"/>
        <v/>
      </c>
    </row>
    <row r="8448" spans="8:34" ht="12.75">
      <c r="H8448" s="43"/>
      <c r="AG8448" s="49" t="str">
        <f ca="1">IFERROR(__xludf.DUMMYFUNCTION("IFNA(vlookup(H8448,IMPORTRANGE(""1vUGwO1n0QQGx9kKbO0_M5gmuhXZ6-LaxQxgrmJnzgP0"",""'TP# look up'!A:C""),3,0),"""")"),"")</f>
        <v/>
      </c>
      <c r="AH8448" s="49" t="str">
        <f t="shared" si="131"/>
        <v/>
      </c>
    </row>
    <row r="8449" spans="8:34" ht="12.75">
      <c r="H8449" s="43"/>
      <c r="AG8449" s="49" t="str">
        <f ca="1">IFERROR(__xludf.DUMMYFUNCTION("IFNA(vlookup(H8449,IMPORTRANGE(""1vUGwO1n0QQGx9kKbO0_M5gmuhXZ6-LaxQxgrmJnzgP0"",""'TP# look up'!A:C""),3,0),"""")"),"")</f>
        <v/>
      </c>
      <c r="AH8449" s="49" t="str">
        <f t="shared" si="131"/>
        <v/>
      </c>
    </row>
    <row r="8450" spans="8:34" ht="12.75">
      <c r="H8450" s="43"/>
      <c r="AG8450" s="49" t="str">
        <f ca="1">IFERROR(__xludf.DUMMYFUNCTION("IFNA(vlookup(H8450,IMPORTRANGE(""1vUGwO1n0QQGx9kKbO0_M5gmuhXZ6-LaxQxgrmJnzgP0"",""'TP# look up'!A:C""),3,0),"""")"),"")</f>
        <v/>
      </c>
      <c r="AH8450" s="49" t="str">
        <f t="shared" ref="AH8450:AH8513" si="132">LEFT(J8450,2)</f>
        <v/>
      </c>
    </row>
    <row r="8451" spans="8:34" ht="12.75">
      <c r="H8451" s="43"/>
      <c r="AG8451" s="49" t="str">
        <f ca="1">IFERROR(__xludf.DUMMYFUNCTION("IFNA(vlookup(H8451,IMPORTRANGE(""1vUGwO1n0QQGx9kKbO0_M5gmuhXZ6-LaxQxgrmJnzgP0"",""'TP# look up'!A:C""),3,0),"""")"),"")</f>
        <v/>
      </c>
      <c r="AH8451" s="49" t="str">
        <f t="shared" si="132"/>
        <v/>
      </c>
    </row>
    <row r="8452" spans="8:34" ht="12.75">
      <c r="H8452" s="43"/>
      <c r="AG8452" s="49" t="str">
        <f ca="1">IFERROR(__xludf.DUMMYFUNCTION("IFNA(vlookup(H8452,IMPORTRANGE(""1vUGwO1n0QQGx9kKbO0_M5gmuhXZ6-LaxQxgrmJnzgP0"",""'TP# look up'!A:C""),3,0),"""")"),"")</f>
        <v/>
      </c>
      <c r="AH8452" s="49" t="str">
        <f t="shared" si="132"/>
        <v/>
      </c>
    </row>
    <row r="8453" spans="8:34" ht="12.75">
      <c r="H8453" s="43"/>
      <c r="AG8453" s="49" t="str">
        <f ca="1">IFERROR(__xludf.DUMMYFUNCTION("IFNA(vlookup(H8453,IMPORTRANGE(""1vUGwO1n0QQGx9kKbO0_M5gmuhXZ6-LaxQxgrmJnzgP0"",""'TP# look up'!A:C""),3,0),"""")"),"")</f>
        <v/>
      </c>
      <c r="AH8453" s="49" t="str">
        <f t="shared" si="132"/>
        <v/>
      </c>
    </row>
    <row r="8454" spans="8:34" ht="12.75">
      <c r="H8454" s="43"/>
      <c r="AG8454" s="49" t="str">
        <f ca="1">IFERROR(__xludf.DUMMYFUNCTION("IFNA(vlookup(H8454,IMPORTRANGE(""1vUGwO1n0QQGx9kKbO0_M5gmuhXZ6-LaxQxgrmJnzgP0"",""'TP# look up'!A:C""),3,0),"""")"),"")</f>
        <v/>
      </c>
      <c r="AH8454" s="49" t="str">
        <f t="shared" si="132"/>
        <v/>
      </c>
    </row>
    <row r="8455" spans="8:34" ht="12.75">
      <c r="H8455" s="43"/>
      <c r="AG8455" s="49" t="str">
        <f ca="1">IFERROR(__xludf.DUMMYFUNCTION("IFNA(vlookup(H8455,IMPORTRANGE(""1vUGwO1n0QQGx9kKbO0_M5gmuhXZ6-LaxQxgrmJnzgP0"",""'TP# look up'!A:C""),3,0),"""")"),"")</f>
        <v/>
      </c>
      <c r="AH8455" s="49" t="str">
        <f t="shared" si="132"/>
        <v/>
      </c>
    </row>
    <row r="8456" spans="8:34" ht="12.75">
      <c r="H8456" s="43"/>
      <c r="AG8456" s="49" t="str">
        <f ca="1">IFERROR(__xludf.DUMMYFUNCTION("IFNA(vlookup(H8456,IMPORTRANGE(""1vUGwO1n0QQGx9kKbO0_M5gmuhXZ6-LaxQxgrmJnzgP0"",""'TP# look up'!A:C""),3,0),"""")"),"")</f>
        <v/>
      </c>
      <c r="AH8456" s="49" t="str">
        <f t="shared" si="132"/>
        <v/>
      </c>
    </row>
    <row r="8457" spans="8:34" ht="12.75">
      <c r="H8457" s="43"/>
      <c r="AG8457" s="49" t="str">
        <f ca="1">IFERROR(__xludf.DUMMYFUNCTION("IFNA(vlookup(H8457,IMPORTRANGE(""1vUGwO1n0QQGx9kKbO0_M5gmuhXZ6-LaxQxgrmJnzgP0"",""'TP# look up'!A:C""),3,0),"""")"),"")</f>
        <v/>
      </c>
      <c r="AH8457" s="49" t="str">
        <f t="shared" si="132"/>
        <v/>
      </c>
    </row>
    <row r="8458" spans="8:34" ht="12.75">
      <c r="H8458" s="43"/>
      <c r="AG8458" s="49" t="str">
        <f ca="1">IFERROR(__xludf.DUMMYFUNCTION("IFNA(vlookup(H8458,IMPORTRANGE(""1vUGwO1n0QQGx9kKbO0_M5gmuhXZ6-LaxQxgrmJnzgP0"",""'TP# look up'!A:C""),3,0),"""")"),"")</f>
        <v/>
      </c>
      <c r="AH8458" s="49" t="str">
        <f t="shared" si="132"/>
        <v/>
      </c>
    </row>
    <row r="8459" spans="8:34" ht="12.75">
      <c r="H8459" s="43"/>
      <c r="AG8459" s="49" t="str">
        <f ca="1">IFERROR(__xludf.DUMMYFUNCTION("IFNA(vlookup(H8459,IMPORTRANGE(""1vUGwO1n0QQGx9kKbO0_M5gmuhXZ6-LaxQxgrmJnzgP0"",""'TP# look up'!A:C""),3,0),"""")"),"")</f>
        <v/>
      </c>
      <c r="AH8459" s="49" t="str">
        <f t="shared" si="132"/>
        <v/>
      </c>
    </row>
    <row r="8460" spans="8:34" ht="12.75">
      <c r="H8460" s="43"/>
      <c r="AG8460" s="49" t="str">
        <f ca="1">IFERROR(__xludf.DUMMYFUNCTION("IFNA(vlookup(H8460,IMPORTRANGE(""1vUGwO1n0QQGx9kKbO0_M5gmuhXZ6-LaxQxgrmJnzgP0"",""'TP# look up'!A:C""),3,0),"""")"),"")</f>
        <v/>
      </c>
      <c r="AH8460" s="49" t="str">
        <f t="shared" si="132"/>
        <v/>
      </c>
    </row>
    <row r="8461" spans="8:34" ht="12.75">
      <c r="H8461" s="43"/>
      <c r="AG8461" s="49" t="str">
        <f ca="1">IFERROR(__xludf.DUMMYFUNCTION("IFNA(vlookup(H8461,IMPORTRANGE(""1vUGwO1n0QQGx9kKbO0_M5gmuhXZ6-LaxQxgrmJnzgP0"",""'TP# look up'!A:C""),3,0),"""")"),"")</f>
        <v/>
      </c>
      <c r="AH8461" s="49" t="str">
        <f t="shared" si="132"/>
        <v/>
      </c>
    </row>
    <row r="8462" spans="8:34" ht="12.75">
      <c r="H8462" s="43"/>
      <c r="AG8462" s="49" t="str">
        <f ca="1">IFERROR(__xludf.DUMMYFUNCTION("IFNA(vlookup(H8462,IMPORTRANGE(""1vUGwO1n0QQGx9kKbO0_M5gmuhXZ6-LaxQxgrmJnzgP0"",""'TP# look up'!A:C""),3,0),"""")"),"")</f>
        <v/>
      </c>
      <c r="AH8462" s="49" t="str">
        <f t="shared" si="132"/>
        <v/>
      </c>
    </row>
    <row r="8463" spans="8:34" ht="12.75">
      <c r="H8463" s="43"/>
      <c r="AG8463" s="49" t="str">
        <f ca="1">IFERROR(__xludf.DUMMYFUNCTION("IFNA(vlookup(H8463,IMPORTRANGE(""1vUGwO1n0QQGx9kKbO0_M5gmuhXZ6-LaxQxgrmJnzgP0"",""'TP# look up'!A:C""),3,0),"""")"),"")</f>
        <v/>
      </c>
      <c r="AH8463" s="49" t="str">
        <f t="shared" si="132"/>
        <v/>
      </c>
    </row>
    <row r="8464" spans="8:34" ht="12.75">
      <c r="H8464" s="43"/>
      <c r="AG8464" s="49" t="str">
        <f ca="1">IFERROR(__xludf.DUMMYFUNCTION("IFNA(vlookup(H8464,IMPORTRANGE(""1vUGwO1n0QQGx9kKbO0_M5gmuhXZ6-LaxQxgrmJnzgP0"",""'TP# look up'!A:C""),3,0),"""")"),"")</f>
        <v/>
      </c>
      <c r="AH8464" s="49" t="str">
        <f t="shared" si="132"/>
        <v/>
      </c>
    </row>
    <row r="8465" spans="8:34" ht="12.75">
      <c r="H8465" s="43"/>
      <c r="AG8465" s="49" t="str">
        <f ca="1">IFERROR(__xludf.DUMMYFUNCTION("IFNA(vlookup(H8465,IMPORTRANGE(""1vUGwO1n0QQGx9kKbO0_M5gmuhXZ6-LaxQxgrmJnzgP0"",""'TP# look up'!A:C""),3,0),"""")"),"")</f>
        <v/>
      </c>
      <c r="AH8465" s="49" t="str">
        <f t="shared" si="132"/>
        <v/>
      </c>
    </row>
    <row r="8466" spans="8:34" ht="12.75">
      <c r="H8466" s="43"/>
      <c r="AG8466" s="49" t="str">
        <f ca="1">IFERROR(__xludf.DUMMYFUNCTION("IFNA(vlookup(H8466,IMPORTRANGE(""1vUGwO1n0QQGx9kKbO0_M5gmuhXZ6-LaxQxgrmJnzgP0"",""'TP# look up'!A:C""),3,0),"""")"),"")</f>
        <v/>
      </c>
      <c r="AH8466" s="49" t="str">
        <f t="shared" si="132"/>
        <v/>
      </c>
    </row>
    <row r="8467" spans="8:34" ht="12.75">
      <c r="H8467" s="43"/>
      <c r="AG8467" s="49" t="str">
        <f ca="1">IFERROR(__xludf.DUMMYFUNCTION("IFNA(vlookup(H8467,IMPORTRANGE(""1vUGwO1n0QQGx9kKbO0_M5gmuhXZ6-LaxQxgrmJnzgP0"",""'TP# look up'!A:C""),3,0),"""")"),"")</f>
        <v/>
      </c>
      <c r="AH8467" s="49" t="str">
        <f t="shared" si="132"/>
        <v/>
      </c>
    </row>
    <row r="8468" spans="8:34" ht="12.75">
      <c r="H8468" s="43"/>
      <c r="AG8468" s="49" t="str">
        <f ca="1">IFERROR(__xludf.DUMMYFUNCTION("IFNA(vlookup(H8468,IMPORTRANGE(""1vUGwO1n0QQGx9kKbO0_M5gmuhXZ6-LaxQxgrmJnzgP0"",""'TP# look up'!A:C""),3,0),"""")"),"")</f>
        <v/>
      </c>
      <c r="AH8468" s="49" t="str">
        <f t="shared" si="132"/>
        <v/>
      </c>
    </row>
    <row r="8469" spans="8:34" ht="12.75">
      <c r="H8469" s="43"/>
      <c r="AG8469" s="49" t="str">
        <f ca="1">IFERROR(__xludf.DUMMYFUNCTION("IFNA(vlookup(H8469,IMPORTRANGE(""1vUGwO1n0QQGx9kKbO0_M5gmuhXZ6-LaxQxgrmJnzgP0"",""'TP# look up'!A:C""),3,0),"""")"),"")</f>
        <v/>
      </c>
      <c r="AH8469" s="49" t="str">
        <f t="shared" si="132"/>
        <v/>
      </c>
    </row>
    <row r="8470" spans="8:34" ht="12.75">
      <c r="H8470" s="43"/>
      <c r="AG8470" s="49" t="str">
        <f ca="1">IFERROR(__xludf.DUMMYFUNCTION("IFNA(vlookup(H8470,IMPORTRANGE(""1vUGwO1n0QQGx9kKbO0_M5gmuhXZ6-LaxQxgrmJnzgP0"",""'TP# look up'!A:C""),3,0),"""")"),"")</f>
        <v/>
      </c>
      <c r="AH8470" s="49" t="str">
        <f t="shared" si="132"/>
        <v/>
      </c>
    </row>
    <row r="8471" spans="8:34" ht="12.75">
      <c r="H8471" s="43"/>
      <c r="AG8471" s="49" t="str">
        <f ca="1">IFERROR(__xludf.DUMMYFUNCTION("IFNA(vlookup(H8471,IMPORTRANGE(""1vUGwO1n0QQGx9kKbO0_M5gmuhXZ6-LaxQxgrmJnzgP0"",""'TP# look up'!A:C""),3,0),"""")"),"")</f>
        <v/>
      </c>
      <c r="AH8471" s="49" t="str">
        <f t="shared" si="132"/>
        <v/>
      </c>
    </row>
    <row r="8472" spans="8:34" ht="12.75">
      <c r="H8472" s="43"/>
      <c r="AG8472" s="49" t="str">
        <f ca="1">IFERROR(__xludf.DUMMYFUNCTION("IFNA(vlookup(H8472,IMPORTRANGE(""1vUGwO1n0QQGx9kKbO0_M5gmuhXZ6-LaxQxgrmJnzgP0"",""'TP# look up'!A:C""),3,0),"""")"),"")</f>
        <v/>
      </c>
      <c r="AH8472" s="49" t="str">
        <f t="shared" si="132"/>
        <v/>
      </c>
    </row>
    <row r="8473" spans="8:34" ht="12.75">
      <c r="H8473" s="43"/>
      <c r="AG8473" s="49" t="str">
        <f ca="1">IFERROR(__xludf.DUMMYFUNCTION("IFNA(vlookup(H8473,IMPORTRANGE(""1vUGwO1n0QQGx9kKbO0_M5gmuhXZ6-LaxQxgrmJnzgP0"",""'TP# look up'!A:C""),3,0),"""")"),"")</f>
        <v/>
      </c>
      <c r="AH8473" s="49" t="str">
        <f t="shared" si="132"/>
        <v/>
      </c>
    </row>
    <row r="8474" spans="8:34" ht="12.75">
      <c r="H8474" s="43"/>
      <c r="AG8474" s="49" t="str">
        <f ca="1">IFERROR(__xludf.DUMMYFUNCTION("IFNA(vlookup(H8474,IMPORTRANGE(""1vUGwO1n0QQGx9kKbO0_M5gmuhXZ6-LaxQxgrmJnzgP0"",""'TP# look up'!A:C""),3,0),"""")"),"")</f>
        <v/>
      </c>
      <c r="AH8474" s="49" t="str">
        <f t="shared" si="132"/>
        <v/>
      </c>
    </row>
    <row r="8475" spans="8:34" ht="12.75">
      <c r="H8475" s="43"/>
      <c r="AG8475" s="49" t="str">
        <f ca="1">IFERROR(__xludf.DUMMYFUNCTION("IFNA(vlookup(H8475,IMPORTRANGE(""1vUGwO1n0QQGx9kKbO0_M5gmuhXZ6-LaxQxgrmJnzgP0"",""'TP# look up'!A:C""),3,0),"""")"),"")</f>
        <v/>
      </c>
      <c r="AH8475" s="49" t="str">
        <f t="shared" si="132"/>
        <v/>
      </c>
    </row>
    <row r="8476" spans="8:34" ht="12.75">
      <c r="H8476" s="43"/>
      <c r="AG8476" s="49" t="str">
        <f ca="1">IFERROR(__xludf.DUMMYFUNCTION("IFNA(vlookup(H8476,IMPORTRANGE(""1vUGwO1n0QQGx9kKbO0_M5gmuhXZ6-LaxQxgrmJnzgP0"",""'TP# look up'!A:C""),3,0),"""")"),"")</f>
        <v/>
      </c>
      <c r="AH8476" s="49" t="str">
        <f t="shared" si="132"/>
        <v/>
      </c>
    </row>
    <row r="8477" spans="8:34" ht="12.75">
      <c r="H8477" s="43"/>
      <c r="AG8477" s="49" t="str">
        <f ca="1">IFERROR(__xludf.DUMMYFUNCTION("IFNA(vlookup(H8477,IMPORTRANGE(""1vUGwO1n0QQGx9kKbO0_M5gmuhXZ6-LaxQxgrmJnzgP0"",""'TP# look up'!A:C""),3,0),"""")"),"")</f>
        <v/>
      </c>
      <c r="AH8477" s="49" t="str">
        <f t="shared" si="132"/>
        <v/>
      </c>
    </row>
    <row r="8478" spans="8:34" ht="12.75">
      <c r="H8478" s="43"/>
      <c r="AG8478" s="49" t="str">
        <f ca="1">IFERROR(__xludf.DUMMYFUNCTION("IFNA(vlookup(H8478,IMPORTRANGE(""1vUGwO1n0QQGx9kKbO0_M5gmuhXZ6-LaxQxgrmJnzgP0"",""'TP# look up'!A:C""),3,0),"""")"),"")</f>
        <v/>
      </c>
      <c r="AH8478" s="49" t="str">
        <f t="shared" si="132"/>
        <v/>
      </c>
    </row>
    <row r="8479" spans="8:34" ht="12.75">
      <c r="H8479" s="43"/>
      <c r="AG8479" s="49" t="str">
        <f ca="1">IFERROR(__xludf.DUMMYFUNCTION("IFNA(vlookup(H8479,IMPORTRANGE(""1vUGwO1n0QQGx9kKbO0_M5gmuhXZ6-LaxQxgrmJnzgP0"",""'TP# look up'!A:C""),3,0),"""")"),"")</f>
        <v/>
      </c>
      <c r="AH8479" s="49" t="str">
        <f t="shared" si="132"/>
        <v/>
      </c>
    </row>
    <row r="8480" spans="8:34" ht="12.75">
      <c r="H8480" s="43"/>
      <c r="AG8480" s="49" t="str">
        <f ca="1">IFERROR(__xludf.DUMMYFUNCTION("IFNA(vlookup(H8480,IMPORTRANGE(""1vUGwO1n0QQGx9kKbO0_M5gmuhXZ6-LaxQxgrmJnzgP0"",""'TP# look up'!A:C""),3,0),"""")"),"")</f>
        <v/>
      </c>
      <c r="AH8480" s="49" t="str">
        <f t="shared" si="132"/>
        <v/>
      </c>
    </row>
    <row r="8481" spans="8:34" ht="12.75">
      <c r="H8481" s="43"/>
      <c r="AG8481" s="49" t="str">
        <f ca="1">IFERROR(__xludf.DUMMYFUNCTION("IFNA(vlookup(H8481,IMPORTRANGE(""1vUGwO1n0QQGx9kKbO0_M5gmuhXZ6-LaxQxgrmJnzgP0"",""'TP# look up'!A:C""),3,0),"""")"),"")</f>
        <v/>
      </c>
      <c r="AH8481" s="49" t="str">
        <f t="shared" si="132"/>
        <v/>
      </c>
    </row>
    <row r="8482" spans="8:34" ht="12.75">
      <c r="H8482" s="43"/>
      <c r="AG8482" s="49" t="str">
        <f ca="1">IFERROR(__xludf.DUMMYFUNCTION("IFNA(vlookup(H8482,IMPORTRANGE(""1vUGwO1n0QQGx9kKbO0_M5gmuhXZ6-LaxQxgrmJnzgP0"",""'TP# look up'!A:C""),3,0),"""")"),"")</f>
        <v/>
      </c>
      <c r="AH8482" s="49" t="str">
        <f t="shared" si="132"/>
        <v/>
      </c>
    </row>
    <row r="8483" spans="8:34" ht="12.75">
      <c r="H8483" s="43"/>
      <c r="AG8483" s="49" t="str">
        <f ca="1">IFERROR(__xludf.DUMMYFUNCTION("IFNA(vlookup(H8483,IMPORTRANGE(""1vUGwO1n0QQGx9kKbO0_M5gmuhXZ6-LaxQxgrmJnzgP0"",""'TP# look up'!A:C""),3,0),"""")"),"")</f>
        <v/>
      </c>
      <c r="AH8483" s="49" t="str">
        <f t="shared" si="132"/>
        <v/>
      </c>
    </row>
    <row r="8484" spans="8:34" ht="12.75">
      <c r="H8484" s="43"/>
      <c r="AG8484" s="49" t="str">
        <f ca="1">IFERROR(__xludf.DUMMYFUNCTION("IFNA(vlookup(H8484,IMPORTRANGE(""1vUGwO1n0QQGx9kKbO0_M5gmuhXZ6-LaxQxgrmJnzgP0"",""'TP# look up'!A:C""),3,0),"""")"),"")</f>
        <v/>
      </c>
      <c r="AH8484" s="49" t="str">
        <f t="shared" si="132"/>
        <v/>
      </c>
    </row>
    <row r="8485" spans="8:34" ht="12.75">
      <c r="H8485" s="43"/>
      <c r="AG8485" s="49" t="str">
        <f ca="1">IFERROR(__xludf.DUMMYFUNCTION("IFNA(vlookup(H8485,IMPORTRANGE(""1vUGwO1n0QQGx9kKbO0_M5gmuhXZ6-LaxQxgrmJnzgP0"",""'TP# look up'!A:C""),3,0),"""")"),"")</f>
        <v/>
      </c>
      <c r="AH8485" s="49" t="str">
        <f t="shared" si="132"/>
        <v/>
      </c>
    </row>
    <row r="8486" spans="8:34" ht="12.75">
      <c r="H8486" s="43"/>
      <c r="AG8486" s="49" t="str">
        <f ca="1">IFERROR(__xludf.DUMMYFUNCTION("IFNA(vlookup(H8486,IMPORTRANGE(""1vUGwO1n0QQGx9kKbO0_M5gmuhXZ6-LaxQxgrmJnzgP0"",""'TP# look up'!A:C""),3,0),"""")"),"")</f>
        <v/>
      </c>
      <c r="AH8486" s="49" t="str">
        <f t="shared" si="132"/>
        <v/>
      </c>
    </row>
    <row r="8487" spans="8:34" ht="12.75">
      <c r="H8487" s="43"/>
      <c r="AG8487" s="49" t="str">
        <f ca="1">IFERROR(__xludf.DUMMYFUNCTION("IFNA(vlookup(H8487,IMPORTRANGE(""1vUGwO1n0QQGx9kKbO0_M5gmuhXZ6-LaxQxgrmJnzgP0"",""'TP# look up'!A:C""),3,0),"""")"),"")</f>
        <v/>
      </c>
      <c r="AH8487" s="49" t="str">
        <f t="shared" si="132"/>
        <v/>
      </c>
    </row>
    <row r="8488" spans="8:34" ht="12.75">
      <c r="H8488" s="43"/>
      <c r="AG8488" s="49" t="str">
        <f ca="1">IFERROR(__xludf.DUMMYFUNCTION("IFNA(vlookup(H8488,IMPORTRANGE(""1vUGwO1n0QQGx9kKbO0_M5gmuhXZ6-LaxQxgrmJnzgP0"",""'TP# look up'!A:C""),3,0),"""")"),"")</f>
        <v/>
      </c>
      <c r="AH8488" s="49" t="str">
        <f t="shared" si="132"/>
        <v/>
      </c>
    </row>
    <row r="8489" spans="8:34" ht="12.75">
      <c r="H8489" s="43"/>
      <c r="AG8489" s="49" t="str">
        <f ca="1">IFERROR(__xludf.DUMMYFUNCTION("IFNA(vlookup(H8489,IMPORTRANGE(""1vUGwO1n0QQGx9kKbO0_M5gmuhXZ6-LaxQxgrmJnzgP0"",""'TP# look up'!A:C""),3,0),"""")"),"")</f>
        <v/>
      </c>
      <c r="AH8489" s="49" t="str">
        <f t="shared" si="132"/>
        <v/>
      </c>
    </row>
    <row r="8490" spans="8:34" ht="12.75">
      <c r="H8490" s="43"/>
      <c r="AG8490" s="49" t="str">
        <f ca="1">IFERROR(__xludf.DUMMYFUNCTION("IFNA(vlookup(H8490,IMPORTRANGE(""1vUGwO1n0QQGx9kKbO0_M5gmuhXZ6-LaxQxgrmJnzgP0"",""'TP# look up'!A:C""),3,0),"""")"),"")</f>
        <v/>
      </c>
      <c r="AH8490" s="49" t="str">
        <f t="shared" si="132"/>
        <v/>
      </c>
    </row>
    <row r="8491" spans="8:34" ht="12.75">
      <c r="H8491" s="43"/>
      <c r="AG8491" s="49" t="str">
        <f ca="1">IFERROR(__xludf.DUMMYFUNCTION("IFNA(vlookup(H8491,IMPORTRANGE(""1vUGwO1n0QQGx9kKbO0_M5gmuhXZ6-LaxQxgrmJnzgP0"",""'TP# look up'!A:C""),3,0),"""")"),"")</f>
        <v/>
      </c>
      <c r="AH8491" s="49" t="str">
        <f t="shared" si="132"/>
        <v/>
      </c>
    </row>
    <row r="8492" spans="8:34" ht="12.75">
      <c r="H8492" s="43"/>
      <c r="AG8492" s="49" t="str">
        <f ca="1">IFERROR(__xludf.DUMMYFUNCTION("IFNA(vlookup(H8492,IMPORTRANGE(""1vUGwO1n0QQGx9kKbO0_M5gmuhXZ6-LaxQxgrmJnzgP0"",""'TP# look up'!A:C""),3,0),"""")"),"")</f>
        <v/>
      </c>
      <c r="AH8492" s="49" t="str">
        <f t="shared" si="132"/>
        <v/>
      </c>
    </row>
    <row r="8493" spans="8:34" ht="12.75">
      <c r="H8493" s="43"/>
      <c r="AG8493" s="49" t="str">
        <f ca="1">IFERROR(__xludf.DUMMYFUNCTION("IFNA(vlookup(H8493,IMPORTRANGE(""1vUGwO1n0QQGx9kKbO0_M5gmuhXZ6-LaxQxgrmJnzgP0"",""'TP# look up'!A:C""),3,0),"""")"),"")</f>
        <v/>
      </c>
      <c r="AH8493" s="49" t="str">
        <f t="shared" si="132"/>
        <v/>
      </c>
    </row>
    <row r="8494" spans="8:34" ht="12.75">
      <c r="H8494" s="43"/>
      <c r="AG8494" s="49" t="str">
        <f ca="1">IFERROR(__xludf.DUMMYFUNCTION("IFNA(vlookup(H8494,IMPORTRANGE(""1vUGwO1n0QQGx9kKbO0_M5gmuhXZ6-LaxQxgrmJnzgP0"",""'TP# look up'!A:C""),3,0),"""")"),"")</f>
        <v/>
      </c>
      <c r="AH8494" s="49" t="str">
        <f t="shared" si="132"/>
        <v/>
      </c>
    </row>
    <row r="8495" spans="8:34" ht="12.75">
      <c r="H8495" s="43"/>
      <c r="AG8495" s="49" t="str">
        <f ca="1">IFERROR(__xludf.DUMMYFUNCTION("IFNA(vlookup(H8495,IMPORTRANGE(""1vUGwO1n0QQGx9kKbO0_M5gmuhXZ6-LaxQxgrmJnzgP0"",""'TP# look up'!A:C""),3,0),"""")"),"")</f>
        <v/>
      </c>
      <c r="AH8495" s="49" t="str">
        <f t="shared" si="132"/>
        <v/>
      </c>
    </row>
    <row r="8496" spans="8:34" ht="12.75">
      <c r="H8496" s="43"/>
      <c r="AG8496" s="49" t="str">
        <f ca="1">IFERROR(__xludf.DUMMYFUNCTION("IFNA(vlookup(H8496,IMPORTRANGE(""1vUGwO1n0QQGx9kKbO0_M5gmuhXZ6-LaxQxgrmJnzgP0"",""'TP# look up'!A:C""),3,0),"""")"),"")</f>
        <v/>
      </c>
      <c r="AH8496" s="49" t="str">
        <f t="shared" si="132"/>
        <v/>
      </c>
    </row>
    <row r="8497" spans="8:34" ht="12.75">
      <c r="H8497" s="43"/>
      <c r="AG8497" s="49" t="str">
        <f ca="1">IFERROR(__xludf.DUMMYFUNCTION("IFNA(vlookup(H8497,IMPORTRANGE(""1vUGwO1n0QQGx9kKbO0_M5gmuhXZ6-LaxQxgrmJnzgP0"",""'TP# look up'!A:C""),3,0),"""")"),"")</f>
        <v/>
      </c>
      <c r="AH8497" s="49" t="str">
        <f t="shared" si="132"/>
        <v/>
      </c>
    </row>
    <row r="8498" spans="8:34" ht="12.75">
      <c r="H8498" s="43"/>
      <c r="AG8498" s="49" t="str">
        <f ca="1">IFERROR(__xludf.DUMMYFUNCTION("IFNA(vlookup(H8498,IMPORTRANGE(""1vUGwO1n0QQGx9kKbO0_M5gmuhXZ6-LaxQxgrmJnzgP0"",""'TP# look up'!A:C""),3,0),"""")"),"")</f>
        <v/>
      </c>
      <c r="AH8498" s="49" t="str">
        <f t="shared" si="132"/>
        <v/>
      </c>
    </row>
    <row r="8499" spans="8:34" ht="12.75">
      <c r="H8499" s="43"/>
      <c r="AG8499" s="49" t="str">
        <f ca="1">IFERROR(__xludf.DUMMYFUNCTION("IFNA(vlookup(H8499,IMPORTRANGE(""1vUGwO1n0QQGx9kKbO0_M5gmuhXZ6-LaxQxgrmJnzgP0"",""'TP# look up'!A:C""),3,0),"""")"),"")</f>
        <v/>
      </c>
      <c r="AH8499" s="49" t="str">
        <f t="shared" si="132"/>
        <v/>
      </c>
    </row>
    <row r="8500" spans="8:34" ht="12.75">
      <c r="H8500" s="43"/>
      <c r="AG8500" s="49" t="str">
        <f ca="1">IFERROR(__xludf.DUMMYFUNCTION("IFNA(vlookup(H8500,IMPORTRANGE(""1vUGwO1n0QQGx9kKbO0_M5gmuhXZ6-LaxQxgrmJnzgP0"",""'TP# look up'!A:C""),3,0),"""")"),"")</f>
        <v/>
      </c>
      <c r="AH8500" s="49" t="str">
        <f t="shared" si="132"/>
        <v/>
      </c>
    </row>
    <row r="8501" spans="8:34" ht="12.75">
      <c r="H8501" s="43"/>
      <c r="AG8501" s="49" t="str">
        <f ca="1">IFERROR(__xludf.DUMMYFUNCTION("IFNA(vlookup(H8501,IMPORTRANGE(""1vUGwO1n0QQGx9kKbO0_M5gmuhXZ6-LaxQxgrmJnzgP0"",""'TP# look up'!A:C""),3,0),"""")"),"")</f>
        <v/>
      </c>
      <c r="AH8501" s="49" t="str">
        <f t="shared" si="132"/>
        <v/>
      </c>
    </row>
    <row r="8502" spans="8:34" ht="12.75">
      <c r="H8502" s="43"/>
      <c r="AG8502" s="49" t="str">
        <f ca="1">IFERROR(__xludf.DUMMYFUNCTION("IFNA(vlookup(H8502,IMPORTRANGE(""1vUGwO1n0QQGx9kKbO0_M5gmuhXZ6-LaxQxgrmJnzgP0"",""'TP# look up'!A:C""),3,0),"""")"),"")</f>
        <v/>
      </c>
      <c r="AH8502" s="49" t="str">
        <f t="shared" si="132"/>
        <v/>
      </c>
    </row>
    <row r="8503" spans="8:34" ht="12.75">
      <c r="H8503" s="43"/>
      <c r="AG8503" s="49" t="str">
        <f ca="1">IFERROR(__xludf.DUMMYFUNCTION("IFNA(vlookup(H8503,IMPORTRANGE(""1vUGwO1n0QQGx9kKbO0_M5gmuhXZ6-LaxQxgrmJnzgP0"",""'TP# look up'!A:C""),3,0),"""")"),"")</f>
        <v/>
      </c>
      <c r="AH8503" s="49" t="str">
        <f t="shared" si="132"/>
        <v/>
      </c>
    </row>
    <row r="8504" spans="8:34" ht="12.75">
      <c r="H8504" s="43"/>
      <c r="AG8504" s="49" t="str">
        <f ca="1">IFERROR(__xludf.DUMMYFUNCTION("IFNA(vlookup(H8504,IMPORTRANGE(""1vUGwO1n0QQGx9kKbO0_M5gmuhXZ6-LaxQxgrmJnzgP0"",""'TP# look up'!A:C""),3,0),"""")"),"")</f>
        <v/>
      </c>
      <c r="AH8504" s="49" t="str">
        <f t="shared" si="132"/>
        <v/>
      </c>
    </row>
    <row r="8505" spans="8:34" ht="12.75">
      <c r="H8505" s="43"/>
      <c r="AG8505" s="49" t="str">
        <f ca="1">IFERROR(__xludf.DUMMYFUNCTION("IFNA(vlookup(H8505,IMPORTRANGE(""1vUGwO1n0QQGx9kKbO0_M5gmuhXZ6-LaxQxgrmJnzgP0"",""'TP# look up'!A:C""),3,0),"""")"),"")</f>
        <v/>
      </c>
      <c r="AH8505" s="49" t="str">
        <f t="shared" si="132"/>
        <v/>
      </c>
    </row>
    <row r="8506" spans="8:34" ht="12.75">
      <c r="H8506" s="43"/>
      <c r="AG8506" s="49" t="str">
        <f ca="1">IFERROR(__xludf.DUMMYFUNCTION("IFNA(vlookup(H8506,IMPORTRANGE(""1vUGwO1n0QQGx9kKbO0_M5gmuhXZ6-LaxQxgrmJnzgP0"",""'TP# look up'!A:C""),3,0),"""")"),"")</f>
        <v/>
      </c>
      <c r="AH8506" s="49" t="str">
        <f t="shared" si="132"/>
        <v/>
      </c>
    </row>
    <row r="8507" spans="8:34" ht="12.75">
      <c r="H8507" s="43"/>
      <c r="AG8507" s="49" t="str">
        <f ca="1">IFERROR(__xludf.DUMMYFUNCTION("IFNA(vlookup(H8507,IMPORTRANGE(""1vUGwO1n0QQGx9kKbO0_M5gmuhXZ6-LaxQxgrmJnzgP0"",""'TP# look up'!A:C""),3,0),"""")"),"")</f>
        <v/>
      </c>
      <c r="AH8507" s="49" t="str">
        <f t="shared" si="132"/>
        <v/>
      </c>
    </row>
    <row r="8508" spans="8:34" ht="12.75">
      <c r="H8508" s="43"/>
      <c r="AG8508" s="49" t="str">
        <f ca="1">IFERROR(__xludf.DUMMYFUNCTION("IFNA(vlookup(H8508,IMPORTRANGE(""1vUGwO1n0QQGx9kKbO0_M5gmuhXZ6-LaxQxgrmJnzgP0"",""'TP# look up'!A:C""),3,0),"""")"),"")</f>
        <v/>
      </c>
      <c r="AH8508" s="49" t="str">
        <f t="shared" si="132"/>
        <v/>
      </c>
    </row>
    <row r="8509" spans="8:34" ht="12.75">
      <c r="H8509" s="43"/>
      <c r="AG8509" s="49" t="str">
        <f ca="1">IFERROR(__xludf.DUMMYFUNCTION("IFNA(vlookup(H8509,IMPORTRANGE(""1vUGwO1n0QQGx9kKbO0_M5gmuhXZ6-LaxQxgrmJnzgP0"",""'TP# look up'!A:C""),3,0),"""")"),"")</f>
        <v/>
      </c>
      <c r="AH8509" s="49" t="str">
        <f t="shared" si="132"/>
        <v/>
      </c>
    </row>
    <row r="8510" spans="8:34" ht="12.75">
      <c r="H8510" s="43"/>
      <c r="AG8510" s="49" t="str">
        <f ca="1">IFERROR(__xludf.DUMMYFUNCTION("IFNA(vlookup(H8510,IMPORTRANGE(""1vUGwO1n0QQGx9kKbO0_M5gmuhXZ6-LaxQxgrmJnzgP0"",""'TP# look up'!A:C""),3,0),"""")"),"")</f>
        <v/>
      </c>
      <c r="AH8510" s="49" t="str">
        <f t="shared" si="132"/>
        <v/>
      </c>
    </row>
    <row r="8511" spans="8:34" ht="12.75">
      <c r="H8511" s="43"/>
      <c r="AG8511" s="49" t="str">
        <f ca="1">IFERROR(__xludf.DUMMYFUNCTION("IFNA(vlookup(H8511,IMPORTRANGE(""1vUGwO1n0QQGx9kKbO0_M5gmuhXZ6-LaxQxgrmJnzgP0"",""'TP# look up'!A:C""),3,0),"""")"),"")</f>
        <v/>
      </c>
      <c r="AH8511" s="49" t="str">
        <f t="shared" si="132"/>
        <v/>
      </c>
    </row>
    <row r="8512" spans="8:34" ht="12.75">
      <c r="H8512" s="43"/>
      <c r="AG8512" s="49" t="str">
        <f ca="1">IFERROR(__xludf.DUMMYFUNCTION("IFNA(vlookup(H8512,IMPORTRANGE(""1vUGwO1n0QQGx9kKbO0_M5gmuhXZ6-LaxQxgrmJnzgP0"",""'TP# look up'!A:C""),3,0),"""")"),"")</f>
        <v/>
      </c>
      <c r="AH8512" s="49" t="str">
        <f t="shared" si="132"/>
        <v/>
      </c>
    </row>
    <row r="8513" spans="8:34" ht="12.75">
      <c r="H8513" s="43"/>
      <c r="AG8513" s="49" t="str">
        <f ca="1">IFERROR(__xludf.DUMMYFUNCTION("IFNA(vlookup(H8513,IMPORTRANGE(""1vUGwO1n0QQGx9kKbO0_M5gmuhXZ6-LaxQxgrmJnzgP0"",""'TP# look up'!A:C""),3,0),"""")"),"")</f>
        <v/>
      </c>
      <c r="AH8513" s="49" t="str">
        <f t="shared" si="132"/>
        <v/>
      </c>
    </row>
    <row r="8514" spans="8:34" ht="12.75">
      <c r="H8514" s="43"/>
      <c r="AG8514" s="49" t="str">
        <f ca="1">IFERROR(__xludf.DUMMYFUNCTION("IFNA(vlookup(H8514,IMPORTRANGE(""1vUGwO1n0QQGx9kKbO0_M5gmuhXZ6-LaxQxgrmJnzgP0"",""'TP# look up'!A:C""),3,0),"""")"),"")</f>
        <v/>
      </c>
      <c r="AH8514" s="49" t="str">
        <f t="shared" ref="AH8514:AH8577" si="133">LEFT(J8514,2)</f>
        <v/>
      </c>
    </row>
    <row r="8515" spans="8:34" ht="12.75">
      <c r="H8515" s="43"/>
      <c r="AG8515" s="49" t="str">
        <f ca="1">IFERROR(__xludf.DUMMYFUNCTION("IFNA(vlookup(H8515,IMPORTRANGE(""1vUGwO1n0QQGx9kKbO0_M5gmuhXZ6-LaxQxgrmJnzgP0"",""'TP# look up'!A:C""),3,0),"""")"),"")</f>
        <v/>
      </c>
      <c r="AH8515" s="49" t="str">
        <f t="shared" si="133"/>
        <v/>
      </c>
    </row>
    <row r="8516" spans="8:34" ht="12.75">
      <c r="H8516" s="43"/>
      <c r="AG8516" s="49" t="str">
        <f ca="1">IFERROR(__xludf.DUMMYFUNCTION("IFNA(vlookup(H8516,IMPORTRANGE(""1vUGwO1n0QQGx9kKbO0_M5gmuhXZ6-LaxQxgrmJnzgP0"",""'TP# look up'!A:C""),3,0),"""")"),"")</f>
        <v/>
      </c>
      <c r="AH8516" s="49" t="str">
        <f t="shared" si="133"/>
        <v/>
      </c>
    </row>
    <row r="8517" spans="8:34" ht="12.75">
      <c r="H8517" s="43"/>
      <c r="AG8517" s="49" t="str">
        <f ca="1">IFERROR(__xludf.DUMMYFUNCTION("IFNA(vlookup(H8517,IMPORTRANGE(""1vUGwO1n0QQGx9kKbO0_M5gmuhXZ6-LaxQxgrmJnzgP0"",""'TP# look up'!A:C""),3,0),"""")"),"")</f>
        <v/>
      </c>
      <c r="AH8517" s="49" t="str">
        <f t="shared" si="133"/>
        <v/>
      </c>
    </row>
    <row r="8518" spans="8:34" ht="12.75">
      <c r="H8518" s="43"/>
      <c r="AG8518" s="49" t="str">
        <f ca="1">IFERROR(__xludf.DUMMYFUNCTION("IFNA(vlookup(H8518,IMPORTRANGE(""1vUGwO1n0QQGx9kKbO0_M5gmuhXZ6-LaxQxgrmJnzgP0"",""'TP# look up'!A:C""),3,0),"""")"),"")</f>
        <v/>
      </c>
      <c r="AH8518" s="49" t="str">
        <f t="shared" si="133"/>
        <v/>
      </c>
    </row>
    <row r="8519" spans="8:34" ht="12.75">
      <c r="H8519" s="43"/>
      <c r="AG8519" s="49" t="str">
        <f ca="1">IFERROR(__xludf.DUMMYFUNCTION("IFNA(vlookup(H8519,IMPORTRANGE(""1vUGwO1n0QQGx9kKbO0_M5gmuhXZ6-LaxQxgrmJnzgP0"",""'TP# look up'!A:C""),3,0),"""")"),"")</f>
        <v/>
      </c>
      <c r="AH8519" s="49" t="str">
        <f t="shared" si="133"/>
        <v/>
      </c>
    </row>
    <row r="8520" spans="8:34" ht="12.75">
      <c r="H8520" s="43"/>
      <c r="AG8520" s="49" t="str">
        <f ca="1">IFERROR(__xludf.DUMMYFUNCTION("IFNA(vlookup(H8520,IMPORTRANGE(""1vUGwO1n0QQGx9kKbO0_M5gmuhXZ6-LaxQxgrmJnzgP0"",""'TP# look up'!A:C""),3,0),"""")"),"")</f>
        <v/>
      </c>
      <c r="AH8520" s="49" t="str">
        <f t="shared" si="133"/>
        <v/>
      </c>
    </row>
    <row r="8521" spans="8:34" ht="12.75">
      <c r="H8521" s="43"/>
      <c r="AG8521" s="49" t="str">
        <f ca="1">IFERROR(__xludf.DUMMYFUNCTION("IFNA(vlookup(H8521,IMPORTRANGE(""1vUGwO1n0QQGx9kKbO0_M5gmuhXZ6-LaxQxgrmJnzgP0"",""'TP# look up'!A:C""),3,0),"""")"),"")</f>
        <v/>
      </c>
      <c r="AH8521" s="49" t="str">
        <f t="shared" si="133"/>
        <v/>
      </c>
    </row>
    <row r="8522" spans="8:34" ht="12.75">
      <c r="H8522" s="43"/>
      <c r="AG8522" s="49" t="str">
        <f ca="1">IFERROR(__xludf.DUMMYFUNCTION("IFNA(vlookup(H8522,IMPORTRANGE(""1vUGwO1n0QQGx9kKbO0_M5gmuhXZ6-LaxQxgrmJnzgP0"",""'TP# look up'!A:C""),3,0),"""")"),"")</f>
        <v/>
      </c>
      <c r="AH8522" s="49" t="str">
        <f t="shared" si="133"/>
        <v/>
      </c>
    </row>
    <row r="8523" spans="8:34" ht="12.75">
      <c r="H8523" s="43"/>
      <c r="AG8523" s="49" t="str">
        <f ca="1">IFERROR(__xludf.DUMMYFUNCTION("IFNA(vlookup(H8523,IMPORTRANGE(""1vUGwO1n0QQGx9kKbO0_M5gmuhXZ6-LaxQxgrmJnzgP0"",""'TP# look up'!A:C""),3,0),"""")"),"")</f>
        <v/>
      </c>
      <c r="AH8523" s="49" t="str">
        <f t="shared" si="133"/>
        <v/>
      </c>
    </row>
    <row r="8524" spans="8:34" ht="12.75">
      <c r="H8524" s="43"/>
      <c r="AG8524" s="49" t="str">
        <f ca="1">IFERROR(__xludf.DUMMYFUNCTION("IFNA(vlookup(H8524,IMPORTRANGE(""1vUGwO1n0QQGx9kKbO0_M5gmuhXZ6-LaxQxgrmJnzgP0"",""'TP# look up'!A:C""),3,0),"""")"),"")</f>
        <v/>
      </c>
      <c r="AH8524" s="49" t="str">
        <f t="shared" si="133"/>
        <v/>
      </c>
    </row>
    <row r="8525" spans="8:34" ht="12.75">
      <c r="H8525" s="43"/>
      <c r="AG8525" s="49" t="str">
        <f ca="1">IFERROR(__xludf.DUMMYFUNCTION("IFNA(vlookup(H8525,IMPORTRANGE(""1vUGwO1n0QQGx9kKbO0_M5gmuhXZ6-LaxQxgrmJnzgP0"",""'TP# look up'!A:C""),3,0),"""")"),"")</f>
        <v/>
      </c>
      <c r="AH8525" s="49" t="str">
        <f t="shared" si="133"/>
        <v/>
      </c>
    </row>
    <row r="8526" spans="8:34" ht="12.75">
      <c r="H8526" s="43"/>
      <c r="AG8526" s="49" t="str">
        <f ca="1">IFERROR(__xludf.DUMMYFUNCTION("IFNA(vlookup(H8526,IMPORTRANGE(""1vUGwO1n0QQGx9kKbO0_M5gmuhXZ6-LaxQxgrmJnzgP0"",""'TP# look up'!A:C""),3,0),"""")"),"")</f>
        <v/>
      </c>
      <c r="AH8526" s="49" t="str">
        <f t="shared" si="133"/>
        <v/>
      </c>
    </row>
    <row r="8527" spans="8:34" ht="12.75">
      <c r="H8527" s="43"/>
      <c r="AG8527" s="49" t="str">
        <f ca="1">IFERROR(__xludf.DUMMYFUNCTION("IFNA(vlookup(H8527,IMPORTRANGE(""1vUGwO1n0QQGx9kKbO0_M5gmuhXZ6-LaxQxgrmJnzgP0"",""'TP# look up'!A:C""),3,0),"""")"),"")</f>
        <v/>
      </c>
      <c r="AH8527" s="49" t="str">
        <f t="shared" si="133"/>
        <v/>
      </c>
    </row>
    <row r="8528" spans="8:34" ht="12.75">
      <c r="H8528" s="43"/>
      <c r="AG8528" s="49" t="str">
        <f ca="1">IFERROR(__xludf.DUMMYFUNCTION("IFNA(vlookup(H8528,IMPORTRANGE(""1vUGwO1n0QQGx9kKbO0_M5gmuhXZ6-LaxQxgrmJnzgP0"",""'TP# look up'!A:C""),3,0),"""")"),"")</f>
        <v/>
      </c>
      <c r="AH8528" s="49" t="str">
        <f t="shared" si="133"/>
        <v/>
      </c>
    </row>
    <row r="8529" spans="8:34" ht="12.75">
      <c r="H8529" s="43"/>
      <c r="AG8529" s="49" t="str">
        <f ca="1">IFERROR(__xludf.DUMMYFUNCTION("IFNA(vlookup(H8529,IMPORTRANGE(""1vUGwO1n0QQGx9kKbO0_M5gmuhXZ6-LaxQxgrmJnzgP0"",""'TP# look up'!A:C""),3,0),"""")"),"")</f>
        <v/>
      </c>
      <c r="AH8529" s="49" t="str">
        <f t="shared" si="133"/>
        <v/>
      </c>
    </row>
    <row r="8530" spans="8:34" ht="12.75">
      <c r="H8530" s="43"/>
      <c r="AG8530" s="49" t="str">
        <f ca="1">IFERROR(__xludf.DUMMYFUNCTION("IFNA(vlookup(H8530,IMPORTRANGE(""1vUGwO1n0QQGx9kKbO0_M5gmuhXZ6-LaxQxgrmJnzgP0"",""'TP# look up'!A:C""),3,0),"""")"),"")</f>
        <v/>
      </c>
      <c r="AH8530" s="49" t="str">
        <f t="shared" si="133"/>
        <v/>
      </c>
    </row>
    <row r="8531" spans="8:34" ht="12.75">
      <c r="H8531" s="43"/>
      <c r="AG8531" s="49" t="str">
        <f ca="1">IFERROR(__xludf.DUMMYFUNCTION("IFNA(vlookup(H8531,IMPORTRANGE(""1vUGwO1n0QQGx9kKbO0_M5gmuhXZ6-LaxQxgrmJnzgP0"",""'TP# look up'!A:C""),3,0),"""")"),"")</f>
        <v/>
      </c>
      <c r="AH8531" s="49" t="str">
        <f t="shared" si="133"/>
        <v/>
      </c>
    </row>
    <row r="8532" spans="8:34" ht="12.75">
      <c r="H8532" s="43"/>
      <c r="AG8532" s="49" t="str">
        <f ca="1">IFERROR(__xludf.DUMMYFUNCTION("IFNA(vlookup(H8532,IMPORTRANGE(""1vUGwO1n0QQGx9kKbO0_M5gmuhXZ6-LaxQxgrmJnzgP0"",""'TP# look up'!A:C""),3,0),"""")"),"")</f>
        <v/>
      </c>
      <c r="AH8532" s="49" t="str">
        <f t="shared" si="133"/>
        <v/>
      </c>
    </row>
    <row r="8533" spans="8:34" ht="12.75">
      <c r="H8533" s="43"/>
      <c r="AG8533" s="49" t="str">
        <f ca="1">IFERROR(__xludf.DUMMYFUNCTION("IFNA(vlookup(H8533,IMPORTRANGE(""1vUGwO1n0QQGx9kKbO0_M5gmuhXZ6-LaxQxgrmJnzgP0"",""'TP# look up'!A:C""),3,0),"""")"),"")</f>
        <v/>
      </c>
      <c r="AH8533" s="49" t="str">
        <f t="shared" si="133"/>
        <v/>
      </c>
    </row>
    <row r="8534" spans="8:34" ht="12.75">
      <c r="H8534" s="43"/>
      <c r="AG8534" s="49" t="str">
        <f ca="1">IFERROR(__xludf.DUMMYFUNCTION("IFNA(vlookup(H8534,IMPORTRANGE(""1vUGwO1n0QQGx9kKbO0_M5gmuhXZ6-LaxQxgrmJnzgP0"",""'TP# look up'!A:C""),3,0),"""")"),"")</f>
        <v/>
      </c>
      <c r="AH8534" s="49" t="str">
        <f t="shared" si="133"/>
        <v/>
      </c>
    </row>
    <row r="8535" spans="8:34" ht="12.75">
      <c r="H8535" s="43"/>
      <c r="AG8535" s="49" t="str">
        <f ca="1">IFERROR(__xludf.DUMMYFUNCTION("IFNA(vlookup(H8535,IMPORTRANGE(""1vUGwO1n0QQGx9kKbO0_M5gmuhXZ6-LaxQxgrmJnzgP0"",""'TP# look up'!A:C""),3,0),"""")"),"")</f>
        <v/>
      </c>
      <c r="AH8535" s="49" t="str">
        <f t="shared" si="133"/>
        <v/>
      </c>
    </row>
    <row r="8536" spans="8:34" ht="12.75">
      <c r="H8536" s="43"/>
      <c r="AG8536" s="49" t="str">
        <f ca="1">IFERROR(__xludf.DUMMYFUNCTION("IFNA(vlookup(H8536,IMPORTRANGE(""1vUGwO1n0QQGx9kKbO0_M5gmuhXZ6-LaxQxgrmJnzgP0"",""'TP# look up'!A:C""),3,0),"""")"),"")</f>
        <v/>
      </c>
      <c r="AH8536" s="49" t="str">
        <f t="shared" si="133"/>
        <v/>
      </c>
    </row>
    <row r="8537" spans="8:34" ht="12.75">
      <c r="H8537" s="43"/>
      <c r="AG8537" s="49" t="str">
        <f ca="1">IFERROR(__xludf.DUMMYFUNCTION("IFNA(vlookup(H8537,IMPORTRANGE(""1vUGwO1n0QQGx9kKbO0_M5gmuhXZ6-LaxQxgrmJnzgP0"",""'TP# look up'!A:C""),3,0),"""")"),"")</f>
        <v/>
      </c>
      <c r="AH8537" s="49" t="str">
        <f t="shared" si="133"/>
        <v/>
      </c>
    </row>
    <row r="8538" spans="8:34" ht="12.75">
      <c r="H8538" s="43"/>
      <c r="AG8538" s="49" t="str">
        <f ca="1">IFERROR(__xludf.DUMMYFUNCTION("IFNA(vlookup(H8538,IMPORTRANGE(""1vUGwO1n0QQGx9kKbO0_M5gmuhXZ6-LaxQxgrmJnzgP0"",""'TP# look up'!A:C""),3,0),"""")"),"")</f>
        <v/>
      </c>
      <c r="AH8538" s="49" t="str">
        <f t="shared" si="133"/>
        <v/>
      </c>
    </row>
    <row r="8539" spans="8:34" ht="12.75">
      <c r="H8539" s="43"/>
      <c r="AG8539" s="49" t="str">
        <f ca="1">IFERROR(__xludf.DUMMYFUNCTION("IFNA(vlookup(H8539,IMPORTRANGE(""1vUGwO1n0QQGx9kKbO0_M5gmuhXZ6-LaxQxgrmJnzgP0"",""'TP# look up'!A:C""),3,0),"""")"),"")</f>
        <v/>
      </c>
      <c r="AH8539" s="49" t="str">
        <f t="shared" si="133"/>
        <v/>
      </c>
    </row>
    <row r="8540" spans="8:34" ht="12.75">
      <c r="H8540" s="43"/>
      <c r="AG8540" s="49" t="str">
        <f ca="1">IFERROR(__xludf.DUMMYFUNCTION("IFNA(vlookup(H8540,IMPORTRANGE(""1vUGwO1n0QQGx9kKbO0_M5gmuhXZ6-LaxQxgrmJnzgP0"",""'TP# look up'!A:C""),3,0),"""")"),"")</f>
        <v/>
      </c>
      <c r="AH8540" s="49" t="str">
        <f t="shared" si="133"/>
        <v/>
      </c>
    </row>
    <row r="8541" spans="8:34" ht="12.75">
      <c r="H8541" s="43"/>
      <c r="AG8541" s="49" t="str">
        <f ca="1">IFERROR(__xludf.DUMMYFUNCTION("IFNA(vlookup(H8541,IMPORTRANGE(""1vUGwO1n0QQGx9kKbO0_M5gmuhXZ6-LaxQxgrmJnzgP0"",""'TP# look up'!A:C""),3,0),"""")"),"")</f>
        <v/>
      </c>
      <c r="AH8541" s="49" t="str">
        <f t="shared" si="133"/>
        <v/>
      </c>
    </row>
    <row r="8542" spans="8:34" ht="12.75">
      <c r="H8542" s="43"/>
      <c r="AG8542" s="49" t="str">
        <f ca="1">IFERROR(__xludf.DUMMYFUNCTION("IFNA(vlookup(H8542,IMPORTRANGE(""1vUGwO1n0QQGx9kKbO0_M5gmuhXZ6-LaxQxgrmJnzgP0"",""'TP# look up'!A:C""),3,0),"""")"),"")</f>
        <v/>
      </c>
      <c r="AH8542" s="49" t="str">
        <f t="shared" si="133"/>
        <v/>
      </c>
    </row>
    <row r="8543" spans="8:34" ht="12.75">
      <c r="H8543" s="43"/>
      <c r="AG8543" s="49" t="str">
        <f ca="1">IFERROR(__xludf.DUMMYFUNCTION("IFNA(vlookup(H8543,IMPORTRANGE(""1vUGwO1n0QQGx9kKbO0_M5gmuhXZ6-LaxQxgrmJnzgP0"",""'TP# look up'!A:C""),3,0),"""")"),"")</f>
        <v/>
      </c>
      <c r="AH8543" s="49" t="str">
        <f t="shared" si="133"/>
        <v/>
      </c>
    </row>
    <row r="8544" spans="8:34" ht="12.75">
      <c r="H8544" s="43"/>
      <c r="AG8544" s="49" t="str">
        <f ca="1">IFERROR(__xludf.DUMMYFUNCTION("IFNA(vlookup(H8544,IMPORTRANGE(""1vUGwO1n0QQGx9kKbO0_M5gmuhXZ6-LaxQxgrmJnzgP0"",""'TP# look up'!A:C""),3,0),"""")"),"")</f>
        <v/>
      </c>
      <c r="AH8544" s="49" t="str">
        <f t="shared" si="133"/>
        <v/>
      </c>
    </row>
    <row r="8545" spans="8:34" ht="12.75">
      <c r="H8545" s="43"/>
      <c r="AG8545" s="49" t="str">
        <f ca="1">IFERROR(__xludf.DUMMYFUNCTION("IFNA(vlookup(H8545,IMPORTRANGE(""1vUGwO1n0QQGx9kKbO0_M5gmuhXZ6-LaxQxgrmJnzgP0"",""'TP# look up'!A:C""),3,0),"""")"),"")</f>
        <v/>
      </c>
      <c r="AH8545" s="49" t="str">
        <f t="shared" si="133"/>
        <v/>
      </c>
    </row>
    <row r="8546" spans="8:34" ht="12.75">
      <c r="H8546" s="43"/>
      <c r="AG8546" s="49" t="str">
        <f ca="1">IFERROR(__xludf.DUMMYFUNCTION("IFNA(vlookup(H8546,IMPORTRANGE(""1vUGwO1n0QQGx9kKbO0_M5gmuhXZ6-LaxQxgrmJnzgP0"",""'TP# look up'!A:C""),3,0),"""")"),"")</f>
        <v/>
      </c>
      <c r="AH8546" s="49" t="str">
        <f t="shared" si="133"/>
        <v/>
      </c>
    </row>
    <row r="8547" spans="8:34" ht="12.75">
      <c r="H8547" s="43"/>
      <c r="AG8547" s="49" t="str">
        <f ca="1">IFERROR(__xludf.DUMMYFUNCTION("IFNA(vlookup(H8547,IMPORTRANGE(""1vUGwO1n0QQGx9kKbO0_M5gmuhXZ6-LaxQxgrmJnzgP0"",""'TP# look up'!A:C""),3,0),"""")"),"")</f>
        <v/>
      </c>
      <c r="AH8547" s="49" t="str">
        <f t="shared" si="133"/>
        <v/>
      </c>
    </row>
    <row r="8548" spans="8:34" ht="12.75">
      <c r="H8548" s="43"/>
      <c r="AG8548" s="49" t="str">
        <f ca="1">IFERROR(__xludf.DUMMYFUNCTION("IFNA(vlookup(H8548,IMPORTRANGE(""1vUGwO1n0QQGx9kKbO0_M5gmuhXZ6-LaxQxgrmJnzgP0"",""'TP# look up'!A:C""),3,0),"""")"),"")</f>
        <v/>
      </c>
      <c r="AH8548" s="49" t="str">
        <f t="shared" si="133"/>
        <v/>
      </c>
    </row>
    <row r="8549" spans="8:34" ht="12.75">
      <c r="H8549" s="43"/>
      <c r="AG8549" s="49" t="str">
        <f ca="1">IFERROR(__xludf.DUMMYFUNCTION("IFNA(vlookup(H8549,IMPORTRANGE(""1vUGwO1n0QQGx9kKbO0_M5gmuhXZ6-LaxQxgrmJnzgP0"",""'TP# look up'!A:C""),3,0),"""")"),"")</f>
        <v/>
      </c>
      <c r="AH8549" s="49" t="str">
        <f t="shared" si="133"/>
        <v/>
      </c>
    </row>
    <row r="8550" spans="8:34" ht="12.75">
      <c r="H8550" s="43"/>
      <c r="AG8550" s="49" t="str">
        <f ca="1">IFERROR(__xludf.DUMMYFUNCTION("IFNA(vlookup(H8550,IMPORTRANGE(""1vUGwO1n0QQGx9kKbO0_M5gmuhXZ6-LaxQxgrmJnzgP0"",""'TP# look up'!A:C""),3,0),"""")"),"")</f>
        <v/>
      </c>
      <c r="AH8550" s="49" t="str">
        <f t="shared" si="133"/>
        <v/>
      </c>
    </row>
    <row r="8551" spans="8:34" ht="12.75">
      <c r="H8551" s="43"/>
      <c r="AG8551" s="49" t="str">
        <f ca="1">IFERROR(__xludf.DUMMYFUNCTION("IFNA(vlookup(H8551,IMPORTRANGE(""1vUGwO1n0QQGx9kKbO0_M5gmuhXZ6-LaxQxgrmJnzgP0"",""'TP# look up'!A:C""),3,0),"""")"),"")</f>
        <v/>
      </c>
      <c r="AH8551" s="49" t="str">
        <f t="shared" si="133"/>
        <v/>
      </c>
    </row>
    <row r="8552" spans="8:34" ht="12.75">
      <c r="H8552" s="43"/>
      <c r="AG8552" s="49" t="str">
        <f ca="1">IFERROR(__xludf.DUMMYFUNCTION("IFNA(vlookup(H8552,IMPORTRANGE(""1vUGwO1n0QQGx9kKbO0_M5gmuhXZ6-LaxQxgrmJnzgP0"",""'TP# look up'!A:C""),3,0),"""")"),"")</f>
        <v/>
      </c>
      <c r="AH8552" s="49" t="str">
        <f t="shared" si="133"/>
        <v/>
      </c>
    </row>
    <row r="8553" spans="8:34" ht="12.75">
      <c r="H8553" s="43"/>
      <c r="AG8553" s="49" t="str">
        <f ca="1">IFERROR(__xludf.DUMMYFUNCTION("IFNA(vlookup(H8553,IMPORTRANGE(""1vUGwO1n0QQGx9kKbO0_M5gmuhXZ6-LaxQxgrmJnzgP0"",""'TP# look up'!A:C""),3,0),"""")"),"")</f>
        <v/>
      </c>
      <c r="AH8553" s="49" t="str">
        <f t="shared" si="133"/>
        <v/>
      </c>
    </row>
    <row r="8554" spans="8:34" ht="12.75">
      <c r="H8554" s="43"/>
      <c r="AG8554" s="49" t="str">
        <f ca="1">IFERROR(__xludf.DUMMYFUNCTION("IFNA(vlookup(H8554,IMPORTRANGE(""1vUGwO1n0QQGx9kKbO0_M5gmuhXZ6-LaxQxgrmJnzgP0"",""'TP# look up'!A:C""),3,0),"""")"),"")</f>
        <v/>
      </c>
      <c r="AH8554" s="49" t="str">
        <f t="shared" si="133"/>
        <v/>
      </c>
    </row>
    <row r="8555" spans="8:34" ht="12.75">
      <c r="H8555" s="43"/>
      <c r="AG8555" s="49" t="str">
        <f ca="1">IFERROR(__xludf.DUMMYFUNCTION("IFNA(vlookup(H8555,IMPORTRANGE(""1vUGwO1n0QQGx9kKbO0_M5gmuhXZ6-LaxQxgrmJnzgP0"",""'TP# look up'!A:C""),3,0),"""")"),"")</f>
        <v/>
      </c>
      <c r="AH8555" s="49" t="str">
        <f t="shared" si="133"/>
        <v/>
      </c>
    </row>
    <row r="8556" spans="8:34" ht="12.75">
      <c r="H8556" s="43"/>
      <c r="AG8556" s="49" t="str">
        <f ca="1">IFERROR(__xludf.DUMMYFUNCTION("IFNA(vlookup(H8556,IMPORTRANGE(""1vUGwO1n0QQGx9kKbO0_M5gmuhXZ6-LaxQxgrmJnzgP0"",""'TP# look up'!A:C""),3,0),"""")"),"")</f>
        <v/>
      </c>
      <c r="AH8556" s="49" t="str">
        <f t="shared" si="133"/>
        <v/>
      </c>
    </row>
    <row r="8557" spans="8:34" ht="12.75">
      <c r="H8557" s="43"/>
      <c r="AG8557" s="49" t="str">
        <f ca="1">IFERROR(__xludf.DUMMYFUNCTION("IFNA(vlookup(H8557,IMPORTRANGE(""1vUGwO1n0QQGx9kKbO0_M5gmuhXZ6-LaxQxgrmJnzgP0"",""'TP# look up'!A:C""),3,0),"""")"),"")</f>
        <v/>
      </c>
      <c r="AH8557" s="49" t="str">
        <f t="shared" si="133"/>
        <v/>
      </c>
    </row>
    <row r="8558" spans="8:34" ht="12.75">
      <c r="H8558" s="43"/>
      <c r="AG8558" s="49" t="str">
        <f ca="1">IFERROR(__xludf.DUMMYFUNCTION("IFNA(vlookup(H8558,IMPORTRANGE(""1vUGwO1n0QQGx9kKbO0_M5gmuhXZ6-LaxQxgrmJnzgP0"",""'TP# look up'!A:C""),3,0),"""")"),"")</f>
        <v/>
      </c>
      <c r="AH8558" s="49" t="str">
        <f t="shared" si="133"/>
        <v/>
      </c>
    </row>
    <row r="8559" spans="8:34" ht="12.75">
      <c r="H8559" s="43"/>
      <c r="AG8559" s="49" t="str">
        <f ca="1">IFERROR(__xludf.DUMMYFUNCTION("IFNA(vlookup(H8559,IMPORTRANGE(""1vUGwO1n0QQGx9kKbO0_M5gmuhXZ6-LaxQxgrmJnzgP0"",""'TP# look up'!A:C""),3,0),"""")"),"")</f>
        <v/>
      </c>
      <c r="AH8559" s="49" t="str">
        <f t="shared" si="133"/>
        <v/>
      </c>
    </row>
    <row r="8560" spans="8:34" ht="12.75">
      <c r="H8560" s="43"/>
      <c r="AG8560" s="49" t="str">
        <f ca="1">IFERROR(__xludf.DUMMYFUNCTION("IFNA(vlookup(H8560,IMPORTRANGE(""1vUGwO1n0QQGx9kKbO0_M5gmuhXZ6-LaxQxgrmJnzgP0"",""'TP# look up'!A:C""),3,0),"""")"),"")</f>
        <v/>
      </c>
      <c r="AH8560" s="49" t="str">
        <f t="shared" si="133"/>
        <v/>
      </c>
    </row>
    <row r="8561" spans="8:34" ht="12.75">
      <c r="H8561" s="43"/>
      <c r="AG8561" s="49" t="str">
        <f ca="1">IFERROR(__xludf.DUMMYFUNCTION("IFNA(vlookup(H8561,IMPORTRANGE(""1vUGwO1n0QQGx9kKbO0_M5gmuhXZ6-LaxQxgrmJnzgP0"",""'TP# look up'!A:C""),3,0),"""")"),"")</f>
        <v/>
      </c>
      <c r="AH8561" s="49" t="str">
        <f t="shared" si="133"/>
        <v/>
      </c>
    </row>
    <row r="8562" spans="8:34" ht="12.75">
      <c r="H8562" s="43"/>
      <c r="AG8562" s="49" t="str">
        <f ca="1">IFERROR(__xludf.DUMMYFUNCTION("IFNA(vlookup(H8562,IMPORTRANGE(""1vUGwO1n0QQGx9kKbO0_M5gmuhXZ6-LaxQxgrmJnzgP0"",""'TP# look up'!A:C""),3,0),"""")"),"")</f>
        <v/>
      </c>
      <c r="AH8562" s="49" t="str">
        <f t="shared" si="133"/>
        <v/>
      </c>
    </row>
    <row r="8563" spans="8:34" ht="12.75">
      <c r="H8563" s="43"/>
      <c r="AG8563" s="49" t="str">
        <f ca="1">IFERROR(__xludf.DUMMYFUNCTION("IFNA(vlookup(H8563,IMPORTRANGE(""1vUGwO1n0QQGx9kKbO0_M5gmuhXZ6-LaxQxgrmJnzgP0"",""'TP# look up'!A:C""),3,0),"""")"),"")</f>
        <v/>
      </c>
      <c r="AH8563" s="49" t="str">
        <f t="shared" si="133"/>
        <v/>
      </c>
    </row>
    <row r="8564" spans="8:34" ht="12.75">
      <c r="H8564" s="43"/>
      <c r="AG8564" s="49" t="str">
        <f ca="1">IFERROR(__xludf.DUMMYFUNCTION("IFNA(vlookup(H8564,IMPORTRANGE(""1vUGwO1n0QQGx9kKbO0_M5gmuhXZ6-LaxQxgrmJnzgP0"",""'TP# look up'!A:C""),3,0),"""")"),"")</f>
        <v/>
      </c>
      <c r="AH8564" s="49" t="str">
        <f t="shared" si="133"/>
        <v/>
      </c>
    </row>
    <row r="8565" spans="8:34" ht="12.75">
      <c r="H8565" s="43"/>
      <c r="AG8565" s="49" t="str">
        <f ca="1">IFERROR(__xludf.DUMMYFUNCTION("IFNA(vlookup(H8565,IMPORTRANGE(""1vUGwO1n0QQGx9kKbO0_M5gmuhXZ6-LaxQxgrmJnzgP0"",""'TP# look up'!A:C""),3,0),"""")"),"")</f>
        <v/>
      </c>
      <c r="AH8565" s="49" t="str">
        <f t="shared" si="133"/>
        <v/>
      </c>
    </row>
    <row r="8566" spans="8:34" ht="12.75">
      <c r="H8566" s="43"/>
      <c r="AG8566" s="49" t="str">
        <f ca="1">IFERROR(__xludf.DUMMYFUNCTION("IFNA(vlookup(H8566,IMPORTRANGE(""1vUGwO1n0QQGx9kKbO0_M5gmuhXZ6-LaxQxgrmJnzgP0"",""'TP# look up'!A:C""),3,0),"""")"),"")</f>
        <v/>
      </c>
      <c r="AH8566" s="49" t="str">
        <f t="shared" si="133"/>
        <v/>
      </c>
    </row>
    <row r="8567" spans="8:34" ht="12.75">
      <c r="H8567" s="43"/>
      <c r="AG8567" s="49" t="str">
        <f ca="1">IFERROR(__xludf.DUMMYFUNCTION("IFNA(vlookup(H8567,IMPORTRANGE(""1vUGwO1n0QQGx9kKbO0_M5gmuhXZ6-LaxQxgrmJnzgP0"",""'TP# look up'!A:C""),3,0),"""")"),"")</f>
        <v/>
      </c>
      <c r="AH8567" s="49" t="str">
        <f t="shared" si="133"/>
        <v/>
      </c>
    </row>
    <row r="8568" spans="8:34" ht="12.75">
      <c r="H8568" s="43"/>
      <c r="AG8568" s="49" t="str">
        <f ca="1">IFERROR(__xludf.DUMMYFUNCTION("IFNA(vlookup(H8568,IMPORTRANGE(""1vUGwO1n0QQGx9kKbO0_M5gmuhXZ6-LaxQxgrmJnzgP0"",""'TP# look up'!A:C""),3,0),"""")"),"")</f>
        <v/>
      </c>
      <c r="AH8568" s="49" t="str">
        <f t="shared" si="133"/>
        <v/>
      </c>
    </row>
    <row r="8569" spans="8:34" ht="12.75">
      <c r="H8569" s="43"/>
      <c r="AG8569" s="49" t="str">
        <f ca="1">IFERROR(__xludf.DUMMYFUNCTION("IFNA(vlookup(H8569,IMPORTRANGE(""1vUGwO1n0QQGx9kKbO0_M5gmuhXZ6-LaxQxgrmJnzgP0"",""'TP# look up'!A:C""),3,0),"""")"),"")</f>
        <v/>
      </c>
      <c r="AH8569" s="49" t="str">
        <f t="shared" si="133"/>
        <v/>
      </c>
    </row>
    <row r="8570" spans="8:34" ht="12.75">
      <c r="H8570" s="43"/>
      <c r="AG8570" s="49" t="str">
        <f ca="1">IFERROR(__xludf.DUMMYFUNCTION("IFNA(vlookup(H8570,IMPORTRANGE(""1vUGwO1n0QQGx9kKbO0_M5gmuhXZ6-LaxQxgrmJnzgP0"",""'TP# look up'!A:C""),3,0),"""")"),"")</f>
        <v/>
      </c>
      <c r="AH8570" s="49" t="str">
        <f t="shared" si="133"/>
        <v/>
      </c>
    </row>
    <row r="8571" spans="8:34" ht="12.75">
      <c r="H8571" s="43"/>
      <c r="AG8571" s="49" t="str">
        <f ca="1">IFERROR(__xludf.DUMMYFUNCTION("IFNA(vlookup(H8571,IMPORTRANGE(""1vUGwO1n0QQGx9kKbO0_M5gmuhXZ6-LaxQxgrmJnzgP0"",""'TP# look up'!A:C""),3,0),"""")"),"")</f>
        <v/>
      </c>
      <c r="AH8571" s="49" t="str">
        <f t="shared" si="133"/>
        <v/>
      </c>
    </row>
    <row r="8572" spans="8:34" ht="12.75">
      <c r="H8572" s="43"/>
      <c r="AG8572" s="49" t="str">
        <f ca="1">IFERROR(__xludf.DUMMYFUNCTION("IFNA(vlookup(H8572,IMPORTRANGE(""1vUGwO1n0QQGx9kKbO0_M5gmuhXZ6-LaxQxgrmJnzgP0"",""'TP# look up'!A:C""),3,0),"""")"),"")</f>
        <v/>
      </c>
      <c r="AH8572" s="49" t="str">
        <f t="shared" si="133"/>
        <v/>
      </c>
    </row>
    <row r="8573" spans="8:34" ht="12.75">
      <c r="H8573" s="43"/>
      <c r="AG8573" s="49" t="str">
        <f ca="1">IFERROR(__xludf.DUMMYFUNCTION("IFNA(vlookup(H8573,IMPORTRANGE(""1vUGwO1n0QQGx9kKbO0_M5gmuhXZ6-LaxQxgrmJnzgP0"",""'TP# look up'!A:C""),3,0),"""")"),"")</f>
        <v/>
      </c>
      <c r="AH8573" s="49" t="str">
        <f t="shared" si="133"/>
        <v/>
      </c>
    </row>
    <row r="8574" spans="8:34" ht="12.75">
      <c r="H8574" s="43"/>
      <c r="AG8574" s="49" t="str">
        <f ca="1">IFERROR(__xludf.DUMMYFUNCTION("IFNA(vlookup(H8574,IMPORTRANGE(""1vUGwO1n0QQGx9kKbO0_M5gmuhXZ6-LaxQxgrmJnzgP0"",""'TP# look up'!A:C""),3,0),"""")"),"")</f>
        <v/>
      </c>
      <c r="AH8574" s="49" t="str">
        <f t="shared" si="133"/>
        <v/>
      </c>
    </row>
    <row r="8575" spans="8:34" ht="12.75">
      <c r="H8575" s="43"/>
      <c r="AG8575" s="49" t="str">
        <f ca="1">IFERROR(__xludf.DUMMYFUNCTION("IFNA(vlookup(H8575,IMPORTRANGE(""1vUGwO1n0QQGx9kKbO0_M5gmuhXZ6-LaxQxgrmJnzgP0"",""'TP# look up'!A:C""),3,0),"""")"),"")</f>
        <v/>
      </c>
      <c r="AH8575" s="49" t="str">
        <f t="shared" si="133"/>
        <v/>
      </c>
    </row>
    <row r="8576" spans="8:34" ht="12.75">
      <c r="H8576" s="43"/>
      <c r="AG8576" s="49" t="str">
        <f ca="1">IFERROR(__xludf.DUMMYFUNCTION("IFNA(vlookup(H8576,IMPORTRANGE(""1vUGwO1n0QQGx9kKbO0_M5gmuhXZ6-LaxQxgrmJnzgP0"",""'TP# look up'!A:C""),3,0),"""")"),"")</f>
        <v/>
      </c>
      <c r="AH8576" s="49" t="str">
        <f t="shared" si="133"/>
        <v/>
      </c>
    </row>
    <row r="8577" spans="8:34" ht="12.75">
      <c r="H8577" s="43"/>
      <c r="AG8577" s="49" t="str">
        <f ca="1">IFERROR(__xludf.DUMMYFUNCTION("IFNA(vlookup(H8577,IMPORTRANGE(""1vUGwO1n0QQGx9kKbO0_M5gmuhXZ6-LaxQxgrmJnzgP0"",""'TP# look up'!A:C""),3,0),"""")"),"")</f>
        <v/>
      </c>
      <c r="AH8577" s="49" t="str">
        <f t="shared" si="133"/>
        <v/>
      </c>
    </row>
    <row r="8578" spans="8:34" ht="12.75">
      <c r="H8578" s="43"/>
      <c r="AG8578" s="49" t="str">
        <f ca="1">IFERROR(__xludf.DUMMYFUNCTION("IFNA(vlookup(H8578,IMPORTRANGE(""1vUGwO1n0QQGx9kKbO0_M5gmuhXZ6-LaxQxgrmJnzgP0"",""'TP# look up'!A:C""),3,0),"""")"),"")</f>
        <v/>
      </c>
      <c r="AH8578" s="49" t="str">
        <f t="shared" ref="AH8578:AH8641" si="134">LEFT(J8578,2)</f>
        <v/>
      </c>
    </row>
    <row r="8579" spans="8:34" ht="12.75">
      <c r="H8579" s="43"/>
      <c r="AG8579" s="49" t="str">
        <f ca="1">IFERROR(__xludf.DUMMYFUNCTION("IFNA(vlookup(H8579,IMPORTRANGE(""1vUGwO1n0QQGx9kKbO0_M5gmuhXZ6-LaxQxgrmJnzgP0"",""'TP# look up'!A:C""),3,0),"""")"),"")</f>
        <v/>
      </c>
      <c r="AH8579" s="49" t="str">
        <f t="shared" si="134"/>
        <v/>
      </c>
    </row>
    <row r="8580" spans="8:34" ht="12.75">
      <c r="H8580" s="43"/>
      <c r="AG8580" s="49" t="str">
        <f ca="1">IFERROR(__xludf.DUMMYFUNCTION("IFNA(vlookup(H8580,IMPORTRANGE(""1vUGwO1n0QQGx9kKbO0_M5gmuhXZ6-LaxQxgrmJnzgP0"",""'TP# look up'!A:C""),3,0),"""")"),"")</f>
        <v/>
      </c>
      <c r="AH8580" s="49" t="str">
        <f t="shared" si="134"/>
        <v/>
      </c>
    </row>
    <row r="8581" spans="8:34" ht="12.75">
      <c r="H8581" s="43"/>
      <c r="AG8581" s="49" t="str">
        <f ca="1">IFERROR(__xludf.DUMMYFUNCTION("IFNA(vlookup(H8581,IMPORTRANGE(""1vUGwO1n0QQGx9kKbO0_M5gmuhXZ6-LaxQxgrmJnzgP0"",""'TP# look up'!A:C""),3,0),"""")"),"")</f>
        <v/>
      </c>
      <c r="AH8581" s="49" t="str">
        <f t="shared" si="134"/>
        <v/>
      </c>
    </row>
    <row r="8582" spans="8:34" ht="12.75">
      <c r="H8582" s="43"/>
      <c r="AG8582" s="49" t="str">
        <f ca="1">IFERROR(__xludf.DUMMYFUNCTION("IFNA(vlookup(H8582,IMPORTRANGE(""1vUGwO1n0QQGx9kKbO0_M5gmuhXZ6-LaxQxgrmJnzgP0"",""'TP# look up'!A:C""),3,0),"""")"),"")</f>
        <v/>
      </c>
      <c r="AH8582" s="49" t="str">
        <f t="shared" si="134"/>
        <v/>
      </c>
    </row>
    <row r="8583" spans="8:34" ht="12.75">
      <c r="H8583" s="43"/>
      <c r="AG8583" s="49" t="str">
        <f ca="1">IFERROR(__xludf.DUMMYFUNCTION("IFNA(vlookup(H8583,IMPORTRANGE(""1vUGwO1n0QQGx9kKbO0_M5gmuhXZ6-LaxQxgrmJnzgP0"",""'TP# look up'!A:C""),3,0),"""")"),"")</f>
        <v/>
      </c>
      <c r="AH8583" s="49" t="str">
        <f t="shared" si="134"/>
        <v/>
      </c>
    </row>
    <row r="8584" spans="8:34" ht="12.75">
      <c r="H8584" s="43"/>
      <c r="AG8584" s="49" t="str">
        <f ca="1">IFERROR(__xludf.DUMMYFUNCTION("IFNA(vlookup(H8584,IMPORTRANGE(""1vUGwO1n0QQGx9kKbO0_M5gmuhXZ6-LaxQxgrmJnzgP0"",""'TP# look up'!A:C""),3,0),"""")"),"")</f>
        <v/>
      </c>
      <c r="AH8584" s="49" t="str">
        <f t="shared" si="134"/>
        <v/>
      </c>
    </row>
    <row r="8585" spans="8:34" ht="12.75">
      <c r="H8585" s="43"/>
      <c r="AG8585" s="49" t="str">
        <f ca="1">IFERROR(__xludf.DUMMYFUNCTION("IFNA(vlookup(H8585,IMPORTRANGE(""1vUGwO1n0QQGx9kKbO0_M5gmuhXZ6-LaxQxgrmJnzgP0"",""'TP# look up'!A:C""),3,0),"""")"),"")</f>
        <v/>
      </c>
      <c r="AH8585" s="49" t="str">
        <f t="shared" si="134"/>
        <v/>
      </c>
    </row>
    <row r="8586" spans="8:34" ht="12.75">
      <c r="H8586" s="43"/>
      <c r="AG8586" s="49" t="str">
        <f ca="1">IFERROR(__xludf.DUMMYFUNCTION("IFNA(vlookup(H8586,IMPORTRANGE(""1vUGwO1n0QQGx9kKbO0_M5gmuhXZ6-LaxQxgrmJnzgP0"",""'TP# look up'!A:C""),3,0),"""")"),"")</f>
        <v/>
      </c>
      <c r="AH8586" s="49" t="str">
        <f t="shared" si="134"/>
        <v/>
      </c>
    </row>
    <row r="8587" spans="8:34" ht="12.75">
      <c r="H8587" s="43"/>
      <c r="AG8587" s="49" t="str">
        <f ca="1">IFERROR(__xludf.DUMMYFUNCTION("IFNA(vlookup(H8587,IMPORTRANGE(""1vUGwO1n0QQGx9kKbO0_M5gmuhXZ6-LaxQxgrmJnzgP0"",""'TP# look up'!A:C""),3,0),"""")"),"")</f>
        <v/>
      </c>
      <c r="AH8587" s="49" t="str">
        <f t="shared" si="134"/>
        <v/>
      </c>
    </row>
    <row r="8588" spans="8:34" ht="12.75">
      <c r="H8588" s="43"/>
      <c r="AG8588" s="49" t="str">
        <f ca="1">IFERROR(__xludf.DUMMYFUNCTION("IFNA(vlookup(H8588,IMPORTRANGE(""1vUGwO1n0QQGx9kKbO0_M5gmuhXZ6-LaxQxgrmJnzgP0"",""'TP# look up'!A:C""),3,0),"""")"),"")</f>
        <v/>
      </c>
      <c r="AH8588" s="49" t="str">
        <f t="shared" si="134"/>
        <v/>
      </c>
    </row>
    <row r="8589" spans="8:34" ht="12.75">
      <c r="H8589" s="43"/>
      <c r="AG8589" s="49" t="str">
        <f ca="1">IFERROR(__xludf.DUMMYFUNCTION("IFNA(vlookup(H8589,IMPORTRANGE(""1vUGwO1n0QQGx9kKbO0_M5gmuhXZ6-LaxQxgrmJnzgP0"",""'TP# look up'!A:C""),3,0),"""")"),"")</f>
        <v/>
      </c>
      <c r="AH8589" s="49" t="str">
        <f t="shared" si="134"/>
        <v/>
      </c>
    </row>
    <row r="8590" spans="8:34" ht="12.75">
      <c r="H8590" s="43"/>
      <c r="AG8590" s="49" t="str">
        <f ca="1">IFERROR(__xludf.DUMMYFUNCTION("IFNA(vlookup(H8590,IMPORTRANGE(""1vUGwO1n0QQGx9kKbO0_M5gmuhXZ6-LaxQxgrmJnzgP0"",""'TP# look up'!A:C""),3,0),"""")"),"")</f>
        <v/>
      </c>
      <c r="AH8590" s="49" t="str">
        <f t="shared" si="134"/>
        <v/>
      </c>
    </row>
    <row r="8591" spans="8:34" ht="12.75">
      <c r="H8591" s="43"/>
      <c r="AG8591" s="49" t="str">
        <f ca="1">IFERROR(__xludf.DUMMYFUNCTION("IFNA(vlookup(H8591,IMPORTRANGE(""1vUGwO1n0QQGx9kKbO0_M5gmuhXZ6-LaxQxgrmJnzgP0"",""'TP# look up'!A:C""),3,0),"""")"),"")</f>
        <v/>
      </c>
      <c r="AH8591" s="49" t="str">
        <f t="shared" si="134"/>
        <v/>
      </c>
    </row>
    <row r="8592" spans="8:34" ht="12.75">
      <c r="H8592" s="43"/>
      <c r="AG8592" s="49" t="str">
        <f ca="1">IFERROR(__xludf.DUMMYFUNCTION("IFNA(vlookup(H8592,IMPORTRANGE(""1vUGwO1n0QQGx9kKbO0_M5gmuhXZ6-LaxQxgrmJnzgP0"",""'TP# look up'!A:C""),3,0),"""")"),"")</f>
        <v/>
      </c>
      <c r="AH8592" s="49" t="str">
        <f t="shared" si="134"/>
        <v/>
      </c>
    </row>
    <row r="8593" spans="8:34" ht="12.75">
      <c r="H8593" s="43"/>
      <c r="AG8593" s="49" t="str">
        <f ca="1">IFERROR(__xludf.DUMMYFUNCTION("IFNA(vlookup(H8593,IMPORTRANGE(""1vUGwO1n0QQGx9kKbO0_M5gmuhXZ6-LaxQxgrmJnzgP0"",""'TP# look up'!A:C""),3,0),"""")"),"")</f>
        <v/>
      </c>
      <c r="AH8593" s="49" t="str">
        <f t="shared" si="134"/>
        <v/>
      </c>
    </row>
    <row r="8594" spans="8:34" ht="12.75">
      <c r="H8594" s="43"/>
      <c r="AG8594" s="49" t="str">
        <f ca="1">IFERROR(__xludf.DUMMYFUNCTION("IFNA(vlookup(H8594,IMPORTRANGE(""1vUGwO1n0QQGx9kKbO0_M5gmuhXZ6-LaxQxgrmJnzgP0"",""'TP# look up'!A:C""),3,0),"""")"),"")</f>
        <v/>
      </c>
      <c r="AH8594" s="49" t="str">
        <f t="shared" si="134"/>
        <v/>
      </c>
    </row>
    <row r="8595" spans="8:34" ht="12.75">
      <c r="H8595" s="43"/>
      <c r="AG8595" s="49" t="str">
        <f ca="1">IFERROR(__xludf.DUMMYFUNCTION("IFNA(vlookup(H8595,IMPORTRANGE(""1vUGwO1n0QQGx9kKbO0_M5gmuhXZ6-LaxQxgrmJnzgP0"",""'TP# look up'!A:C""),3,0),"""")"),"")</f>
        <v/>
      </c>
      <c r="AH8595" s="49" t="str">
        <f t="shared" si="134"/>
        <v/>
      </c>
    </row>
    <row r="8596" spans="8:34" ht="12.75">
      <c r="H8596" s="43"/>
      <c r="AG8596" s="49" t="str">
        <f ca="1">IFERROR(__xludf.DUMMYFUNCTION("IFNA(vlookup(H8596,IMPORTRANGE(""1vUGwO1n0QQGx9kKbO0_M5gmuhXZ6-LaxQxgrmJnzgP0"",""'TP# look up'!A:C""),3,0),"""")"),"")</f>
        <v/>
      </c>
      <c r="AH8596" s="49" t="str">
        <f t="shared" si="134"/>
        <v/>
      </c>
    </row>
    <row r="8597" spans="8:34" ht="12.75">
      <c r="H8597" s="43"/>
      <c r="AG8597" s="49" t="str">
        <f ca="1">IFERROR(__xludf.DUMMYFUNCTION("IFNA(vlookup(H8597,IMPORTRANGE(""1vUGwO1n0QQGx9kKbO0_M5gmuhXZ6-LaxQxgrmJnzgP0"",""'TP# look up'!A:C""),3,0),"""")"),"")</f>
        <v/>
      </c>
      <c r="AH8597" s="49" t="str">
        <f t="shared" si="134"/>
        <v/>
      </c>
    </row>
    <row r="8598" spans="8:34" ht="12.75">
      <c r="H8598" s="43"/>
      <c r="AG8598" s="49" t="str">
        <f ca="1">IFERROR(__xludf.DUMMYFUNCTION("IFNA(vlookup(H8598,IMPORTRANGE(""1vUGwO1n0QQGx9kKbO0_M5gmuhXZ6-LaxQxgrmJnzgP0"",""'TP# look up'!A:C""),3,0),"""")"),"")</f>
        <v/>
      </c>
      <c r="AH8598" s="49" t="str">
        <f t="shared" si="134"/>
        <v/>
      </c>
    </row>
    <row r="8599" spans="8:34" ht="12.75">
      <c r="H8599" s="43"/>
      <c r="AG8599" s="49" t="str">
        <f ca="1">IFERROR(__xludf.DUMMYFUNCTION("IFNA(vlookup(H8599,IMPORTRANGE(""1vUGwO1n0QQGx9kKbO0_M5gmuhXZ6-LaxQxgrmJnzgP0"",""'TP# look up'!A:C""),3,0),"""")"),"")</f>
        <v/>
      </c>
      <c r="AH8599" s="49" t="str">
        <f t="shared" si="134"/>
        <v/>
      </c>
    </row>
    <row r="8600" spans="8:34" ht="12.75">
      <c r="H8600" s="43"/>
      <c r="AG8600" s="49" t="str">
        <f ca="1">IFERROR(__xludf.DUMMYFUNCTION("IFNA(vlookup(H8600,IMPORTRANGE(""1vUGwO1n0QQGx9kKbO0_M5gmuhXZ6-LaxQxgrmJnzgP0"",""'TP# look up'!A:C""),3,0),"""")"),"")</f>
        <v/>
      </c>
      <c r="AH8600" s="49" t="str">
        <f t="shared" si="134"/>
        <v/>
      </c>
    </row>
    <row r="8601" spans="8:34" ht="12.75">
      <c r="H8601" s="43"/>
      <c r="AG8601" s="49" t="str">
        <f ca="1">IFERROR(__xludf.DUMMYFUNCTION("IFNA(vlookup(H8601,IMPORTRANGE(""1vUGwO1n0QQGx9kKbO0_M5gmuhXZ6-LaxQxgrmJnzgP0"",""'TP# look up'!A:C""),3,0),"""")"),"")</f>
        <v/>
      </c>
      <c r="AH8601" s="49" t="str">
        <f t="shared" si="134"/>
        <v/>
      </c>
    </row>
    <row r="8602" spans="8:34" ht="12.75">
      <c r="H8602" s="43"/>
      <c r="AG8602" s="49" t="str">
        <f ca="1">IFERROR(__xludf.DUMMYFUNCTION("IFNA(vlookup(H8602,IMPORTRANGE(""1vUGwO1n0QQGx9kKbO0_M5gmuhXZ6-LaxQxgrmJnzgP0"",""'TP# look up'!A:C""),3,0),"""")"),"")</f>
        <v/>
      </c>
      <c r="AH8602" s="49" t="str">
        <f t="shared" si="134"/>
        <v/>
      </c>
    </row>
    <row r="8603" spans="8:34" ht="12.75">
      <c r="H8603" s="43"/>
      <c r="AG8603" s="49" t="str">
        <f ca="1">IFERROR(__xludf.DUMMYFUNCTION("IFNA(vlookup(H8603,IMPORTRANGE(""1vUGwO1n0QQGx9kKbO0_M5gmuhXZ6-LaxQxgrmJnzgP0"",""'TP# look up'!A:C""),3,0),"""")"),"")</f>
        <v/>
      </c>
      <c r="AH8603" s="49" t="str">
        <f t="shared" si="134"/>
        <v/>
      </c>
    </row>
    <row r="8604" spans="8:34" ht="12.75">
      <c r="H8604" s="43"/>
      <c r="AG8604" s="49" t="str">
        <f ca="1">IFERROR(__xludf.DUMMYFUNCTION("IFNA(vlookup(H8604,IMPORTRANGE(""1vUGwO1n0QQGx9kKbO0_M5gmuhXZ6-LaxQxgrmJnzgP0"",""'TP# look up'!A:C""),3,0),"""")"),"")</f>
        <v/>
      </c>
      <c r="AH8604" s="49" t="str">
        <f t="shared" si="134"/>
        <v/>
      </c>
    </row>
    <row r="8605" spans="8:34" ht="12.75">
      <c r="H8605" s="43"/>
      <c r="AG8605" s="49" t="str">
        <f ca="1">IFERROR(__xludf.DUMMYFUNCTION("IFNA(vlookup(H8605,IMPORTRANGE(""1vUGwO1n0QQGx9kKbO0_M5gmuhXZ6-LaxQxgrmJnzgP0"",""'TP# look up'!A:C""),3,0),"""")"),"")</f>
        <v/>
      </c>
      <c r="AH8605" s="49" t="str">
        <f t="shared" si="134"/>
        <v/>
      </c>
    </row>
    <row r="8606" spans="8:34" ht="12.75">
      <c r="H8606" s="43"/>
      <c r="AG8606" s="49" t="str">
        <f ca="1">IFERROR(__xludf.DUMMYFUNCTION("IFNA(vlookup(H8606,IMPORTRANGE(""1vUGwO1n0QQGx9kKbO0_M5gmuhXZ6-LaxQxgrmJnzgP0"",""'TP# look up'!A:C""),3,0),"""")"),"")</f>
        <v/>
      </c>
      <c r="AH8606" s="49" t="str">
        <f t="shared" si="134"/>
        <v/>
      </c>
    </row>
    <row r="8607" spans="8:34" ht="12.75">
      <c r="H8607" s="43"/>
      <c r="AG8607" s="49" t="str">
        <f ca="1">IFERROR(__xludf.DUMMYFUNCTION("IFNA(vlookup(H8607,IMPORTRANGE(""1vUGwO1n0QQGx9kKbO0_M5gmuhXZ6-LaxQxgrmJnzgP0"",""'TP# look up'!A:C""),3,0),"""")"),"")</f>
        <v/>
      </c>
      <c r="AH8607" s="49" t="str">
        <f t="shared" si="134"/>
        <v/>
      </c>
    </row>
    <row r="8608" spans="8:34" ht="12.75">
      <c r="H8608" s="43"/>
      <c r="AG8608" s="49" t="str">
        <f ca="1">IFERROR(__xludf.DUMMYFUNCTION("IFNA(vlookup(H8608,IMPORTRANGE(""1vUGwO1n0QQGx9kKbO0_M5gmuhXZ6-LaxQxgrmJnzgP0"",""'TP# look up'!A:C""),3,0),"""")"),"")</f>
        <v/>
      </c>
      <c r="AH8608" s="49" t="str">
        <f t="shared" si="134"/>
        <v/>
      </c>
    </row>
    <row r="8609" spans="8:34" ht="12.75">
      <c r="H8609" s="43"/>
      <c r="AG8609" s="49" t="str">
        <f ca="1">IFERROR(__xludf.DUMMYFUNCTION("IFNA(vlookup(H8609,IMPORTRANGE(""1vUGwO1n0QQGx9kKbO0_M5gmuhXZ6-LaxQxgrmJnzgP0"",""'TP# look up'!A:C""),3,0),"""")"),"")</f>
        <v/>
      </c>
      <c r="AH8609" s="49" t="str">
        <f t="shared" si="134"/>
        <v/>
      </c>
    </row>
    <row r="8610" spans="8:34" ht="12.75">
      <c r="H8610" s="43"/>
      <c r="AG8610" s="49" t="str">
        <f ca="1">IFERROR(__xludf.DUMMYFUNCTION("IFNA(vlookup(H8610,IMPORTRANGE(""1vUGwO1n0QQGx9kKbO0_M5gmuhXZ6-LaxQxgrmJnzgP0"",""'TP# look up'!A:C""),3,0),"""")"),"")</f>
        <v/>
      </c>
      <c r="AH8610" s="49" t="str">
        <f t="shared" si="134"/>
        <v/>
      </c>
    </row>
    <row r="8611" spans="8:34" ht="12.75">
      <c r="H8611" s="43"/>
      <c r="AG8611" s="49" t="str">
        <f ca="1">IFERROR(__xludf.DUMMYFUNCTION("IFNA(vlookup(H8611,IMPORTRANGE(""1vUGwO1n0QQGx9kKbO0_M5gmuhXZ6-LaxQxgrmJnzgP0"",""'TP# look up'!A:C""),3,0),"""")"),"")</f>
        <v/>
      </c>
      <c r="AH8611" s="49" t="str">
        <f t="shared" si="134"/>
        <v/>
      </c>
    </row>
    <row r="8612" spans="8:34" ht="12.75">
      <c r="H8612" s="43"/>
      <c r="AG8612" s="49" t="str">
        <f ca="1">IFERROR(__xludf.DUMMYFUNCTION("IFNA(vlookup(H8612,IMPORTRANGE(""1vUGwO1n0QQGx9kKbO0_M5gmuhXZ6-LaxQxgrmJnzgP0"",""'TP# look up'!A:C""),3,0),"""")"),"")</f>
        <v/>
      </c>
      <c r="AH8612" s="49" t="str">
        <f t="shared" si="134"/>
        <v/>
      </c>
    </row>
    <row r="8613" spans="8:34" ht="12.75">
      <c r="H8613" s="43"/>
      <c r="AG8613" s="49" t="str">
        <f ca="1">IFERROR(__xludf.DUMMYFUNCTION("IFNA(vlookup(H8613,IMPORTRANGE(""1vUGwO1n0QQGx9kKbO0_M5gmuhXZ6-LaxQxgrmJnzgP0"",""'TP# look up'!A:C""),3,0),"""")"),"")</f>
        <v/>
      </c>
      <c r="AH8613" s="49" t="str">
        <f t="shared" si="134"/>
        <v/>
      </c>
    </row>
    <row r="8614" spans="8:34" ht="12.75">
      <c r="H8614" s="43"/>
      <c r="AG8614" s="49" t="str">
        <f ca="1">IFERROR(__xludf.DUMMYFUNCTION("IFNA(vlookup(H8614,IMPORTRANGE(""1vUGwO1n0QQGx9kKbO0_M5gmuhXZ6-LaxQxgrmJnzgP0"",""'TP# look up'!A:C""),3,0),"""")"),"")</f>
        <v/>
      </c>
      <c r="AH8614" s="49" t="str">
        <f t="shared" si="134"/>
        <v/>
      </c>
    </row>
    <row r="8615" spans="8:34" ht="12.75">
      <c r="H8615" s="43"/>
      <c r="AG8615" s="49" t="str">
        <f ca="1">IFERROR(__xludf.DUMMYFUNCTION("IFNA(vlookup(H8615,IMPORTRANGE(""1vUGwO1n0QQGx9kKbO0_M5gmuhXZ6-LaxQxgrmJnzgP0"",""'TP# look up'!A:C""),3,0),"""")"),"")</f>
        <v/>
      </c>
      <c r="AH8615" s="49" t="str">
        <f t="shared" si="134"/>
        <v/>
      </c>
    </row>
    <row r="8616" spans="8:34" ht="12.75">
      <c r="H8616" s="43"/>
      <c r="AG8616" s="49" t="str">
        <f ca="1">IFERROR(__xludf.DUMMYFUNCTION("IFNA(vlookup(H8616,IMPORTRANGE(""1vUGwO1n0QQGx9kKbO0_M5gmuhXZ6-LaxQxgrmJnzgP0"",""'TP# look up'!A:C""),3,0),"""")"),"")</f>
        <v/>
      </c>
      <c r="AH8616" s="49" t="str">
        <f t="shared" si="134"/>
        <v/>
      </c>
    </row>
    <row r="8617" spans="8:34" ht="12.75">
      <c r="H8617" s="43"/>
      <c r="AG8617" s="49" t="str">
        <f ca="1">IFERROR(__xludf.DUMMYFUNCTION("IFNA(vlookup(H8617,IMPORTRANGE(""1vUGwO1n0QQGx9kKbO0_M5gmuhXZ6-LaxQxgrmJnzgP0"",""'TP# look up'!A:C""),3,0),"""")"),"")</f>
        <v/>
      </c>
      <c r="AH8617" s="49" t="str">
        <f t="shared" si="134"/>
        <v/>
      </c>
    </row>
    <row r="8618" spans="8:34" ht="12.75">
      <c r="H8618" s="43"/>
      <c r="AG8618" s="49" t="str">
        <f ca="1">IFERROR(__xludf.DUMMYFUNCTION("IFNA(vlookup(H8618,IMPORTRANGE(""1vUGwO1n0QQGx9kKbO0_M5gmuhXZ6-LaxQxgrmJnzgP0"",""'TP# look up'!A:C""),3,0),"""")"),"")</f>
        <v/>
      </c>
      <c r="AH8618" s="49" t="str">
        <f t="shared" si="134"/>
        <v/>
      </c>
    </row>
    <row r="8619" spans="8:34" ht="12.75">
      <c r="H8619" s="43"/>
      <c r="AG8619" s="49" t="str">
        <f ca="1">IFERROR(__xludf.DUMMYFUNCTION("IFNA(vlookup(H8619,IMPORTRANGE(""1vUGwO1n0QQGx9kKbO0_M5gmuhXZ6-LaxQxgrmJnzgP0"",""'TP# look up'!A:C""),3,0),"""")"),"")</f>
        <v/>
      </c>
      <c r="AH8619" s="49" t="str">
        <f t="shared" si="134"/>
        <v/>
      </c>
    </row>
    <row r="8620" spans="8:34" ht="12.75">
      <c r="H8620" s="43"/>
      <c r="AG8620" s="49" t="str">
        <f ca="1">IFERROR(__xludf.DUMMYFUNCTION("IFNA(vlookup(H8620,IMPORTRANGE(""1vUGwO1n0QQGx9kKbO0_M5gmuhXZ6-LaxQxgrmJnzgP0"",""'TP# look up'!A:C""),3,0),"""")"),"")</f>
        <v/>
      </c>
      <c r="AH8620" s="49" t="str">
        <f t="shared" si="134"/>
        <v/>
      </c>
    </row>
    <row r="8621" spans="8:34" ht="12.75">
      <c r="H8621" s="43"/>
      <c r="AG8621" s="49" t="str">
        <f ca="1">IFERROR(__xludf.DUMMYFUNCTION("IFNA(vlookup(H8621,IMPORTRANGE(""1vUGwO1n0QQGx9kKbO0_M5gmuhXZ6-LaxQxgrmJnzgP0"",""'TP# look up'!A:C""),3,0),"""")"),"")</f>
        <v/>
      </c>
      <c r="AH8621" s="49" t="str">
        <f t="shared" si="134"/>
        <v/>
      </c>
    </row>
    <row r="8622" spans="8:34" ht="12.75">
      <c r="H8622" s="43"/>
      <c r="AG8622" s="49" t="str">
        <f ca="1">IFERROR(__xludf.DUMMYFUNCTION("IFNA(vlookup(H8622,IMPORTRANGE(""1vUGwO1n0QQGx9kKbO0_M5gmuhXZ6-LaxQxgrmJnzgP0"",""'TP# look up'!A:C""),3,0),"""")"),"")</f>
        <v/>
      </c>
      <c r="AH8622" s="49" t="str">
        <f t="shared" si="134"/>
        <v/>
      </c>
    </row>
    <row r="8623" spans="8:34" ht="12.75">
      <c r="H8623" s="43"/>
      <c r="AG8623" s="49" t="str">
        <f ca="1">IFERROR(__xludf.DUMMYFUNCTION("IFNA(vlookup(H8623,IMPORTRANGE(""1vUGwO1n0QQGx9kKbO0_M5gmuhXZ6-LaxQxgrmJnzgP0"",""'TP# look up'!A:C""),3,0),"""")"),"")</f>
        <v/>
      </c>
      <c r="AH8623" s="49" t="str">
        <f t="shared" si="134"/>
        <v/>
      </c>
    </row>
    <row r="8624" spans="8:34" ht="12.75">
      <c r="H8624" s="43"/>
      <c r="AG8624" s="49" t="str">
        <f ca="1">IFERROR(__xludf.DUMMYFUNCTION("IFNA(vlookup(H8624,IMPORTRANGE(""1vUGwO1n0QQGx9kKbO0_M5gmuhXZ6-LaxQxgrmJnzgP0"",""'TP# look up'!A:C""),3,0),"""")"),"")</f>
        <v/>
      </c>
      <c r="AH8624" s="49" t="str">
        <f t="shared" si="134"/>
        <v/>
      </c>
    </row>
    <row r="8625" spans="8:34" ht="12.75">
      <c r="H8625" s="43"/>
      <c r="AG8625" s="49" t="str">
        <f ca="1">IFERROR(__xludf.DUMMYFUNCTION("IFNA(vlookup(H8625,IMPORTRANGE(""1vUGwO1n0QQGx9kKbO0_M5gmuhXZ6-LaxQxgrmJnzgP0"",""'TP# look up'!A:C""),3,0),"""")"),"")</f>
        <v/>
      </c>
      <c r="AH8625" s="49" t="str">
        <f t="shared" si="134"/>
        <v/>
      </c>
    </row>
    <row r="8626" spans="8:34" ht="12.75">
      <c r="H8626" s="43"/>
      <c r="AG8626" s="49" t="str">
        <f ca="1">IFERROR(__xludf.DUMMYFUNCTION("IFNA(vlookup(H8626,IMPORTRANGE(""1vUGwO1n0QQGx9kKbO0_M5gmuhXZ6-LaxQxgrmJnzgP0"",""'TP# look up'!A:C""),3,0),"""")"),"")</f>
        <v/>
      </c>
      <c r="AH8626" s="49" t="str">
        <f t="shared" si="134"/>
        <v/>
      </c>
    </row>
    <row r="8627" spans="8:34" ht="12.75">
      <c r="H8627" s="43"/>
      <c r="AG8627" s="49" t="str">
        <f ca="1">IFERROR(__xludf.DUMMYFUNCTION("IFNA(vlookup(H8627,IMPORTRANGE(""1vUGwO1n0QQGx9kKbO0_M5gmuhXZ6-LaxQxgrmJnzgP0"",""'TP# look up'!A:C""),3,0),"""")"),"")</f>
        <v/>
      </c>
      <c r="AH8627" s="49" t="str">
        <f t="shared" si="134"/>
        <v/>
      </c>
    </row>
    <row r="8628" spans="8:34" ht="12.75">
      <c r="H8628" s="43"/>
      <c r="AG8628" s="49" t="str">
        <f ca="1">IFERROR(__xludf.DUMMYFUNCTION("IFNA(vlookup(H8628,IMPORTRANGE(""1vUGwO1n0QQGx9kKbO0_M5gmuhXZ6-LaxQxgrmJnzgP0"",""'TP# look up'!A:C""),3,0),"""")"),"")</f>
        <v/>
      </c>
      <c r="AH8628" s="49" t="str">
        <f t="shared" si="134"/>
        <v/>
      </c>
    </row>
    <row r="8629" spans="8:34" ht="12.75">
      <c r="H8629" s="43"/>
      <c r="AG8629" s="49" t="str">
        <f ca="1">IFERROR(__xludf.DUMMYFUNCTION("IFNA(vlookup(H8629,IMPORTRANGE(""1vUGwO1n0QQGx9kKbO0_M5gmuhXZ6-LaxQxgrmJnzgP0"",""'TP# look up'!A:C""),3,0),"""")"),"")</f>
        <v/>
      </c>
      <c r="AH8629" s="49" t="str">
        <f t="shared" si="134"/>
        <v/>
      </c>
    </row>
    <row r="8630" spans="8:34" ht="12.75">
      <c r="H8630" s="43"/>
      <c r="AG8630" s="49" t="str">
        <f ca="1">IFERROR(__xludf.DUMMYFUNCTION("IFNA(vlookup(H8630,IMPORTRANGE(""1vUGwO1n0QQGx9kKbO0_M5gmuhXZ6-LaxQxgrmJnzgP0"",""'TP# look up'!A:C""),3,0),"""")"),"")</f>
        <v/>
      </c>
      <c r="AH8630" s="49" t="str">
        <f t="shared" si="134"/>
        <v/>
      </c>
    </row>
    <row r="8631" spans="8:34" ht="12.75">
      <c r="H8631" s="43"/>
      <c r="AG8631" s="49" t="str">
        <f ca="1">IFERROR(__xludf.DUMMYFUNCTION("IFNA(vlookup(H8631,IMPORTRANGE(""1vUGwO1n0QQGx9kKbO0_M5gmuhXZ6-LaxQxgrmJnzgP0"",""'TP# look up'!A:C""),3,0),"""")"),"")</f>
        <v/>
      </c>
      <c r="AH8631" s="49" t="str">
        <f t="shared" si="134"/>
        <v/>
      </c>
    </row>
    <row r="8632" spans="8:34" ht="12.75">
      <c r="H8632" s="43"/>
      <c r="AG8632" s="49" t="str">
        <f ca="1">IFERROR(__xludf.DUMMYFUNCTION("IFNA(vlookup(H8632,IMPORTRANGE(""1vUGwO1n0QQGx9kKbO0_M5gmuhXZ6-LaxQxgrmJnzgP0"",""'TP# look up'!A:C""),3,0),"""")"),"")</f>
        <v/>
      </c>
      <c r="AH8632" s="49" t="str">
        <f t="shared" si="134"/>
        <v/>
      </c>
    </row>
    <row r="8633" spans="8:34" ht="12.75">
      <c r="H8633" s="43"/>
      <c r="AG8633" s="49" t="str">
        <f ca="1">IFERROR(__xludf.DUMMYFUNCTION("IFNA(vlookup(H8633,IMPORTRANGE(""1vUGwO1n0QQGx9kKbO0_M5gmuhXZ6-LaxQxgrmJnzgP0"",""'TP# look up'!A:C""),3,0),"""")"),"")</f>
        <v/>
      </c>
      <c r="AH8633" s="49" t="str">
        <f t="shared" si="134"/>
        <v/>
      </c>
    </row>
    <row r="8634" spans="8:34" ht="12.75">
      <c r="H8634" s="43"/>
      <c r="AG8634" s="49" t="str">
        <f ca="1">IFERROR(__xludf.DUMMYFUNCTION("IFNA(vlookup(H8634,IMPORTRANGE(""1vUGwO1n0QQGx9kKbO0_M5gmuhXZ6-LaxQxgrmJnzgP0"",""'TP# look up'!A:C""),3,0),"""")"),"")</f>
        <v/>
      </c>
      <c r="AH8634" s="49" t="str">
        <f t="shared" si="134"/>
        <v/>
      </c>
    </row>
    <row r="8635" spans="8:34" ht="12.75">
      <c r="H8635" s="43"/>
      <c r="AG8635" s="49" t="str">
        <f ca="1">IFERROR(__xludf.DUMMYFUNCTION("IFNA(vlookup(H8635,IMPORTRANGE(""1vUGwO1n0QQGx9kKbO0_M5gmuhXZ6-LaxQxgrmJnzgP0"",""'TP# look up'!A:C""),3,0),"""")"),"")</f>
        <v/>
      </c>
      <c r="AH8635" s="49" t="str">
        <f t="shared" si="134"/>
        <v/>
      </c>
    </row>
    <row r="8636" spans="8:34" ht="12.75">
      <c r="H8636" s="43"/>
      <c r="AG8636" s="49" t="str">
        <f ca="1">IFERROR(__xludf.DUMMYFUNCTION("IFNA(vlookup(H8636,IMPORTRANGE(""1vUGwO1n0QQGx9kKbO0_M5gmuhXZ6-LaxQxgrmJnzgP0"",""'TP# look up'!A:C""),3,0),"""")"),"")</f>
        <v/>
      </c>
      <c r="AH8636" s="49" t="str">
        <f t="shared" si="134"/>
        <v/>
      </c>
    </row>
    <row r="8637" spans="8:34" ht="12.75">
      <c r="H8637" s="43"/>
      <c r="AG8637" s="49" t="str">
        <f ca="1">IFERROR(__xludf.DUMMYFUNCTION("IFNA(vlookup(H8637,IMPORTRANGE(""1vUGwO1n0QQGx9kKbO0_M5gmuhXZ6-LaxQxgrmJnzgP0"",""'TP# look up'!A:C""),3,0),"""")"),"")</f>
        <v/>
      </c>
      <c r="AH8637" s="49" t="str">
        <f t="shared" si="134"/>
        <v/>
      </c>
    </row>
    <row r="8638" spans="8:34" ht="12.75">
      <c r="H8638" s="43"/>
      <c r="AG8638" s="49" t="str">
        <f ca="1">IFERROR(__xludf.DUMMYFUNCTION("IFNA(vlookup(H8638,IMPORTRANGE(""1vUGwO1n0QQGx9kKbO0_M5gmuhXZ6-LaxQxgrmJnzgP0"",""'TP# look up'!A:C""),3,0),"""")"),"")</f>
        <v/>
      </c>
      <c r="AH8638" s="49" t="str">
        <f t="shared" si="134"/>
        <v/>
      </c>
    </row>
    <row r="8639" spans="8:34" ht="12.75">
      <c r="H8639" s="43"/>
      <c r="AG8639" s="49" t="str">
        <f ca="1">IFERROR(__xludf.DUMMYFUNCTION("IFNA(vlookup(H8639,IMPORTRANGE(""1vUGwO1n0QQGx9kKbO0_M5gmuhXZ6-LaxQxgrmJnzgP0"",""'TP# look up'!A:C""),3,0),"""")"),"")</f>
        <v/>
      </c>
      <c r="AH8639" s="49" t="str">
        <f t="shared" si="134"/>
        <v/>
      </c>
    </row>
    <row r="8640" spans="8:34" ht="12.75">
      <c r="H8640" s="43"/>
      <c r="AG8640" s="49" t="str">
        <f ca="1">IFERROR(__xludf.DUMMYFUNCTION("IFNA(vlookup(H8640,IMPORTRANGE(""1vUGwO1n0QQGx9kKbO0_M5gmuhXZ6-LaxQxgrmJnzgP0"",""'TP# look up'!A:C""),3,0),"""")"),"")</f>
        <v/>
      </c>
      <c r="AH8640" s="49" t="str">
        <f t="shared" si="134"/>
        <v/>
      </c>
    </row>
    <row r="8641" spans="8:34" ht="12.75">
      <c r="H8641" s="43"/>
      <c r="AG8641" s="49" t="str">
        <f ca="1">IFERROR(__xludf.DUMMYFUNCTION("IFNA(vlookup(H8641,IMPORTRANGE(""1vUGwO1n0QQGx9kKbO0_M5gmuhXZ6-LaxQxgrmJnzgP0"",""'TP# look up'!A:C""),3,0),"""")"),"")</f>
        <v/>
      </c>
      <c r="AH8641" s="49" t="str">
        <f t="shared" si="134"/>
        <v/>
      </c>
    </row>
    <row r="8642" spans="8:34" ht="12.75">
      <c r="H8642" s="43"/>
      <c r="AG8642" s="49" t="str">
        <f ca="1">IFERROR(__xludf.DUMMYFUNCTION("IFNA(vlookup(H8642,IMPORTRANGE(""1vUGwO1n0QQGx9kKbO0_M5gmuhXZ6-LaxQxgrmJnzgP0"",""'TP# look up'!A:C""),3,0),"""")"),"")</f>
        <v/>
      </c>
      <c r="AH8642" s="49" t="str">
        <f t="shared" ref="AH8642:AH8705" si="135">LEFT(J8642,2)</f>
        <v/>
      </c>
    </row>
    <row r="8643" spans="8:34" ht="12.75">
      <c r="H8643" s="43"/>
      <c r="AG8643" s="49" t="str">
        <f ca="1">IFERROR(__xludf.DUMMYFUNCTION("IFNA(vlookup(H8643,IMPORTRANGE(""1vUGwO1n0QQGx9kKbO0_M5gmuhXZ6-LaxQxgrmJnzgP0"",""'TP# look up'!A:C""),3,0),"""")"),"")</f>
        <v/>
      </c>
      <c r="AH8643" s="49" t="str">
        <f t="shared" si="135"/>
        <v/>
      </c>
    </row>
    <row r="8644" spans="8:34" ht="12.75">
      <c r="H8644" s="43"/>
      <c r="AG8644" s="49" t="str">
        <f ca="1">IFERROR(__xludf.DUMMYFUNCTION("IFNA(vlookup(H8644,IMPORTRANGE(""1vUGwO1n0QQGx9kKbO0_M5gmuhXZ6-LaxQxgrmJnzgP0"",""'TP# look up'!A:C""),3,0),"""")"),"")</f>
        <v/>
      </c>
      <c r="AH8644" s="49" t="str">
        <f t="shared" si="135"/>
        <v/>
      </c>
    </row>
    <row r="8645" spans="8:34" ht="12.75">
      <c r="H8645" s="43"/>
      <c r="AG8645" s="49" t="str">
        <f ca="1">IFERROR(__xludf.DUMMYFUNCTION("IFNA(vlookup(H8645,IMPORTRANGE(""1vUGwO1n0QQGx9kKbO0_M5gmuhXZ6-LaxQxgrmJnzgP0"",""'TP# look up'!A:C""),3,0),"""")"),"")</f>
        <v/>
      </c>
      <c r="AH8645" s="49" t="str">
        <f t="shared" si="135"/>
        <v/>
      </c>
    </row>
    <row r="8646" spans="8:34" ht="12.75">
      <c r="H8646" s="43"/>
      <c r="AG8646" s="49" t="str">
        <f ca="1">IFERROR(__xludf.DUMMYFUNCTION("IFNA(vlookup(H8646,IMPORTRANGE(""1vUGwO1n0QQGx9kKbO0_M5gmuhXZ6-LaxQxgrmJnzgP0"",""'TP# look up'!A:C""),3,0),"""")"),"")</f>
        <v/>
      </c>
      <c r="AH8646" s="49" t="str">
        <f t="shared" si="135"/>
        <v/>
      </c>
    </row>
    <row r="8647" spans="8:34" ht="12.75">
      <c r="H8647" s="43"/>
      <c r="AG8647" s="49" t="str">
        <f ca="1">IFERROR(__xludf.DUMMYFUNCTION("IFNA(vlookup(H8647,IMPORTRANGE(""1vUGwO1n0QQGx9kKbO0_M5gmuhXZ6-LaxQxgrmJnzgP0"",""'TP# look up'!A:C""),3,0),"""")"),"")</f>
        <v/>
      </c>
      <c r="AH8647" s="49" t="str">
        <f t="shared" si="135"/>
        <v/>
      </c>
    </row>
    <row r="8648" spans="8:34" ht="12.75">
      <c r="H8648" s="43"/>
      <c r="AG8648" s="49" t="str">
        <f ca="1">IFERROR(__xludf.DUMMYFUNCTION("IFNA(vlookup(H8648,IMPORTRANGE(""1vUGwO1n0QQGx9kKbO0_M5gmuhXZ6-LaxQxgrmJnzgP0"",""'TP# look up'!A:C""),3,0),"""")"),"")</f>
        <v/>
      </c>
      <c r="AH8648" s="49" t="str">
        <f t="shared" si="135"/>
        <v/>
      </c>
    </row>
    <row r="8649" spans="8:34" ht="12.75">
      <c r="H8649" s="43"/>
      <c r="AG8649" s="49" t="str">
        <f ca="1">IFERROR(__xludf.DUMMYFUNCTION("IFNA(vlookup(H8649,IMPORTRANGE(""1vUGwO1n0QQGx9kKbO0_M5gmuhXZ6-LaxQxgrmJnzgP0"",""'TP# look up'!A:C""),3,0),"""")"),"")</f>
        <v/>
      </c>
      <c r="AH8649" s="49" t="str">
        <f t="shared" si="135"/>
        <v/>
      </c>
    </row>
    <row r="8650" spans="8:34" ht="12.75">
      <c r="H8650" s="43"/>
      <c r="AG8650" s="49" t="str">
        <f ca="1">IFERROR(__xludf.DUMMYFUNCTION("IFNA(vlookup(H8650,IMPORTRANGE(""1vUGwO1n0QQGx9kKbO0_M5gmuhXZ6-LaxQxgrmJnzgP0"",""'TP# look up'!A:C""),3,0),"""")"),"")</f>
        <v/>
      </c>
      <c r="AH8650" s="49" t="str">
        <f t="shared" si="135"/>
        <v/>
      </c>
    </row>
    <row r="8651" spans="8:34" ht="12.75">
      <c r="H8651" s="43"/>
      <c r="AG8651" s="49" t="str">
        <f ca="1">IFERROR(__xludf.DUMMYFUNCTION("IFNA(vlookup(H8651,IMPORTRANGE(""1vUGwO1n0QQGx9kKbO0_M5gmuhXZ6-LaxQxgrmJnzgP0"",""'TP# look up'!A:C""),3,0),"""")"),"")</f>
        <v/>
      </c>
      <c r="AH8651" s="49" t="str">
        <f t="shared" si="135"/>
        <v/>
      </c>
    </row>
    <row r="8652" spans="8:34" ht="12.75">
      <c r="H8652" s="43"/>
      <c r="AG8652" s="49" t="str">
        <f ca="1">IFERROR(__xludf.DUMMYFUNCTION("IFNA(vlookup(H8652,IMPORTRANGE(""1vUGwO1n0QQGx9kKbO0_M5gmuhXZ6-LaxQxgrmJnzgP0"",""'TP# look up'!A:C""),3,0),"""")"),"")</f>
        <v/>
      </c>
      <c r="AH8652" s="49" t="str">
        <f t="shared" si="135"/>
        <v/>
      </c>
    </row>
    <row r="8653" spans="8:34" ht="12.75">
      <c r="H8653" s="43"/>
      <c r="AG8653" s="49" t="str">
        <f ca="1">IFERROR(__xludf.DUMMYFUNCTION("IFNA(vlookup(H8653,IMPORTRANGE(""1vUGwO1n0QQGx9kKbO0_M5gmuhXZ6-LaxQxgrmJnzgP0"",""'TP# look up'!A:C""),3,0),"""")"),"")</f>
        <v/>
      </c>
      <c r="AH8653" s="49" t="str">
        <f t="shared" si="135"/>
        <v/>
      </c>
    </row>
    <row r="8654" spans="8:34" ht="12.75">
      <c r="H8654" s="43"/>
      <c r="AG8654" s="49" t="str">
        <f ca="1">IFERROR(__xludf.DUMMYFUNCTION("IFNA(vlookup(H8654,IMPORTRANGE(""1vUGwO1n0QQGx9kKbO0_M5gmuhXZ6-LaxQxgrmJnzgP0"",""'TP# look up'!A:C""),3,0),"""")"),"")</f>
        <v/>
      </c>
      <c r="AH8654" s="49" t="str">
        <f t="shared" si="135"/>
        <v/>
      </c>
    </row>
    <row r="8655" spans="8:34" ht="12.75">
      <c r="H8655" s="43"/>
      <c r="AG8655" s="49" t="str">
        <f ca="1">IFERROR(__xludf.DUMMYFUNCTION("IFNA(vlookup(H8655,IMPORTRANGE(""1vUGwO1n0QQGx9kKbO0_M5gmuhXZ6-LaxQxgrmJnzgP0"",""'TP# look up'!A:C""),3,0),"""")"),"")</f>
        <v/>
      </c>
      <c r="AH8655" s="49" t="str">
        <f t="shared" si="135"/>
        <v/>
      </c>
    </row>
    <row r="8656" spans="8:34" ht="12.75">
      <c r="H8656" s="43"/>
      <c r="AG8656" s="49" t="str">
        <f ca="1">IFERROR(__xludf.DUMMYFUNCTION("IFNA(vlookup(H8656,IMPORTRANGE(""1vUGwO1n0QQGx9kKbO0_M5gmuhXZ6-LaxQxgrmJnzgP0"",""'TP# look up'!A:C""),3,0),"""")"),"")</f>
        <v/>
      </c>
      <c r="AH8656" s="49" t="str">
        <f t="shared" si="135"/>
        <v/>
      </c>
    </row>
    <row r="8657" spans="8:34" ht="12.75">
      <c r="H8657" s="43"/>
      <c r="AG8657" s="49" t="str">
        <f ca="1">IFERROR(__xludf.DUMMYFUNCTION("IFNA(vlookup(H8657,IMPORTRANGE(""1vUGwO1n0QQGx9kKbO0_M5gmuhXZ6-LaxQxgrmJnzgP0"",""'TP# look up'!A:C""),3,0),"""")"),"")</f>
        <v/>
      </c>
      <c r="AH8657" s="49" t="str">
        <f t="shared" si="135"/>
        <v/>
      </c>
    </row>
    <row r="8658" spans="8:34" ht="12.75">
      <c r="H8658" s="43"/>
      <c r="AG8658" s="49" t="str">
        <f ca="1">IFERROR(__xludf.DUMMYFUNCTION("IFNA(vlookup(H8658,IMPORTRANGE(""1vUGwO1n0QQGx9kKbO0_M5gmuhXZ6-LaxQxgrmJnzgP0"",""'TP# look up'!A:C""),3,0),"""")"),"")</f>
        <v/>
      </c>
      <c r="AH8658" s="49" t="str">
        <f t="shared" si="135"/>
        <v/>
      </c>
    </row>
    <row r="8659" spans="8:34" ht="12.75">
      <c r="H8659" s="43"/>
      <c r="AG8659" s="49" t="str">
        <f ca="1">IFERROR(__xludf.DUMMYFUNCTION("IFNA(vlookup(H8659,IMPORTRANGE(""1vUGwO1n0QQGx9kKbO0_M5gmuhXZ6-LaxQxgrmJnzgP0"",""'TP# look up'!A:C""),3,0),"""")"),"")</f>
        <v/>
      </c>
      <c r="AH8659" s="49" t="str">
        <f t="shared" si="135"/>
        <v/>
      </c>
    </row>
    <row r="8660" spans="8:34" ht="12.75">
      <c r="H8660" s="43"/>
      <c r="AG8660" s="49" t="str">
        <f ca="1">IFERROR(__xludf.DUMMYFUNCTION("IFNA(vlookup(H8660,IMPORTRANGE(""1vUGwO1n0QQGx9kKbO0_M5gmuhXZ6-LaxQxgrmJnzgP0"",""'TP# look up'!A:C""),3,0),"""")"),"")</f>
        <v/>
      </c>
      <c r="AH8660" s="49" t="str">
        <f t="shared" si="135"/>
        <v/>
      </c>
    </row>
    <row r="8661" spans="8:34" ht="12.75">
      <c r="H8661" s="43"/>
      <c r="AG8661" s="49" t="str">
        <f ca="1">IFERROR(__xludf.DUMMYFUNCTION("IFNA(vlookup(H8661,IMPORTRANGE(""1vUGwO1n0QQGx9kKbO0_M5gmuhXZ6-LaxQxgrmJnzgP0"",""'TP# look up'!A:C""),3,0),"""")"),"")</f>
        <v/>
      </c>
      <c r="AH8661" s="49" t="str">
        <f t="shared" si="135"/>
        <v/>
      </c>
    </row>
    <row r="8662" spans="8:34" ht="12.75">
      <c r="H8662" s="43"/>
      <c r="AG8662" s="49" t="str">
        <f ca="1">IFERROR(__xludf.DUMMYFUNCTION("IFNA(vlookup(H8662,IMPORTRANGE(""1vUGwO1n0QQGx9kKbO0_M5gmuhXZ6-LaxQxgrmJnzgP0"",""'TP# look up'!A:C""),3,0),"""")"),"")</f>
        <v/>
      </c>
      <c r="AH8662" s="49" t="str">
        <f t="shared" si="135"/>
        <v/>
      </c>
    </row>
    <row r="8663" spans="8:34" ht="12.75">
      <c r="H8663" s="43"/>
      <c r="AG8663" s="49" t="str">
        <f ca="1">IFERROR(__xludf.DUMMYFUNCTION("IFNA(vlookup(H8663,IMPORTRANGE(""1vUGwO1n0QQGx9kKbO0_M5gmuhXZ6-LaxQxgrmJnzgP0"",""'TP# look up'!A:C""),3,0),"""")"),"")</f>
        <v/>
      </c>
      <c r="AH8663" s="49" t="str">
        <f t="shared" si="135"/>
        <v/>
      </c>
    </row>
    <row r="8664" spans="8:34" ht="12.75">
      <c r="H8664" s="43"/>
      <c r="AG8664" s="49" t="str">
        <f ca="1">IFERROR(__xludf.DUMMYFUNCTION("IFNA(vlookup(H8664,IMPORTRANGE(""1vUGwO1n0QQGx9kKbO0_M5gmuhXZ6-LaxQxgrmJnzgP0"",""'TP# look up'!A:C""),3,0),"""")"),"")</f>
        <v/>
      </c>
      <c r="AH8664" s="49" t="str">
        <f t="shared" si="135"/>
        <v/>
      </c>
    </row>
    <row r="8665" spans="8:34" ht="12.75">
      <c r="H8665" s="43"/>
      <c r="AG8665" s="49" t="str">
        <f ca="1">IFERROR(__xludf.DUMMYFUNCTION("IFNA(vlookup(H8665,IMPORTRANGE(""1vUGwO1n0QQGx9kKbO0_M5gmuhXZ6-LaxQxgrmJnzgP0"",""'TP# look up'!A:C""),3,0),"""")"),"")</f>
        <v/>
      </c>
      <c r="AH8665" s="49" t="str">
        <f t="shared" si="135"/>
        <v/>
      </c>
    </row>
    <row r="8666" spans="8:34" ht="12.75">
      <c r="H8666" s="43"/>
      <c r="AG8666" s="49" t="str">
        <f ca="1">IFERROR(__xludf.DUMMYFUNCTION("IFNA(vlookup(H8666,IMPORTRANGE(""1vUGwO1n0QQGx9kKbO0_M5gmuhXZ6-LaxQxgrmJnzgP0"",""'TP# look up'!A:C""),3,0),"""")"),"")</f>
        <v/>
      </c>
      <c r="AH8666" s="49" t="str">
        <f t="shared" si="135"/>
        <v/>
      </c>
    </row>
    <row r="8667" spans="8:34" ht="12.75">
      <c r="H8667" s="43"/>
      <c r="AG8667" s="49" t="str">
        <f ca="1">IFERROR(__xludf.DUMMYFUNCTION("IFNA(vlookup(H8667,IMPORTRANGE(""1vUGwO1n0QQGx9kKbO0_M5gmuhXZ6-LaxQxgrmJnzgP0"",""'TP# look up'!A:C""),3,0),"""")"),"")</f>
        <v/>
      </c>
      <c r="AH8667" s="49" t="str">
        <f t="shared" si="135"/>
        <v/>
      </c>
    </row>
    <row r="8668" spans="8:34" ht="12.75">
      <c r="H8668" s="43"/>
      <c r="AG8668" s="49" t="str">
        <f ca="1">IFERROR(__xludf.DUMMYFUNCTION("IFNA(vlookup(H8668,IMPORTRANGE(""1vUGwO1n0QQGx9kKbO0_M5gmuhXZ6-LaxQxgrmJnzgP0"",""'TP# look up'!A:C""),3,0),"""")"),"")</f>
        <v/>
      </c>
      <c r="AH8668" s="49" t="str">
        <f t="shared" si="135"/>
        <v/>
      </c>
    </row>
    <row r="8669" spans="8:34" ht="12.75">
      <c r="H8669" s="43"/>
      <c r="AG8669" s="49" t="str">
        <f ca="1">IFERROR(__xludf.DUMMYFUNCTION("IFNA(vlookup(H8669,IMPORTRANGE(""1vUGwO1n0QQGx9kKbO0_M5gmuhXZ6-LaxQxgrmJnzgP0"",""'TP# look up'!A:C""),3,0),"""")"),"")</f>
        <v/>
      </c>
      <c r="AH8669" s="49" t="str">
        <f t="shared" si="135"/>
        <v/>
      </c>
    </row>
    <row r="8670" spans="8:34" ht="12.75">
      <c r="H8670" s="43"/>
      <c r="AG8670" s="49" t="str">
        <f ca="1">IFERROR(__xludf.DUMMYFUNCTION("IFNA(vlookup(H8670,IMPORTRANGE(""1vUGwO1n0QQGx9kKbO0_M5gmuhXZ6-LaxQxgrmJnzgP0"",""'TP# look up'!A:C""),3,0),"""")"),"")</f>
        <v/>
      </c>
      <c r="AH8670" s="49" t="str">
        <f t="shared" si="135"/>
        <v/>
      </c>
    </row>
    <row r="8671" spans="8:34" ht="12.75">
      <c r="H8671" s="43"/>
      <c r="AG8671" s="49" t="str">
        <f ca="1">IFERROR(__xludf.DUMMYFUNCTION("IFNA(vlookup(H8671,IMPORTRANGE(""1vUGwO1n0QQGx9kKbO0_M5gmuhXZ6-LaxQxgrmJnzgP0"",""'TP# look up'!A:C""),3,0),"""")"),"")</f>
        <v/>
      </c>
      <c r="AH8671" s="49" t="str">
        <f t="shared" si="135"/>
        <v/>
      </c>
    </row>
    <row r="8672" spans="8:34" ht="12.75">
      <c r="H8672" s="43"/>
      <c r="AG8672" s="49" t="str">
        <f ca="1">IFERROR(__xludf.DUMMYFUNCTION("IFNA(vlookup(H8672,IMPORTRANGE(""1vUGwO1n0QQGx9kKbO0_M5gmuhXZ6-LaxQxgrmJnzgP0"",""'TP# look up'!A:C""),3,0),"""")"),"")</f>
        <v/>
      </c>
      <c r="AH8672" s="49" t="str">
        <f t="shared" si="135"/>
        <v/>
      </c>
    </row>
    <row r="8673" spans="8:34" ht="12.75">
      <c r="H8673" s="43"/>
      <c r="AG8673" s="49" t="str">
        <f ca="1">IFERROR(__xludf.DUMMYFUNCTION("IFNA(vlookup(H8673,IMPORTRANGE(""1vUGwO1n0QQGx9kKbO0_M5gmuhXZ6-LaxQxgrmJnzgP0"",""'TP# look up'!A:C""),3,0),"""")"),"")</f>
        <v/>
      </c>
      <c r="AH8673" s="49" t="str">
        <f t="shared" si="135"/>
        <v/>
      </c>
    </row>
    <row r="8674" spans="8:34" ht="12.75">
      <c r="H8674" s="43"/>
      <c r="AG8674" s="49" t="str">
        <f ca="1">IFERROR(__xludf.DUMMYFUNCTION("IFNA(vlookup(H8674,IMPORTRANGE(""1vUGwO1n0QQGx9kKbO0_M5gmuhXZ6-LaxQxgrmJnzgP0"",""'TP# look up'!A:C""),3,0),"""")"),"")</f>
        <v/>
      </c>
      <c r="AH8674" s="49" t="str">
        <f t="shared" si="135"/>
        <v/>
      </c>
    </row>
    <row r="8675" spans="8:34" ht="12.75">
      <c r="H8675" s="43"/>
      <c r="AG8675" s="49" t="str">
        <f ca="1">IFERROR(__xludf.DUMMYFUNCTION("IFNA(vlookup(H8675,IMPORTRANGE(""1vUGwO1n0QQGx9kKbO0_M5gmuhXZ6-LaxQxgrmJnzgP0"",""'TP# look up'!A:C""),3,0),"""")"),"")</f>
        <v/>
      </c>
      <c r="AH8675" s="49" t="str">
        <f t="shared" si="135"/>
        <v/>
      </c>
    </row>
    <row r="8676" spans="8:34" ht="12.75">
      <c r="H8676" s="43"/>
      <c r="AG8676" s="49" t="str">
        <f ca="1">IFERROR(__xludf.DUMMYFUNCTION("IFNA(vlookup(H8676,IMPORTRANGE(""1vUGwO1n0QQGx9kKbO0_M5gmuhXZ6-LaxQxgrmJnzgP0"",""'TP# look up'!A:C""),3,0),"""")"),"")</f>
        <v/>
      </c>
      <c r="AH8676" s="49" t="str">
        <f t="shared" si="135"/>
        <v/>
      </c>
    </row>
    <row r="8677" spans="8:34" ht="12.75">
      <c r="H8677" s="43"/>
      <c r="AG8677" s="49" t="str">
        <f ca="1">IFERROR(__xludf.DUMMYFUNCTION("IFNA(vlookup(H8677,IMPORTRANGE(""1vUGwO1n0QQGx9kKbO0_M5gmuhXZ6-LaxQxgrmJnzgP0"",""'TP# look up'!A:C""),3,0),"""")"),"")</f>
        <v/>
      </c>
      <c r="AH8677" s="49" t="str">
        <f t="shared" si="135"/>
        <v/>
      </c>
    </row>
    <row r="8678" spans="8:34" ht="12.75">
      <c r="H8678" s="43"/>
      <c r="AG8678" s="49" t="str">
        <f ca="1">IFERROR(__xludf.DUMMYFUNCTION("IFNA(vlookup(H8678,IMPORTRANGE(""1vUGwO1n0QQGx9kKbO0_M5gmuhXZ6-LaxQxgrmJnzgP0"",""'TP# look up'!A:C""),3,0),"""")"),"")</f>
        <v/>
      </c>
      <c r="AH8678" s="49" t="str">
        <f t="shared" si="135"/>
        <v/>
      </c>
    </row>
    <row r="8679" spans="8:34" ht="12.75">
      <c r="H8679" s="43"/>
      <c r="AG8679" s="49" t="str">
        <f ca="1">IFERROR(__xludf.DUMMYFUNCTION("IFNA(vlookup(H8679,IMPORTRANGE(""1vUGwO1n0QQGx9kKbO0_M5gmuhXZ6-LaxQxgrmJnzgP0"",""'TP# look up'!A:C""),3,0),"""")"),"")</f>
        <v/>
      </c>
      <c r="AH8679" s="49" t="str">
        <f t="shared" si="135"/>
        <v/>
      </c>
    </row>
    <row r="8680" spans="8:34" ht="12.75">
      <c r="H8680" s="43"/>
      <c r="AG8680" s="49" t="str">
        <f ca="1">IFERROR(__xludf.DUMMYFUNCTION("IFNA(vlookup(H8680,IMPORTRANGE(""1vUGwO1n0QQGx9kKbO0_M5gmuhXZ6-LaxQxgrmJnzgP0"",""'TP# look up'!A:C""),3,0),"""")"),"")</f>
        <v/>
      </c>
      <c r="AH8680" s="49" t="str">
        <f t="shared" si="135"/>
        <v/>
      </c>
    </row>
    <row r="8681" spans="8:34" ht="12.75">
      <c r="H8681" s="43"/>
      <c r="AG8681" s="49" t="str">
        <f ca="1">IFERROR(__xludf.DUMMYFUNCTION("IFNA(vlookup(H8681,IMPORTRANGE(""1vUGwO1n0QQGx9kKbO0_M5gmuhXZ6-LaxQxgrmJnzgP0"",""'TP# look up'!A:C""),3,0),"""")"),"")</f>
        <v/>
      </c>
      <c r="AH8681" s="49" t="str">
        <f t="shared" si="135"/>
        <v/>
      </c>
    </row>
    <row r="8682" spans="8:34" ht="12.75">
      <c r="H8682" s="43"/>
      <c r="AG8682" s="49" t="str">
        <f ca="1">IFERROR(__xludf.DUMMYFUNCTION("IFNA(vlookup(H8682,IMPORTRANGE(""1vUGwO1n0QQGx9kKbO0_M5gmuhXZ6-LaxQxgrmJnzgP0"",""'TP# look up'!A:C""),3,0),"""")"),"")</f>
        <v/>
      </c>
      <c r="AH8682" s="49" t="str">
        <f t="shared" si="135"/>
        <v/>
      </c>
    </row>
    <row r="8683" spans="8:34" ht="12.75">
      <c r="H8683" s="43"/>
      <c r="AG8683" s="49" t="str">
        <f ca="1">IFERROR(__xludf.DUMMYFUNCTION("IFNA(vlookup(H8683,IMPORTRANGE(""1vUGwO1n0QQGx9kKbO0_M5gmuhXZ6-LaxQxgrmJnzgP0"",""'TP# look up'!A:C""),3,0),"""")"),"")</f>
        <v/>
      </c>
      <c r="AH8683" s="49" t="str">
        <f t="shared" si="135"/>
        <v/>
      </c>
    </row>
    <row r="8684" spans="8:34" ht="12.75">
      <c r="H8684" s="43"/>
      <c r="AG8684" s="49" t="str">
        <f ca="1">IFERROR(__xludf.DUMMYFUNCTION("IFNA(vlookup(H8684,IMPORTRANGE(""1vUGwO1n0QQGx9kKbO0_M5gmuhXZ6-LaxQxgrmJnzgP0"",""'TP# look up'!A:C""),3,0),"""")"),"")</f>
        <v/>
      </c>
      <c r="AH8684" s="49" t="str">
        <f t="shared" si="135"/>
        <v/>
      </c>
    </row>
    <row r="8685" spans="8:34" ht="12.75">
      <c r="H8685" s="43"/>
      <c r="AG8685" s="49" t="str">
        <f ca="1">IFERROR(__xludf.DUMMYFUNCTION("IFNA(vlookup(H8685,IMPORTRANGE(""1vUGwO1n0QQGx9kKbO0_M5gmuhXZ6-LaxQxgrmJnzgP0"",""'TP# look up'!A:C""),3,0),"""")"),"")</f>
        <v/>
      </c>
      <c r="AH8685" s="49" t="str">
        <f t="shared" si="135"/>
        <v/>
      </c>
    </row>
    <row r="8686" spans="8:34" ht="12.75">
      <c r="H8686" s="43"/>
      <c r="AG8686" s="49" t="str">
        <f ca="1">IFERROR(__xludf.DUMMYFUNCTION("IFNA(vlookup(H8686,IMPORTRANGE(""1vUGwO1n0QQGx9kKbO0_M5gmuhXZ6-LaxQxgrmJnzgP0"",""'TP# look up'!A:C""),3,0),"""")"),"")</f>
        <v/>
      </c>
      <c r="AH8686" s="49" t="str">
        <f t="shared" si="135"/>
        <v/>
      </c>
    </row>
    <row r="8687" spans="8:34" ht="12.75">
      <c r="H8687" s="43"/>
      <c r="AG8687" s="49" t="str">
        <f ca="1">IFERROR(__xludf.DUMMYFUNCTION("IFNA(vlookup(H8687,IMPORTRANGE(""1vUGwO1n0QQGx9kKbO0_M5gmuhXZ6-LaxQxgrmJnzgP0"",""'TP# look up'!A:C""),3,0),"""")"),"")</f>
        <v/>
      </c>
      <c r="AH8687" s="49" t="str">
        <f t="shared" si="135"/>
        <v/>
      </c>
    </row>
    <row r="8688" spans="8:34" ht="12.75">
      <c r="H8688" s="43"/>
      <c r="AG8688" s="49" t="str">
        <f ca="1">IFERROR(__xludf.DUMMYFUNCTION("IFNA(vlookup(H8688,IMPORTRANGE(""1vUGwO1n0QQGx9kKbO0_M5gmuhXZ6-LaxQxgrmJnzgP0"",""'TP# look up'!A:C""),3,0),"""")"),"")</f>
        <v/>
      </c>
      <c r="AH8688" s="49" t="str">
        <f t="shared" si="135"/>
        <v/>
      </c>
    </row>
    <row r="8689" spans="8:34" ht="12.75">
      <c r="H8689" s="43"/>
      <c r="AG8689" s="49" t="str">
        <f ca="1">IFERROR(__xludf.DUMMYFUNCTION("IFNA(vlookup(H8689,IMPORTRANGE(""1vUGwO1n0QQGx9kKbO0_M5gmuhXZ6-LaxQxgrmJnzgP0"",""'TP# look up'!A:C""),3,0),"""")"),"")</f>
        <v/>
      </c>
      <c r="AH8689" s="49" t="str">
        <f t="shared" si="135"/>
        <v/>
      </c>
    </row>
    <row r="8690" spans="8:34" ht="12.75">
      <c r="H8690" s="43"/>
      <c r="AG8690" s="49" t="str">
        <f ca="1">IFERROR(__xludf.DUMMYFUNCTION("IFNA(vlookup(H8690,IMPORTRANGE(""1vUGwO1n0QQGx9kKbO0_M5gmuhXZ6-LaxQxgrmJnzgP0"",""'TP# look up'!A:C""),3,0),"""")"),"")</f>
        <v/>
      </c>
      <c r="AH8690" s="49" t="str">
        <f t="shared" si="135"/>
        <v/>
      </c>
    </row>
    <row r="8691" spans="8:34" ht="12.75">
      <c r="H8691" s="43"/>
      <c r="AG8691" s="49" t="str">
        <f ca="1">IFERROR(__xludf.DUMMYFUNCTION("IFNA(vlookup(H8691,IMPORTRANGE(""1vUGwO1n0QQGx9kKbO0_M5gmuhXZ6-LaxQxgrmJnzgP0"",""'TP# look up'!A:C""),3,0),"""")"),"")</f>
        <v/>
      </c>
      <c r="AH8691" s="49" t="str">
        <f t="shared" si="135"/>
        <v/>
      </c>
    </row>
    <row r="8692" spans="8:34" ht="12.75">
      <c r="H8692" s="43"/>
      <c r="AG8692" s="49" t="str">
        <f ca="1">IFERROR(__xludf.DUMMYFUNCTION("IFNA(vlookup(H8692,IMPORTRANGE(""1vUGwO1n0QQGx9kKbO0_M5gmuhXZ6-LaxQxgrmJnzgP0"",""'TP# look up'!A:C""),3,0),"""")"),"")</f>
        <v/>
      </c>
      <c r="AH8692" s="49" t="str">
        <f t="shared" si="135"/>
        <v/>
      </c>
    </row>
    <row r="8693" spans="8:34" ht="12.75">
      <c r="H8693" s="43"/>
      <c r="AG8693" s="49" t="str">
        <f ca="1">IFERROR(__xludf.DUMMYFUNCTION("IFNA(vlookup(H8693,IMPORTRANGE(""1vUGwO1n0QQGx9kKbO0_M5gmuhXZ6-LaxQxgrmJnzgP0"",""'TP# look up'!A:C""),3,0),"""")"),"")</f>
        <v/>
      </c>
      <c r="AH8693" s="49" t="str">
        <f t="shared" si="135"/>
        <v/>
      </c>
    </row>
    <row r="8694" spans="8:34" ht="12.75">
      <c r="H8694" s="43"/>
      <c r="AG8694" s="49" t="str">
        <f ca="1">IFERROR(__xludf.DUMMYFUNCTION("IFNA(vlookup(H8694,IMPORTRANGE(""1vUGwO1n0QQGx9kKbO0_M5gmuhXZ6-LaxQxgrmJnzgP0"",""'TP# look up'!A:C""),3,0),"""")"),"")</f>
        <v/>
      </c>
      <c r="AH8694" s="49" t="str">
        <f t="shared" si="135"/>
        <v/>
      </c>
    </row>
    <row r="8695" spans="8:34" ht="12.75">
      <c r="H8695" s="43"/>
      <c r="AG8695" s="49" t="str">
        <f ca="1">IFERROR(__xludf.DUMMYFUNCTION("IFNA(vlookup(H8695,IMPORTRANGE(""1vUGwO1n0QQGx9kKbO0_M5gmuhXZ6-LaxQxgrmJnzgP0"",""'TP# look up'!A:C""),3,0),"""")"),"")</f>
        <v/>
      </c>
      <c r="AH8695" s="49" t="str">
        <f t="shared" si="135"/>
        <v/>
      </c>
    </row>
    <row r="8696" spans="8:34" ht="12.75">
      <c r="H8696" s="43"/>
      <c r="AG8696" s="49" t="str">
        <f ca="1">IFERROR(__xludf.DUMMYFUNCTION("IFNA(vlookup(H8696,IMPORTRANGE(""1vUGwO1n0QQGx9kKbO0_M5gmuhXZ6-LaxQxgrmJnzgP0"",""'TP# look up'!A:C""),3,0),"""")"),"")</f>
        <v/>
      </c>
      <c r="AH8696" s="49" t="str">
        <f t="shared" si="135"/>
        <v/>
      </c>
    </row>
    <row r="8697" spans="8:34" ht="12.75">
      <c r="H8697" s="43"/>
      <c r="AG8697" s="49" t="str">
        <f ca="1">IFERROR(__xludf.DUMMYFUNCTION("IFNA(vlookup(H8697,IMPORTRANGE(""1vUGwO1n0QQGx9kKbO0_M5gmuhXZ6-LaxQxgrmJnzgP0"",""'TP# look up'!A:C""),3,0),"""")"),"")</f>
        <v/>
      </c>
      <c r="AH8697" s="49" t="str">
        <f t="shared" si="135"/>
        <v/>
      </c>
    </row>
    <row r="8698" spans="8:34" ht="12.75">
      <c r="H8698" s="43"/>
      <c r="AG8698" s="49" t="str">
        <f ca="1">IFERROR(__xludf.DUMMYFUNCTION("IFNA(vlookup(H8698,IMPORTRANGE(""1vUGwO1n0QQGx9kKbO0_M5gmuhXZ6-LaxQxgrmJnzgP0"",""'TP# look up'!A:C""),3,0),"""")"),"")</f>
        <v/>
      </c>
      <c r="AH8698" s="49" t="str">
        <f t="shared" si="135"/>
        <v/>
      </c>
    </row>
    <row r="8699" spans="8:34" ht="12.75">
      <c r="H8699" s="43"/>
      <c r="AG8699" s="49" t="str">
        <f ca="1">IFERROR(__xludf.DUMMYFUNCTION("IFNA(vlookup(H8699,IMPORTRANGE(""1vUGwO1n0QQGx9kKbO0_M5gmuhXZ6-LaxQxgrmJnzgP0"",""'TP# look up'!A:C""),3,0),"""")"),"")</f>
        <v/>
      </c>
      <c r="AH8699" s="49" t="str">
        <f t="shared" si="135"/>
        <v/>
      </c>
    </row>
    <row r="8700" spans="8:34" ht="12.75">
      <c r="H8700" s="43"/>
      <c r="AG8700" s="49" t="str">
        <f ca="1">IFERROR(__xludf.DUMMYFUNCTION("IFNA(vlookup(H8700,IMPORTRANGE(""1vUGwO1n0QQGx9kKbO0_M5gmuhXZ6-LaxQxgrmJnzgP0"",""'TP# look up'!A:C""),3,0),"""")"),"")</f>
        <v/>
      </c>
      <c r="AH8700" s="49" t="str">
        <f t="shared" si="135"/>
        <v/>
      </c>
    </row>
    <row r="8701" spans="8:34" ht="12.75">
      <c r="H8701" s="43"/>
      <c r="AG8701" s="49" t="str">
        <f ca="1">IFERROR(__xludf.DUMMYFUNCTION("IFNA(vlookup(H8701,IMPORTRANGE(""1vUGwO1n0QQGx9kKbO0_M5gmuhXZ6-LaxQxgrmJnzgP0"",""'TP# look up'!A:C""),3,0),"""")"),"")</f>
        <v/>
      </c>
      <c r="AH8701" s="49" t="str">
        <f t="shared" si="135"/>
        <v/>
      </c>
    </row>
    <row r="8702" spans="8:34" ht="12.75">
      <c r="H8702" s="43"/>
      <c r="AG8702" s="49" t="str">
        <f ca="1">IFERROR(__xludf.DUMMYFUNCTION("IFNA(vlookup(H8702,IMPORTRANGE(""1vUGwO1n0QQGx9kKbO0_M5gmuhXZ6-LaxQxgrmJnzgP0"",""'TP# look up'!A:C""),3,0),"""")"),"")</f>
        <v/>
      </c>
      <c r="AH8702" s="49" t="str">
        <f t="shared" si="135"/>
        <v/>
      </c>
    </row>
    <row r="8703" spans="8:34" ht="12.75">
      <c r="H8703" s="43"/>
      <c r="AG8703" s="49" t="str">
        <f ca="1">IFERROR(__xludf.DUMMYFUNCTION("IFNA(vlookup(H8703,IMPORTRANGE(""1vUGwO1n0QQGx9kKbO0_M5gmuhXZ6-LaxQxgrmJnzgP0"",""'TP# look up'!A:C""),3,0),"""")"),"")</f>
        <v/>
      </c>
      <c r="AH8703" s="49" t="str">
        <f t="shared" si="135"/>
        <v/>
      </c>
    </row>
    <row r="8704" spans="8:34" ht="12.75">
      <c r="H8704" s="43"/>
      <c r="AG8704" s="49" t="str">
        <f ca="1">IFERROR(__xludf.DUMMYFUNCTION("IFNA(vlookup(H8704,IMPORTRANGE(""1vUGwO1n0QQGx9kKbO0_M5gmuhXZ6-LaxQxgrmJnzgP0"",""'TP# look up'!A:C""),3,0),"""")"),"")</f>
        <v/>
      </c>
      <c r="AH8704" s="49" t="str">
        <f t="shared" si="135"/>
        <v/>
      </c>
    </row>
    <row r="8705" spans="8:34" ht="12.75">
      <c r="H8705" s="43"/>
      <c r="AG8705" s="49" t="str">
        <f ca="1">IFERROR(__xludf.DUMMYFUNCTION("IFNA(vlookup(H8705,IMPORTRANGE(""1vUGwO1n0QQGx9kKbO0_M5gmuhXZ6-LaxQxgrmJnzgP0"",""'TP# look up'!A:C""),3,0),"""")"),"")</f>
        <v/>
      </c>
      <c r="AH8705" s="49" t="str">
        <f t="shared" si="135"/>
        <v/>
      </c>
    </row>
    <row r="8706" spans="8:34" ht="12.75">
      <c r="H8706" s="43"/>
      <c r="AG8706" s="49" t="str">
        <f ca="1">IFERROR(__xludf.DUMMYFUNCTION("IFNA(vlookup(H8706,IMPORTRANGE(""1vUGwO1n0QQGx9kKbO0_M5gmuhXZ6-LaxQxgrmJnzgP0"",""'TP# look up'!A:C""),3,0),"""")"),"")</f>
        <v/>
      </c>
      <c r="AH8706" s="49" t="str">
        <f t="shared" ref="AH8706:AH8769" si="136">LEFT(J8706,2)</f>
        <v/>
      </c>
    </row>
    <row r="8707" spans="8:34" ht="12.75">
      <c r="H8707" s="43"/>
      <c r="AG8707" s="49" t="str">
        <f ca="1">IFERROR(__xludf.DUMMYFUNCTION("IFNA(vlookup(H8707,IMPORTRANGE(""1vUGwO1n0QQGx9kKbO0_M5gmuhXZ6-LaxQxgrmJnzgP0"",""'TP# look up'!A:C""),3,0),"""")"),"")</f>
        <v/>
      </c>
      <c r="AH8707" s="49" t="str">
        <f t="shared" si="136"/>
        <v/>
      </c>
    </row>
    <row r="8708" spans="8:34" ht="12.75">
      <c r="H8708" s="43"/>
      <c r="AG8708" s="49" t="str">
        <f ca="1">IFERROR(__xludf.DUMMYFUNCTION("IFNA(vlookup(H8708,IMPORTRANGE(""1vUGwO1n0QQGx9kKbO0_M5gmuhXZ6-LaxQxgrmJnzgP0"",""'TP# look up'!A:C""),3,0),"""")"),"")</f>
        <v/>
      </c>
      <c r="AH8708" s="49" t="str">
        <f t="shared" si="136"/>
        <v/>
      </c>
    </row>
    <row r="8709" spans="8:34" ht="12.75">
      <c r="H8709" s="43"/>
      <c r="AG8709" s="49" t="str">
        <f ca="1">IFERROR(__xludf.DUMMYFUNCTION("IFNA(vlookup(H8709,IMPORTRANGE(""1vUGwO1n0QQGx9kKbO0_M5gmuhXZ6-LaxQxgrmJnzgP0"",""'TP# look up'!A:C""),3,0),"""")"),"")</f>
        <v/>
      </c>
      <c r="AH8709" s="49" t="str">
        <f t="shared" si="136"/>
        <v/>
      </c>
    </row>
    <row r="8710" spans="8:34" ht="12.75">
      <c r="H8710" s="43"/>
      <c r="AG8710" s="49" t="str">
        <f ca="1">IFERROR(__xludf.DUMMYFUNCTION("IFNA(vlookup(H8710,IMPORTRANGE(""1vUGwO1n0QQGx9kKbO0_M5gmuhXZ6-LaxQxgrmJnzgP0"",""'TP# look up'!A:C""),3,0),"""")"),"")</f>
        <v/>
      </c>
      <c r="AH8710" s="49" t="str">
        <f t="shared" si="136"/>
        <v/>
      </c>
    </row>
    <row r="8711" spans="8:34" ht="12.75">
      <c r="H8711" s="43"/>
      <c r="AG8711" s="49" t="str">
        <f ca="1">IFERROR(__xludf.DUMMYFUNCTION("IFNA(vlookup(H8711,IMPORTRANGE(""1vUGwO1n0QQGx9kKbO0_M5gmuhXZ6-LaxQxgrmJnzgP0"",""'TP# look up'!A:C""),3,0),"""")"),"")</f>
        <v/>
      </c>
      <c r="AH8711" s="49" t="str">
        <f t="shared" si="136"/>
        <v/>
      </c>
    </row>
    <row r="8712" spans="8:34" ht="12.75">
      <c r="H8712" s="43"/>
      <c r="AG8712" s="49" t="str">
        <f ca="1">IFERROR(__xludf.DUMMYFUNCTION("IFNA(vlookup(H8712,IMPORTRANGE(""1vUGwO1n0QQGx9kKbO0_M5gmuhXZ6-LaxQxgrmJnzgP0"",""'TP# look up'!A:C""),3,0),"""")"),"")</f>
        <v/>
      </c>
      <c r="AH8712" s="49" t="str">
        <f t="shared" si="136"/>
        <v/>
      </c>
    </row>
    <row r="8713" spans="8:34" ht="12.75">
      <c r="H8713" s="43"/>
      <c r="AG8713" s="49" t="str">
        <f ca="1">IFERROR(__xludf.DUMMYFUNCTION("IFNA(vlookup(H8713,IMPORTRANGE(""1vUGwO1n0QQGx9kKbO0_M5gmuhXZ6-LaxQxgrmJnzgP0"",""'TP# look up'!A:C""),3,0),"""")"),"")</f>
        <v/>
      </c>
      <c r="AH8713" s="49" t="str">
        <f t="shared" si="136"/>
        <v/>
      </c>
    </row>
    <row r="8714" spans="8:34" ht="12.75">
      <c r="H8714" s="43"/>
      <c r="AG8714" s="49" t="str">
        <f ca="1">IFERROR(__xludf.DUMMYFUNCTION("IFNA(vlookup(H8714,IMPORTRANGE(""1vUGwO1n0QQGx9kKbO0_M5gmuhXZ6-LaxQxgrmJnzgP0"",""'TP# look up'!A:C""),3,0),"""")"),"")</f>
        <v/>
      </c>
      <c r="AH8714" s="49" t="str">
        <f t="shared" si="136"/>
        <v/>
      </c>
    </row>
    <row r="8715" spans="8:34" ht="12.75">
      <c r="H8715" s="43"/>
      <c r="AG8715" s="49" t="str">
        <f ca="1">IFERROR(__xludf.DUMMYFUNCTION("IFNA(vlookup(H8715,IMPORTRANGE(""1vUGwO1n0QQGx9kKbO0_M5gmuhXZ6-LaxQxgrmJnzgP0"",""'TP# look up'!A:C""),3,0),"""")"),"")</f>
        <v/>
      </c>
      <c r="AH8715" s="49" t="str">
        <f t="shared" si="136"/>
        <v/>
      </c>
    </row>
    <row r="8716" spans="8:34" ht="12.75">
      <c r="H8716" s="43"/>
      <c r="AG8716" s="49" t="str">
        <f ca="1">IFERROR(__xludf.DUMMYFUNCTION("IFNA(vlookup(H8716,IMPORTRANGE(""1vUGwO1n0QQGx9kKbO0_M5gmuhXZ6-LaxQxgrmJnzgP0"",""'TP# look up'!A:C""),3,0),"""")"),"")</f>
        <v/>
      </c>
      <c r="AH8716" s="49" t="str">
        <f t="shared" si="136"/>
        <v/>
      </c>
    </row>
    <row r="8717" spans="8:34" ht="12.75">
      <c r="H8717" s="43"/>
      <c r="AG8717" s="49" t="str">
        <f ca="1">IFERROR(__xludf.DUMMYFUNCTION("IFNA(vlookup(H8717,IMPORTRANGE(""1vUGwO1n0QQGx9kKbO0_M5gmuhXZ6-LaxQxgrmJnzgP0"",""'TP# look up'!A:C""),3,0),"""")"),"")</f>
        <v/>
      </c>
      <c r="AH8717" s="49" t="str">
        <f t="shared" si="136"/>
        <v/>
      </c>
    </row>
    <row r="8718" spans="8:34" ht="12.75">
      <c r="H8718" s="43"/>
      <c r="AG8718" s="49" t="str">
        <f ca="1">IFERROR(__xludf.DUMMYFUNCTION("IFNA(vlookup(H8718,IMPORTRANGE(""1vUGwO1n0QQGx9kKbO0_M5gmuhXZ6-LaxQxgrmJnzgP0"",""'TP# look up'!A:C""),3,0),"""")"),"")</f>
        <v/>
      </c>
      <c r="AH8718" s="49" t="str">
        <f t="shared" si="136"/>
        <v/>
      </c>
    </row>
    <row r="8719" spans="8:34" ht="12.75">
      <c r="H8719" s="43"/>
      <c r="AG8719" s="49" t="str">
        <f ca="1">IFERROR(__xludf.DUMMYFUNCTION("IFNA(vlookup(H8719,IMPORTRANGE(""1vUGwO1n0QQGx9kKbO0_M5gmuhXZ6-LaxQxgrmJnzgP0"",""'TP# look up'!A:C""),3,0),"""")"),"")</f>
        <v/>
      </c>
      <c r="AH8719" s="49" t="str">
        <f t="shared" si="136"/>
        <v/>
      </c>
    </row>
    <row r="8720" spans="8:34" ht="12.75">
      <c r="H8720" s="43"/>
      <c r="AG8720" s="49" t="str">
        <f ca="1">IFERROR(__xludf.DUMMYFUNCTION("IFNA(vlookup(H8720,IMPORTRANGE(""1vUGwO1n0QQGx9kKbO0_M5gmuhXZ6-LaxQxgrmJnzgP0"",""'TP# look up'!A:C""),3,0),"""")"),"")</f>
        <v/>
      </c>
      <c r="AH8720" s="49" t="str">
        <f t="shared" si="136"/>
        <v/>
      </c>
    </row>
    <row r="8721" spans="8:34" ht="12.75">
      <c r="H8721" s="43"/>
      <c r="AG8721" s="49" t="str">
        <f ca="1">IFERROR(__xludf.DUMMYFUNCTION("IFNA(vlookup(H8721,IMPORTRANGE(""1vUGwO1n0QQGx9kKbO0_M5gmuhXZ6-LaxQxgrmJnzgP0"",""'TP# look up'!A:C""),3,0),"""")"),"")</f>
        <v/>
      </c>
      <c r="AH8721" s="49" t="str">
        <f t="shared" si="136"/>
        <v/>
      </c>
    </row>
    <row r="8722" spans="8:34" ht="12.75">
      <c r="H8722" s="43"/>
      <c r="AG8722" s="49" t="str">
        <f ca="1">IFERROR(__xludf.DUMMYFUNCTION("IFNA(vlookup(H8722,IMPORTRANGE(""1vUGwO1n0QQGx9kKbO0_M5gmuhXZ6-LaxQxgrmJnzgP0"",""'TP# look up'!A:C""),3,0),"""")"),"")</f>
        <v/>
      </c>
      <c r="AH8722" s="49" t="str">
        <f t="shared" si="136"/>
        <v/>
      </c>
    </row>
    <row r="8723" spans="8:34" ht="12.75">
      <c r="H8723" s="43"/>
      <c r="AG8723" s="49" t="str">
        <f ca="1">IFERROR(__xludf.DUMMYFUNCTION("IFNA(vlookup(H8723,IMPORTRANGE(""1vUGwO1n0QQGx9kKbO0_M5gmuhXZ6-LaxQxgrmJnzgP0"",""'TP# look up'!A:C""),3,0),"""")"),"")</f>
        <v/>
      </c>
      <c r="AH8723" s="49" t="str">
        <f t="shared" si="136"/>
        <v/>
      </c>
    </row>
    <row r="8724" spans="8:34" ht="12.75">
      <c r="H8724" s="43"/>
      <c r="AG8724" s="49" t="str">
        <f ca="1">IFERROR(__xludf.DUMMYFUNCTION("IFNA(vlookup(H8724,IMPORTRANGE(""1vUGwO1n0QQGx9kKbO0_M5gmuhXZ6-LaxQxgrmJnzgP0"",""'TP# look up'!A:C""),3,0),"""")"),"")</f>
        <v/>
      </c>
      <c r="AH8724" s="49" t="str">
        <f t="shared" si="136"/>
        <v/>
      </c>
    </row>
    <row r="8725" spans="8:34" ht="12.75">
      <c r="H8725" s="43"/>
      <c r="AG8725" s="49" t="str">
        <f ca="1">IFERROR(__xludf.DUMMYFUNCTION("IFNA(vlookup(H8725,IMPORTRANGE(""1vUGwO1n0QQGx9kKbO0_M5gmuhXZ6-LaxQxgrmJnzgP0"",""'TP# look up'!A:C""),3,0),"""")"),"")</f>
        <v/>
      </c>
      <c r="AH8725" s="49" t="str">
        <f t="shared" si="136"/>
        <v/>
      </c>
    </row>
    <row r="8726" spans="8:34" ht="12.75">
      <c r="H8726" s="43"/>
      <c r="AG8726" s="49" t="str">
        <f ca="1">IFERROR(__xludf.DUMMYFUNCTION("IFNA(vlookup(H8726,IMPORTRANGE(""1vUGwO1n0QQGx9kKbO0_M5gmuhXZ6-LaxQxgrmJnzgP0"",""'TP# look up'!A:C""),3,0),"""")"),"")</f>
        <v/>
      </c>
      <c r="AH8726" s="49" t="str">
        <f t="shared" si="136"/>
        <v/>
      </c>
    </row>
    <row r="8727" spans="8:34" ht="12.75">
      <c r="H8727" s="43"/>
      <c r="AG8727" s="49" t="str">
        <f ca="1">IFERROR(__xludf.DUMMYFUNCTION("IFNA(vlookup(H8727,IMPORTRANGE(""1vUGwO1n0QQGx9kKbO0_M5gmuhXZ6-LaxQxgrmJnzgP0"",""'TP# look up'!A:C""),3,0),"""")"),"")</f>
        <v/>
      </c>
      <c r="AH8727" s="49" t="str">
        <f t="shared" si="136"/>
        <v/>
      </c>
    </row>
    <row r="8728" spans="8:34" ht="12.75">
      <c r="H8728" s="43"/>
      <c r="AG8728" s="49" t="str">
        <f ca="1">IFERROR(__xludf.DUMMYFUNCTION("IFNA(vlookup(H8728,IMPORTRANGE(""1vUGwO1n0QQGx9kKbO0_M5gmuhXZ6-LaxQxgrmJnzgP0"",""'TP# look up'!A:C""),3,0),"""")"),"")</f>
        <v/>
      </c>
      <c r="AH8728" s="49" t="str">
        <f t="shared" si="136"/>
        <v/>
      </c>
    </row>
    <row r="8729" spans="8:34" ht="12.75">
      <c r="H8729" s="43"/>
      <c r="AG8729" s="49" t="str">
        <f ca="1">IFERROR(__xludf.DUMMYFUNCTION("IFNA(vlookup(H8729,IMPORTRANGE(""1vUGwO1n0QQGx9kKbO0_M5gmuhXZ6-LaxQxgrmJnzgP0"",""'TP# look up'!A:C""),3,0),"""")"),"")</f>
        <v/>
      </c>
      <c r="AH8729" s="49" t="str">
        <f t="shared" si="136"/>
        <v/>
      </c>
    </row>
    <row r="8730" spans="8:34" ht="12.75">
      <c r="H8730" s="43"/>
      <c r="AG8730" s="49" t="str">
        <f ca="1">IFERROR(__xludf.DUMMYFUNCTION("IFNA(vlookup(H8730,IMPORTRANGE(""1vUGwO1n0QQGx9kKbO0_M5gmuhXZ6-LaxQxgrmJnzgP0"",""'TP# look up'!A:C""),3,0),"""")"),"")</f>
        <v/>
      </c>
      <c r="AH8730" s="49" t="str">
        <f t="shared" si="136"/>
        <v/>
      </c>
    </row>
    <row r="8731" spans="8:34" ht="12.75">
      <c r="H8731" s="43"/>
      <c r="AG8731" s="49" t="str">
        <f ca="1">IFERROR(__xludf.DUMMYFUNCTION("IFNA(vlookup(H8731,IMPORTRANGE(""1vUGwO1n0QQGx9kKbO0_M5gmuhXZ6-LaxQxgrmJnzgP0"",""'TP# look up'!A:C""),3,0),"""")"),"")</f>
        <v/>
      </c>
      <c r="AH8731" s="49" t="str">
        <f t="shared" si="136"/>
        <v/>
      </c>
    </row>
    <row r="8732" spans="8:34" ht="12.75">
      <c r="H8732" s="43"/>
      <c r="AG8732" s="49" t="str">
        <f ca="1">IFERROR(__xludf.DUMMYFUNCTION("IFNA(vlookup(H8732,IMPORTRANGE(""1vUGwO1n0QQGx9kKbO0_M5gmuhXZ6-LaxQxgrmJnzgP0"",""'TP# look up'!A:C""),3,0),"""")"),"")</f>
        <v/>
      </c>
      <c r="AH8732" s="49" t="str">
        <f t="shared" si="136"/>
        <v/>
      </c>
    </row>
    <row r="8733" spans="8:34" ht="12.75">
      <c r="H8733" s="43"/>
      <c r="AG8733" s="49" t="str">
        <f ca="1">IFERROR(__xludf.DUMMYFUNCTION("IFNA(vlookup(H8733,IMPORTRANGE(""1vUGwO1n0QQGx9kKbO0_M5gmuhXZ6-LaxQxgrmJnzgP0"",""'TP# look up'!A:C""),3,0),"""")"),"")</f>
        <v/>
      </c>
      <c r="AH8733" s="49" t="str">
        <f t="shared" si="136"/>
        <v/>
      </c>
    </row>
    <row r="8734" spans="8:34" ht="12.75">
      <c r="H8734" s="43"/>
      <c r="AG8734" s="49" t="str">
        <f ca="1">IFERROR(__xludf.DUMMYFUNCTION("IFNA(vlookup(H8734,IMPORTRANGE(""1vUGwO1n0QQGx9kKbO0_M5gmuhXZ6-LaxQxgrmJnzgP0"",""'TP# look up'!A:C""),3,0),"""")"),"")</f>
        <v/>
      </c>
      <c r="AH8734" s="49" t="str">
        <f t="shared" si="136"/>
        <v/>
      </c>
    </row>
    <row r="8735" spans="8:34" ht="12.75">
      <c r="H8735" s="43"/>
      <c r="AG8735" s="49" t="str">
        <f ca="1">IFERROR(__xludf.DUMMYFUNCTION("IFNA(vlookup(H8735,IMPORTRANGE(""1vUGwO1n0QQGx9kKbO0_M5gmuhXZ6-LaxQxgrmJnzgP0"",""'TP# look up'!A:C""),3,0),"""")"),"")</f>
        <v/>
      </c>
      <c r="AH8735" s="49" t="str">
        <f t="shared" si="136"/>
        <v/>
      </c>
    </row>
    <row r="8736" spans="8:34" ht="12.75">
      <c r="H8736" s="43"/>
      <c r="AG8736" s="49" t="str">
        <f ca="1">IFERROR(__xludf.DUMMYFUNCTION("IFNA(vlookup(H8736,IMPORTRANGE(""1vUGwO1n0QQGx9kKbO0_M5gmuhXZ6-LaxQxgrmJnzgP0"",""'TP# look up'!A:C""),3,0),"""")"),"")</f>
        <v/>
      </c>
      <c r="AH8736" s="49" t="str">
        <f t="shared" si="136"/>
        <v/>
      </c>
    </row>
    <row r="8737" spans="8:34" ht="12.75">
      <c r="H8737" s="43"/>
      <c r="AG8737" s="49" t="str">
        <f ca="1">IFERROR(__xludf.DUMMYFUNCTION("IFNA(vlookup(H8737,IMPORTRANGE(""1vUGwO1n0QQGx9kKbO0_M5gmuhXZ6-LaxQxgrmJnzgP0"",""'TP# look up'!A:C""),3,0),"""")"),"")</f>
        <v/>
      </c>
      <c r="AH8737" s="49" t="str">
        <f t="shared" si="136"/>
        <v/>
      </c>
    </row>
    <row r="8738" spans="8:34" ht="12.75">
      <c r="H8738" s="43"/>
      <c r="AG8738" s="49" t="str">
        <f ca="1">IFERROR(__xludf.DUMMYFUNCTION("IFNA(vlookup(H8738,IMPORTRANGE(""1vUGwO1n0QQGx9kKbO0_M5gmuhXZ6-LaxQxgrmJnzgP0"",""'TP# look up'!A:C""),3,0),"""")"),"")</f>
        <v/>
      </c>
      <c r="AH8738" s="49" t="str">
        <f t="shared" si="136"/>
        <v/>
      </c>
    </row>
    <row r="8739" spans="8:34" ht="12.75">
      <c r="H8739" s="43"/>
      <c r="AG8739" s="49" t="str">
        <f ca="1">IFERROR(__xludf.DUMMYFUNCTION("IFNA(vlookup(H8739,IMPORTRANGE(""1vUGwO1n0QQGx9kKbO0_M5gmuhXZ6-LaxQxgrmJnzgP0"",""'TP# look up'!A:C""),3,0),"""")"),"")</f>
        <v/>
      </c>
      <c r="AH8739" s="49" t="str">
        <f t="shared" si="136"/>
        <v/>
      </c>
    </row>
    <row r="8740" spans="8:34" ht="12.75">
      <c r="H8740" s="43"/>
      <c r="AG8740" s="49" t="str">
        <f ca="1">IFERROR(__xludf.DUMMYFUNCTION("IFNA(vlookup(H8740,IMPORTRANGE(""1vUGwO1n0QQGx9kKbO0_M5gmuhXZ6-LaxQxgrmJnzgP0"",""'TP# look up'!A:C""),3,0),"""")"),"")</f>
        <v/>
      </c>
      <c r="AH8740" s="49" t="str">
        <f t="shared" si="136"/>
        <v/>
      </c>
    </row>
    <row r="8741" spans="8:34" ht="12.75">
      <c r="H8741" s="43"/>
      <c r="AG8741" s="49" t="str">
        <f ca="1">IFERROR(__xludf.DUMMYFUNCTION("IFNA(vlookup(H8741,IMPORTRANGE(""1vUGwO1n0QQGx9kKbO0_M5gmuhXZ6-LaxQxgrmJnzgP0"",""'TP# look up'!A:C""),3,0),"""")"),"")</f>
        <v/>
      </c>
      <c r="AH8741" s="49" t="str">
        <f t="shared" si="136"/>
        <v/>
      </c>
    </row>
    <row r="8742" spans="8:34" ht="12.75">
      <c r="H8742" s="43"/>
      <c r="AG8742" s="49" t="str">
        <f ca="1">IFERROR(__xludf.DUMMYFUNCTION("IFNA(vlookup(H8742,IMPORTRANGE(""1vUGwO1n0QQGx9kKbO0_M5gmuhXZ6-LaxQxgrmJnzgP0"",""'TP# look up'!A:C""),3,0),"""")"),"")</f>
        <v/>
      </c>
      <c r="AH8742" s="49" t="str">
        <f t="shared" si="136"/>
        <v/>
      </c>
    </row>
    <row r="8743" spans="8:34" ht="12.75">
      <c r="H8743" s="43"/>
      <c r="AG8743" s="49" t="str">
        <f ca="1">IFERROR(__xludf.DUMMYFUNCTION("IFNA(vlookup(H8743,IMPORTRANGE(""1vUGwO1n0QQGx9kKbO0_M5gmuhXZ6-LaxQxgrmJnzgP0"",""'TP# look up'!A:C""),3,0),"""")"),"")</f>
        <v/>
      </c>
      <c r="AH8743" s="49" t="str">
        <f t="shared" si="136"/>
        <v/>
      </c>
    </row>
    <row r="8744" spans="8:34" ht="12.75">
      <c r="H8744" s="43"/>
      <c r="AG8744" s="49" t="str">
        <f ca="1">IFERROR(__xludf.DUMMYFUNCTION("IFNA(vlookup(H8744,IMPORTRANGE(""1vUGwO1n0QQGx9kKbO0_M5gmuhXZ6-LaxQxgrmJnzgP0"",""'TP# look up'!A:C""),3,0),"""")"),"")</f>
        <v/>
      </c>
      <c r="AH8744" s="49" t="str">
        <f t="shared" si="136"/>
        <v/>
      </c>
    </row>
    <row r="8745" spans="8:34" ht="12.75">
      <c r="H8745" s="43"/>
      <c r="AG8745" s="49" t="str">
        <f ca="1">IFERROR(__xludf.DUMMYFUNCTION("IFNA(vlookup(H8745,IMPORTRANGE(""1vUGwO1n0QQGx9kKbO0_M5gmuhXZ6-LaxQxgrmJnzgP0"",""'TP# look up'!A:C""),3,0),"""")"),"")</f>
        <v/>
      </c>
      <c r="AH8745" s="49" t="str">
        <f t="shared" si="136"/>
        <v/>
      </c>
    </row>
    <row r="8746" spans="8:34" ht="12.75">
      <c r="H8746" s="43"/>
      <c r="AG8746" s="49" t="str">
        <f ca="1">IFERROR(__xludf.DUMMYFUNCTION("IFNA(vlookup(H8746,IMPORTRANGE(""1vUGwO1n0QQGx9kKbO0_M5gmuhXZ6-LaxQxgrmJnzgP0"",""'TP# look up'!A:C""),3,0),"""")"),"")</f>
        <v/>
      </c>
      <c r="AH8746" s="49" t="str">
        <f t="shared" si="136"/>
        <v/>
      </c>
    </row>
    <row r="8747" spans="8:34" ht="12.75">
      <c r="H8747" s="43"/>
      <c r="AG8747" s="49" t="str">
        <f ca="1">IFERROR(__xludf.DUMMYFUNCTION("IFNA(vlookup(H8747,IMPORTRANGE(""1vUGwO1n0QQGx9kKbO0_M5gmuhXZ6-LaxQxgrmJnzgP0"",""'TP# look up'!A:C""),3,0),"""")"),"")</f>
        <v/>
      </c>
      <c r="AH8747" s="49" t="str">
        <f t="shared" si="136"/>
        <v/>
      </c>
    </row>
    <row r="8748" spans="8:34" ht="12.75">
      <c r="H8748" s="43"/>
      <c r="AG8748" s="49" t="str">
        <f ca="1">IFERROR(__xludf.DUMMYFUNCTION("IFNA(vlookup(H8748,IMPORTRANGE(""1vUGwO1n0QQGx9kKbO0_M5gmuhXZ6-LaxQxgrmJnzgP0"",""'TP# look up'!A:C""),3,0),"""")"),"")</f>
        <v/>
      </c>
      <c r="AH8748" s="49" t="str">
        <f t="shared" si="136"/>
        <v/>
      </c>
    </row>
    <row r="8749" spans="8:34" ht="12.75">
      <c r="H8749" s="43"/>
      <c r="AG8749" s="49" t="str">
        <f ca="1">IFERROR(__xludf.DUMMYFUNCTION("IFNA(vlookup(H8749,IMPORTRANGE(""1vUGwO1n0QQGx9kKbO0_M5gmuhXZ6-LaxQxgrmJnzgP0"",""'TP# look up'!A:C""),3,0),"""")"),"")</f>
        <v/>
      </c>
      <c r="AH8749" s="49" t="str">
        <f t="shared" si="136"/>
        <v/>
      </c>
    </row>
    <row r="8750" spans="8:34" ht="12.75">
      <c r="H8750" s="43"/>
      <c r="AG8750" s="49" t="str">
        <f ca="1">IFERROR(__xludf.DUMMYFUNCTION("IFNA(vlookup(H8750,IMPORTRANGE(""1vUGwO1n0QQGx9kKbO0_M5gmuhXZ6-LaxQxgrmJnzgP0"",""'TP# look up'!A:C""),3,0),"""")"),"")</f>
        <v/>
      </c>
      <c r="AH8750" s="49" t="str">
        <f t="shared" si="136"/>
        <v/>
      </c>
    </row>
    <row r="8751" spans="8:34" ht="12.75">
      <c r="H8751" s="43"/>
      <c r="AG8751" s="49" t="str">
        <f ca="1">IFERROR(__xludf.DUMMYFUNCTION("IFNA(vlookup(H8751,IMPORTRANGE(""1vUGwO1n0QQGx9kKbO0_M5gmuhXZ6-LaxQxgrmJnzgP0"",""'TP# look up'!A:C""),3,0),"""")"),"")</f>
        <v/>
      </c>
      <c r="AH8751" s="49" t="str">
        <f t="shared" si="136"/>
        <v/>
      </c>
    </row>
    <row r="8752" spans="8:34" ht="12.75">
      <c r="H8752" s="43"/>
      <c r="AG8752" s="49" t="str">
        <f ca="1">IFERROR(__xludf.DUMMYFUNCTION("IFNA(vlookup(H8752,IMPORTRANGE(""1vUGwO1n0QQGx9kKbO0_M5gmuhXZ6-LaxQxgrmJnzgP0"",""'TP# look up'!A:C""),3,0),"""")"),"")</f>
        <v/>
      </c>
      <c r="AH8752" s="49" t="str">
        <f t="shared" si="136"/>
        <v/>
      </c>
    </row>
    <row r="8753" spans="8:34" ht="12.75">
      <c r="H8753" s="43"/>
      <c r="AG8753" s="49" t="str">
        <f ca="1">IFERROR(__xludf.DUMMYFUNCTION("IFNA(vlookup(H8753,IMPORTRANGE(""1vUGwO1n0QQGx9kKbO0_M5gmuhXZ6-LaxQxgrmJnzgP0"",""'TP# look up'!A:C""),3,0),"""")"),"")</f>
        <v/>
      </c>
      <c r="AH8753" s="49" t="str">
        <f t="shared" si="136"/>
        <v/>
      </c>
    </row>
    <row r="8754" spans="8:34" ht="12.75">
      <c r="H8754" s="43"/>
      <c r="AG8754" s="49" t="str">
        <f ca="1">IFERROR(__xludf.DUMMYFUNCTION("IFNA(vlookup(H8754,IMPORTRANGE(""1vUGwO1n0QQGx9kKbO0_M5gmuhXZ6-LaxQxgrmJnzgP0"",""'TP# look up'!A:C""),3,0),"""")"),"")</f>
        <v/>
      </c>
      <c r="AH8754" s="49" t="str">
        <f t="shared" si="136"/>
        <v/>
      </c>
    </row>
    <row r="8755" spans="8:34" ht="12.75">
      <c r="H8755" s="43"/>
      <c r="AG8755" s="49" t="str">
        <f ca="1">IFERROR(__xludf.DUMMYFUNCTION("IFNA(vlookup(H8755,IMPORTRANGE(""1vUGwO1n0QQGx9kKbO0_M5gmuhXZ6-LaxQxgrmJnzgP0"",""'TP# look up'!A:C""),3,0),"""")"),"")</f>
        <v/>
      </c>
      <c r="AH8755" s="49" t="str">
        <f t="shared" si="136"/>
        <v/>
      </c>
    </row>
    <row r="8756" spans="8:34" ht="12.75">
      <c r="H8756" s="43"/>
      <c r="AG8756" s="49" t="str">
        <f ca="1">IFERROR(__xludf.DUMMYFUNCTION("IFNA(vlookup(H8756,IMPORTRANGE(""1vUGwO1n0QQGx9kKbO0_M5gmuhXZ6-LaxQxgrmJnzgP0"",""'TP# look up'!A:C""),3,0),"""")"),"")</f>
        <v/>
      </c>
      <c r="AH8756" s="49" t="str">
        <f t="shared" si="136"/>
        <v/>
      </c>
    </row>
    <row r="8757" spans="8:34" ht="12.75">
      <c r="H8757" s="43"/>
      <c r="AG8757" s="49" t="str">
        <f ca="1">IFERROR(__xludf.DUMMYFUNCTION("IFNA(vlookup(H8757,IMPORTRANGE(""1vUGwO1n0QQGx9kKbO0_M5gmuhXZ6-LaxQxgrmJnzgP0"",""'TP# look up'!A:C""),3,0),"""")"),"")</f>
        <v/>
      </c>
      <c r="AH8757" s="49" t="str">
        <f t="shared" si="136"/>
        <v/>
      </c>
    </row>
    <row r="8758" spans="8:34" ht="12.75">
      <c r="H8758" s="43"/>
      <c r="AG8758" s="49" t="str">
        <f ca="1">IFERROR(__xludf.DUMMYFUNCTION("IFNA(vlookup(H8758,IMPORTRANGE(""1vUGwO1n0QQGx9kKbO0_M5gmuhXZ6-LaxQxgrmJnzgP0"",""'TP# look up'!A:C""),3,0),"""")"),"")</f>
        <v/>
      </c>
      <c r="AH8758" s="49" t="str">
        <f t="shared" si="136"/>
        <v/>
      </c>
    </row>
    <row r="8759" spans="8:34" ht="12.75">
      <c r="H8759" s="43"/>
      <c r="AG8759" s="49" t="str">
        <f ca="1">IFERROR(__xludf.DUMMYFUNCTION("IFNA(vlookup(H8759,IMPORTRANGE(""1vUGwO1n0QQGx9kKbO0_M5gmuhXZ6-LaxQxgrmJnzgP0"",""'TP# look up'!A:C""),3,0),"""")"),"")</f>
        <v/>
      </c>
      <c r="AH8759" s="49" t="str">
        <f t="shared" si="136"/>
        <v/>
      </c>
    </row>
    <row r="8760" spans="8:34" ht="12.75">
      <c r="H8760" s="43"/>
      <c r="AG8760" s="49" t="str">
        <f ca="1">IFERROR(__xludf.DUMMYFUNCTION("IFNA(vlookup(H8760,IMPORTRANGE(""1vUGwO1n0QQGx9kKbO0_M5gmuhXZ6-LaxQxgrmJnzgP0"",""'TP# look up'!A:C""),3,0),"""")"),"")</f>
        <v/>
      </c>
      <c r="AH8760" s="49" t="str">
        <f t="shared" si="136"/>
        <v/>
      </c>
    </row>
    <row r="8761" spans="8:34" ht="12.75">
      <c r="H8761" s="43"/>
      <c r="AG8761" s="49" t="str">
        <f ca="1">IFERROR(__xludf.DUMMYFUNCTION("IFNA(vlookup(H8761,IMPORTRANGE(""1vUGwO1n0QQGx9kKbO0_M5gmuhXZ6-LaxQxgrmJnzgP0"",""'TP# look up'!A:C""),3,0),"""")"),"")</f>
        <v/>
      </c>
      <c r="AH8761" s="49" t="str">
        <f t="shared" si="136"/>
        <v/>
      </c>
    </row>
    <row r="8762" spans="8:34" ht="12.75">
      <c r="H8762" s="43"/>
      <c r="AG8762" s="49" t="str">
        <f ca="1">IFERROR(__xludf.DUMMYFUNCTION("IFNA(vlookup(H8762,IMPORTRANGE(""1vUGwO1n0QQGx9kKbO0_M5gmuhXZ6-LaxQxgrmJnzgP0"",""'TP# look up'!A:C""),3,0),"""")"),"")</f>
        <v/>
      </c>
      <c r="AH8762" s="49" t="str">
        <f t="shared" si="136"/>
        <v/>
      </c>
    </row>
    <row r="8763" spans="8:34" ht="12.75">
      <c r="H8763" s="43"/>
      <c r="AG8763" s="49" t="str">
        <f ca="1">IFERROR(__xludf.DUMMYFUNCTION("IFNA(vlookup(H8763,IMPORTRANGE(""1vUGwO1n0QQGx9kKbO0_M5gmuhXZ6-LaxQxgrmJnzgP0"",""'TP# look up'!A:C""),3,0),"""")"),"")</f>
        <v/>
      </c>
      <c r="AH8763" s="49" t="str">
        <f t="shared" si="136"/>
        <v/>
      </c>
    </row>
    <row r="8764" spans="8:34" ht="12.75">
      <c r="H8764" s="43"/>
      <c r="AG8764" s="49" t="str">
        <f ca="1">IFERROR(__xludf.DUMMYFUNCTION("IFNA(vlookup(H8764,IMPORTRANGE(""1vUGwO1n0QQGx9kKbO0_M5gmuhXZ6-LaxQxgrmJnzgP0"",""'TP# look up'!A:C""),3,0),"""")"),"")</f>
        <v/>
      </c>
      <c r="AH8764" s="49" t="str">
        <f t="shared" si="136"/>
        <v/>
      </c>
    </row>
    <row r="8765" spans="8:34" ht="12.75">
      <c r="H8765" s="43"/>
      <c r="AG8765" s="49" t="str">
        <f ca="1">IFERROR(__xludf.DUMMYFUNCTION("IFNA(vlookup(H8765,IMPORTRANGE(""1vUGwO1n0QQGx9kKbO0_M5gmuhXZ6-LaxQxgrmJnzgP0"",""'TP# look up'!A:C""),3,0),"""")"),"")</f>
        <v/>
      </c>
      <c r="AH8765" s="49" t="str">
        <f t="shared" si="136"/>
        <v/>
      </c>
    </row>
    <row r="8766" spans="8:34" ht="12.75">
      <c r="H8766" s="43"/>
      <c r="AG8766" s="49" t="str">
        <f ca="1">IFERROR(__xludf.DUMMYFUNCTION("IFNA(vlookup(H8766,IMPORTRANGE(""1vUGwO1n0QQGx9kKbO0_M5gmuhXZ6-LaxQxgrmJnzgP0"",""'TP# look up'!A:C""),3,0),"""")"),"")</f>
        <v/>
      </c>
      <c r="AH8766" s="49" t="str">
        <f t="shared" si="136"/>
        <v/>
      </c>
    </row>
    <row r="8767" spans="8:34" ht="12.75">
      <c r="H8767" s="43"/>
      <c r="AG8767" s="49" t="str">
        <f ca="1">IFERROR(__xludf.DUMMYFUNCTION("IFNA(vlookup(H8767,IMPORTRANGE(""1vUGwO1n0QQGx9kKbO0_M5gmuhXZ6-LaxQxgrmJnzgP0"",""'TP# look up'!A:C""),3,0),"""")"),"")</f>
        <v/>
      </c>
      <c r="AH8767" s="49" t="str">
        <f t="shared" si="136"/>
        <v/>
      </c>
    </row>
    <row r="8768" spans="8:34" ht="12.75">
      <c r="H8768" s="43"/>
      <c r="AG8768" s="49" t="str">
        <f ca="1">IFERROR(__xludf.DUMMYFUNCTION("IFNA(vlookup(H8768,IMPORTRANGE(""1vUGwO1n0QQGx9kKbO0_M5gmuhXZ6-LaxQxgrmJnzgP0"",""'TP# look up'!A:C""),3,0),"""")"),"")</f>
        <v/>
      </c>
      <c r="AH8768" s="49" t="str">
        <f t="shared" si="136"/>
        <v/>
      </c>
    </row>
    <row r="8769" spans="8:34" ht="12.75">
      <c r="H8769" s="43"/>
      <c r="AG8769" s="49" t="str">
        <f ca="1">IFERROR(__xludf.DUMMYFUNCTION("IFNA(vlookup(H8769,IMPORTRANGE(""1vUGwO1n0QQGx9kKbO0_M5gmuhXZ6-LaxQxgrmJnzgP0"",""'TP# look up'!A:C""),3,0),"""")"),"")</f>
        <v/>
      </c>
      <c r="AH8769" s="49" t="str">
        <f t="shared" si="136"/>
        <v/>
      </c>
    </row>
    <row r="8770" spans="8:34" ht="12.75">
      <c r="H8770" s="43"/>
      <c r="AG8770" s="49" t="str">
        <f ca="1">IFERROR(__xludf.DUMMYFUNCTION("IFNA(vlookup(H8770,IMPORTRANGE(""1vUGwO1n0QQGx9kKbO0_M5gmuhXZ6-LaxQxgrmJnzgP0"",""'TP# look up'!A:C""),3,0),"""")"),"")</f>
        <v/>
      </c>
      <c r="AH8770" s="49" t="str">
        <f t="shared" ref="AH8770:AH8833" si="137">LEFT(J8770,2)</f>
        <v/>
      </c>
    </row>
    <row r="8771" spans="8:34" ht="12.75">
      <c r="H8771" s="43"/>
      <c r="AG8771" s="49" t="str">
        <f ca="1">IFERROR(__xludf.DUMMYFUNCTION("IFNA(vlookup(H8771,IMPORTRANGE(""1vUGwO1n0QQGx9kKbO0_M5gmuhXZ6-LaxQxgrmJnzgP0"",""'TP# look up'!A:C""),3,0),"""")"),"")</f>
        <v/>
      </c>
      <c r="AH8771" s="49" t="str">
        <f t="shared" si="137"/>
        <v/>
      </c>
    </row>
    <row r="8772" spans="8:34" ht="12.75">
      <c r="H8772" s="43"/>
      <c r="AG8772" s="49" t="str">
        <f ca="1">IFERROR(__xludf.DUMMYFUNCTION("IFNA(vlookup(H8772,IMPORTRANGE(""1vUGwO1n0QQGx9kKbO0_M5gmuhXZ6-LaxQxgrmJnzgP0"",""'TP# look up'!A:C""),3,0),"""")"),"")</f>
        <v/>
      </c>
      <c r="AH8772" s="49" t="str">
        <f t="shared" si="137"/>
        <v/>
      </c>
    </row>
    <row r="8773" spans="8:34" ht="12.75">
      <c r="H8773" s="43"/>
      <c r="AG8773" s="49" t="str">
        <f ca="1">IFERROR(__xludf.DUMMYFUNCTION("IFNA(vlookup(H8773,IMPORTRANGE(""1vUGwO1n0QQGx9kKbO0_M5gmuhXZ6-LaxQxgrmJnzgP0"",""'TP# look up'!A:C""),3,0),"""")"),"")</f>
        <v/>
      </c>
      <c r="AH8773" s="49" t="str">
        <f t="shared" si="137"/>
        <v/>
      </c>
    </row>
    <row r="8774" spans="8:34" ht="12.75">
      <c r="H8774" s="43"/>
      <c r="AG8774" s="49" t="str">
        <f ca="1">IFERROR(__xludf.DUMMYFUNCTION("IFNA(vlookup(H8774,IMPORTRANGE(""1vUGwO1n0QQGx9kKbO0_M5gmuhXZ6-LaxQxgrmJnzgP0"",""'TP# look up'!A:C""),3,0),"""")"),"")</f>
        <v/>
      </c>
      <c r="AH8774" s="49" t="str">
        <f t="shared" si="137"/>
        <v/>
      </c>
    </row>
    <row r="8775" spans="8:34" ht="12.75">
      <c r="H8775" s="43"/>
      <c r="AG8775" s="49" t="str">
        <f ca="1">IFERROR(__xludf.DUMMYFUNCTION("IFNA(vlookup(H8775,IMPORTRANGE(""1vUGwO1n0QQGx9kKbO0_M5gmuhXZ6-LaxQxgrmJnzgP0"",""'TP# look up'!A:C""),3,0),"""")"),"")</f>
        <v/>
      </c>
      <c r="AH8775" s="49" t="str">
        <f t="shared" si="137"/>
        <v/>
      </c>
    </row>
    <row r="8776" spans="8:34" ht="12.75">
      <c r="H8776" s="43"/>
      <c r="AG8776" s="49" t="str">
        <f ca="1">IFERROR(__xludf.DUMMYFUNCTION("IFNA(vlookup(H8776,IMPORTRANGE(""1vUGwO1n0QQGx9kKbO0_M5gmuhXZ6-LaxQxgrmJnzgP0"",""'TP# look up'!A:C""),3,0),"""")"),"")</f>
        <v/>
      </c>
      <c r="AH8776" s="49" t="str">
        <f t="shared" si="137"/>
        <v/>
      </c>
    </row>
    <row r="8777" spans="8:34" ht="12.75">
      <c r="H8777" s="43"/>
      <c r="AG8777" s="49" t="str">
        <f ca="1">IFERROR(__xludf.DUMMYFUNCTION("IFNA(vlookup(H8777,IMPORTRANGE(""1vUGwO1n0QQGx9kKbO0_M5gmuhXZ6-LaxQxgrmJnzgP0"",""'TP# look up'!A:C""),3,0),"""")"),"")</f>
        <v/>
      </c>
      <c r="AH8777" s="49" t="str">
        <f t="shared" si="137"/>
        <v/>
      </c>
    </row>
    <row r="8778" spans="8:34" ht="12.75">
      <c r="H8778" s="43"/>
      <c r="AG8778" s="49" t="str">
        <f ca="1">IFERROR(__xludf.DUMMYFUNCTION("IFNA(vlookup(H8778,IMPORTRANGE(""1vUGwO1n0QQGx9kKbO0_M5gmuhXZ6-LaxQxgrmJnzgP0"",""'TP# look up'!A:C""),3,0),"""")"),"")</f>
        <v/>
      </c>
      <c r="AH8778" s="49" t="str">
        <f t="shared" si="137"/>
        <v/>
      </c>
    </row>
    <row r="8779" spans="8:34" ht="12.75">
      <c r="H8779" s="43"/>
      <c r="AG8779" s="49" t="str">
        <f ca="1">IFERROR(__xludf.DUMMYFUNCTION("IFNA(vlookup(H8779,IMPORTRANGE(""1vUGwO1n0QQGx9kKbO0_M5gmuhXZ6-LaxQxgrmJnzgP0"",""'TP# look up'!A:C""),3,0),"""")"),"")</f>
        <v/>
      </c>
      <c r="AH8779" s="49" t="str">
        <f t="shared" si="137"/>
        <v/>
      </c>
    </row>
    <row r="8780" spans="8:34" ht="12.75">
      <c r="H8780" s="43"/>
      <c r="AG8780" s="49" t="str">
        <f ca="1">IFERROR(__xludf.DUMMYFUNCTION("IFNA(vlookup(H8780,IMPORTRANGE(""1vUGwO1n0QQGx9kKbO0_M5gmuhXZ6-LaxQxgrmJnzgP0"",""'TP# look up'!A:C""),3,0),"""")"),"")</f>
        <v/>
      </c>
      <c r="AH8780" s="49" t="str">
        <f t="shared" si="137"/>
        <v/>
      </c>
    </row>
    <row r="8781" spans="8:34" ht="12.75">
      <c r="H8781" s="43"/>
      <c r="AG8781" s="49" t="str">
        <f ca="1">IFERROR(__xludf.DUMMYFUNCTION("IFNA(vlookup(H8781,IMPORTRANGE(""1vUGwO1n0QQGx9kKbO0_M5gmuhXZ6-LaxQxgrmJnzgP0"",""'TP# look up'!A:C""),3,0),"""")"),"")</f>
        <v/>
      </c>
      <c r="AH8781" s="49" t="str">
        <f t="shared" si="137"/>
        <v/>
      </c>
    </row>
    <row r="8782" spans="8:34" ht="12.75">
      <c r="H8782" s="43"/>
      <c r="AG8782" s="49" t="str">
        <f ca="1">IFERROR(__xludf.DUMMYFUNCTION("IFNA(vlookup(H8782,IMPORTRANGE(""1vUGwO1n0QQGx9kKbO0_M5gmuhXZ6-LaxQxgrmJnzgP0"",""'TP# look up'!A:C""),3,0),"""")"),"")</f>
        <v/>
      </c>
      <c r="AH8782" s="49" t="str">
        <f t="shared" si="137"/>
        <v/>
      </c>
    </row>
    <row r="8783" spans="8:34" ht="12.75">
      <c r="H8783" s="43"/>
      <c r="AG8783" s="49" t="str">
        <f ca="1">IFERROR(__xludf.DUMMYFUNCTION("IFNA(vlookup(H8783,IMPORTRANGE(""1vUGwO1n0QQGx9kKbO0_M5gmuhXZ6-LaxQxgrmJnzgP0"",""'TP# look up'!A:C""),3,0),"""")"),"")</f>
        <v/>
      </c>
      <c r="AH8783" s="49" t="str">
        <f t="shared" si="137"/>
        <v/>
      </c>
    </row>
    <row r="8784" spans="8:34" ht="12.75">
      <c r="H8784" s="43"/>
      <c r="AG8784" s="49" t="str">
        <f ca="1">IFERROR(__xludf.DUMMYFUNCTION("IFNA(vlookup(H8784,IMPORTRANGE(""1vUGwO1n0QQGx9kKbO0_M5gmuhXZ6-LaxQxgrmJnzgP0"",""'TP# look up'!A:C""),3,0),"""")"),"")</f>
        <v/>
      </c>
      <c r="AH8784" s="49" t="str">
        <f t="shared" si="137"/>
        <v/>
      </c>
    </row>
    <row r="8785" spans="8:34" ht="12.75">
      <c r="H8785" s="43"/>
      <c r="AG8785" s="49" t="str">
        <f ca="1">IFERROR(__xludf.DUMMYFUNCTION("IFNA(vlookup(H8785,IMPORTRANGE(""1vUGwO1n0QQGx9kKbO0_M5gmuhXZ6-LaxQxgrmJnzgP0"",""'TP# look up'!A:C""),3,0),"""")"),"")</f>
        <v/>
      </c>
      <c r="AH8785" s="49" t="str">
        <f t="shared" si="137"/>
        <v/>
      </c>
    </row>
    <row r="8786" spans="8:34" ht="12.75">
      <c r="H8786" s="43"/>
      <c r="AG8786" s="49" t="str">
        <f ca="1">IFERROR(__xludf.DUMMYFUNCTION("IFNA(vlookup(H8786,IMPORTRANGE(""1vUGwO1n0QQGx9kKbO0_M5gmuhXZ6-LaxQxgrmJnzgP0"",""'TP# look up'!A:C""),3,0),"""")"),"")</f>
        <v/>
      </c>
      <c r="AH8786" s="49" t="str">
        <f t="shared" si="137"/>
        <v/>
      </c>
    </row>
    <row r="8787" spans="8:34" ht="12.75">
      <c r="H8787" s="43"/>
      <c r="AG8787" s="49" t="str">
        <f ca="1">IFERROR(__xludf.DUMMYFUNCTION("IFNA(vlookup(H8787,IMPORTRANGE(""1vUGwO1n0QQGx9kKbO0_M5gmuhXZ6-LaxQxgrmJnzgP0"",""'TP# look up'!A:C""),3,0),"""")"),"")</f>
        <v/>
      </c>
      <c r="AH8787" s="49" t="str">
        <f t="shared" si="137"/>
        <v/>
      </c>
    </row>
    <row r="8788" spans="8:34" ht="12.75">
      <c r="H8788" s="43"/>
      <c r="AG8788" s="49" t="str">
        <f ca="1">IFERROR(__xludf.DUMMYFUNCTION("IFNA(vlookup(H8788,IMPORTRANGE(""1vUGwO1n0QQGx9kKbO0_M5gmuhXZ6-LaxQxgrmJnzgP0"",""'TP# look up'!A:C""),3,0),"""")"),"")</f>
        <v/>
      </c>
      <c r="AH8788" s="49" t="str">
        <f t="shared" si="137"/>
        <v/>
      </c>
    </row>
    <row r="8789" spans="8:34" ht="12.75">
      <c r="H8789" s="43"/>
      <c r="AG8789" s="49" t="str">
        <f ca="1">IFERROR(__xludf.DUMMYFUNCTION("IFNA(vlookup(H8789,IMPORTRANGE(""1vUGwO1n0QQGx9kKbO0_M5gmuhXZ6-LaxQxgrmJnzgP0"",""'TP# look up'!A:C""),3,0),"""")"),"")</f>
        <v/>
      </c>
      <c r="AH8789" s="49" t="str">
        <f t="shared" si="137"/>
        <v/>
      </c>
    </row>
    <row r="8790" spans="8:34" ht="12.75">
      <c r="H8790" s="43"/>
      <c r="AG8790" s="49" t="str">
        <f ca="1">IFERROR(__xludf.DUMMYFUNCTION("IFNA(vlookup(H8790,IMPORTRANGE(""1vUGwO1n0QQGx9kKbO0_M5gmuhXZ6-LaxQxgrmJnzgP0"",""'TP# look up'!A:C""),3,0),"""")"),"")</f>
        <v/>
      </c>
      <c r="AH8790" s="49" t="str">
        <f t="shared" si="137"/>
        <v/>
      </c>
    </row>
    <row r="8791" spans="8:34" ht="12.75">
      <c r="H8791" s="43"/>
      <c r="AG8791" s="49" t="str">
        <f ca="1">IFERROR(__xludf.DUMMYFUNCTION("IFNA(vlookup(H8791,IMPORTRANGE(""1vUGwO1n0QQGx9kKbO0_M5gmuhXZ6-LaxQxgrmJnzgP0"",""'TP# look up'!A:C""),3,0),"""")"),"")</f>
        <v/>
      </c>
      <c r="AH8791" s="49" t="str">
        <f t="shared" si="137"/>
        <v/>
      </c>
    </row>
    <row r="8792" spans="8:34" ht="12.75">
      <c r="H8792" s="43"/>
      <c r="AG8792" s="49" t="str">
        <f ca="1">IFERROR(__xludf.DUMMYFUNCTION("IFNA(vlookup(H8792,IMPORTRANGE(""1vUGwO1n0QQGx9kKbO0_M5gmuhXZ6-LaxQxgrmJnzgP0"",""'TP# look up'!A:C""),3,0),"""")"),"")</f>
        <v/>
      </c>
      <c r="AH8792" s="49" t="str">
        <f t="shared" si="137"/>
        <v/>
      </c>
    </row>
    <row r="8793" spans="8:34" ht="12.75">
      <c r="H8793" s="43"/>
      <c r="AG8793" s="49" t="str">
        <f ca="1">IFERROR(__xludf.DUMMYFUNCTION("IFNA(vlookup(H8793,IMPORTRANGE(""1vUGwO1n0QQGx9kKbO0_M5gmuhXZ6-LaxQxgrmJnzgP0"",""'TP# look up'!A:C""),3,0),"""")"),"")</f>
        <v/>
      </c>
      <c r="AH8793" s="49" t="str">
        <f t="shared" si="137"/>
        <v/>
      </c>
    </row>
    <row r="8794" spans="8:34" ht="12.75">
      <c r="H8794" s="43"/>
      <c r="AG8794" s="49" t="str">
        <f ca="1">IFERROR(__xludf.DUMMYFUNCTION("IFNA(vlookup(H8794,IMPORTRANGE(""1vUGwO1n0QQGx9kKbO0_M5gmuhXZ6-LaxQxgrmJnzgP0"",""'TP# look up'!A:C""),3,0),"""")"),"")</f>
        <v/>
      </c>
      <c r="AH8794" s="49" t="str">
        <f t="shared" si="137"/>
        <v/>
      </c>
    </row>
    <row r="8795" spans="8:34" ht="12.75">
      <c r="H8795" s="43"/>
      <c r="AG8795" s="49" t="str">
        <f ca="1">IFERROR(__xludf.DUMMYFUNCTION("IFNA(vlookup(H8795,IMPORTRANGE(""1vUGwO1n0QQGx9kKbO0_M5gmuhXZ6-LaxQxgrmJnzgP0"",""'TP# look up'!A:C""),3,0),"""")"),"")</f>
        <v/>
      </c>
      <c r="AH8795" s="49" t="str">
        <f t="shared" si="137"/>
        <v/>
      </c>
    </row>
    <row r="8796" spans="8:34" ht="12.75">
      <c r="H8796" s="43"/>
      <c r="AG8796" s="49" t="str">
        <f ca="1">IFERROR(__xludf.DUMMYFUNCTION("IFNA(vlookup(H8796,IMPORTRANGE(""1vUGwO1n0QQGx9kKbO0_M5gmuhXZ6-LaxQxgrmJnzgP0"",""'TP# look up'!A:C""),3,0),"""")"),"")</f>
        <v/>
      </c>
      <c r="AH8796" s="49" t="str">
        <f t="shared" si="137"/>
        <v/>
      </c>
    </row>
    <row r="8797" spans="8:34" ht="12.75">
      <c r="H8797" s="43"/>
      <c r="AG8797" s="49" t="str">
        <f ca="1">IFERROR(__xludf.DUMMYFUNCTION("IFNA(vlookup(H8797,IMPORTRANGE(""1vUGwO1n0QQGx9kKbO0_M5gmuhXZ6-LaxQxgrmJnzgP0"",""'TP# look up'!A:C""),3,0),"""")"),"")</f>
        <v/>
      </c>
      <c r="AH8797" s="49" t="str">
        <f t="shared" si="137"/>
        <v/>
      </c>
    </row>
    <row r="8798" spans="8:34" ht="12.75">
      <c r="H8798" s="43"/>
      <c r="AG8798" s="49" t="str">
        <f ca="1">IFERROR(__xludf.DUMMYFUNCTION("IFNA(vlookup(H8798,IMPORTRANGE(""1vUGwO1n0QQGx9kKbO0_M5gmuhXZ6-LaxQxgrmJnzgP0"",""'TP# look up'!A:C""),3,0),"""")"),"")</f>
        <v/>
      </c>
      <c r="AH8798" s="49" t="str">
        <f t="shared" si="137"/>
        <v/>
      </c>
    </row>
    <row r="8799" spans="8:34" ht="12.75">
      <c r="H8799" s="43"/>
      <c r="AG8799" s="49" t="str">
        <f ca="1">IFERROR(__xludf.DUMMYFUNCTION("IFNA(vlookup(H8799,IMPORTRANGE(""1vUGwO1n0QQGx9kKbO0_M5gmuhXZ6-LaxQxgrmJnzgP0"",""'TP# look up'!A:C""),3,0),"""")"),"")</f>
        <v/>
      </c>
      <c r="AH8799" s="49" t="str">
        <f t="shared" si="137"/>
        <v/>
      </c>
    </row>
    <row r="8800" spans="8:34" ht="12.75">
      <c r="H8800" s="43"/>
      <c r="AG8800" s="49" t="str">
        <f ca="1">IFERROR(__xludf.DUMMYFUNCTION("IFNA(vlookup(H8800,IMPORTRANGE(""1vUGwO1n0QQGx9kKbO0_M5gmuhXZ6-LaxQxgrmJnzgP0"",""'TP# look up'!A:C""),3,0),"""")"),"")</f>
        <v/>
      </c>
      <c r="AH8800" s="49" t="str">
        <f t="shared" si="137"/>
        <v/>
      </c>
    </row>
    <row r="8801" spans="8:34" ht="12.75">
      <c r="H8801" s="43"/>
      <c r="AG8801" s="49" t="str">
        <f ca="1">IFERROR(__xludf.DUMMYFUNCTION("IFNA(vlookup(H8801,IMPORTRANGE(""1vUGwO1n0QQGx9kKbO0_M5gmuhXZ6-LaxQxgrmJnzgP0"",""'TP# look up'!A:C""),3,0),"""")"),"")</f>
        <v/>
      </c>
      <c r="AH8801" s="49" t="str">
        <f t="shared" si="137"/>
        <v/>
      </c>
    </row>
    <row r="8802" spans="8:34" ht="12.75">
      <c r="H8802" s="43"/>
      <c r="AG8802" s="49" t="str">
        <f ca="1">IFERROR(__xludf.DUMMYFUNCTION("IFNA(vlookup(H8802,IMPORTRANGE(""1vUGwO1n0QQGx9kKbO0_M5gmuhXZ6-LaxQxgrmJnzgP0"",""'TP# look up'!A:C""),3,0),"""")"),"")</f>
        <v/>
      </c>
      <c r="AH8802" s="49" t="str">
        <f t="shared" si="137"/>
        <v/>
      </c>
    </row>
    <row r="8803" spans="8:34" ht="12.75">
      <c r="H8803" s="43"/>
      <c r="AG8803" s="49" t="str">
        <f ca="1">IFERROR(__xludf.DUMMYFUNCTION("IFNA(vlookup(H8803,IMPORTRANGE(""1vUGwO1n0QQGx9kKbO0_M5gmuhXZ6-LaxQxgrmJnzgP0"",""'TP# look up'!A:C""),3,0),"""")"),"")</f>
        <v/>
      </c>
      <c r="AH8803" s="49" t="str">
        <f t="shared" si="137"/>
        <v/>
      </c>
    </row>
    <row r="8804" spans="8:34" ht="12.75">
      <c r="H8804" s="43"/>
      <c r="AG8804" s="49" t="str">
        <f ca="1">IFERROR(__xludf.DUMMYFUNCTION("IFNA(vlookup(H8804,IMPORTRANGE(""1vUGwO1n0QQGx9kKbO0_M5gmuhXZ6-LaxQxgrmJnzgP0"",""'TP# look up'!A:C""),3,0),"""")"),"")</f>
        <v/>
      </c>
      <c r="AH8804" s="49" t="str">
        <f t="shared" si="137"/>
        <v/>
      </c>
    </row>
    <row r="8805" spans="8:34" ht="12.75">
      <c r="H8805" s="43"/>
      <c r="AG8805" s="49" t="str">
        <f ca="1">IFERROR(__xludf.DUMMYFUNCTION("IFNA(vlookup(H8805,IMPORTRANGE(""1vUGwO1n0QQGx9kKbO0_M5gmuhXZ6-LaxQxgrmJnzgP0"",""'TP# look up'!A:C""),3,0),"""")"),"")</f>
        <v/>
      </c>
      <c r="AH8805" s="49" t="str">
        <f t="shared" si="137"/>
        <v/>
      </c>
    </row>
    <row r="8806" spans="8:34" ht="12.75">
      <c r="H8806" s="43"/>
      <c r="AG8806" s="49" t="str">
        <f ca="1">IFERROR(__xludf.DUMMYFUNCTION("IFNA(vlookup(H8806,IMPORTRANGE(""1vUGwO1n0QQGx9kKbO0_M5gmuhXZ6-LaxQxgrmJnzgP0"",""'TP# look up'!A:C""),3,0),"""")"),"")</f>
        <v/>
      </c>
      <c r="AH8806" s="49" t="str">
        <f t="shared" si="137"/>
        <v/>
      </c>
    </row>
    <row r="8807" spans="8:34" ht="12.75">
      <c r="H8807" s="43"/>
      <c r="AG8807" s="49" t="str">
        <f ca="1">IFERROR(__xludf.DUMMYFUNCTION("IFNA(vlookup(H8807,IMPORTRANGE(""1vUGwO1n0QQGx9kKbO0_M5gmuhXZ6-LaxQxgrmJnzgP0"",""'TP# look up'!A:C""),3,0),"""")"),"")</f>
        <v/>
      </c>
      <c r="AH8807" s="49" t="str">
        <f t="shared" si="137"/>
        <v/>
      </c>
    </row>
    <row r="8808" spans="8:34" ht="12.75">
      <c r="H8808" s="43"/>
      <c r="AG8808" s="49" t="str">
        <f ca="1">IFERROR(__xludf.DUMMYFUNCTION("IFNA(vlookup(H8808,IMPORTRANGE(""1vUGwO1n0QQGx9kKbO0_M5gmuhXZ6-LaxQxgrmJnzgP0"",""'TP# look up'!A:C""),3,0),"""")"),"")</f>
        <v/>
      </c>
      <c r="AH8808" s="49" t="str">
        <f t="shared" si="137"/>
        <v/>
      </c>
    </row>
    <row r="8809" spans="8:34" ht="12.75">
      <c r="H8809" s="43"/>
      <c r="AG8809" s="49" t="str">
        <f ca="1">IFERROR(__xludf.DUMMYFUNCTION("IFNA(vlookup(H8809,IMPORTRANGE(""1vUGwO1n0QQGx9kKbO0_M5gmuhXZ6-LaxQxgrmJnzgP0"",""'TP# look up'!A:C""),3,0),"""")"),"")</f>
        <v/>
      </c>
      <c r="AH8809" s="49" t="str">
        <f t="shared" si="137"/>
        <v/>
      </c>
    </row>
    <row r="8810" spans="8:34" ht="12.75">
      <c r="H8810" s="43"/>
      <c r="AG8810" s="49" t="str">
        <f ca="1">IFERROR(__xludf.DUMMYFUNCTION("IFNA(vlookup(H8810,IMPORTRANGE(""1vUGwO1n0QQGx9kKbO0_M5gmuhXZ6-LaxQxgrmJnzgP0"",""'TP# look up'!A:C""),3,0),"""")"),"")</f>
        <v/>
      </c>
      <c r="AH8810" s="49" t="str">
        <f t="shared" si="137"/>
        <v/>
      </c>
    </row>
    <row r="8811" spans="8:34" ht="12.75">
      <c r="H8811" s="43"/>
      <c r="AG8811" s="49" t="str">
        <f ca="1">IFERROR(__xludf.DUMMYFUNCTION("IFNA(vlookup(H8811,IMPORTRANGE(""1vUGwO1n0QQGx9kKbO0_M5gmuhXZ6-LaxQxgrmJnzgP0"",""'TP# look up'!A:C""),3,0),"""")"),"")</f>
        <v/>
      </c>
      <c r="AH8811" s="49" t="str">
        <f t="shared" si="137"/>
        <v/>
      </c>
    </row>
    <row r="8812" spans="8:34" ht="12.75">
      <c r="H8812" s="43"/>
      <c r="AG8812" s="49" t="str">
        <f ca="1">IFERROR(__xludf.DUMMYFUNCTION("IFNA(vlookup(H8812,IMPORTRANGE(""1vUGwO1n0QQGx9kKbO0_M5gmuhXZ6-LaxQxgrmJnzgP0"",""'TP# look up'!A:C""),3,0),"""")"),"")</f>
        <v/>
      </c>
      <c r="AH8812" s="49" t="str">
        <f t="shared" si="137"/>
        <v/>
      </c>
    </row>
    <row r="8813" spans="8:34" ht="12.75">
      <c r="H8813" s="43"/>
      <c r="AG8813" s="49" t="str">
        <f ca="1">IFERROR(__xludf.DUMMYFUNCTION("IFNA(vlookup(H8813,IMPORTRANGE(""1vUGwO1n0QQGx9kKbO0_M5gmuhXZ6-LaxQxgrmJnzgP0"",""'TP# look up'!A:C""),3,0),"""")"),"")</f>
        <v/>
      </c>
      <c r="AH8813" s="49" t="str">
        <f t="shared" si="137"/>
        <v/>
      </c>
    </row>
    <row r="8814" spans="8:34" ht="12.75">
      <c r="H8814" s="43"/>
      <c r="AG8814" s="49" t="str">
        <f ca="1">IFERROR(__xludf.DUMMYFUNCTION("IFNA(vlookup(H8814,IMPORTRANGE(""1vUGwO1n0QQGx9kKbO0_M5gmuhXZ6-LaxQxgrmJnzgP0"",""'TP# look up'!A:C""),3,0),"""")"),"")</f>
        <v/>
      </c>
      <c r="AH8814" s="49" t="str">
        <f t="shared" si="137"/>
        <v/>
      </c>
    </row>
    <row r="8815" spans="8:34" ht="12.75">
      <c r="H8815" s="43"/>
      <c r="AG8815" s="49" t="str">
        <f ca="1">IFERROR(__xludf.DUMMYFUNCTION("IFNA(vlookup(H8815,IMPORTRANGE(""1vUGwO1n0QQGx9kKbO0_M5gmuhXZ6-LaxQxgrmJnzgP0"",""'TP# look up'!A:C""),3,0),"""")"),"")</f>
        <v/>
      </c>
      <c r="AH8815" s="49" t="str">
        <f t="shared" si="137"/>
        <v/>
      </c>
    </row>
    <row r="8816" spans="8:34" ht="12.75">
      <c r="H8816" s="43"/>
      <c r="AG8816" s="49" t="str">
        <f ca="1">IFERROR(__xludf.DUMMYFUNCTION("IFNA(vlookup(H8816,IMPORTRANGE(""1vUGwO1n0QQGx9kKbO0_M5gmuhXZ6-LaxQxgrmJnzgP0"",""'TP# look up'!A:C""),3,0),"""")"),"")</f>
        <v/>
      </c>
      <c r="AH8816" s="49" t="str">
        <f t="shared" si="137"/>
        <v/>
      </c>
    </row>
    <row r="8817" spans="8:34" ht="12.75">
      <c r="H8817" s="43"/>
      <c r="AG8817" s="49" t="str">
        <f ca="1">IFERROR(__xludf.DUMMYFUNCTION("IFNA(vlookup(H8817,IMPORTRANGE(""1vUGwO1n0QQGx9kKbO0_M5gmuhXZ6-LaxQxgrmJnzgP0"",""'TP# look up'!A:C""),3,0),"""")"),"")</f>
        <v/>
      </c>
      <c r="AH8817" s="49" t="str">
        <f t="shared" si="137"/>
        <v/>
      </c>
    </row>
    <row r="8818" spans="8:34" ht="12.75">
      <c r="H8818" s="43"/>
      <c r="AG8818" s="49" t="str">
        <f ca="1">IFERROR(__xludf.DUMMYFUNCTION("IFNA(vlookup(H8818,IMPORTRANGE(""1vUGwO1n0QQGx9kKbO0_M5gmuhXZ6-LaxQxgrmJnzgP0"",""'TP# look up'!A:C""),3,0),"""")"),"")</f>
        <v/>
      </c>
      <c r="AH8818" s="49" t="str">
        <f t="shared" si="137"/>
        <v/>
      </c>
    </row>
    <row r="8819" spans="8:34" ht="12.75">
      <c r="H8819" s="43"/>
      <c r="AG8819" s="49" t="str">
        <f ca="1">IFERROR(__xludf.DUMMYFUNCTION("IFNA(vlookup(H8819,IMPORTRANGE(""1vUGwO1n0QQGx9kKbO0_M5gmuhXZ6-LaxQxgrmJnzgP0"",""'TP# look up'!A:C""),3,0),"""")"),"")</f>
        <v/>
      </c>
      <c r="AH8819" s="49" t="str">
        <f t="shared" si="137"/>
        <v/>
      </c>
    </row>
    <row r="8820" spans="8:34" ht="12.75">
      <c r="H8820" s="43"/>
      <c r="AG8820" s="49" t="str">
        <f ca="1">IFERROR(__xludf.DUMMYFUNCTION("IFNA(vlookup(H8820,IMPORTRANGE(""1vUGwO1n0QQGx9kKbO0_M5gmuhXZ6-LaxQxgrmJnzgP0"",""'TP# look up'!A:C""),3,0),"""")"),"")</f>
        <v/>
      </c>
      <c r="AH8820" s="49" t="str">
        <f t="shared" si="137"/>
        <v/>
      </c>
    </row>
    <row r="8821" spans="8:34" ht="12.75">
      <c r="H8821" s="43"/>
      <c r="AG8821" s="49" t="str">
        <f ca="1">IFERROR(__xludf.DUMMYFUNCTION("IFNA(vlookup(H8821,IMPORTRANGE(""1vUGwO1n0QQGx9kKbO0_M5gmuhXZ6-LaxQxgrmJnzgP0"",""'TP# look up'!A:C""),3,0),"""")"),"")</f>
        <v/>
      </c>
      <c r="AH8821" s="49" t="str">
        <f t="shared" si="137"/>
        <v/>
      </c>
    </row>
    <row r="8822" spans="8:34" ht="12.75">
      <c r="H8822" s="43"/>
      <c r="AG8822" s="49" t="str">
        <f ca="1">IFERROR(__xludf.DUMMYFUNCTION("IFNA(vlookup(H8822,IMPORTRANGE(""1vUGwO1n0QQGx9kKbO0_M5gmuhXZ6-LaxQxgrmJnzgP0"",""'TP# look up'!A:C""),3,0),"""")"),"")</f>
        <v/>
      </c>
      <c r="AH8822" s="49" t="str">
        <f t="shared" si="137"/>
        <v/>
      </c>
    </row>
    <row r="8823" spans="8:34" ht="12.75">
      <c r="H8823" s="43"/>
      <c r="AG8823" s="49" t="str">
        <f ca="1">IFERROR(__xludf.DUMMYFUNCTION("IFNA(vlookup(H8823,IMPORTRANGE(""1vUGwO1n0QQGx9kKbO0_M5gmuhXZ6-LaxQxgrmJnzgP0"",""'TP# look up'!A:C""),3,0),"""")"),"")</f>
        <v/>
      </c>
      <c r="AH8823" s="49" t="str">
        <f t="shared" si="137"/>
        <v/>
      </c>
    </row>
    <row r="8824" spans="8:34" ht="12.75">
      <c r="H8824" s="43"/>
      <c r="AG8824" s="49" t="str">
        <f ca="1">IFERROR(__xludf.DUMMYFUNCTION("IFNA(vlookup(H8824,IMPORTRANGE(""1vUGwO1n0QQGx9kKbO0_M5gmuhXZ6-LaxQxgrmJnzgP0"",""'TP# look up'!A:C""),3,0),"""")"),"")</f>
        <v/>
      </c>
      <c r="AH8824" s="49" t="str">
        <f t="shared" si="137"/>
        <v/>
      </c>
    </row>
    <row r="8825" spans="8:34" ht="12.75">
      <c r="H8825" s="43"/>
      <c r="AG8825" s="49" t="str">
        <f ca="1">IFERROR(__xludf.DUMMYFUNCTION("IFNA(vlookup(H8825,IMPORTRANGE(""1vUGwO1n0QQGx9kKbO0_M5gmuhXZ6-LaxQxgrmJnzgP0"",""'TP# look up'!A:C""),3,0),"""")"),"")</f>
        <v/>
      </c>
      <c r="AH8825" s="49" t="str">
        <f t="shared" si="137"/>
        <v/>
      </c>
    </row>
    <row r="8826" spans="8:34" ht="12.75">
      <c r="H8826" s="43"/>
      <c r="AG8826" s="49" t="str">
        <f ca="1">IFERROR(__xludf.DUMMYFUNCTION("IFNA(vlookup(H8826,IMPORTRANGE(""1vUGwO1n0QQGx9kKbO0_M5gmuhXZ6-LaxQxgrmJnzgP0"",""'TP# look up'!A:C""),3,0),"""")"),"")</f>
        <v/>
      </c>
      <c r="AH8826" s="49" t="str">
        <f t="shared" si="137"/>
        <v/>
      </c>
    </row>
    <row r="8827" spans="8:34" ht="12.75">
      <c r="H8827" s="43"/>
      <c r="AG8827" s="49" t="str">
        <f ca="1">IFERROR(__xludf.DUMMYFUNCTION("IFNA(vlookup(H8827,IMPORTRANGE(""1vUGwO1n0QQGx9kKbO0_M5gmuhXZ6-LaxQxgrmJnzgP0"",""'TP# look up'!A:C""),3,0),"""")"),"")</f>
        <v/>
      </c>
      <c r="AH8827" s="49" t="str">
        <f t="shared" si="137"/>
        <v/>
      </c>
    </row>
    <row r="8828" spans="8:34" ht="12.75">
      <c r="H8828" s="43"/>
      <c r="AG8828" s="49" t="str">
        <f ca="1">IFERROR(__xludf.DUMMYFUNCTION("IFNA(vlookup(H8828,IMPORTRANGE(""1vUGwO1n0QQGx9kKbO0_M5gmuhXZ6-LaxQxgrmJnzgP0"",""'TP# look up'!A:C""),3,0),"""")"),"")</f>
        <v/>
      </c>
      <c r="AH8828" s="49" t="str">
        <f t="shared" si="137"/>
        <v/>
      </c>
    </row>
    <row r="8829" spans="8:34" ht="12.75">
      <c r="H8829" s="43"/>
      <c r="AG8829" s="49" t="str">
        <f ca="1">IFERROR(__xludf.DUMMYFUNCTION("IFNA(vlookup(H8829,IMPORTRANGE(""1vUGwO1n0QQGx9kKbO0_M5gmuhXZ6-LaxQxgrmJnzgP0"",""'TP# look up'!A:C""),3,0),"""")"),"")</f>
        <v/>
      </c>
      <c r="AH8829" s="49" t="str">
        <f t="shared" si="137"/>
        <v/>
      </c>
    </row>
    <row r="8830" spans="8:34" ht="12.75">
      <c r="H8830" s="43"/>
      <c r="AG8830" s="49" t="str">
        <f ca="1">IFERROR(__xludf.DUMMYFUNCTION("IFNA(vlookup(H8830,IMPORTRANGE(""1vUGwO1n0QQGx9kKbO0_M5gmuhXZ6-LaxQxgrmJnzgP0"",""'TP# look up'!A:C""),3,0),"""")"),"")</f>
        <v/>
      </c>
      <c r="AH8830" s="49" t="str">
        <f t="shared" si="137"/>
        <v/>
      </c>
    </row>
    <row r="8831" spans="8:34" ht="12.75">
      <c r="H8831" s="43"/>
      <c r="AG8831" s="49" t="str">
        <f ca="1">IFERROR(__xludf.DUMMYFUNCTION("IFNA(vlookup(H8831,IMPORTRANGE(""1vUGwO1n0QQGx9kKbO0_M5gmuhXZ6-LaxQxgrmJnzgP0"",""'TP# look up'!A:C""),3,0),"""")"),"")</f>
        <v/>
      </c>
      <c r="AH8831" s="49" t="str">
        <f t="shared" si="137"/>
        <v/>
      </c>
    </row>
    <row r="8832" spans="8:34" ht="12.75">
      <c r="H8832" s="43"/>
      <c r="AG8832" s="49" t="str">
        <f ca="1">IFERROR(__xludf.DUMMYFUNCTION("IFNA(vlookup(H8832,IMPORTRANGE(""1vUGwO1n0QQGx9kKbO0_M5gmuhXZ6-LaxQxgrmJnzgP0"",""'TP# look up'!A:C""),3,0),"""")"),"")</f>
        <v/>
      </c>
      <c r="AH8832" s="49" t="str">
        <f t="shared" si="137"/>
        <v/>
      </c>
    </row>
    <row r="8833" spans="8:34" ht="12.75">
      <c r="H8833" s="43"/>
      <c r="AG8833" s="49" t="str">
        <f ca="1">IFERROR(__xludf.DUMMYFUNCTION("IFNA(vlookup(H8833,IMPORTRANGE(""1vUGwO1n0QQGx9kKbO0_M5gmuhXZ6-LaxQxgrmJnzgP0"",""'TP# look up'!A:C""),3,0),"""")"),"")</f>
        <v/>
      </c>
      <c r="AH8833" s="49" t="str">
        <f t="shared" si="137"/>
        <v/>
      </c>
    </row>
    <row r="8834" spans="8:34" ht="12.75">
      <c r="H8834" s="43"/>
      <c r="AG8834" s="49" t="str">
        <f ca="1">IFERROR(__xludf.DUMMYFUNCTION("IFNA(vlookup(H8834,IMPORTRANGE(""1vUGwO1n0QQGx9kKbO0_M5gmuhXZ6-LaxQxgrmJnzgP0"",""'TP# look up'!A:C""),3,0),"""")"),"")</f>
        <v/>
      </c>
      <c r="AH8834" s="49" t="str">
        <f t="shared" ref="AH8834:AH8897" si="138">LEFT(J8834,2)</f>
        <v/>
      </c>
    </row>
    <row r="8835" spans="8:34" ht="12.75">
      <c r="H8835" s="43"/>
      <c r="AG8835" s="49" t="str">
        <f ca="1">IFERROR(__xludf.DUMMYFUNCTION("IFNA(vlookup(H8835,IMPORTRANGE(""1vUGwO1n0QQGx9kKbO0_M5gmuhXZ6-LaxQxgrmJnzgP0"",""'TP# look up'!A:C""),3,0),"""")"),"")</f>
        <v/>
      </c>
      <c r="AH8835" s="49" t="str">
        <f t="shared" si="138"/>
        <v/>
      </c>
    </row>
    <row r="8836" spans="8:34" ht="12.75">
      <c r="H8836" s="43"/>
      <c r="AG8836" s="49" t="str">
        <f ca="1">IFERROR(__xludf.DUMMYFUNCTION("IFNA(vlookup(H8836,IMPORTRANGE(""1vUGwO1n0QQGx9kKbO0_M5gmuhXZ6-LaxQxgrmJnzgP0"",""'TP# look up'!A:C""),3,0),"""")"),"")</f>
        <v/>
      </c>
      <c r="AH8836" s="49" t="str">
        <f t="shared" si="138"/>
        <v/>
      </c>
    </row>
    <row r="8837" spans="8:34" ht="12.75">
      <c r="H8837" s="43"/>
      <c r="AG8837" s="49" t="str">
        <f ca="1">IFERROR(__xludf.DUMMYFUNCTION("IFNA(vlookup(H8837,IMPORTRANGE(""1vUGwO1n0QQGx9kKbO0_M5gmuhXZ6-LaxQxgrmJnzgP0"",""'TP# look up'!A:C""),3,0),"""")"),"")</f>
        <v/>
      </c>
      <c r="AH8837" s="49" t="str">
        <f t="shared" si="138"/>
        <v/>
      </c>
    </row>
    <row r="8838" spans="8:34" ht="12.75">
      <c r="H8838" s="43"/>
      <c r="AG8838" s="49" t="str">
        <f ca="1">IFERROR(__xludf.DUMMYFUNCTION("IFNA(vlookup(H8838,IMPORTRANGE(""1vUGwO1n0QQGx9kKbO0_M5gmuhXZ6-LaxQxgrmJnzgP0"",""'TP# look up'!A:C""),3,0),"""")"),"")</f>
        <v/>
      </c>
      <c r="AH8838" s="49" t="str">
        <f t="shared" si="138"/>
        <v/>
      </c>
    </row>
    <row r="8839" spans="8:34" ht="12.75">
      <c r="H8839" s="43"/>
      <c r="AG8839" s="49" t="str">
        <f ca="1">IFERROR(__xludf.DUMMYFUNCTION("IFNA(vlookup(H8839,IMPORTRANGE(""1vUGwO1n0QQGx9kKbO0_M5gmuhXZ6-LaxQxgrmJnzgP0"",""'TP# look up'!A:C""),3,0),"""")"),"")</f>
        <v/>
      </c>
      <c r="AH8839" s="49" t="str">
        <f t="shared" si="138"/>
        <v/>
      </c>
    </row>
    <row r="8840" spans="8:34" ht="12.75">
      <c r="H8840" s="43"/>
      <c r="AG8840" s="49" t="str">
        <f ca="1">IFERROR(__xludf.DUMMYFUNCTION("IFNA(vlookup(H8840,IMPORTRANGE(""1vUGwO1n0QQGx9kKbO0_M5gmuhXZ6-LaxQxgrmJnzgP0"",""'TP# look up'!A:C""),3,0),"""")"),"")</f>
        <v/>
      </c>
      <c r="AH8840" s="49" t="str">
        <f t="shared" si="138"/>
        <v/>
      </c>
    </row>
    <row r="8841" spans="8:34" ht="12.75">
      <c r="H8841" s="43"/>
      <c r="AG8841" s="49" t="str">
        <f ca="1">IFERROR(__xludf.DUMMYFUNCTION("IFNA(vlookup(H8841,IMPORTRANGE(""1vUGwO1n0QQGx9kKbO0_M5gmuhXZ6-LaxQxgrmJnzgP0"",""'TP# look up'!A:C""),3,0),"""")"),"")</f>
        <v/>
      </c>
      <c r="AH8841" s="49" t="str">
        <f t="shared" si="138"/>
        <v/>
      </c>
    </row>
    <row r="8842" spans="8:34" ht="12.75">
      <c r="H8842" s="43"/>
      <c r="AG8842" s="49" t="str">
        <f ca="1">IFERROR(__xludf.DUMMYFUNCTION("IFNA(vlookup(H8842,IMPORTRANGE(""1vUGwO1n0QQGx9kKbO0_M5gmuhXZ6-LaxQxgrmJnzgP0"",""'TP# look up'!A:C""),3,0),"""")"),"")</f>
        <v/>
      </c>
      <c r="AH8842" s="49" t="str">
        <f t="shared" si="138"/>
        <v/>
      </c>
    </row>
    <row r="8843" spans="8:34" ht="12.75">
      <c r="H8843" s="43"/>
      <c r="AG8843" s="49" t="str">
        <f ca="1">IFERROR(__xludf.DUMMYFUNCTION("IFNA(vlookup(H8843,IMPORTRANGE(""1vUGwO1n0QQGx9kKbO0_M5gmuhXZ6-LaxQxgrmJnzgP0"",""'TP# look up'!A:C""),3,0),"""")"),"")</f>
        <v/>
      </c>
      <c r="AH8843" s="49" t="str">
        <f t="shared" si="138"/>
        <v/>
      </c>
    </row>
    <row r="8844" spans="8:34" ht="12.75">
      <c r="H8844" s="43"/>
      <c r="AG8844" s="49" t="str">
        <f ca="1">IFERROR(__xludf.DUMMYFUNCTION("IFNA(vlookup(H8844,IMPORTRANGE(""1vUGwO1n0QQGx9kKbO0_M5gmuhXZ6-LaxQxgrmJnzgP0"",""'TP# look up'!A:C""),3,0),"""")"),"")</f>
        <v/>
      </c>
      <c r="AH8844" s="49" t="str">
        <f t="shared" si="138"/>
        <v/>
      </c>
    </row>
    <row r="8845" spans="8:34" ht="12.75">
      <c r="H8845" s="43"/>
      <c r="AG8845" s="49" t="str">
        <f ca="1">IFERROR(__xludf.DUMMYFUNCTION("IFNA(vlookup(H8845,IMPORTRANGE(""1vUGwO1n0QQGx9kKbO0_M5gmuhXZ6-LaxQxgrmJnzgP0"",""'TP# look up'!A:C""),3,0),"""")"),"")</f>
        <v/>
      </c>
      <c r="AH8845" s="49" t="str">
        <f t="shared" si="138"/>
        <v/>
      </c>
    </row>
    <row r="8846" spans="8:34" ht="12.75">
      <c r="H8846" s="43"/>
      <c r="AG8846" s="49" t="str">
        <f ca="1">IFERROR(__xludf.DUMMYFUNCTION("IFNA(vlookup(H8846,IMPORTRANGE(""1vUGwO1n0QQGx9kKbO0_M5gmuhXZ6-LaxQxgrmJnzgP0"",""'TP# look up'!A:C""),3,0),"""")"),"")</f>
        <v/>
      </c>
      <c r="AH8846" s="49" t="str">
        <f t="shared" si="138"/>
        <v/>
      </c>
    </row>
    <row r="8847" spans="8:34" ht="12.75">
      <c r="H8847" s="43"/>
      <c r="AG8847" s="49" t="str">
        <f ca="1">IFERROR(__xludf.DUMMYFUNCTION("IFNA(vlookup(H8847,IMPORTRANGE(""1vUGwO1n0QQGx9kKbO0_M5gmuhXZ6-LaxQxgrmJnzgP0"",""'TP# look up'!A:C""),3,0),"""")"),"")</f>
        <v/>
      </c>
      <c r="AH8847" s="49" t="str">
        <f t="shared" si="138"/>
        <v/>
      </c>
    </row>
    <row r="8848" spans="8:34" ht="12.75">
      <c r="H8848" s="43"/>
      <c r="AG8848" s="49" t="str">
        <f ca="1">IFERROR(__xludf.DUMMYFUNCTION("IFNA(vlookup(H8848,IMPORTRANGE(""1vUGwO1n0QQGx9kKbO0_M5gmuhXZ6-LaxQxgrmJnzgP0"",""'TP# look up'!A:C""),3,0),"""")"),"")</f>
        <v/>
      </c>
      <c r="AH8848" s="49" t="str">
        <f t="shared" si="138"/>
        <v/>
      </c>
    </row>
    <row r="8849" spans="8:34" ht="12.75">
      <c r="H8849" s="43"/>
      <c r="AG8849" s="49" t="str">
        <f ca="1">IFERROR(__xludf.DUMMYFUNCTION("IFNA(vlookup(H8849,IMPORTRANGE(""1vUGwO1n0QQGx9kKbO0_M5gmuhXZ6-LaxQxgrmJnzgP0"",""'TP# look up'!A:C""),3,0),"""")"),"")</f>
        <v/>
      </c>
      <c r="AH8849" s="49" t="str">
        <f t="shared" si="138"/>
        <v/>
      </c>
    </row>
    <row r="8850" spans="8:34" ht="12.75">
      <c r="H8850" s="43"/>
      <c r="AG8850" s="49" t="str">
        <f ca="1">IFERROR(__xludf.DUMMYFUNCTION("IFNA(vlookup(H8850,IMPORTRANGE(""1vUGwO1n0QQGx9kKbO0_M5gmuhXZ6-LaxQxgrmJnzgP0"",""'TP# look up'!A:C""),3,0),"""")"),"")</f>
        <v/>
      </c>
      <c r="AH8850" s="49" t="str">
        <f t="shared" si="138"/>
        <v/>
      </c>
    </row>
    <row r="8851" spans="8:34" ht="12.75">
      <c r="H8851" s="43"/>
      <c r="AG8851" s="49" t="str">
        <f ca="1">IFERROR(__xludf.DUMMYFUNCTION("IFNA(vlookup(H8851,IMPORTRANGE(""1vUGwO1n0QQGx9kKbO0_M5gmuhXZ6-LaxQxgrmJnzgP0"",""'TP# look up'!A:C""),3,0),"""")"),"")</f>
        <v/>
      </c>
      <c r="AH8851" s="49" t="str">
        <f t="shared" si="138"/>
        <v/>
      </c>
    </row>
    <row r="8852" spans="8:34" ht="12.75">
      <c r="H8852" s="43"/>
      <c r="AG8852" s="49" t="str">
        <f ca="1">IFERROR(__xludf.DUMMYFUNCTION("IFNA(vlookup(H8852,IMPORTRANGE(""1vUGwO1n0QQGx9kKbO0_M5gmuhXZ6-LaxQxgrmJnzgP0"",""'TP# look up'!A:C""),3,0),"""")"),"")</f>
        <v/>
      </c>
      <c r="AH8852" s="49" t="str">
        <f t="shared" si="138"/>
        <v/>
      </c>
    </row>
    <row r="8853" spans="8:34" ht="12.75">
      <c r="H8853" s="43"/>
      <c r="AG8853" s="49" t="str">
        <f ca="1">IFERROR(__xludf.DUMMYFUNCTION("IFNA(vlookup(H8853,IMPORTRANGE(""1vUGwO1n0QQGx9kKbO0_M5gmuhXZ6-LaxQxgrmJnzgP0"",""'TP# look up'!A:C""),3,0),"""")"),"")</f>
        <v/>
      </c>
      <c r="AH8853" s="49" t="str">
        <f t="shared" si="138"/>
        <v/>
      </c>
    </row>
    <row r="8854" spans="8:34" ht="12.75">
      <c r="H8854" s="43"/>
      <c r="AG8854" s="49" t="str">
        <f ca="1">IFERROR(__xludf.DUMMYFUNCTION("IFNA(vlookup(H8854,IMPORTRANGE(""1vUGwO1n0QQGx9kKbO0_M5gmuhXZ6-LaxQxgrmJnzgP0"",""'TP# look up'!A:C""),3,0),"""")"),"")</f>
        <v/>
      </c>
      <c r="AH8854" s="49" t="str">
        <f t="shared" si="138"/>
        <v/>
      </c>
    </row>
    <row r="8855" spans="8:34" ht="12.75">
      <c r="H8855" s="43"/>
      <c r="AG8855" s="49" t="str">
        <f ca="1">IFERROR(__xludf.DUMMYFUNCTION("IFNA(vlookup(H8855,IMPORTRANGE(""1vUGwO1n0QQGx9kKbO0_M5gmuhXZ6-LaxQxgrmJnzgP0"",""'TP# look up'!A:C""),3,0),"""")"),"")</f>
        <v/>
      </c>
      <c r="AH8855" s="49" t="str">
        <f t="shared" si="138"/>
        <v/>
      </c>
    </row>
    <row r="8856" spans="8:34" ht="12.75">
      <c r="H8856" s="43"/>
      <c r="AG8856" s="49" t="str">
        <f ca="1">IFERROR(__xludf.DUMMYFUNCTION("IFNA(vlookup(H8856,IMPORTRANGE(""1vUGwO1n0QQGx9kKbO0_M5gmuhXZ6-LaxQxgrmJnzgP0"",""'TP# look up'!A:C""),3,0),"""")"),"")</f>
        <v/>
      </c>
      <c r="AH8856" s="49" t="str">
        <f t="shared" si="138"/>
        <v/>
      </c>
    </row>
    <row r="8857" spans="8:34" ht="12.75">
      <c r="H8857" s="43"/>
      <c r="AG8857" s="49" t="str">
        <f ca="1">IFERROR(__xludf.DUMMYFUNCTION("IFNA(vlookup(H8857,IMPORTRANGE(""1vUGwO1n0QQGx9kKbO0_M5gmuhXZ6-LaxQxgrmJnzgP0"",""'TP# look up'!A:C""),3,0),"""")"),"")</f>
        <v/>
      </c>
      <c r="AH8857" s="49" t="str">
        <f t="shared" si="138"/>
        <v/>
      </c>
    </row>
    <row r="8858" spans="8:34" ht="12.75">
      <c r="H8858" s="43"/>
      <c r="AG8858" s="49" t="str">
        <f ca="1">IFERROR(__xludf.DUMMYFUNCTION("IFNA(vlookup(H8858,IMPORTRANGE(""1vUGwO1n0QQGx9kKbO0_M5gmuhXZ6-LaxQxgrmJnzgP0"",""'TP# look up'!A:C""),3,0),"""")"),"")</f>
        <v/>
      </c>
      <c r="AH8858" s="49" t="str">
        <f t="shared" si="138"/>
        <v/>
      </c>
    </row>
    <row r="8859" spans="8:34" ht="12.75">
      <c r="H8859" s="43"/>
      <c r="AG8859" s="49" t="str">
        <f ca="1">IFERROR(__xludf.DUMMYFUNCTION("IFNA(vlookup(H8859,IMPORTRANGE(""1vUGwO1n0QQGx9kKbO0_M5gmuhXZ6-LaxQxgrmJnzgP0"",""'TP# look up'!A:C""),3,0),"""")"),"")</f>
        <v/>
      </c>
      <c r="AH8859" s="49" t="str">
        <f t="shared" si="138"/>
        <v/>
      </c>
    </row>
    <row r="8860" spans="8:34" ht="12.75">
      <c r="H8860" s="43"/>
      <c r="AG8860" s="49" t="str">
        <f ca="1">IFERROR(__xludf.DUMMYFUNCTION("IFNA(vlookup(H8860,IMPORTRANGE(""1vUGwO1n0QQGx9kKbO0_M5gmuhXZ6-LaxQxgrmJnzgP0"",""'TP# look up'!A:C""),3,0),"""")"),"")</f>
        <v/>
      </c>
      <c r="AH8860" s="49" t="str">
        <f t="shared" si="138"/>
        <v/>
      </c>
    </row>
    <row r="8861" spans="8:34" ht="12.75">
      <c r="H8861" s="43"/>
      <c r="AG8861" s="49" t="str">
        <f ca="1">IFERROR(__xludf.DUMMYFUNCTION("IFNA(vlookup(H8861,IMPORTRANGE(""1vUGwO1n0QQGx9kKbO0_M5gmuhXZ6-LaxQxgrmJnzgP0"",""'TP# look up'!A:C""),3,0),"""")"),"")</f>
        <v/>
      </c>
      <c r="AH8861" s="49" t="str">
        <f t="shared" si="138"/>
        <v/>
      </c>
    </row>
    <row r="8862" spans="8:34" ht="12.75">
      <c r="H8862" s="43"/>
      <c r="AG8862" s="49" t="str">
        <f ca="1">IFERROR(__xludf.DUMMYFUNCTION("IFNA(vlookup(H8862,IMPORTRANGE(""1vUGwO1n0QQGx9kKbO0_M5gmuhXZ6-LaxQxgrmJnzgP0"",""'TP# look up'!A:C""),3,0),"""")"),"")</f>
        <v/>
      </c>
      <c r="AH8862" s="49" t="str">
        <f t="shared" si="138"/>
        <v/>
      </c>
    </row>
    <row r="8863" spans="8:34" ht="12.75">
      <c r="H8863" s="43"/>
      <c r="AG8863" s="49" t="str">
        <f ca="1">IFERROR(__xludf.DUMMYFUNCTION("IFNA(vlookup(H8863,IMPORTRANGE(""1vUGwO1n0QQGx9kKbO0_M5gmuhXZ6-LaxQxgrmJnzgP0"",""'TP# look up'!A:C""),3,0),"""")"),"")</f>
        <v/>
      </c>
      <c r="AH8863" s="49" t="str">
        <f t="shared" si="138"/>
        <v/>
      </c>
    </row>
    <row r="8864" spans="8:34" ht="12.75">
      <c r="H8864" s="43"/>
      <c r="AG8864" s="49" t="str">
        <f ca="1">IFERROR(__xludf.DUMMYFUNCTION("IFNA(vlookup(H8864,IMPORTRANGE(""1vUGwO1n0QQGx9kKbO0_M5gmuhXZ6-LaxQxgrmJnzgP0"",""'TP# look up'!A:C""),3,0),"""")"),"")</f>
        <v/>
      </c>
      <c r="AH8864" s="49" t="str">
        <f t="shared" si="138"/>
        <v/>
      </c>
    </row>
    <row r="8865" spans="8:34" ht="12.75">
      <c r="H8865" s="43"/>
      <c r="AG8865" s="49" t="str">
        <f ca="1">IFERROR(__xludf.DUMMYFUNCTION("IFNA(vlookup(H8865,IMPORTRANGE(""1vUGwO1n0QQGx9kKbO0_M5gmuhXZ6-LaxQxgrmJnzgP0"",""'TP# look up'!A:C""),3,0),"""")"),"")</f>
        <v/>
      </c>
      <c r="AH8865" s="49" t="str">
        <f t="shared" si="138"/>
        <v/>
      </c>
    </row>
    <row r="8866" spans="8:34" ht="12.75">
      <c r="H8866" s="43"/>
      <c r="AG8866" s="49" t="str">
        <f ca="1">IFERROR(__xludf.DUMMYFUNCTION("IFNA(vlookup(H8866,IMPORTRANGE(""1vUGwO1n0QQGx9kKbO0_M5gmuhXZ6-LaxQxgrmJnzgP0"",""'TP# look up'!A:C""),3,0),"""")"),"")</f>
        <v/>
      </c>
      <c r="AH8866" s="49" t="str">
        <f t="shared" si="138"/>
        <v/>
      </c>
    </row>
    <row r="8867" spans="8:34" ht="12.75">
      <c r="H8867" s="43"/>
      <c r="AG8867" s="49" t="str">
        <f ca="1">IFERROR(__xludf.DUMMYFUNCTION("IFNA(vlookup(H8867,IMPORTRANGE(""1vUGwO1n0QQGx9kKbO0_M5gmuhXZ6-LaxQxgrmJnzgP0"",""'TP# look up'!A:C""),3,0),"""")"),"")</f>
        <v/>
      </c>
      <c r="AH8867" s="49" t="str">
        <f t="shared" si="138"/>
        <v/>
      </c>
    </row>
    <row r="8868" spans="8:34" ht="12.75">
      <c r="H8868" s="43"/>
      <c r="AG8868" s="49" t="str">
        <f ca="1">IFERROR(__xludf.DUMMYFUNCTION("IFNA(vlookup(H8868,IMPORTRANGE(""1vUGwO1n0QQGx9kKbO0_M5gmuhXZ6-LaxQxgrmJnzgP0"",""'TP# look up'!A:C""),3,0),"""")"),"")</f>
        <v/>
      </c>
      <c r="AH8868" s="49" t="str">
        <f t="shared" si="138"/>
        <v/>
      </c>
    </row>
    <row r="8869" spans="8:34" ht="12.75">
      <c r="H8869" s="43"/>
      <c r="AG8869" s="49" t="str">
        <f ca="1">IFERROR(__xludf.DUMMYFUNCTION("IFNA(vlookup(H8869,IMPORTRANGE(""1vUGwO1n0QQGx9kKbO0_M5gmuhXZ6-LaxQxgrmJnzgP0"",""'TP# look up'!A:C""),3,0),"""")"),"")</f>
        <v/>
      </c>
      <c r="AH8869" s="49" t="str">
        <f t="shared" si="138"/>
        <v/>
      </c>
    </row>
    <row r="8870" spans="8:34" ht="12.75">
      <c r="H8870" s="43"/>
      <c r="AG8870" s="49" t="str">
        <f ca="1">IFERROR(__xludf.DUMMYFUNCTION("IFNA(vlookup(H8870,IMPORTRANGE(""1vUGwO1n0QQGx9kKbO0_M5gmuhXZ6-LaxQxgrmJnzgP0"",""'TP# look up'!A:C""),3,0),"""")"),"")</f>
        <v/>
      </c>
      <c r="AH8870" s="49" t="str">
        <f t="shared" si="138"/>
        <v/>
      </c>
    </row>
    <row r="8871" spans="8:34" ht="12.75">
      <c r="H8871" s="43"/>
      <c r="AG8871" s="49" t="str">
        <f ca="1">IFERROR(__xludf.DUMMYFUNCTION("IFNA(vlookup(H8871,IMPORTRANGE(""1vUGwO1n0QQGx9kKbO0_M5gmuhXZ6-LaxQxgrmJnzgP0"",""'TP# look up'!A:C""),3,0),"""")"),"")</f>
        <v/>
      </c>
      <c r="AH8871" s="49" t="str">
        <f t="shared" si="138"/>
        <v/>
      </c>
    </row>
    <row r="8872" spans="8:34" ht="12.75">
      <c r="H8872" s="43"/>
      <c r="AG8872" s="49" t="str">
        <f ca="1">IFERROR(__xludf.DUMMYFUNCTION("IFNA(vlookup(H8872,IMPORTRANGE(""1vUGwO1n0QQGx9kKbO0_M5gmuhXZ6-LaxQxgrmJnzgP0"",""'TP# look up'!A:C""),3,0),"""")"),"")</f>
        <v/>
      </c>
      <c r="AH8872" s="49" t="str">
        <f t="shared" si="138"/>
        <v/>
      </c>
    </row>
    <row r="8873" spans="8:34" ht="12.75">
      <c r="H8873" s="43"/>
      <c r="AG8873" s="49" t="str">
        <f ca="1">IFERROR(__xludf.DUMMYFUNCTION("IFNA(vlookup(H8873,IMPORTRANGE(""1vUGwO1n0QQGx9kKbO0_M5gmuhXZ6-LaxQxgrmJnzgP0"",""'TP# look up'!A:C""),3,0),"""")"),"")</f>
        <v/>
      </c>
      <c r="AH8873" s="49" t="str">
        <f t="shared" si="138"/>
        <v/>
      </c>
    </row>
    <row r="8874" spans="8:34" ht="12.75">
      <c r="H8874" s="43"/>
      <c r="AG8874" s="49" t="str">
        <f ca="1">IFERROR(__xludf.DUMMYFUNCTION("IFNA(vlookup(H8874,IMPORTRANGE(""1vUGwO1n0QQGx9kKbO0_M5gmuhXZ6-LaxQxgrmJnzgP0"",""'TP# look up'!A:C""),3,0),"""")"),"")</f>
        <v/>
      </c>
      <c r="AH8874" s="49" t="str">
        <f t="shared" si="138"/>
        <v/>
      </c>
    </row>
    <row r="8875" spans="8:34" ht="12.75">
      <c r="H8875" s="43"/>
      <c r="AG8875" s="49" t="str">
        <f ca="1">IFERROR(__xludf.DUMMYFUNCTION("IFNA(vlookup(H8875,IMPORTRANGE(""1vUGwO1n0QQGx9kKbO0_M5gmuhXZ6-LaxQxgrmJnzgP0"",""'TP# look up'!A:C""),3,0),"""")"),"")</f>
        <v/>
      </c>
      <c r="AH8875" s="49" t="str">
        <f t="shared" si="138"/>
        <v/>
      </c>
    </row>
    <row r="8876" spans="8:34" ht="12.75">
      <c r="H8876" s="43"/>
      <c r="AG8876" s="49" t="str">
        <f ca="1">IFERROR(__xludf.DUMMYFUNCTION("IFNA(vlookup(H8876,IMPORTRANGE(""1vUGwO1n0QQGx9kKbO0_M5gmuhXZ6-LaxQxgrmJnzgP0"",""'TP# look up'!A:C""),3,0),"""")"),"")</f>
        <v/>
      </c>
      <c r="AH8876" s="49" t="str">
        <f t="shared" si="138"/>
        <v/>
      </c>
    </row>
    <row r="8877" spans="8:34" ht="12.75">
      <c r="H8877" s="43"/>
      <c r="AG8877" s="49" t="str">
        <f ca="1">IFERROR(__xludf.DUMMYFUNCTION("IFNA(vlookup(H8877,IMPORTRANGE(""1vUGwO1n0QQGx9kKbO0_M5gmuhXZ6-LaxQxgrmJnzgP0"",""'TP# look up'!A:C""),3,0),"""")"),"")</f>
        <v/>
      </c>
      <c r="AH8877" s="49" t="str">
        <f t="shared" si="138"/>
        <v/>
      </c>
    </row>
    <row r="8878" spans="8:34" ht="12.75">
      <c r="H8878" s="43"/>
      <c r="AG8878" s="49" t="str">
        <f ca="1">IFERROR(__xludf.DUMMYFUNCTION("IFNA(vlookup(H8878,IMPORTRANGE(""1vUGwO1n0QQGx9kKbO0_M5gmuhXZ6-LaxQxgrmJnzgP0"",""'TP# look up'!A:C""),3,0),"""")"),"")</f>
        <v/>
      </c>
      <c r="AH8878" s="49" t="str">
        <f t="shared" si="138"/>
        <v/>
      </c>
    </row>
    <row r="8879" spans="8:34" ht="12.75">
      <c r="H8879" s="43"/>
      <c r="AG8879" s="49" t="str">
        <f ca="1">IFERROR(__xludf.DUMMYFUNCTION("IFNA(vlookup(H8879,IMPORTRANGE(""1vUGwO1n0QQGx9kKbO0_M5gmuhXZ6-LaxQxgrmJnzgP0"",""'TP# look up'!A:C""),3,0),"""")"),"")</f>
        <v/>
      </c>
      <c r="AH8879" s="49" t="str">
        <f t="shared" si="138"/>
        <v/>
      </c>
    </row>
    <row r="8880" spans="8:34" ht="12.75">
      <c r="H8880" s="43"/>
      <c r="AG8880" s="49" t="str">
        <f ca="1">IFERROR(__xludf.DUMMYFUNCTION("IFNA(vlookup(H8880,IMPORTRANGE(""1vUGwO1n0QQGx9kKbO0_M5gmuhXZ6-LaxQxgrmJnzgP0"",""'TP# look up'!A:C""),3,0),"""")"),"")</f>
        <v/>
      </c>
      <c r="AH8880" s="49" t="str">
        <f t="shared" si="138"/>
        <v/>
      </c>
    </row>
    <row r="8881" spans="8:34" ht="12.75">
      <c r="H8881" s="43"/>
      <c r="AG8881" s="49" t="str">
        <f ca="1">IFERROR(__xludf.DUMMYFUNCTION("IFNA(vlookup(H8881,IMPORTRANGE(""1vUGwO1n0QQGx9kKbO0_M5gmuhXZ6-LaxQxgrmJnzgP0"",""'TP# look up'!A:C""),3,0),"""")"),"")</f>
        <v/>
      </c>
      <c r="AH8881" s="49" t="str">
        <f t="shared" si="138"/>
        <v/>
      </c>
    </row>
    <row r="8882" spans="8:34" ht="12.75">
      <c r="H8882" s="43"/>
      <c r="AG8882" s="49" t="str">
        <f ca="1">IFERROR(__xludf.DUMMYFUNCTION("IFNA(vlookup(H8882,IMPORTRANGE(""1vUGwO1n0QQGx9kKbO0_M5gmuhXZ6-LaxQxgrmJnzgP0"",""'TP# look up'!A:C""),3,0),"""")"),"")</f>
        <v/>
      </c>
      <c r="AH8882" s="49" t="str">
        <f t="shared" si="138"/>
        <v/>
      </c>
    </row>
    <row r="8883" spans="8:34" ht="12.75">
      <c r="H8883" s="43"/>
      <c r="AG8883" s="49" t="str">
        <f ca="1">IFERROR(__xludf.DUMMYFUNCTION("IFNA(vlookup(H8883,IMPORTRANGE(""1vUGwO1n0QQGx9kKbO0_M5gmuhXZ6-LaxQxgrmJnzgP0"",""'TP# look up'!A:C""),3,0),"""")"),"")</f>
        <v/>
      </c>
      <c r="AH8883" s="49" t="str">
        <f t="shared" si="138"/>
        <v/>
      </c>
    </row>
    <row r="8884" spans="8:34" ht="12.75">
      <c r="H8884" s="43"/>
      <c r="AG8884" s="49" t="str">
        <f ca="1">IFERROR(__xludf.DUMMYFUNCTION("IFNA(vlookup(H8884,IMPORTRANGE(""1vUGwO1n0QQGx9kKbO0_M5gmuhXZ6-LaxQxgrmJnzgP0"",""'TP# look up'!A:C""),3,0),"""")"),"")</f>
        <v/>
      </c>
      <c r="AH8884" s="49" t="str">
        <f t="shared" si="138"/>
        <v/>
      </c>
    </row>
    <row r="8885" spans="8:34" ht="12.75">
      <c r="H8885" s="43"/>
      <c r="AG8885" s="49" t="str">
        <f ca="1">IFERROR(__xludf.DUMMYFUNCTION("IFNA(vlookup(H8885,IMPORTRANGE(""1vUGwO1n0QQGx9kKbO0_M5gmuhXZ6-LaxQxgrmJnzgP0"",""'TP# look up'!A:C""),3,0),"""")"),"")</f>
        <v/>
      </c>
      <c r="AH8885" s="49" t="str">
        <f t="shared" si="138"/>
        <v/>
      </c>
    </row>
    <row r="8886" spans="8:34" ht="12.75">
      <c r="H8886" s="43"/>
      <c r="AG8886" s="49" t="str">
        <f ca="1">IFERROR(__xludf.DUMMYFUNCTION("IFNA(vlookup(H8886,IMPORTRANGE(""1vUGwO1n0QQGx9kKbO0_M5gmuhXZ6-LaxQxgrmJnzgP0"",""'TP# look up'!A:C""),3,0),"""")"),"")</f>
        <v/>
      </c>
      <c r="AH8886" s="49" t="str">
        <f t="shared" si="138"/>
        <v/>
      </c>
    </row>
    <row r="8887" spans="8:34" ht="12.75">
      <c r="H8887" s="43"/>
      <c r="AG8887" s="49" t="str">
        <f ca="1">IFERROR(__xludf.DUMMYFUNCTION("IFNA(vlookup(H8887,IMPORTRANGE(""1vUGwO1n0QQGx9kKbO0_M5gmuhXZ6-LaxQxgrmJnzgP0"",""'TP# look up'!A:C""),3,0),"""")"),"")</f>
        <v/>
      </c>
      <c r="AH8887" s="49" t="str">
        <f t="shared" si="138"/>
        <v/>
      </c>
    </row>
    <row r="8888" spans="8:34" ht="12.75">
      <c r="H8888" s="43"/>
      <c r="AG8888" s="49" t="str">
        <f ca="1">IFERROR(__xludf.DUMMYFUNCTION("IFNA(vlookup(H8888,IMPORTRANGE(""1vUGwO1n0QQGx9kKbO0_M5gmuhXZ6-LaxQxgrmJnzgP0"",""'TP# look up'!A:C""),3,0),"""")"),"")</f>
        <v/>
      </c>
      <c r="AH8888" s="49" t="str">
        <f t="shared" si="138"/>
        <v/>
      </c>
    </row>
    <row r="8889" spans="8:34" ht="12.75">
      <c r="H8889" s="43"/>
      <c r="AG8889" s="49" t="str">
        <f ca="1">IFERROR(__xludf.DUMMYFUNCTION("IFNA(vlookup(H8889,IMPORTRANGE(""1vUGwO1n0QQGx9kKbO0_M5gmuhXZ6-LaxQxgrmJnzgP0"",""'TP# look up'!A:C""),3,0),"""")"),"")</f>
        <v/>
      </c>
      <c r="AH8889" s="49" t="str">
        <f t="shared" si="138"/>
        <v/>
      </c>
    </row>
    <row r="8890" spans="8:34" ht="12.75">
      <c r="H8890" s="43"/>
      <c r="AG8890" s="49" t="str">
        <f ca="1">IFERROR(__xludf.DUMMYFUNCTION("IFNA(vlookup(H8890,IMPORTRANGE(""1vUGwO1n0QQGx9kKbO0_M5gmuhXZ6-LaxQxgrmJnzgP0"",""'TP# look up'!A:C""),3,0),"""")"),"")</f>
        <v/>
      </c>
      <c r="AH8890" s="49" t="str">
        <f t="shared" si="138"/>
        <v/>
      </c>
    </row>
    <row r="8891" spans="8:34" ht="12.75">
      <c r="H8891" s="43"/>
      <c r="AG8891" s="49" t="str">
        <f ca="1">IFERROR(__xludf.DUMMYFUNCTION("IFNA(vlookup(H8891,IMPORTRANGE(""1vUGwO1n0QQGx9kKbO0_M5gmuhXZ6-LaxQxgrmJnzgP0"",""'TP# look up'!A:C""),3,0),"""")"),"")</f>
        <v/>
      </c>
      <c r="AH8891" s="49" t="str">
        <f t="shared" si="138"/>
        <v/>
      </c>
    </row>
    <row r="8892" spans="8:34" ht="12.75">
      <c r="H8892" s="43"/>
      <c r="AG8892" s="49" t="str">
        <f ca="1">IFERROR(__xludf.DUMMYFUNCTION("IFNA(vlookup(H8892,IMPORTRANGE(""1vUGwO1n0QQGx9kKbO0_M5gmuhXZ6-LaxQxgrmJnzgP0"",""'TP# look up'!A:C""),3,0),"""")"),"")</f>
        <v/>
      </c>
      <c r="AH8892" s="49" t="str">
        <f t="shared" si="138"/>
        <v/>
      </c>
    </row>
    <row r="8893" spans="8:34" ht="12.75">
      <c r="H8893" s="43"/>
      <c r="AG8893" s="49" t="str">
        <f ca="1">IFERROR(__xludf.DUMMYFUNCTION("IFNA(vlookup(H8893,IMPORTRANGE(""1vUGwO1n0QQGx9kKbO0_M5gmuhXZ6-LaxQxgrmJnzgP0"",""'TP# look up'!A:C""),3,0),"""")"),"")</f>
        <v/>
      </c>
      <c r="AH8893" s="49" t="str">
        <f t="shared" si="138"/>
        <v/>
      </c>
    </row>
    <row r="8894" spans="8:34" ht="12.75">
      <c r="H8894" s="43"/>
      <c r="AG8894" s="49" t="str">
        <f ca="1">IFERROR(__xludf.DUMMYFUNCTION("IFNA(vlookup(H8894,IMPORTRANGE(""1vUGwO1n0QQGx9kKbO0_M5gmuhXZ6-LaxQxgrmJnzgP0"",""'TP# look up'!A:C""),3,0),"""")"),"")</f>
        <v/>
      </c>
      <c r="AH8894" s="49" t="str">
        <f t="shared" si="138"/>
        <v/>
      </c>
    </row>
    <row r="8895" spans="8:34" ht="12.75">
      <c r="H8895" s="43"/>
      <c r="AG8895" s="49" t="str">
        <f ca="1">IFERROR(__xludf.DUMMYFUNCTION("IFNA(vlookup(H8895,IMPORTRANGE(""1vUGwO1n0QQGx9kKbO0_M5gmuhXZ6-LaxQxgrmJnzgP0"",""'TP# look up'!A:C""),3,0),"""")"),"")</f>
        <v/>
      </c>
      <c r="AH8895" s="49" t="str">
        <f t="shared" si="138"/>
        <v/>
      </c>
    </row>
    <row r="8896" spans="8:34" ht="12.75">
      <c r="H8896" s="43"/>
      <c r="AG8896" s="49" t="str">
        <f ca="1">IFERROR(__xludf.DUMMYFUNCTION("IFNA(vlookup(H8896,IMPORTRANGE(""1vUGwO1n0QQGx9kKbO0_M5gmuhXZ6-LaxQxgrmJnzgP0"",""'TP# look up'!A:C""),3,0),"""")"),"")</f>
        <v/>
      </c>
      <c r="AH8896" s="49" t="str">
        <f t="shared" si="138"/>
        <v/>
      </c>
    </row>
    <row r="8897" spans="8:34" ht="12.75">
      <c r="H8897" s="43"/>
      <c r="AG8897" s="49" t="str">
        <f ca="1">IFERROR(__xludf.DUMMYFUNCTION("IFNA(vlookup(H8897,IMPORTRANGE(""1vUGwO1n0QQGx9kKbO0_M5gmuhXZ6-LaxQxgrmJnzgP0"",""'TP# look up'!A:C""),3,0),"""")"),"")</f>
        <v/>
      </c>
      <c r="AH8897" s="49" t="str">
        <f t="shared" si="138"/>
        <v/>
      </c>
    </row>
    <row r="8898" spans="8:34" ht="12.75">
      <c r="H8898" s="43"/>
      <c r="AG8898" s="49" t="str">
        <f ca="1">IFERROR(__xludf.DUMMYFUNCTION("IFNA(vlookup(H8898,IMPORTRANGE(""1vUGwO1n0QQGx9kKbO0_M5gmuhXZ6-LaxQxgrmJnzgP0"",""'TP# look up'!A:C""),3,0),"""")"),"")</f>
        <v/>
      </c>
      <c r="AH8898" s="49" t="str">
        <f t="shared" ref="AH8898:AH8961" si="139">LEFT(J8898,2)</f>
        <v/>
      </c>
    </row>
    <row r="8899" spans="8:34" ht="12.75">
      <c r="H8899" s="43"/>
      <c r="AG8899" s="49" t="str">
        <f ca="1">IFERROR(__xludf.DUMMYFUNCTION("IFNA(vlookup(H8899,IMPORTRANGE(""1vUGwO1n0QQGx9kKbO0_M5gmuhXZ6-LaxQxgrmJnzgP0"",""'TP# look up'!A:C""),3,0),"""")"),"")</f>
        <v/>
      </c>
      <c r="AH8899" s="49" t="str">
        <f t="shared" si="139"/>
        <v/>
      </c>
    </row>
    <row r="8900" spans="8:34" ht="12.75">
      <c r="H8900" s="43"/>
      <c r="AG8900" s="49" t="str">
        <f ca="1">IFERROR(__xludf.DUMMYFUNCTION("IFNA(vlookup(H8900,IMPORTRANGE(""1vUGwO1n0QQGx9kKbO0_M5gmuhXZ6-LaxQxgrmJnzgP0"",""'TP# look up'!A:C""),3,0),"""")"),"")</f>
        <v/>
      </c>
      <c r="AH8900" s="49" t="str">
        <f t="shared" si="139"/>
        <v/>
      </c>
    </row>
    <row r="8901" spans="8:34" ht="12.75">
      <c r="H8901" s="43"/>
      <c r="AG8901" s="49" t="str">
        <f ca="1">IFERROR(__xludf.DUMMYFUNCTION("IFNA(vlookup(H8901,IMPORTRANGE(""1vUGwO1n0QQGx9kKbO0_M5gmuhXZ6-LaxQxgrmJnzgP0"",""'TP# look up'!A:C""),3,0),"""")"),"")</f>
        <v/>
      </c>
      <c r="AH8901" s="49" t="str">
        <f t="shared" si="139"/>
        <v/>
      </c>
    </row>
    <row r="8902" spans="8:34" ht="12.75">
      <c r="H8902" s="43"/>
      <c r="AG8902" s="49" t="str">
        <f ca="1">IFERROR(__xludf.DUMMYFUNCTION("IFNA(vlookup(H8902,IMPORTRANGE(""1vUGwO1n0QQGx9kKbO0_M5gmuhXZ6-LaxQxgrmJnzgP0"",""'TP# look up'!A:C""),3,0),"""")"),"")</f>
        <v/>
      </c>
      <c r="AH8902" s="49" t="str">
        <f t="shared" si="139"/>
        <v/>
      </c>
    </row>
    <row r="8903" spans="8:34" ht="12.75">
      <c r="H8903" s="43"/>
      <c r="AG8903" s="49" t="str">
        <f ca="1">IFERROR(__xludf.DUMMYFUNCTION("IFNA(vlookup(H8903,IMPORTRANGE(""1vUGwO1n0QQGx9kKbO0_M5gmuhXZ6-LaxQxgrmJnzgP0"",""'TP# look up'!A:C""),3,0),"""")"),"")</f>
        <v/>
      </c>
      <c r="AH8903" s="49" t="str">
        <f t="shared" si="139"/>
        <v/>
      </c>
    </row>
    <row r="8904" spans="8:34" ht="12.75">
      <c r="H8904" s="43"/>
      <c r="AG8904" s="49" t="str">
        <f ca="1">IFERROR(__xludf.DUMMYFUNCTION("IFNA(vlookup(H8904,IMPORTRANGE(""1vUGwO1n0QQGx9kKbO0_M5gmuhXZ6-LaxQxgrmJnzgP0"",""'TP# look up'!A:C""),3,0),"""")"),"")</f>
        <v/>
      </c>
      <c r="AH8904" s="49" t="str">
        <f t="shared" si="139"/>
        <v/>
      </c>
    </row>
    <row r="8905" spans="8:34" ht="12.75">
      <c r="H8905" s="43"/>
      <c r="AG8905" s="49" t="str">
        <f ca="1">IFERROR(__xludf.DUMMYFUNCTION("IFNA(vlookup(H8905,IMPORTRANGE(""1vUGwO1n0QQGx9kKbO0_M5gmuhXZ6-LaxQxgrmJnzgP0"",""'TP# look up'!A:C""),3,0),"""")"),"")</f>
        <v/>
      </c>
      <c r="AH8905" s="49" t="str">
        <f t="shared" si="139"/>
        <v/>
      </c>
    </row>
    <row r="8906" spans="8:34" ht="12.75">
      <c r="H8906" s="43"/>
      <c r="AG8906" s="49" t="str">
        <f ca="1">IFERROR(__xludf.DUMMYFUNCTION("IFNA(vlookup(H8906,IMPORTRANGE(""1vUGwO1n0QQGx9kKbO0_M5gmuhXZ6-LaxQxgrmJnzgP0"",""'TP# look up'!A:C""),3,0),"""")"),"")</f>
        <v/>
      </c>
      <c r="AH8906" s="49" t="str">
        <f t="shared" si="139"/>
        <v/>
      </c>
    </row>
    <row r="8907" spans="8:34" ht="12.75">
      <c r="H8907" s="43"/>
      <c r="AG8907" s="49" t="str">
        <f ca="1">IFERROR(__xludf.DUMMYFUNCTION("IFNA(vlookup(H8907,IMPORTRANGE(""1vUGwO1n0QQGx9kKbO0_M5gmuhXZ6-LaxQxgrmJnzgP0"",""'TP# look up'!A:C""),3,0),"""")"),"")</f>
        <v/>
      </c>
      <c r="AH8907" s="49" t="str">
        <f t="shared" si="139"/>
        <v/>
      </c>
    </row>
    <row r="8908" spans="8:34" ht="12.75">
      <c r="H8908" s="43"/>
      <c r="AG8908" s="49" t="str">
        <f ca="1">IFERROR(__xludf.DUMMYFUNCTION("IFNA(vlookup(H8908,IMPORTRANGE(""1vUGwO1n0QQGx9kKbO0_M5gmuhXZ6-LaxQxgrmJnzgP0"",""'TP# look up'!A:C""),3,0),"""")"),"")</f>
        <v/>
      </c>
      <c r="AH8908" s="49" t="str">
        <f t="shared" si="139"/>
        <v/>
      </c>
    </row>
    <row r="8909" spans="8:34" ht="12.75">
      <c r="H8909" s="43"/>
      <c r="AG8909" s="49" t="str">
        <f ca="1">IFERROR(__xludf.DUMMYFUNCTION("IFNA(vlookup(H8909,IMPORTRANGE(""1vUGwO1n0QQGx9kKbO0_M5gmuhXZ6-LaxQxgrmJnzgP0"",""'TP# look up'!A:C""),3,0),"""")"),"")</f>
        <v/>
      </c>
      <c r="AH8909" s="49" t="str">
        <f t="shared" si="139"/>
        <v/>
      </c>
    </row>
    <row r="8910" spans="8:34" ht="12.75">
      <c r="H8910" s="43"/>
      <c r="AG8910" s="49" t="str">
        <f ca="1">IFERROR(__xludf.DUMMYFUNCTION("IFNA(vlookup(H8910,IMPORTRANGE(""1vUGwO1n0QQGx9kKbO0_M5gmuhXZ6-LaxQxgrmJnzgP0"",""'TP# look up'!A:C""),3,0),"""")"),"")</f>
        <v/>
      </c>
      <c r="AH8910" s="49" t="str">
        <f t="shared" si="139"/>
        <v/>
      </c>
    </row>
    <row r="8911" spans="8:34" ht="12.75">
      <c r="H8911" s="43"/>
      <c r="AG8911" s="49" t="str">
        <f ca="1">IFERROR(__xludf.DUMMYFUNCTION("IFNA(vlookup(H8911,IMPORTRANGE(""1vUGwO1n0QQGx9kKbO0_M5gmuhXZ6-LaxQxgrmJnzgP0"",""'TP# look up'!A:C""),3,0),"""")"),"")</f>
        <v/>
      </c>
      <c r="AH8911" s="49" t="str">
        <f t="shared" si="139"/>
        <v/>
      </c>
    </row>
    <row r="8912" spans="8:34" ht="12.75">
      <c r="H8912" s="43"/>
      <c r="AG8912" s="49" t="str">
        <f ca="1">IFERROR(__xludf.DUMMYFUNCTION("IFNA(vlookup(H8912,IMPORTRANGE(""1vUGwO1n0QQGx9kKbO0_M5gmuhXZ6-LaxQxgrmJnzgP0"",""'TP# look up'!A:C""),3,0),"""")"),"")</f>
        <v/>
      </c>
      <c r="AH8912" s="49" t="str">
        <f t="shared" si="139"/>
        <v/>
      </c>
    </row>
    <row r="8913" spans="8:34" ht="12.75">
      <c r="H8913" s="43"/>
      <c r="AG8913" s="49" t="str">
        <f ca="1">IFERROR(__xludf.DUMMYFUNCTION("IFNA(vlookup(H8913,IMPORTRANGE(""1vUGwO1n0QQGx9kKbO0_M5gmuhXZ6-LaxQxgrmJnzgP0"",""'TP# look up'!A:C""),3,0),"""")"),"")</f>
        <v/>
      </c>
      <c r="AH8913" s="49" t="str">
        <f t="shared" si="139"/>
        <v/>
      </c>
    </row>
    <row r="8914" spans="8:34" ht="12.75">
      <c r="H8914" s="43"/>
      <c r="AG8914" s="49" t="str">
        <f ca="1">IFERROR(__xludf.DUMMYFUNCTION("IFNA(vlookup(H8914,IMPORTRANGE(""1vUGwO1n0QQGx9kKbO0_M5gmuhXZ6-LaxQxgrmJnzgP0"",""'TP# look up'!A:C""),3,0),"""")"),"")</f>
        <v/>
      </c>
      <c r="AH8914" s="49" t="str">
        <f t="shared" si="139"/>
        <v/>
      </c>
    </row>
    <row r="8915" spans="8:34" ht="12.75">
      <c r="H8915" s="43"/>
      <c r="AG8915" s="49" t="str">
        <f ca="1">IFERROR(__xludf.DUMMYFUNCTION("IFNA(vlookup(H8915,IMPORTRANGE(""1vUGwO1n0QQGx9kKbO0_M5gmuhXZ6-LaxQxgrmJnzgP0"",""'TP# look up'!A:C""),3,0),"""")"),"")</f>
        <v/>
      </c>
      <c r="AH8915" s="49" t="str">
        <f t="shared" si="139"/>
        <v/>
      </c>
    </row>
    <row r="8916" spans="8:34" ht="12.75">
      <c r="H8916" s="43"/>
      <c r="AG8916" s="49" t="str">
        <f ca="1">IFERROR(__xludf.DUMMYFUNCTION("IFNA(vlookup(H8916,IMPORTRANGE(""1vUGwO1n0QQGx9kKbO0_M5gmuhXZ6-LaxQxgrmJnzgP0"",""'TP# look up'!A:C""),3,0),"""")"),"")</f>
        <v/>
      </c>
      <c r="AH8916" s="49" t="str">
        <f t="shared" si="139"/>
        <v/>
      </c>
    </row>
    <row r="8917" spans="8:34" ht="12.75">
      <c r="H8917" s="43"/>
      <c r="AG8917" s="49" t="str">
        <f ca="1">IFERROR(__xludf.DUMMYFUNCTION("IFNA(vlookup(H8917,IMPORTRANGE(""1vUGwO1n0QQGx9kKbO0_M5gmuhXZ6-LaxQxgrmJnzgP0"",""'TP# look up'!A:C""),3,0),"""")"),"")</f>
        <v/>
      </c>
      <c r="AH8917" s="49" t="str">
        <f t="shared" si="139"/>
        <v/>
      </c>
    </row>
    <row r="8918" spans="8:34" ht="12.75">
      <c r="H8918" s="43"/>
      <c r="AG8918" s="49" t="str">
        <f ca="1">IFERROR(__xludf.DUMMYFUNCTION("IFNA(vlookup(H8918,IMPORTRANGE(""1vUGwO1n0QQGx9kKbO0_M5gmuhXZ6-LaxQxgrmJnzgP0"",""'TP# look up'!A:C""),3,0),"""")"),"")</f>
        <v/>
      </c>
      <c r="AH8918" s="49" t="str">
        <f t="shared" si="139"/>
        <v/>
      </c>
    </row>
    <row r="8919" spans="8:34" ht="12.75">
      <c r="H8919" s="43"/>
      <c r="AG8919" s="49" t="str">
        <f ca="1">IFERROR(__xludf.DUMMYFUNCTION("IFNA(vlookup(H8919,IMPORTRANGE(""1vUGwO1n0QQGx9kKbO0_M5gmuhXZ6-LaxQxgrmJnzgP0"",""'TP# look up'!A:C""),3,0),"""")"),"")</f>
        <v/>
      </c>
      <c r="AH8919" s="49" t="str">
        <f t="shared" si="139"/>
        <v/>
      </c>
    </row>
    <row r="8920" spans="8:34" ht="12.75">
      <c r="H8920" s="43"/>
      <c r="AG8920" s="49" t="str">
        <f ca="1">IFERROR(__xludf.DUMMYFUNCTION("IFNA(vlookup(H8920,IMPORTRANGE(""1vUGwO1n0QQGx9kKbO0_M5gmuhXZ6-LaxQxgrmJnzgP0"",""'TP# look up'!A:C""),3,0),"""")"),"")</f>
        <v/>
      </c>
      <c r="AH8920" s="49" t="str">
        <f t="shared" si="139"/>
        <v/>
      </c>
    </row>
    <row r="8921" spans="8:34" ht="12.75">
      <c r="H8921" s="43"/>
      <c r="AG8921" s="49" t="str">
        <f ca="1">IFERROR(__xludf.DUMMYFUNCTION("IFNA(vlookup(H8921,IMPORTRANGE(""1vUGwO1n0QQGx9kKbO0_M5gmuhXZ6-LaxQxgrmJnzgP0"",""'TP# look up'!A:C""),3,0),"""")"),"")</f>
        <v/>
      </c>
      <c r="AH8921" s="49" t="str">
        <f t="shared" si="139"/>
        <v/>
      </c>
    </row>
    <row r="8922" spans="8:34" ht="12.75">
      <c r="H8922" s="43"/>
      <c r="AG8922" s="49" t="str">
        <f ca="1">IFERROR(__xludf.DUMMYFUNCTION("IFNA(vlookup(H8922,IMPORTRANGE(""1vUGwO1n0QQGx9kKbO0_M5gmuhXZ6-LaxQxgrmJnzgP0"",""'TP# look up'!A:C""),3,0),"""")"),"")</f>
        <v/>
      </c>
      <c r="AH8922" s="49" t="str">
        <f t="shared" si="139"/>
        <v/>
      </c>
    </row>
    <row r="8923" spans="8:34" ht="12.75">
      <c r="H8923" s="43"/>
      <c r="AG8923" s="49" t="str">
        <f ca="1">IFERROR(__xludf.DUMMYFUNCTION("IFNA(vlookup(H8923,IMPORTRANGE(""1vUGwO1n0QQGx9kKbO0_M5gmuhXZ6-LaxQxgrmJnzgP0"",""'TP# look up'!A:C""),3,0),"""")"),"")</f>
        <v/>
      </c>
      <c r="AH8923" s="49" t="str">
        <f t="shared" si="139"/>
        <v/>
      </c>
    </row>
    <row r="8924" spans="8:34" ht="12.75">
      <c r="H8924" s="43"/>
      <c r="AG8924" s="49" t="str">
        <f ca="1">IFERROR(__xludf.DUMMYFUNCTION("IFNA(vlookup(H8924,IMPORTRANGE(""1vUGwO1n0QQGx9kKbO0_M5gmuhXZ6-LaxQxgrmJnzgP0"",""'TP# look up'!A:C""),3,0),"""")"),"")</f>
        <v/>
      </c>
      <c r="AH8924" s="49" t="str">
        <f t="shared" si="139"/>
        <v/>
      </c>
    </row>
    <row r="8925" spans="8:34" ht="12.75">
      <c r="H8925" s="43"/>
      <c r="AG8925" s="49" t="str">
        <f ca="1">IFERROR(__xludf.DUMMYFUNCTION("IFNA(vlookup(H8925,IMPORTRANGE(""1vUGwO1n0QQGx9kKbO0_M5gmuhXZ6-LaxQxgrmJnzgP0"",""'TP# look up'!A:C""),3,0),"""")"),"")</f>
        <v/>
      </c>
      <c r="AH8925" s="49" t="str">
        <f t="shared" si="139"/>
        <v/>
      </c>
    </row>
    <row r="8926" spans="8:34" ht="12.75">
      <c r="H8926" s="43"/>
      <c r="AG8926" s="49" t="str">
        <f ca="1">IFERROR(__xludf.DUMMYFUNCTION("IFNA(vlookup(H8926,IMPORTRANGE(""1vUGwO1n0QQGx9kKbO0_M5gmuhXZ6-LaxQxgrmJnzgP0"",""'TP# look up'!A:C""),3,0),"""")"),"")</f>
        <v/>
      </c>
      <c r="AH8926" s="49" t="str">
        <f t="shared" si="139"/>
        <v/>
      </c>
    </row>
    <row r="8927" spans="8:34" ht="12.75">
      <c r="H8927" s="43"/>
      <c r="AG8927" s="49" t="str">
        <f ca="1">IFERROR(__xludf.DUMMYFUNCTION("IFNA(vlookup(H8927,IMPORTRANGE(""1vUGwO1n0QQGx9kKbO0_M5gmuhXZ6-LaxQxgrmJnzgP0"",""'TP# look up'!A:C""),3,0),"""")"),"")</f>
        <v/>
      </c>
      <c r="AH8927" s="49" t="str">
        <f t="shared" si="139"/>
        <v/>
      </c>
    </row>
    <row r="8928" spans="8:34" ht="12.75">
      <c r="H8928" s="43"/>
      <c r="AG8928" s="49" t="str">
        <f ca="1">IFERROR(__xludf.DUMMYFUNCTION("IFNA(vlookup(H8928,IMPORTRANGE(""1vUGwO1n0QQGx9kKbO0_M5gmuhXZ6-LaxQxgrmJnzgP0"",""'TP# look up'!A:C""),3,0),"""")"),"")</f>
        <v/>
      </c>
      <c r="AH8928" s="49" t="str">
        <f t="shared" si="139"/>
        <v/>
      </c>
    </row>
    <row r="8929" spans="8:34" ht="12.75">
      <c r="H8929" s="43"/>
      <c r="AG8929" s="49" t="str">
        <f ca="1">IFERROR(__xludf.DUMMYFUNCTION("IFNA(vlookup(H8929,IMPORTRANGE(""1vUGwO1n0QQGx9kKbO0_M5gmuhXZ6-LaxQxgrmJnzgP0"",""'TP# look up'!A:C""),3,0),"""")"),"")</f>
        <v/>
      </c>
      <c r="AH8929" s="49" t="str">
        <f t="shared" si="139"/>
        <v/>
      </c>
    </row>
    <row r="8930" spans="8:34" ht="12.75">
      <c r="H8930" s="43"/>
      <c r="AG8930" s="49" t="str">
        <f ca="1">IFERROR(__xludf.DUMMYFUNCTION("IFNA(vlookup(H8930,IMPORTRANGE(""1vUGwO1n0QQGx9kKbO0_M5gmuhXZ6-LaxQxgrmJnzgP0"",""'TP# look up'!A:C""),3,0),"""")"),"")</f>
        <v/>
      </c>
      <c r="AH8930" s="49" t="str">
        <f t="shared" si="139"/>
        <v/>
      </c>
    </row>
    <row r="8931" spans="8:34" ht="12.75">
      <c r="H8931" s="43"/>
      <c r="AG8931" s="49" t="str">
        <f ca="1">IFERROR(__xludf.DUMMYFUNCTION("IFNA(vlookup(H8931,IMPORTRANGE(""1vUGwO1n0QQGx9kKbO0_M5gmuhXZ6-LaxQxgrmJnzgP0"",""'TP# look up'!A:C""),3,0),"""")"),"")</f>
        <v/>
      </c>
      <c r="AH8931" s="49" t="str">
        <f t="shared" si="139"/>
        <v/>
      </c>
    </row>
    <row r="8932" spans="8:34" ht="12.75">
      <c r="H8932" s="43"/>
      <c r="AG8932" s="49" t="str">
        <f ca="1">IFERROR(__xludf.DUMMYFUNCTION("IFNA(vlookup(H8932,IMPORTRANGE(""1vUGwO1n0QQGx9kKbO0_M5gmuhXZ6-LaxQxgrmJnzgP0"",""'TP# look up'!A:C""),3,0),"""")"),"")</f>
        <v/>
      </c>
      <c r="AH8932" s="49" t="str">
        <f t="shared" si="139"/>
        <v/>
      </c>
    </row>
    <row r="8933" spans="8:34" ht="12.75">
      <c r="H8933" s="43"/>
      <c r="AG8933" s="49" t="str">
        <f ca="1">IFERROR(__xludf.DUMMYFUNCTION("IFNA(vlookup(H8933,IMPORTRANGE(""1vUGwO1n0QQGx9kKbO0_M5gmuhXZ6-LaxQxgrmJnzgP0"",""'TP# look up'!A:C""),3,0),"""")"),"")</f>
        <v/>
      </c>
      <c r="AH8933" s="49" t="str">
        <f t="shared" si="139"/>
        <v/>
      </c>
    </row>
    <row r="8934" spans="8:34" ht="12.75">
      <c r="H8934" s="43"/>
      <c r="AG8934" s="49" t="str">
        <f ca="1">IFERROR(__xludf.DUMMYFUNCTION("IFNA(vlookup(H8934,IMPORTRANGE(""1vUGwO1n0QQGx9kKbO0_M5gmuhXZ6-LaxQxgrmJnzgP0"",""'TP# look up'!A:C""),3,0),"""")"),"")</f>
        <v/>
      </c>
      <c r="AH8934" s="49" t="str">
        <f t="shared" si="139"/>
        <v/>
      </c>
    </row>
    <row r="8935" spans="8:34" ht="12.75">
      <c r="H8935" s="43"/>
      <c r="AG8935" s="49" t="str">
        <f ca="1">IFERROR(__xludf.DUMMYFUNCTION("IFNA(vlookup(H8935,IMPORTRANGE(""1vUGwO1n0QQGx9kKbO0_M5gmuhXZ6-LaxQxgrmJnzgP0"",""'TP# look up'!A:C""),3,0),"""")"),"")</f>
        <v/>
      </c>
      <c r="AH8935" s="49" t="str">
        <f t="shared" si="139"/>
        <v/>
      </c>
    </row>
    <row r="8936" spans="8:34" ht="12.75">
      <c r="H8936" s="43"/>
      <c r="AG8936" s="49" t="str">
        <f ca="1">IFERROR(__xludf.DUMMYFUNCTION("IFNA(vlookup(H8936,IMPORTRANGE(""1vUGwO1n0QQGx9kKbO0_M5gmuhXZ6-LaxQxgrmJnzgP0"",""'TP# look up'!A:C""),3,0),"""")"),"")</f>
        <v/>
      </c>
      <c r="AH8936" s="49" t="str">
        <f t="shared" si="139"/>
        <v/>
      </c>
    </row>
    <row r="8937" spans="8:34" ht="12.75">
      <c r="H8937" s="43"/>
      <c r="AG8937" s="49" t="str">
        <f ca="1">IFERROR(__xludf.DUMMYFUNCTION("IFNA(vlookup(H8937,IMPORTRANGE(""1vUGwO1n0QQGx9kKbO0_M5gmuhXZ6-LaxQxgrmJnzgP0"",""'TP# look up'!A:C""),3,0),"""")"),"")</f>
        <v/>
      </c>
      <c r="AH8937" s="49" t="str">
        <f t="shared" si="139"/>
        <v/>
      </c>
    </row>
    <row r="8938" spans="8:34" ht="12.75">
      <c r="H8938" s="43"/>
      <c r="AG8938" s="49" t="str">
        <f ca="1">IFERROR(__xludf.DUMMYFUNCTION("IFNA(vlookup(H8938,IMPORTRANGE(""1vUGwO1n0QQGx9kKbO0_M5gmuhXZ6-LaxQxgrmJnzgP0"",""'TP# look up'!A:C""),3,0),"""")"),"")</f>
        <v/>
      </c>
      <c r="AH8938" s="49" t="str">
        <f t="shared" si="139"/>
        <v/>
      </c>
    </row>
    <row r="8939" spans="8:34" ht="12.75">
      <c r="H8939" s="43"/>
      <c r="AG8939" s="49" t="str">
        <f ca="1">IFERROR(__xludf.DUMMYFUNCTION("IFNA(vlookup(H8939,IMPORTRANGE(""1vUGwO1n0QQGx9kKbO0_M5gmuhXZ6-LaxQxgrmJnzgP0"",""'TP# look up'!A:C""),3,0),"""")"),"")</f>
        <v/>
      </c>
      <c r="AH8939" s="49" t="str">
        <f t="shared" si="139"/>
        <v/>
      </c>
    </row>
    <row r="8940" spans="8:34" ht="12.75">
      <c r="H8940" s="43"/>
      <c r="AG8940" s="49" t="str">
        <f ca="1">IFERROR(__xludf.DUMMYFUNCTION("IFNA(vlookup(H8940,IMPORTRANGE(""1vUGwO1n0QQGx9kKbO0_M5gmuhXZ6-LaxQxgrmJnzgP0"",""'TP# look up'!A:C""),3,0),"""")"),"")</f>
        <v/>
      </c>
      <c r="AH8940" s="49" t="str">
        <f t="shared" si="139"/>
        <v/>
      </c>
    </row>
    <row r="8941" spans="8:34" ht="12.75">
      <c r="H8941" s="43"/>
      <c r="AG8941" s="49" t="str">
        <f ca="1">IFERROR(__xludf.DUMMYFUNCTION("IFNA(vlookup(H8941,IMPORTRANGE(""1vUGwO1n0QQGx9kKbO0_M5gmuhXZ6-LaxQxgrmJnzgP0"",""'TP# look up'!A:C""),3,0),"""")"),"")</f>
        <v/>
      </c>
      <c r="AH8941" s="49" t="str">
        <f t="shared" si="139"/>
        <v/>
      </c>
    </row>
    <row r="8942" spans="8:34" ht="12.75">
      <c r="H8942" s="43"/>
      <c r="AG8942" s="49" t="str">
        <f ca="1">IFERROR(__xludf.DUMMYFUNCTION("IFNA(vlookup(H8942,IMPORTRANGE(""1vUGwO1n0QQGx9kKbO0_M5gmuhXZ6-LaxQxgrmJnzgP0"",""'TP# look up'!A:C""),3,0),"""")"),"")</f>
        <v/>
      </c>
      <c r="AH8942" s="49" t="str">
        <f t="shared" si="139"/>
        <v/>
      </c>
    </row>
    <row r="8943" spans="8:34" ht="12.75">
      <c r="H8943" s="43"/>
      <c r="AG8943" s="49" t="str">
        <f ca="1">IFERROR(__xludf.DUMMYFUNCTION("IFNA(vlookup(H8943,IMPORTRANGE(""1vUGwO1n0QQGx9kKbO0_M5gmuhXZ6-LaxQxgrmJnzgP0"",""'TP# look up'!A:C""),3,0),"""")"),"")</f>
        <v/>
      </c>
      <c r="AH8943" s="49" t="str">
        <f t="shared" si="139"/>
        <v/>
      </c>
    </row>
    <row r="8944" spans="8:34" ht="12.75">
      <c r="H8944" s="43"/>
      <c r="AG8944" s="49" t="str">
        <f ca="1">IFERROR(__xludf.DUMMYFUNCTION("IFNA(vlookup(H8944,IMPORTRANGE(""1vUGwO1n0QQGx9kKbO0_M5gmuhXZ6-LaxQxgrmJnzgP0"",""'TP# look up'!A:C""),3,0),"""")"),"")</f>
        <v/>
      </c>
      <c r="AH8944" s="49" t="str">
        <f t="shared" si="139"/>
        <v/>
      </c>
    </row>
    <row r="8945" spans="8:34" ht="12.75">
      <c r="H8945" s="43"/>
      <c r="AG8945" s="49" t="str">
        <f ca="1">IFERROR(__xludf.DUMMYFUNCTION("IFNA(vlookup(H8945,IMPORTRANGE(""1vUGwO1n0QQGx9kKbO0_M5gmuhXZ6-LaxQxgrmJnzgP0"",""'TP# look up'!A:C""),3,0),"""")"),"")</f>
        <v/>
      </c>
      <c r="AH8945" s="49" t="str">
        <f t="shared" si="139"/>
        <v/>
      </c>
    </row>
    <row r="8946" spans="8:34" ht="12.75">
      <c r="H8946" s="43"/>
      <c r="AG8946" s="49" t="str">
        <f ca="1">IFERROR(__xludf.DUMMYFUNCTION("IFNA(vlookup(H8946,IMPORTRANGE(""1vUGwO1n0QQGx9kKbO0_M5gmuhXZ6-LaxQxgrmJnzgP0"",""'TP# look up'!A:C""),3,0),"""")"),"")</f>
        <v/>
      </c>
      <c r="AH8946" s="49" t="str">
        <f t="shared" si="139"/>
        <v/>
      </c>
    </row>
    <row r="8947" spans="8:34" ht="12.75">
      <c r="H8947" s="43"/>
      <c r="AG8947" s="49" t="str">
        <f ca="1">IFERROR(__xludf.DUMMYFUNCTION("IFNA(vlookup(H8947,IMPORTRANGE(""1vUGwO1n0QQGx9kKbO0_M5gmuhXZ6-LaxQxgrmJnzgP0"",""'TP# look up'!A:C""),3,0),"""")"),"")</f>
        <v/>
      </c>
      <c r="AH8947" s="49" t="str">
        <f t="shared" si="139"/>
        <v/>
      </c>
    </row>
    <row r="8948" spans="8:34" ht="12.75">
      <c r="H8948" s="43"/>
      <c r="AG8948" s="49" t="str">
        <f ca="1">IFERROR(__xludf.DUMMYFUNCTION("IFNA(vlookup(H8948,IMPORTRANGE(""1vUGwO1n0QQGx9kKbO0_M5gmuhXZ6-LaxQxgrmJnzgP0"",""'TP# look up'!A:C""),3,0),"""")"),"")</f>
        <v/>
      </c>
      <c r="AH8948" s="49" t="str">
        <f t="shared" si="139"/>
        <v/>
      </c>
    </row>
    <row r="8949" spans="8:34" ht="12.75">
      <c r="H8949" s="43"/>
      <c r="AG8949" s="49" t="str">
        <f ca="1">IFERROR(__xludf.DUMMYFUNCTION("IFNA(vlookup(H8949,IMPORTRANGE(""1vUGwO1n0QQGx9kKbO0_M5gmuhXZ6-LaxQxgrmJnzgP0"",""'TP# look up'!A:C""),3,0),"""")"),"")</f>
        <v/>
      </c>
      <c r="AH8949" s="49" t="str">
        <f t="shared" si="139"/>
        <v/>
      </c>
    </row>
    <row r="8950" spans="8:34" ht="12.75">
      <c r="H8950" s="43"/>
      <c r="AG8950" s="49" t="str">
        <f ca="1">IFERROR(__xludf.DUMMYFUNCTION("IFNA(vlookup(H8950,IMPORTRANGE(""1vUGwO1n0QQGx9kKbO0_M5gmuhXZ6-LaxQxgrmJnzgP0"",""'TP# look up'!A:C""),3,0),"""")"),"")</f>
        <v/>
      </c>
      <c r="AH8950" s="49" t="str">
        <f t="shared" si="139"/>
        <v/>
      </c>
    </row>
    <row r="8951" spans="8:34" ht="12.75">
      <c r="H8951" s="43"/>
      <c r="AG8951" s="49" t="str">
        <f ca="1">IFERROR(__xludf.DUMMYFUNCTION("IFNA(vlookup(H8951,IMPORTRANGE(""1vUGwO1n0QQGx9kKbO0_M5gmuhXZ6-LaxQxgrmJnzgP0"",""'TP# look up'!A:C""),3,0),"""")"),"")</f>
        <v/>
      </c>
      <c r="AH8951" s="49" t="str">
        <f t="shared" si="139"/>
        <v/>
      </c>
    </row>
    <row r="8952" spans="8:34" ht="12.75">
      <c r="H8952" s="43"/>
      <c r="AG8952" s="49" t="str">
        <f ca="1">IFERROR(__xludf.DUMMYFUNCTION("IFNA(vlookup(H8952,IMPORTRANGE(""1vUGwO1n0QQGx9kKbO0_M5gmuhXZ6-LaxQxgrmJnzgP0"",""'TP# look up'!A:C""),3,0),"""")"),"")</f>
        <v/>
      </c>
      <c r="AH8952" s="49" t="str">
        <f t="shared" si="139"/>
        <v/>
      </c>
    </row>
    <row r="8953" spans="8:34" ht="12.75">
      <c r="H8953" s="43"/>
      <c r="AG8953" s="49" t="str">
        <f ca="1">IFERROR(__xludf.DUMMYFUNCTION("IFNA(vlookup(H8953,IMPORTRANGE(""1vUGwO1n0QQGx9kKbO0_M5gmuhXZ6-LaxQxgrmJnzgP0"",""'TP# look up'!A:C""),3,0),"""")"),"")</f>
        <v/>
      </c>
      <c r="AH8953" s="49" t="str">
        <f t="shared" si="139"/>
        <v/>
      </c>
    </row>
    <row r="8954" spans="8:34" ht="12.75">
      <c r="H8954" s="43"/>
      <c r="AG8954" s="49" t="str">
        <f ca="1">IFERROR(__xludf.DUMMYFUNCTION("IFNA(vlookup(H8954,IMPORTRANGE(""1vUGwO1n0QQGx9kKbO0_M5gmuhXZ6-LaxQxgrmJnzgP0"",""'TP# look up'!A:C""),3,0),"""")"),"")</f>
        <v/>
      </c>
      <c r="AH8954" s="49" t="str">
        <f t="shared" si="139"/>
        <v/>
      </c>
    </row>
    <row r="8955" spans="8:34" ht="12.75">
      <c r="H8955" s="43"/>
      <c r="AG8955" s="49" t="str">
        <f ca="1">IFERROR(__xludf.DUMMYFUNCTION("IFNA(vlookup(H8955,IMPORTRANGE(""1vUGwO1n0QQGx9kKbO0_M5gmuhXZ6-LaxQxgrmJnzgP0"",""'TP# look up'!A:C""),3,0),"""")"),"")</f>
        <v/>
      </c>
      <c r="AH8955" s="49" t="str">
        <f t="shared" si="139"/>
        <v/>
      </c>
    </row>
    <row r="8956" spans="8:34" ht="12.75">
      <c r="H8956" s="43"/>
      <c r="AG8956" s="49" t="str">
        <f ca="1">IFERROR(__xludf.DUMMYFUNCTION("IFNA(vlookup(H8956,IMPORTRANGE(""1vUGwO1n0QQGx9kKbO0_M5gmuhXZ6-LaxQxgrmJnzgP0"",""'TP# look up'!A:C""),3,0),"""")"),"")</f>
        <v/>
      </c>
      <c r="AH8956" s="49" t="str">
        <f t="shared" si="139"/>
        <v/>
      </c>
    </row>
    <row r="8957" spans="8:34" ht="12.75">
      <c r="H8957" s="43"/>
      <c r="AG8957" s="49" t="str">
        <f ca="1">IFERROR(__xludf.DUMMYFUNCTION("IFNA(vlookup(H8957,IMPORTRANGE(""1vUGwO1n0QQGx9kKbO0_M5gmuhXZ6-LaxQxgrmJnzgP0"",""'TP# look up'!A:C""),3,0),"""")"),"")</f>
        <v/>
      </c>
      <c r="AH8957" s="49" t="str">
        <f t="shared" si="139"/>
        <v/>
      </c>
    </row>
    <row r="8958" spans="8:34" ht="12.75">
      <c r="H8958" s="43"/>
      <c r="AG8958" s="49" t="str">
        <f ca="1">IFERROR(__xludf.DUMMYFUNCTION("IFNA(vlookup(H8958,IMPORTRANGE(""1vUGwO1n0QQGx9kKbO0_M5gmuhXZ6-LaxQxgrmJnzgP0"",""'TP# look up'!A:C""),3,0),"""")"),"")</f>
        <v/>
      </c>
      <c r="AH8958" s="49" t="str">
        <f t="shared" si="139"/>
        <v/>
      </c>
    </row>
    <row r="8959" spans="8:34" ht="12.75">
      <c r="H8959" s="43"/>
      <c r="AG8959" s="49" t="str">
        <f ca="1">IFERROR(__xludf.DUMMYFUNCTION("IFNA(vlookup(H8959,IMPORTRANGE(""1vUGwO1n0QQGx9kKbO0_M5gmuhXZ6-LaxQxgrmJnzgP0"",""'TP# look up'!A:C""),3,0),"""")"),"")</f>
        <v/>
      </c>
      <c r="AH8959" s="49" t="str">
        <f t="shared" si="139"/>
        <v/>
      </c>
    </row>
    <row r="8960" spans="8:34" ht="12.75">
      <c r="H8960" s="43"/>
      <c r="AG8960" s="49" t="str">
        <f ca="1">IFERROR(__xludf.DUMMYFUNCTION("IFNA(vlookup(H8960,IMPORTRANGE(""1vUGwO1n0QQGx9kKbO0_M5gmuhXZ6-LaxQxgrmJnzgP0"",""'TP# look up'!A:C""),3,0),"""")"),"")</f>
        <v/>
      </c>
      <c r="AH8960" s="49" t="str">
        <f t="shared" si="139"/>
        <v/>
      </c>
    </row>
    <row r="8961" spans="8:34" ht="12.75">
      <c r="H8961" s="43"/>
      <c r="AG8961" s="49" t="str">
        <f ca="1">IFERROR(__xludf.DUMMYFUNCTION("IFNA(vlookup(H8961,IMPORTRANGE(""1vUGwO1n0QQGx9kKbO0_M5gmuhXZ6-LaxQxgrmJnzgP0"",""'TP# look up'!A:C""),3,0),"""")"),"")</f>
        <v/>
      </c>
      <c r="AH8961" s="49" t="str">
        <f t="shared" si="139"/>
        <v/>
      </c>
    </row>
    <row r="8962" spans="8:34" ht="12.75">
      <c r="H8962" s="43"/>
      <c r="AG8962" s="49" t="str">
        <f ca="1">IFERROR(__xludf.DUMMYFUNCTION("IFNA(vlookup(H8962,IMPORTRANGE(""1vUGwO1n0QQGx9kKbO0_M5gmuhXZ6-LaxQxgrmJnzgP0"",""'TP# look up'!A:C""),3,0),"""")"),"")</f>
        <v/>
      </c>
      <c r="AH8962" s="49" t="str">
        <f t="shared" ref="AH8962:AH9000" si="140">LEFT(J8962,2)</f>
        <v/>
      </c>
    </row>
    <row r="8963" spans="8:34" ht="12.75">
      <c r="H8963" s="43"/>
      <c r="AG8963" s="49" t="str">
        <f ca="1">IFERROR(__xludf.DUMMYFUNCTION("IFNA(vlookup(H8963,IMPORTRANGE(""1vUGwO1n0QQGx9kKbO0_M5gmuhXZ6-LaxQxgrmJnzgP0"",""'TP# look up'!A:C""),3,0),"""")"),"")</f>
        <v/>
      </c>
      <c r="AH8963" s="49" t="str">
        <f t="shared" si="140"/>
        <v/>
      </c>
    </row>
    <row r="8964" spans="8:34" ht="12.75">
      <c r="H8964" s="43"/>
      <c r="AG8964" s="49" t="str">
        <f ca="1">IFERROR(__xludf.DUMMYFUNCTION("IFNA(vlookup(H8964,IMPORTRANGE(""1vUGwO1n0QQGx9kKbO0_M5gmuhXZ6-LaxQxgrmJnzgP0"",""'TP# look up'!A:C""),3,0),"""")"),"")</f>
        <v/>
      </c>
      <c r="AH8964" s="49" t="str">
        <f t="shared" si="140"/>
        <v/>
      </c>
    </row>
    <row r="8965" spans="8:34" ht="12.75">
      <c r="H8965" s="43"/>
      <c r="AG8965" s="49" t="str">
        <f ca="1">IFERROR(__xludf.DUMMYFUNCTION("IFNA(vlookup(H8965,IMPORTRANGE(""1vUGwO1n0QQGx9kKbO0_M5gmuhXZ6-LaxQxgrmJnzgP0"",""'TP# look up'!A:C""),3,0),"""")"),"")</f>
        <v/>
      </c>
      <c r="AH8965" s="49" t="str">
        <f t="shared" si="140"/>
        <v/>
      </c>
    </row>
    <row r="8966" spans="8:34" ht="12.75">
      <c r="H8966" s="43"/>
      <c r="AG8966" s="49" t="str">
        <f ca="1">IFERROR(__xludf.DUMMYFUNCTION("IFNA(vlookup(H8966,IMPORTRANGE(""1vUGwO1n0QQGx9kKbO0_M5gmuhXZ6-LaxQxgrmJnzgP0"",""'TP# look up'!A:C""),3,0),"""")"),"")</f>
        <v/>
      </c>
      <c r="AH8966" s="49" t="str">
        <f t="shared" si="140"/>
        <v/>
      </c>
    </row>
    <row r="8967" spans="8:34" ht="12.75">
      <c r="H8967" s="43"/>
      <c r="AG8967" s="49" t="str">
        <f ca="1">IFERROR(__xludf.DUMMYFUNCTION("IFNA(vlookup(H8967,IMPORTRANGE(""1vUGwO1n0QQGx9kKbO0_M5gmuhXZ6-LaxQxgrmJnzgP0"",""'TP# look up'!A:C""),3,0),"""")"),"")</f>
        <v/>
      </c>
      <c r="AH8967" s="49" t="str">
        <f t="shared" si="140"/>
        <v/>
      </c>
    </row>
    <row r="8968" spans="8:34" ht="12.75">
      <c r="H8968" s="43"/>
      <c r="AG8968" s="49" t="str">
        <f ca="1">IFERROR(__xludf.DUMMYFUNCTION("IFNA(vlookup(H8968,IMPORTRANGE(""1vUGwO1n0QQGx9kKbO0_M5gmuhXZ6-LaxQxgrmJnzgP0"",""'TP# look up'!A:C""),3,0),"""")"),"")</f>
        <v/>
      </c>
      <c r="AH8968" s="49" t="str">
        <f t="shared" si="140"/>
        <v/>
      </c>
    </row>
    <row r="8969" spans="8:34" ht="12.75">
      <c r="H8969" s="43"/>
      <c r="AG8969" s="49" t="str">
        <f ca="1">IFERROR(__xludf.DUMMYFUNCTION("IFNA(vlookup(H8969,IMPORTRANGE(""1vUGwO1n0QQGx9kKbO0_M5gmuhXZ6-LaxQxgrmJnzgP0"",""'TP# look up'!A:C""),3,0),"""")"),"")</f>
        <v/>
      </c>
      <c r="AH8969" s="49" t="str">
        <f t="shared" si="140"/>
        <v/>
      </c>
    </row>
    <row r="8970" spans="8:34" ht="12.75">
      <c r="H8970" s="43"/>
      <c r="AG8970" s="49" t="str">
        <f ca="1">IFERROR(__xludf.DUMMYFUNCTION("IFNA(vlookup(H8970,IMPORTRANGE(""1vUGwO1n0QQGx9kKbO0_M5gmuhXZ6-LaxQxgrmJnzgP0"",""'TP# look up'!A:C""),3,0),"""")"),"")</f>
        <v/>
      </c>
      <c r="AH8970" s="49" t="str">
        <f t="shared" si="140"/>
        <v/>
      </c>
    </row>
    <row r="8971" spans="8:34" ht="12.75">
      <c r="H8971" s="43"/>
      <c r="AG8971" s="49" t="str">
        <f ca="1">IFERROR(__xludf.DUMMYFUNCTION("IFNA(vlookup(H8971,IMPORTRANGE(""1vUGwO1n0QQGx9kKbO0_M5gmuhXZ6-LaxQxgrmJnzgP0"",""'TP# look up'!A:C""),3,0),"""")"),"")</f>
        <v/>
      </c>
      <c r="AH8971" s="49" t="str">
        <f t="shared" si="140"/>
        <v/>
      </c>
    </row>
    <row r="8972" spans="8:34" ht="12.75">
      <c r="H8972" s="43"/>
      <c r="AG8972" s="49" t="str">
        <f ca="1">IFERROR(__xludf.DUMMYFUNCTION("IFNA(vlookup(H8972,IMPORTRANGE(""1vUGwO1n0QQGx9kKbO0_M5gmuhXZ6-LaxQxgrmJnzgP0"",""'TP# look up'!A:C""),3,0),"""")"),"")</f>
        <v/>
      </c>
      <c r="AH8972" s="49" t="str">
        <f t="shared" si="140"/>
        <v/>
      </c>
    </row>
    <row r="8973" spans="8:34" ht="12.75">
      <c r="H8973" s="43"/>
      <c r="AG8973" s="49" t="str">
        <f ca="1">IFERROR(__xludf.DUMMYFUNCTION("IFNA(vlookup(H8973,IMPORTRANGE(""1vUGwO1n0QQGx9kKbO0_M5gmuhXZ6-LaxQxgrmJnzgP0"",""'TP# look up'!A:C""),3,0),"""")"),"")</f>
        <v/>
      </c>
      <c r="AH8973" s="49" t="str">
        <f t="shared" si="140"/>
        <v/>
      </c>
    </row>
    <row r="8974" spans="8:34" ht="12.75">
      <c r="H8974" s="43"/>
      <c r="AG8974" s="49" t="str">
        <f ca="1">IFERROR(__xludf.DUMMYFUNCTION("IFNA(vlookup(H8974,IMPORTRANGE(""1vUGwO1n0QQGx9kKbO0_M5gmuhXZ6-LaxQxgrmJnzgP0"",""'TP# look up'!A:C""),3,0),"""")"),"")</f>
        <v/>
      </c>
      <c r="AH8974" s="49" t="str">
        <f t="shared" si="140"/>
        <v/>
      </c>
    </row>
    <row r="8975" spans="8:34" ht="12.75">
      <c r="H8975" s="43"/>
      <c r="AG8975" s="49" t="str">
        <f ca="1">IFERROR(__xludf.DUMMYFUNCTION("IFNA(vlookup(H8975,IMPORTRANGE(""1vUGwO1n0QQGx9kKbO0_M5gmuhXZ6-LaxQxgrmJnzgP0"",""'TP# look up'!A:C""),3,0),"""")"),"")</f>
        <v/>
      </c>
      <c r="AH8975" s="49" t="str">
        <f t="shared" si="140"/>
        <v/>
      </c>
    </row>
    <row r="8976" spans="8:34" ht="12.75">
      <c r="H8976" s="43"/>
      <c r="AG8976" s="49" t="str">
        <f ca="1">IFERROR(__xludf.DUMMYFUNCTION("IFNA(vlookup(H8976,IMPORTRANGE(""1vUGwO1n0QQGx9kKbO0_M5gmuhXZ6-LaxQxgrmJnzgP0"",""'TP# look up'!A:C""),3,0),"""")"),"")</f>
        <v/>
      </c>
      <c r="AH8976" s="49" t="str">
        <f t="shared" si="140"/>
        <v/>
      </c>
    </row>
    <row r="8977" spans="8:34" ht="12.75">
      <c r="H8977" s="43"/>
      <c r="AG8977" s="49" t="str">
        <f ca="1">IFERROR(__xludf.DUMMYFUNCTION("IFNA(vlookup(H8977,IMPORTRANGE(""1vUGwO1n0QQGx9kKbO0_M5gmuhXZ6-LaxQxgrmJnzgP0"",""'TP# look up'!A:C""),3,0),"""")"),"")</f>
        <v/>
      </c>
      <c r="AH8977" s="49" t="str">
        <f t="shared" si="140"/>
        <v/>
      </c>
    </row>
    <row r="8978" spans="8:34" ht="12.75">
      <c r="H8978" s="43"/>
      <c r="AG8978" s="49" t="str">
        <f ca="1">IFERROR(__xludf.DUMMYFUNCTION("IFNA(vlookup(H8978,IMPORTRANGE(""1vUGwO1n0QQGx9kKbO0_M5gmuhXZ6-LaxQxgrmJnzgP0"",""'TP# look up'!A:C""),3,0),"""")"),"")</f>
        <v/>
      </c>
      <c r="AH8978" s="49" t="str">
        <f t="shared" si="140"/>
        <v/>
      </c>
    </row>
    <row r="8979" spans="8:34" ht="12.75">
      <c r="H8979" s="43"/>
      <c r="AG8979" s="49" t="str">
        <f ca="1">IFERROR(__xludf.DUMMYFUNCTION("IFNA(vlookup(H8979,IMPORTRANGE(""1vUGwO1n0QQGx9kKbO0_M5gmuhXZ6-LaxQxgrmJnzgP0"",""'TP# look up'!A:C""),3,0),"""")"),"")</f>
        <v/>
      </c>
      <c r="AH8979" s="49" t="str">
        <f t="shared" si="140"/>
        <v/>
      </c>
    </row>
    <row r="8980" spans="8:34" ht="12.75">
      <c r="H8980" s="43"/>
      <c r="AG8980" s="49" t="str">
        <f ca="1">IFERROR(__xludf.DUMMYFUNCTION("IFNA(vlookup(H8980,IMPORTRANGE(""1vUGwO1n0QQGx9kKbO0_M5gmuhXZ6-LaxQxgrmJnzgP0"",""'TP# look up'!A:C""),3,0),"""")"),"")</f>
        <v/>
      </c>
      <c r="AH8980" s="49" t="str">
        <f t="shared" si="140"/>
        <v/>
      </c>
    </row>
    <row r="8981" spans="8:34" ht="12.75">
      <c r="H8981" s="43"/>
      <c r="AG8981" s="49" t="str">
        <f ca="1">IFERROR(__xludf.DUMMYFUNCTION("IFNA(vlookup(H8981,IMPORTRANGE(""1vUGwO1n0QQGx9kKbO0_M5gmuhXZ6-LaxQxgrmJnzgP0"",""'TP# look up'!A:C""),3,0),"""")"),"")</f>
        <v/>
      </c>
      <c r="AH8981" s="49" t="str">
        <f t="shared" si="140"/>
        <v/>
      </c>
    </row>
    <row r="8982" spans="8:34" ht="12.75">
      <c r="H8982" s="43"/>
      <c r="AG8982" s="49" t="str">
        <f ca="1">IFERROR(__xludf.DUMMYFUNCTION("IFNA(vlookup(H8982,IMPORTRANGE(""1vUGwO1n0QQGx9kKbO0_M5gmuhXZ6-LaxQxgrmJnzgP0"",""'TP# look up'!A:C""),3,0),"""")"),"")</f>
        <v/>
      </c>
      <c r="AH8982" s="49" t="str">
        <f t="shared" si="140"/>
        <v/>
      </c>
    </row>
    <row r="8983" spans="8:34" ht="12.75">
      <c r="H8983" s="43"/>
      <c r="AG8983" s="49" t="str">
        <f ca="1">IFERROR(__xludf.DUMMYFUNCTION("IFNA(vlookup(H8983,IMPORTRANGE(""1vUGwO1n0QQGx9kKbO0_M5gmuhXZ6-LaxQxgrmJnzgP0"",""'TP# look up'!A:C""),3,0),"""")"),"")</f>
        <v/>
      </c>
      <c r="AH8983" s="49" t="str">
        <f t="shared" si="140"/>
        <v/>
      </c>
    </row>
    <row r="8984" spans="8:34" ht="12.75">
      <c r="H8984" s="43"/>
      <c r="AG8984" s="49" t="str">
        <f ca="1">IFERROR(__xludf.DUMMYFUNCTION("IFNA(vlookup(H8984,IMPORTRANGE(""1vUGwO1n0QQGx9kKbO0_M5gmuhXZ6-LaxQxgrmJnzgP0"",""'TP# look up'!A:C""),3,0),"""")"),"")</f>
        <v/>
      </c>
      <c r="AH8984" s="49" t="str">
        <f t="shared" si="140"/>
        <v/>
      </c>
    </row>
    <row r="8985" spans="8:34" ht="12.75">
      <c r="H8985" s="43"/>
      <c r="AG8985" s="49" t="str">
        <f ca="1">IFERROR(__xludf.DUMMYFUNCTION("IFNA(vlookup(H8985,IMPORTRANGE(""1vUGwO1n0QQGx9kKbO0_M5gmuhXZ6-LaxQxgrmJnzgP0"",""'TP# look up'!A:C""),3,0),"""")"),"")</f>
        <v/>
      </c>
      <c r="AH8985" s="49" t="str">
        <f t="shared" si="140"/>
        <v/>
      </c>
    </row>
    <row r="8986" spans="8:34" ht="12.75">
      <c r="H8986" s="43"/>
      <c r="AG8986" s="49" t="str">
        <f ca="1">IFERROR(__xludf.DUMMYFUNCTION("IFNA(vlookup(H8986,IMPORTRANGE(""1vUGwO1n0QQGx9kKbO0_M5gmuhXZ6-LaxQxgrmJnzgP0"",""'TP# look up'!A:C""),3,0),"""")"),"")</f>
        <v/>
      </c>
      <c r="AH8986" s="49" t="str">
        <f t="shared" si="140"/>
        <v/>
      </c>
    </row>
    <row r="8987" spans="8:34" ht="12.75">
      <c r="H8987" s="43"/>
      <c r="AG8987" s="49" t="str">
        <f ca="1">IFERROR(__xludf.DUMMYFUNCTION("IFNA(vlookup(H8987,IMPORTRANGE(""1vUGwO1n0QQGx9kKbO0_M5gmuhXZ6-LaxQxgrmJnzgP0"",""'TP# look up'!A:C""),3,0),"""")"),"")</f>
        <v/>
      </c>
      <c r="AH8987" s="49" t="str">
        <f t="shared" si="140"/>
        <v/>
      </c>
    </row>
    <row r="8988" spans="8:34" ht="12.75">
      <c r="H8988" s="43"/>
      <c r="AG8988" s="49" t="str">
        <f ca="1">IFERROR(__xludf.DUMMYFUNCTION("IFNA(vlookup(H8988,IMPORTRANGE(""1vUGwO1n0QQGx9kKbO0_M5gmuhXZ6-LaxQxgrmJnzgP0"",""'TP# look up'!A:C""),3,0),"""")"),"")</f>
        <v/>
      </c>
      <c r="AH8988" s="49" t="str">
        <f t="shared" si="140"/>
        <v/>
      </c>
    </row>
    <row r="8989" spans="8:34" ht="12.75">
      <c r="H8989" s="43"/>
      <c r="AG8989" s="49" t="str">
        <f ca="1">IFERROR(__xludf.DUMMYFUNCTION("IFNA(vlookup(H8989,IMPORTRANGE(""1vUGwO1n0QQGx9kKbO0_M5gmuhXZ6-LaxQxgrmJnzgP0"",""'TP# look up'!A:C""),3,0),"""")"),"")</f>
        <v/>
      </c>
      <c r="AH8989" s="49" t="str">
        <f t="shared" si="140"/>
        <v/>
      </c>
    </row>
    <row r="8990" spans="8:34" ht="12.75">
      <c r="H8990" s="43"/>
      <c r="AG8990" s="49" t="str">
        <f ca="1">IFERROR(__xludf.DUMMYFUNCTION("IFNA(vlookup(H8990,IMPORTRANGE(""1vUGwO1n0QQGx9kKbO0_M5gmuhXZ6-LaxQxgrmJnzgP0"",""'TP# look up'!A:C""),3,0),"""")"),"")</f>
        <v/>
      </c>
      <c r="AH8990" s="49" t="str">
        <f t="shared" si="140"/>
        <v/>
      </c>
    </row>
    <row r="8991" spans="8:34" ht="12.75">
      <c r="H8991" s="43"/>
      <c r="AG8991" s="49" t="str">
        <f ca="1">IFERROR(__xludf.DUMMYFUNCTION("IFNA(vlookup(H8991,IMPORTRANGE(""1vUGwO1n0QQGx9kKbO0_M5gmuhXZ6-LaxQxgrmJnzgP0"",""'TP# look up'!A:C""),3,0),"""")"),"")</f>
        <v/>
      </c>
      <c r="AH8991" s="49" t="str">
        <f t="shared" si="140"/>
        <v/>
      </c>
    </row>
    <row r="8992" spans="8:34" ht="12.75">
      <c r="H8992" s="43"/>
      <c r="AG8992" s="49" t="str">
        <f ca="1">IFERROR(__xludf.DUMMYFUNCTION("IFNA(vlookup(H8992,IMPORTRANGE(""1vUGwO1n0QQGx9kKbO0_M5gmuhXZ6-LaxQxgrmJnzgP0"",""'TP# look up'!A:C""),3,0),"""")"),"")</f>
        <v/>
      </c>
      <c r="AH8992" s="49" t="str">
        <f t="shared" si="140"/>
        <v/>
      </c>
    </row>
    <row r="8993" spans="8:34" ht="12.75">
      <c r="H8993" s="43"/>
      <c r="AG8993" s="49" t="str">
        <f ca="1">IFERROR(__xludf.DUMMYFUNCTION("IFNA(vlookup(H8993,IMPORTRANGE(""1vUGwO1n0QQGx9kKbO0_M5gmuhXZ6-LaxQxgrmJnzgP0"",""'TP# look up'!A:C""),3,0),"""")"),"")</f>
        <v/>
      </c>
      <c r="AH8993" s="49" t="str">
        <f t="shared" si="140"/>
        <v/>
      </c>
    </row>
    <row r="8994" spans="8:34" ht="12.75">
      <c r="H8994" s="43"/>
      <c r="AG8994" s="49" t="str">
        <f ca="1">IFERROR(__xludf.DUMMYFUNCTION("IFNA(vlookup(H8994,IMPORTRANGE(""1vUGwO1n0QQGx9kKbO0_M5gmuhXZ6-LaxQxgrmJnzgP0"",""'TP# look up'!A:C""),3,0),"""")"),"")</f>
        <v/>
      </c>
      <c r="AH8994" s="49" t="str">
        <f t="shared" si="140"/>
        <v/>
      </c>
    </row>
    <row r="8995" spans="8:34" ht="12.75">
      <c r="H8995" s="43"/>
      <c r="AG8995" s="49" t="str">
        <f ca="1">IFERROR(__xludf.DUMMYFUNCTION("IFNA(vlookup(H8995,IMPORTRANGE(""1vUGwO1n0QQGx9kKbO0_M5gmuhXZ6-LaxQxgrmJnzgP0"",""'TP# look up'!A:C""),3,0),"""")"),"")</f>
        <v/>
      </c>
      <c r="AH8995" s="49" t="str">
        <f t="shared" si="140"/>
        <v/>
      </c>
    </row>
    <row r="8996" spans="8:34" ht="12.75">
      <c r="H8996" s="43"/>
      <c r="AG8996" s="49" t="str">
        <f ca="1">IFERROR(__xludf.DUMMYFUNCTION("IFNA(vlookup(H8996,IMPORTRANGE(""1vUGwO1n0QQGx9kKbO0_M5gmuhXZ6-LaxQxgrmJnzgP0"",""'TP# look up'!A:C""),3,0),"""")"),"")</f>
        <v/>
      </c>
      <c r="AH8996" s="49" t="str">
        <f t="shared" si="140"/>
        <v/>
      </c>
    </row>
    <row r="8997" spans="8:34" ht="12.75">
      <c r="H8997" s="43"/>
      <c r="AG8997" s="49" t="str">
        <f ca="1">IFERROR(__xludf.DUMMYFUNCTION("IFNA(vlookup(H8997,IMPORTRANGE(""1vUGwO1n0QQGx9kKbO0_M5gmuhXZ6-LaxQxgrmJnzgP0"",""'TP# look up'!A:C""),3,0),"""")"),"")</f>
        <v/>
      </c>
      <c r="AH8997" s="49" t="str">
        <f t="shared" si="140"/>
        <v/>
      </c>
    </row>
    <row r="8998" spans="8:34" ht="12.75">
      <c r="H8998" s="43"/>
      <c r="AG8998" s="49" t="str">
        <f ca="1">IFERROR(__xludf.DUMMYFUNCTION("IFNA(vlookup(H8998,IMPORTRANGE(""1vUGwO1n0QQGx9kKbO0_M5gmuhXZ6-LaxQxgrmJnzgP0"",""'TP# look up'!A:C""),3,0),"""")"),"")</f>
        <v/>
      </c>
      <c r="AH8998" s="49" t="str">
        <f t="shared" si="140"/>
        <v/>
      </c>
    </row>
    <row r="8999" spans="8:34" ht="12.75">
      <c r="H8999" s="43"/>
      <c r="AG8999" s="49" t="str">
        <f ca="1">IFERROR(__xludf.DUMMYFUNCTION("IFNA(vlookup(H8999,IMPORTRANGE(""1vUGwO1n0QQGx9kKbO0_M5gmuhXZ6-LaxQxgrmJnzgP0"",""'TP# look up'!A:C""),3,0),"""")"),"")</f>
        <v/>
      </c>
      <c r="AH8999" s="49" t="str">
        <f t="shared" si="140"/>
        <v/>
      </c>
    </row>
    <row r="9000" spans="8:34" ht="12.75">
      <c r="H9000" s="43"/>
      <c r="AG9000" s="49" t="str">
        <f ca="1">IFERROR(__xludf.DUMMYFUNCTION("IFNA(vlookup(H9000,IMPORTRANGE(""1vUGwO1n0QQGx9kKbO0_M5gmuhXZ6-LaxQxgrmJnzgP0"",""'TP# look up'!A:C""),3,0),"""")"),"")</f>
        <v/>
      </c>
      <c r="AH9000" s="49" t="str">
        <f t="shared" si="140"/>
        <v/>
      </c>
    </row>
  </sheetData>
  <autoFilter ref="C1:AO421" xr:uid="{00000000-0009-0000-0000-000000000000}">
    <filterColumn colId="17">
      <filters>
        <filter val="Milton, ON, C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LLL Load Plan - 16 June 25</vt:lpstr>
      <vt:lpstr>LLL Pivot Table - 16 June 25</vt:lpstr>
      <vt:lpstr>CMB Bookings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Aresha Cooray - DGL SSC</dc:creator>
  <cp:lastModifiedBy>Aresha Cooray - DGL SSC</cp:lastModifiedBy>
  <dcterms:created xsi:type="dcterms:W3CDTF">2025-06-12T04:13:03Z</dcterms:created>
  <dcterms:modified xsi:type="dcterms:W3CDTF">2025-06-12T04:13:04Z</dcterms:modified>
</cp:coreProperties>
</file>